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0" yWindow="90" windowWidth="19200" windowHeight="11640" activeTab="7"/>
  </bookViews>
  <sheets>
    <sheet name="北京" sheetId="2" r:id="rId1"/>
    <sheet name="太原" sheetId="3" r:id="rId2"/>
    <sheet name="天津" sheetId="4" r:id="rId3"/>
    <sheet name="路桥" sheetId="5" r:id="rId4"/>
    <sheet name="广州" sheetId="8" r:id="rId5"/>
    <sheet name="石家庄" sheetId="10" r:id="rId6"/>
    <sheet name="丰桥" sheetId="9" r:id="rId7"/>
    <sheet name="交通" sheetId="11" r:id="rId8"/>
    <sheet name="呼和" sheetId="12" r:id="rId9"/>
    <sheet name="建安" sheetId="13" r:id="rId10"/>
    <sheet name="电务" sheetId="7" r:id="rId11"/>
  </sheets>
  <definedNames>
    <definedName name="_xlnm._FilterDatabase" localSheetId="0" hidden="1">北京!$A$5:$T$1261</definedName>
    <definedName name="_xlnm._FilterDatabase" localSheetId="6" hidden="1">丰桥!$A$5:$U$81</definedName>
    <definedName name="_xlnm._FilterDatabase" localSheetId="4" hidden="1">广州!$A$5:$T$5</definedName>
    <definedName name="_xlnm._FilterDatabase" localSheetId="9" hidden="1">建安!$A$2:$AB$1123</definedName>
    <definedName name="_xlnm._FilterDatabase" localSheetId="3" hidden="1">路桥!$5:$5</definedName>
    <definedName name="_xlnm._FilterDatabase" localSheetId="1" hidden="1">太原!$A$5:$AB$5</definedName>
    <definedName name="_xlnm._FilterDatabase" localSheetId="2" hidden="1">天津!$A$5:$T$5</definedName>
  </definedNames>
  <calcPr calcId="124519"/>
</workbook>
</file>

<file path=xl/calcChain.xml><?xml version="1.0" encoding="utf-8"?>
<calcChain xmlns="http://schemas.openxmlformats.org/spreadsheetml/2006/main">
  <c r="M272" i="11"/>
  <c r="M271"/>
  <c r="E382" i="12" l="1"/>
  <c r="L382" s="1"/>
  <c r="M382" s="1"/>
  <c r="M381"/>
  <c r="M380"/>
  <c r="M379"/>
  <c r="M378"/>
  <c r="M377"/>
  <c r="L359"/>
  <c r="M351"/>
  <c r="L351"/>
  <c r="M350"/>
  <c r="L350"/>
  <c r="M349"/>
  <c r="L349"/>
  <c r="M348"/>
  <c r="L348"/>
  <c r="M347"/>
  <c r="E287"/>
  <c r="F254"/>
  <c r="L254" s="1"/>
  <c r="M254" s="1"/>
  <c r="M253"/>
  <c r="L253"/>
  <c r="F253"/>
  <c r="F252"/>
  <c r="M246"/>
  <c r="M241"/>
  <c r="M240"/>
  <c r="M239"/>
  <c r="L239"/>
  <c r="F239"/>
  <c r="L238"/>
  <c r="M238" s="1"/>
  <c r="F238"/>
  <c r="F237"/>
  <c r="L237" s="1"/>
  <c r="M237" s="1"/>
  <c r="E236"/>
  <c r="F236" s="1"/>
  <c r="L236" s="1"/>
  <c r="M236" s="1"/>
  <c r="M235"/>
  <c r="L235"/>
  <c r="F235"/>
  <c r="L234"/>
  <c r="M234" s="1"/>
  <c r="F234"/>
  <c r="E234"/>
  <c r="L233"/>
  <c r="M233" s="1"/>
  <c r="F233"/>
  <c r="F232"/>
  <c r="L232" s="1"/>
  <c r="M232" s="1"/>
  <c r="E232"/>
  <c r="M183"/>
  <c r="M173"/>
  <c r="M164"/>
  <c r="M140"/>
  <c r="L140"/>
  <c r="M90"/>
  <c r="M82"/>
  <c r="F82"/>
  <c r="M79"/>
  <c r="M78"/>
  <c r="M77"/>
  <c r="M76"/>
  <c r="M75"/>
  <c r="M74"/>
  <c r="M73"/>
  <c r="M72"/>
  <c r="M71"/>
  <c r="M70"/>
  <c r="M69"/>
  <c r="M68"/>
  <c r="M67"/>
  <c r="M66"/>
  <c r="M65"/>
  <c r="M64"/>
  <c r="M63"/>
  <c r="L62"/>
  <c r="M62" s="1"/>
  <c r="F62"/>
  <c r="F61"/>
  <c r="L61" s="1"/>
  <c r="M61" s="1"/>
  <c r="F60"/>
  <c r="L60" s="1"/>
  <c r="M60" s="1"/>
  <c r="M59"/>
  <c r="L59"/>
  <c r="F59"/>
  <c r="L58"/>
  <c r="M58" s="1"/>
  <c r="F58"/>
  <c r="F57"/>
  <c r="L57" s="1"/>
  <c r="M57" s="1"/>
  <c r="L332" i="9"/>
  <c r="M332" s="1"/>
  <c r="M324"/>
  <c r="M323"/>
  <c r="M322"/>
  <c r="F298"/>
  <c r="M275"/>
  <c r="L275"/>
  <c r="M274"/>
  <c r="M273"/>
  <c r="L273"/>
  <c r="L272"/>
  <c r="M272" s="1"/>
  <c r="M271"/>
  <c r="L271"/>
  <c r="L270"/>
  <c r="M270" s="1"/>
  <c r="M269"/>
  <c r="L269"/>
  <c r="M232"/>
  <c r="L216"/>
  <c r="L215"/>
  <c r="L214"/>
  <c r="L213"/>
  <c r="M212"/>
  <c r="M211"/>
  <c r="M210"/>
  <c r="M209"/>
  <c r="L208"/>
  <c r="L207"/>
  <c r="L206"/>
  <c r="L205"/>
  <c r="L204"/>
  <c r="M203"/>
  <c r="L203" s="1"/>
  <c r="M202"/>
  <c r="L162"/>
  <c r="L161"/>
  <c r="L160"/>
  <c r="L159"/>
  <c r="M156"/>
  <c r="M155"/>
  <c r="M154"/>
  <c r="M152"/>
  <c r="M151"/>
  <c r="M150"/>
  <c r="M149"/>
  <c r="M148"/>
  <c r="M146"/>
  <c r="M145"/>
  <c r="M144"/>
  <c r="M143"/>
  <c r="M142"/>
  <c r="M141"/>
  <c r="L141"/>
  <c r="M140"/>
  <c r="L140"/>
  <c r="M139"/>
  <c r="L139"/>
  <c r="M69"/>
  <c r="L57"/>
  <c r="M57" s="1"/>
  <c r="M56"/>
  <c r="L56"/>
  <c r="L30"/>
  <c r="F30"/>
  <c r="E16"/>
  <c r="E15"/>
  <c r="M1030" i="13"/>
  <c r="M1029"/>
  <c r="M1028"/>
  <c r="M1027"/>
  <c r="M1026"/>
  <c r="M1025"/>
  <c r="M1024"/>
  <c r="M1023"/>
  <c r="M1022"/>
  <c r="M1021"/>
  <c r="M1020"/>
  <c r="M1019"/>
  <c r="M1018"/>
  <c r="M1017"/>
  <c r="M1016"/>
  <c r="M1015"/>
  <c r="M1014"/>
  <c r="M1013"/>
  <c r="M1012"/>
  <c r="M1011"/>
  <c r="M1010"/>
  <c r="M1009"/>
  <c r="M1008"/>
  <c r="E762"/>
  <c r="E713"/>
  <c r="L559"/>
  <c r="E559"/>
  <c r="E533"/>
  <c r="L427"/>
  <c r="M296"/>
  <c r="L296"/>
  <c r="E296"/>
  <c r="M295"/>
  <c r="L295"/>
  <c r="E295"/>
  <c r="L292"/>
  <c r="M287"/>
  <c r="L287"/>
  <c r="E287"/>
  <c r="M284"/>
  <c r="M283" s="1"/>
  <c r="M1123" s="1"/>
  <c r="L284"/>
  <c r="L283"/>
  <c r="L258"/>
  <c r="E258"/>
  <c r="L248"/>
  <c r="L43"/>
  <c r="L1123" s="1"/>
  <c r="E43"/>
  <c r="M712" i="10" l="1"/>
  <c r="M711"/>
  <c r="M709"/>
  <c r="M708"/>
  <c r="M707"/>
  <c r="M706"/>
  <c r="M705"/>
  <c r="M704"/>
  <c r="M703"/>
  <c r="M700"/>
  <c r="L541"/>
  <c r="L540"/>
  <c r="M539"/>
  <c r="M538"/>
  <c r="M537"/>
  <c r="M536"/>
  <c r="M535"/>
  <c r="M534"/>
  <c r="M533"/>
  <c r="M532"/>
  <c r="M531"/>
  <c r="M530"/>
  <c r="M529"/>
  <c r="M528"/>
  <c r="M527"/>
  <c r="M507"/>
  <c r="M506"/>
  <c r="M447"/>
  <c r="M424"/>
  <c r="M423"/>
  <c r="M421"/>
  <c r="M420"/>
  <c r="M419"/>
  <c r="M418"/>
  <c r="M417"/>
  <c r="L368"/>
  <c r="L367"/>
  <c r="L330"/>
  <c r="L329"/>
  <c r="L328"/>
  <c r="L327"/>
  <c r="L326"/>
  <c r="L325"/>
  <c r="L324"/>
  <c r="L323"/>
  <c r="L322"/>
  <c r="L321"/>
  <c r="L320"/>
  <c r="L319"/>
  <c r="L318"/>
  <c r="L317"/>
  <c r="L316"/>
  <c r="L315"/>
  <c r="L314"/>
  <c r="L313"/>
  <c r="L312"/>
  <c r="L311"/>
  <c r="L310"/>
  <c r="L309"/>
  <c r="E309"/>
  <c r="M294"/>
  <c r="M293"/>
  <c r="M292"/>
  <c r="F289"/>
  <c r="M212"/>
  <c r="M211"/>
  <c r="M210"/>
  <c r="M209"/>
  <c r="M208"/>
  <c r="M207"/>
  <c r="M206"/>
  <c r="M205"/>
  <c r="M204"/>
  <c r="M203"/>
  <c r="M104"/>
  <c r="M25"/>
  <c r="L24"/>
  <c r="L23"/>
  <c r="L22"/>
  <c r="L21"/>
  <c r="E21"/>
  <c r="L20"/>
  <c r="E20"/>
  <c r="L19"/>
  <c r="L18"/>
  <c r="L17"/>
  <c r="E17"/>
  <c r="L16"/>
  <c r="L15"/>
  <c r="E15"/>
  <c r="L14"/>
  <c r="E14"/>
  <c r="M568" i="5" l="1"/>
  <c r="M345"/>
  <c r="L196"/>
  <c r="L195"/>
  <c r="L568" s="1"/>
  <c r="M505" i="4"/>
  <c r="M504"/>
  <c r="M503"/>
  <c r="E464"/>
  <c r="M409"/>
  <c r="F408"/>
  <c r="E408"/>
  <c r="M357"/>
  <c r="M356"/>
  <c r="M355"/>
  <c r="E238"/>
  <c r="M159"/>
  <c r="L157"/>
  <c r="L120"/>
  <c r="M120" s="1"/>
  <c r="M119"/>
  <c r="L119"/>
  <c r="L118"/>
  <c r="M118" s="1"/>
  <c r="L88"/>
  <c r="F88"/>
  <c r="F86"/>
  <c r="M81"/>
  <c r="M80"/>
  <c r="M73"/>
  <c r="E56"/>
  <c r="M49"/>
  <c r="M48"/>
  <c r="M47"/>
  <c r="M46"/>
  <c r="M45"/>
  <c r="M44"/>
  <c r="M20"/>
  <c r="M17"/>
  <c r="E17"/>
  <c r="L1065" i="3"/>
  <c r="M1062"/>
  <c r="L1062"/>
  <c r="M1061"/>
  <c r="M1129" s="1"/>
  <c r="L1061"/>
  <c r="R822"/>
  <c r="R821"/>
  <c r="R820"/>
  <c r="R819"/>
  <c r="R818"/>
  <c r="R817"/>
  <c r="R816"/>
  <c r="R734"/>
  <c r="R733"/>
  <c r="R732"/>
  <c r="R731"/>
  <c r="R726"/>
  <c r="R725"/>
  <c r="R724"/>
  <c r="R723"/>
  <c r="R722"/>
  <c r="R721"/>
  <c r="R720"/>
  <c r="R719"/>
  <c r="R718"/>
  <c r="R717"/>
  <c r="R716"/>
  <c r="R715"/>
  <c r="R707"/>
  <c r="R706"/>
  <c r="R705"/>
  <c r="R704"/>
  <c r="R703"/>
  <c r="R702"/>
  <c r="F642"/>
  <c r="F640"/>
  <c r="F633"/>
  <c r="F632"/>
  <c r="R465"/>
  <c r="R464"/>
  <c r="R460"/>
  <c r="R459"/>
  <c r="R458"/>
  <c r="R457"/>
  <c r="R456"/>
  <c r="R455"/>
  <c r="R454"/>
  <c r="R453"/>
  <c r="R452"/>
  <c r="L349"/>
  <c r="F222"/>
  <c r="F221"/>
  <c r="F220"/>
  <c r="M219"/>
  <c r="M218"/>
  <c r="L217"/>
  <c r="F216"/>
  <c r="L216" s="1"/>
  <c r="E1093" i="2"/>
  <c r="M916"/>
  <c r="M915"/>
  <c r="E689"/>
  <c r="F689" s="1"/>
  <c r="L689" s="1"/>
  <c r="L688"/>
  <c r="F688"/>
  <c r="E688"/>
  <c r="F398"/>
  <c r="F397"/>
  <c r="F396"/>
</calcChain>
</file>

<file path=xl/comments1.xml><?xml version="1.0" encoding="utf-8"?>
<comments xmlns="http://schemas.openxmlformats.org/spreadsheetml/2006/main">
  <authors>
    <author>作者</author>
  </authors>
  <commentList>
    <comment ref="M20" authorId="0">
      <text>
        <r>
          <rPr>
            <b/>
            <sz val="9"/>
            <rFont val="宋体"/>
            <family val="3"/>
            <charset val="134"/>
          </rPr>
          <t>作者:</t>
        </r>
        <r>
          <rPr>
            <sz val="9"/>
            <rFont val="宋体"/>
            <family val="3"/>
            <charset val="134"/>
          </rPr>
          <t xml:space="preserve">
已摊销完</t>
        </r>
      </text>
    </comment>
    <comment ref="M21" authorId="0">
      <text>
        <r>
          <rPr>
            <b/>
            <sz val="9"/>
            <rFont val="宋体"/>
            <family val="3"/>
            <charset val="134"/>
          </rPr>
          <t>作者:</t>
        </r>
        <r>
          <rPr>
            <sz val="9"/>
            <rFont val="宋体"/>
            <family val="3"/>
            <charset val="134"/>
          </rPr>
          <t xml:space="preserve">
已摊销完</t>
        </r>
      </text>
    </comment>
    <comment ref="M289" authorId="0">
      <text>
        <r>
          <rPr>
            <b/>
            <sz val="9"/>
            <rFont val="宋体"/>
            <family val="3"/>
            <charset val="134"/>
          </rPr>
          <t>作者:</t>
        </r>
        <r>
          <rPr>
            <sz val="9"/>
            <rFont val="宋体"/>
            <family val="3"/>
            <charset val="134"/>
          </rPr>
          <t xml:space="preserve">
已摊销完成</t>
        </r>
      </text>
    </comment>
    <comment ref="M290" authorId="0">
      <text>
        <r>
          <rPr>
            <b/>
            <sz val="9"/>
            <rFont val="宋体"/>
            <family val="3"/>
            <charset val="134"/>
          </rPr>
          <t>作者:</t>
        </r>
        <r>
          <rPr>
            <sz val="9"/>
            <rFont val="宋体"/>
            <family val="3"/>
            <charset val="134"/>
          </rPr>
          <t xml:space="preserve">
已摊销完成</t>
        </r>
      </text>
    </comment>
    <comment ref="M291" authorId="0">
      <text>
        <r>
          <rPr>
            <b/>
            <sz val="9"/>
            <rFont val="宋体"/>
            <family val="3"/>
            <charset val="134"/>
          </rPr>
          <t>作者:</t>
        </r>
        <r>
          <rPr>
            <sz val="9"/>
            <rFont val="宋体"/>
            <family val="3"/>
            <charset val="134"/>
          </rPr>
          <t xml:space="preserve">
已摊销完成</t>
        </r>
      </text>
    </comment>
    <comment ref="M292" authorId="0">
      <text>
        <r>
          <rPr>
            <b/>
            <sz val="9"/>
            <rFont val="宋体"/>
            <family val="3"/>
            <charset val="134"/>
          </rPr>
          <t>作者:</t>
        </r>
        <r>
          <rPr>
            <sz val="9"/>
            <rFont val="宋体"/>
            <family val="3"/>
            <charset val="134"/>
          </rPr>
          <t xml:space="preserve">
已摊销完成</t>
        </r>
      </text>
    </comment>
    <comment ref="M293" authorId="0">
      <text>
        <r>
          <rPr>
            <b/>
            <sz val="9"/>
            <rFont val="宋体"/>
            <family val="3"/>
            <charset val="134"/>
          </rPr>
          <t>作者:</t>
        </r>
        <r>
          <rPr>
            <sz val="9"/>
            <rFont val="宋体"/>
            <family val="3"/>
            <charset val="134"/>
          </rPr>
          <t xml:space="preserve">
已摊销完成</t>
        </r>
      </text>
    </comment>
    <comment ref="M294" authorId="0">
      <text>
        <r>
          <rPr>
            <b/>
            <sz val="9"/>
            <rFont val="宋体"/>
            <family val="3"/>
            <charset val="134"/>
          </rPr>
          <t>作者:</t>
        </r>
        <r>
          <rPr>
            <sz val="9"/>
            <rFont val="宋体"/>
            <family val="3"/>
            <charset val="134"/>
          </rPr>
          <t xml:space="preserve">
已摊销完成</t>
        </r>
      </text>
    </comment>
    <comment ref="M295" authorId="0">
      <text>
        <r>
          <rPr>
            <b/>
            <sz val="9"/>
            <rFont val="宋体"/>
            <family val="3"/>
            <charset val="134"/>
          </rPr>
          <t>作者:</t>
        </r>
        <r>
          <rPr>
            <sz val="9"/>
            <rFont val="宋体"/>
            <family val="3"/>
            <charset val="134"/>
          </rPr>
          <t xml:space="preserve">
已摊销完</t>
        </r>
      </text>
    </comment>
    <comment ref="M296" authorId="0">
      <text>
        <r>
          <rPr>
            <b/>
            <sz val="9"/>
            <rFont val="宋体"/>
            <family val="3"/>
            <charset val="134"/>
          </rPr>
          <t>作者:</t>
        </r>
        <r>
          <rPr>
            <sz val="9"/>
            <rFont val="宋体"/>
            <family val="3"/>
            <charset val="134"/>
          </rPr>
          <t xml:space="preserve">
已摊销完</t>
        </r>
      </text>
    </comment>
    <comment ref="M297" authorId="0">
      <text>
        <r>
          <rPr>
            <b/>
            <sz val="9"/>
            <rFont val="宋体"/>
            <family val="3"/>
            <charset val="134"/>
          </rPr>
          <t>作者:</t>
        </r>
        <r>
          <rPr>
            <sz val="9"/>
            <rFont val="宋体"/>
            <family val="3"/>
            <charset val="134"/>
          </rPr>
          <t xml:space="preserve">
已摊销完</t>
        </r>
      </text>
    </comment>
    <comment ref="M299" authorId="0">
      <text>
        <r>
          <rPr>
            <b/>
            <sz val="9"/>
            <rFont val="宋体"/>
            <family val="3"/>
            <charset val="134"/>
          </rPr>
          <t>作者:</t>
        </r>
        <r>
          <rPr>
            <sz val="9"/>
            <rFont val="宋体"/>
            <family val="3"/>
            <charset val="134"/>
          </rPr>
          <t xml:space="preserve">
已摊销完</t>
        </r>
      </text>
    </comment>
    <comment ref="M306" authorId="0">
      <text>
        <r>
          <rPr>
            <b/>
            <sz val="9"/>
            <rFont val="宋体"/>
            <family val="3"/>
            <charset val="134"/>
          </rPr>
          <t>作者:</t>
        </r>
        <r>
          <rPr>
            <sz val="9"/>
            <rFont val="宋体"/>
            <family val="3"/>
            <charset val="134"/>
          </rPr>
          <t xml:space="preserve">
已摊销完</t>
        </r>
      </text>
    </comment>
    <comment ref="M311" authorId="0">
      <text>
        <r>
          <rPr>
            <b/>
            <sz val="9"/>
            <rFont val="宋体"/>
            <family val="3"/>
            <charset val="134"/>
          </rPr>
          <t>作者:</t>
        </r>
        <r>
          <rPr>
            <sz val="9"/>
            <rFont val="宋体"/>
            <family val="3"/>
            <charset val="134"/>
          </rPr>
          <t xml:space="preserve">
已摊销完</t>
        </r>
      </text>
    </comment>
    <comment ref="B547" authorId="0">
      <text>
        <r>
          <rPr>
            <b/>
            <sz val="9"/>
            <rFont val="宋体"/>
            <family val="3"/>
            <charset val="134"/>
          </rPr>
          <t>作者:</t>
        </r>
        <r>
          <rPr>
            <sz val="9"/>
            <rFont val="宋体"/>
            <family val="3"/>
            <charset val="134"/>
          </rPr>
          <t xml:space="preserve">
仰拱栈桥</t>
        </r>
      </text>
    </comment>
    <comment ref="M772" authorId="0">
      <text>
        <r>
          <rPr>
            <b/>
            <sz val="9"/>
            <rFont val="宋体"/>
            <family val="3"/>
            <charset val="134"/>
          </rPr>
          <t>作者:</t>
        </r>
        <r>
          <rPr>
            <sz val="9"/>
            <rFont val="宋体"/>
            <family val="3"/>
            <charset val="134"/>
          </rPr>
          <t xml:space="preserve">
已摊销完</t>
        </r>
      </text>
    </comment>
    <comment ref="M774" authorId="0">
      <text>
        <r>
          <rPr>
            <b/>
            <sz val="9"/>
            <rFont val="宋体"/>
            <family val="3"/>
            <charset val="134"/>
          </rPr>
          <t>作者:</t>
        </r>
        <r>
          <rPr>
            <sz val="9"/>
            <rFont val="宋体"/>
            <family val="3"/>
            <charset val="134"/>
          </rPr>
          <t xml:space="preserve">
已摊销完成</t>
        </r>
      </text>
    </comment>
    <comment ref="M777" authorId="0">
      <text>
        <r>
          <rPr>
            <b/>
            <sz val="9"/>
            <rFont val="宋体"/>
            <family val="3"/>
            <charset val="134"/>
          </rPr>
          <t>作者:</t>
        </r>
        <r>
          <rPr>
            <sz val="9"/>
            <rFont val="宋体"/>
            <family val="3"/>
            <charset val="134"/>
          </rPr>
          <t xml:space="preserve">
已摊销完</t>
        </r>
      </text>
    </comment>
    <comment ref="M778" authorId="0">
      <text>
        <r>
          <rPr>
            <b/>
            <sz val="9"/>
            <rFont val="宋体"/>
            <family val="3"/>
            <charset val="134"/>
          </rPr>
          <t>作者:</t>
        </r>
        <r>
          <rPr>
            <sz val="9"/>
            <rFont val="宋体"/>
            <family val="3"/>
            <charset val="134"/>
          </rPr>
          <t xml:space="preserve">
已摊销完</t>
        </r>
      </text>
    </comment>
    <comment ref="B978" authorId="0">
      <text>
        <r>
          <rPr>
            <b/>
            <sz val="9"/>
            <rFont val="宋体"/>
            <family val="3"/>
            <charset val="134"/>
          </rPr>
          <t>作者:</t>
        </r>
        <r>
          <rPr>
            <sz val="9"/>
            <rFont val="宋体"/>
            <family val="3"/>
            <charset val="134"/>
          </rPr>
          <t xml:space="preserve">
填料站</t>
        </r>
      </text>
    </comment>
    <comment ref="B990" authorId="0">
      <text>
        <r>
          <rPr>
            <b/>
            <sz val="9"/>
            <rFont val="宋体"/>
            <family val="3"/>
            <charset val="134"/>
          </rPr>
          <t>作者:</t>
        </r>
        <r>
          <rPr>
            <sz val="9"/>
            <rFont val="宋体"/>
            <family val="3"/>
            <charset val="134"/>
          </rPr>
          <t xml:space="preserve">
1#拌和站</t>
        </r>
      </text>
    </comment>
    <comment ref="B996" authorId="0">
      <text>
        <r>
          <rPr>
            <b/>
            <sz val="9"/>
            <rFont val="宋体"/>
            <family val="3"/>
            <charset val="134"/>
          </rPr>
          <t>作者:</t>
        </r>
        <r>
          <rPr>
            <sz val="9"/>
            <rFont val="宋体"/>
            <family val="3"/>
            <charset val="134"/>
          </rPr>
          <t xml:space="preserve">
小型构件厂</t>
        </r>
      </text>
    </comment>
  </commentList>
</comments>
</file>

<file path=xl/comments2.xml><?xml version="1.0" encoding="utf-8"?>
<comments xmlns="http://schemas.openxmlformats.org/spreadsheetml/2006/main">
  <authors>
    <author>作者</author>
  </authors>
  <commentList>
    <comment ref="F36" authorId="0">
      <text>
        <r>
          <rPr>
            <sz val="9"/>
            <rFont val="宋体"/>
            <family val="3"/>
            <charset val="134"/>
          </rPr>
          <t xml:space="preserve">
调节块
</t>
        </r>
      </text>
    </comment>
  </commentList>
</comments>
</file>

<file path=xl/sharedStrings.xml><?xml version="1.0" encoding="utf-8"?>
<sst xmlns="http://schemas.openxmlformats.org/spreadsheetml/2006/main" count="69428" uniqueCount="7658">
  <si>
    <t>附表</t>
  </si>
  <si>
    <t>中铁六局集团(北京铁建)公司周转材料信息管理台账</t>
  </si>
  <si>
    <t>序号</t>
  </si>
  <si>
    <t>材料名称</t>
  </si>
  <si>
    <t>规格型号</t>
  </si>
  <si>
    <t>单位</t>
  </si>
  <si>
    <t>数量</t>
  </si>
  <si>
    <t>换算重量</t>
  </si>
  <si>
    <t>状况</t>
  </si>
  <si>
    <t>使用状态</t>
  </si>
  <si>
    <t>设计</t>
  </si>
  <si>
    <t>工程设计单位名称</t>
  </si>
  <si>
    <t>周转料</t>
  </si>
  <si>
    <t>原值</t>
  </si>
  <si>
    <t>现值</t>
  </si>
  <si>
    <t>购入年月</t>
  </si>
  <si>
    <t>详细存放地</t>
  </si>
  <si>
    <t>物资主管</t>
  </si>
  <si>
    <t>联系电话</t>
  </si>
  <si>
    <t>项目部名称</t>
  </si>
  <si>
    <t>公司名称</t>
  </si>
  <si>
    <t>备注</t>
  </si>
  <si>
    <t>（吨）</t>
  </si>
  <si>
    <t>图号</t>
  </si>
  <si>
    <t>生产单位</t>
  </si>
  <si>
    <t>（元）</t>
  </si>
  <si>
    <t>一</t>
  </si>
  <si>
    <t>模板类</t>
  </si>
  <si>
    <t>普通钢模板</t>
  </si>
  <si>
    <t>钢模板</t>
  </si>
  <si>
    <t>直径2米</t>
  </si>
  <si>
    <t>块</t>
  </si>
  <si>
    <t>良好</t>
  </si>
  <si>
    <t>在用</t>
  </si>
  <si>
    <t>/</t>
  </si>
  <si>
    <t>自330国道武义江大桥改建工程项目部调入</t>
  </si>
  <si>
    <t>国道109工地</t>
  </si>
  <si>
    <t>王伟</t>
  </si>
  <si>
    <t>国道109</t>
  </si>
  <si>
    <t>北京铁建</t>
  </si>
  <si>
    <t>70型：9015</t>
  </si>
  <si>
    <t>闲置</t>
  </si>
  <si>
    <t>北京诚智佳业模板有限公司</t>
  </si>
  <si>
    <t>昌平基地</t>
  </si>
  <si>
    <t>李彦华</t>
  </si>
  <si>
    <t>周转材料租赁中心</t>
  </si>
  <si>
    <t>中铁六局集团北京铁建公司</t>
  </si>
  <si>
    <t>津兴安次、城际联络线</t>
  </si>
  <si>
    <t>70型：6015</t>
  </si>
  <si>
    <t>50型：2015</t>
  </si>
  <si>
    <t>2336</t>
  </si>
  <si>
    <t>重庆地铁</t>
  </si>
  <si>
    <t>天津久安集团亨实钢结构有限公司</t>
  </si>
  <si>
    <t>50型：3015</t>
  </si>
  <si>
    <t>427</t>
  </si>
  <si>
    <t>50型：9015</t>
  </si>
  <si>
    <t>星火</t>
  </si>
  <si>
    <t>京沈星火项目部调拨</t>
  </si>
  <si>
    <t>50型：6015</t>
  </si>
  <si>
    <t>50型：5015</t>
  </si>
  <si>
    <t>承台模板</t>
  </si>
  <si>
    <t>承台13.1*7.7*2.5、4.6*5.1*2、3#</t>
  </si>
  <si>
    <t>吨</t>
  </si>
  <si>
    <t>北京奥宇模板有限公司</t>
  </si>
  <si>
    <t>2021.9.20</t>
  </si>
  <si>
    <t>施工现场</t>
  </si>
  <si>
    <t>张阳阳</t>
  </si>
  <si>
    <t>宁大支线改线工程</t>
  </si>
  <si>
    <t>北京公司</t>
  </si>
  <si>
    <t>承台</t>
  </si>
  <si>
    <t>2021.10.20</t>
  </si>
  <si>
    <t>挡土墙模板</t>
  </si>
  <si>
    <t>微损</t>
  </si>
  <si>
    <t>文水县钢建长城模板有限公司</t>
  </si>
  <si>
    <t>1号拌合站</t>
  </si>
  <si>
    <t>李永楼</t>
  </si>
  <si>
    <t>新建津兴铁路三标项目经理部五分部</t>
  </si>
  <si>
    <t>北京铁路建设有限公司</t>
  </si>
  <si>
    <t>600*600*700</t>
  </si>
  <si>
    <t>套</t>
  </si>
  <si>
    <t>天津中贵投资有限公司</t>
  </si>
  <si>
    <t>600*800*900</t>
  </si>
  <si>
    <t>4600*9800*2200</t>
  </si>
  <si>
    <t>5000/5600*10400*2200</t>
  </si>
  <si>
    <t>异形钢模板</t>
  </si>
  <si>
    <t>仰拱模板</t>
  </si>
  <si>
    <t>由于时间过长，无法核实规格型号</t>
  </si>
  <si>
    <t>损坏</t>
  </si>
  <si>
    <t>中铁隧道勘测设计院</t>
  </si>
  <si>
    <t>洛阳兴坤隧道工程机械有限公司</t>
  </si>
  <si>
    <t>2016.10.30</t>
  </si>
  <si>
    <t>北京地铁6号线</t>
  </si>
  <si>
    <t>北京地铁六号线管廊</t>
  </si>
  <si>
    <t>北京铁建公司</t>
  </si>
  <si>
    <t>防撞护栏模板</t>
  </si>
  <si>
    <t>890*1500</t>
  </si>
  <si>
    <t>河北宏胤实业有限公司</t>
  </si>
  <si>
    <t>宣左</t>
  </si>
  <si>
    <t>孙百胜</t>
  </si>
  <si>
    <t>宣左项目部</t>
  </si>
  <si>
    <t>中铁六局北京铁建公司</t>
  </si>
  <si>
    <t>自购</t>
  </si>
  <si>
    <t>970*1500</t>
  </si>
  <si>
    <t>80*1500</t>
  </si>
  <si>
    <t>防撞墙模板</t>
  </si>
  <si>
    <t>2.5*1.4</t>
  </si>
  <si>
    <t>变形</t>
  </si>
  <si>
    <t>胶泥湾调拨</t>
  </si>
  <si>
    <t>2.5*1.47</t>
  </si>
  <si>
    <t>拱形骨架护坡模板</t>
  </si>
  <si>
    <t>拱形骨架净距3m*3m，主骨架宽0.6m，拱部骨架宽0.4m，厚均为0.4m</t>
  </si>
  <si>
    <t>北京诚达建业装饰工程有限公司</t>
  </si>
  <si>
    <t>区间路基附属</t>
  </si>
  <si>
    <t>李路</t>
  </si>
  <si>
    <t>中铁六局集团北京铁路建设有限公司丰台站改建工程站区站前工程一标段项目经理部</t>
  </si>
  <si>
    <t>中铁六局集团北京铁路建设有限公司</t>
  </si>
  <si>
    <t>高10.3米</t>
  </si>
  <si>
    <t>天津连欧桥梁模板制造有限公司</t>
  </si>
  <si>
    <t>廊坊市交通中心现场使用</t>
  </si>
  <si>
    <t>王昭</t>
  </si>
  <si>
    <t>廊坊市交通中心工程</t>
  </si>
  <si>
    <t>玻璃纤维钢化模板</t>
  </si>
  <si>
    <t>2380×250×12</t>
  </si>
  <si>
    <t>北京美华宏德建筑模板有限公司</t>
  </si>
  <si>
    <t>北京市海淀区清河站</t>
  </si>
  <si>
    <t>王海涛</t>
  </si>
  <si>
    <t>代建京张铁路站前工程二分部</t>
  </si>
  <si>
    <t>2380×600×12</t>
  </si>
  <si>
    <t>1860×606×12</t>
  </si>
  <si>
    <t>校平钢卡</t>
  </si>
  <si>
    <t>国标</t>
  </si>
  <si>
    <t>个</t>
  </si>
  <si>
    <t>8.5元/个</t>
  </si>
  <si>
    <t>大钢卡</t>
  </si>
  <si>
    <t>桥梁钢模板</t>
  </si>
  <si>
    <t>墩柱模板</t>
  </si>
  <si>
    <t>50:1底宽：230*580cm，顶宽：230*580cm,顶宽300*760cm，墩身最高：14.5米，最低11.5米</t>
  </si>
  <si>
    <t>汾阳市馨盛钢结构有限公司</t>
  </si>
  <si>
    <t>北京市通州区</t>
  </si>
  <si>
    <t>夏培培</t>
  </si>
  <si>
    <t>京唐铁路燕郊站枢纽站前工程项目经理部一分部</t>
  </si>
  <si>
    <t>中铁六局集团北京铁建有限公司</t>
  </si>
  <si>
    <t>墩身最高：14.5ｍ最低：6.5ｍ</t>
  </si>
  <si>
    <t>文水县恒鑫盛机械制造有限公司</t>
  </si>
  <si>
    <t>底宽：200*400cm，顶宽：260*600cm</t>
  </si>
  <si>
    <t>35:1顶宽：200*400cm 墩身最高11.5米，最低5.5米</t>
  </si>
  <si>
    <t>底宽：210*360cm，顶宽：250*600cm</t>
  </si>
  <si>
    <t>2020.11.10-2021.1.20</t>
  </si>
  <si>
    <t>45:1，底宽：230*580cm，顶宽：230*580cm，顶宽：300*760cm 墩身最高：14.5ｍ最低：11.5ｍ</t>
  </si>
  <si>
    <t>5.8*2.0双直墩</t>
  </si>
  <si>
    <t>4.5*2.3单坡墩</t>
  </si>
  <si>
    <t>4.5*2.6单坡墩</t>
  </si>
  <si>
    <t>7.2*4.0双坡墩</t>
  </si>
  <si>
    <t>7.0*2.5双直墩</t>
  </si>
  <si>
    <t>7.2*3.6双坡墩</t>
  </si>
  <si>
    <t>7.6*3.0双线连续梁</t>
  </si>
  <si>
    <t>4600*9800*2200mm</t>
  </si>
  <si>
    <t>河北弘安建筑科技有限公司</t>
  </si>
  <si>
    <t>垫石钢模板</t>
  </si>
  <si>
    <t>1.2*2.4*0.4m</t>
  </si>
  <si>
    <t>φ2m</t>
  </si>
  <si>
    <t>米</t>
  </si>
  <si>
    <t>京新胶泥湾项目部调拨</t>
  </si>
  <si>
    <t>双桥基地</t>
  </si>
  <si>
    <t>T梁模板</t>
  </si>
  <si>
    <t>40m*2.6m</t>
  </si>
  <si>
    <t>φ1.4m</t>
  </si>
  <si>
    <t>唐山二环路项目部调拨</t>
  </si>
  <si>
    <t>φ1.5m</t>
  </si>
  <si>
    <t>φ1.6m</t>
  </si>
  <si>
    <t>φ1.8m</t>
  </si>
  <si>
    <t>箱梁模板</t>
  </si>
  <si>
    <t>30m</t>
  </si>
  <si>
    <t>35m</t>
  </si>
  <si>
    <t>40m</t>
  </si>
  <si>
    <t>330国道武义江项目部调拨</t>
  </si>
  <si>
    <t>抱箍</t>
  </si>
  <si>
    <t>空心墩模板</t>
  </si>
  <si>
    <t>45：1/80：1</t>
  </si>
  <si>
    <t>无</t>
  </si>
  <si>
    <t>北京康港工程技术有限公司</t>
  </si>
  <si>
    <t>张唐兴隆工地</t>
  </si>
  <si>
    <t>箱梁模板（中梁）</t>
  </si>
  <si>
    <t>H=1.6m</t>
  </si>
  <si>
    <t>河北省沧州市黄骅G228滨海三标项目部工地</t>
  </si>
  <si>
    <t>吴红民</t>
  </si>
  <si>
    <t>G228滨海三标项目部</t>
  </si>
  <si>
    <t>中铁六局</t>
  </si>
  <si>
    <t>箱梁模板（半边）</t>
  </si>
  <si>
    <t>盖梁模板双侧模</t>
  </si>
  <si>
    <t>11.5长*1.5高</t>
  </si>
  <si>
    <t>河北省沧州市黄骅G229滨海三标项目部工地</t>
  </si>
  <si>
    <t>盖梁模板底模</t>
  </si>
  <si>
    <t>5.3米长*宽2米</t>
  </si>
  <si>
    <t>河北省沧州市黄骅G230滨海三标项目部工地</t>
  </si>
  <si>
    <t>5.3米长*宽2.4米</t>
  </si>
  <si>
    <t>1.5m</t>
  </si>
  <si>
    <t>2021.06</t>
  </si>
  <si>
    <t>方墩模板</t>
  </si>
  <si>
    <t>a=1.8m</t>
  </si>
  <si>
    <t>a=2m</t>
  </si>
  <si>
    <t>SA级-预制梁</t>
  </si>
  <si>
    <t>系梁模板</t>
  </si>
  <si>
    <t>1.8米</t>
  </si>
  <si>
    <t>河北东风世景轨道有限公司</t>
  </si>
  <si>
    <t>2021.09</t>
  </si>
  <si>
    <t>Φ1.3M</t>
  </si>
  <si>
    <t>平凉（华亭）至天水高速公路项目PT5标项目经理部</t>
  </si>
  <si>
    <t>2020.4</t>
  </si>
  <si>
    <t>Φ1.8M</t>
  </si>
  <si>
    <t>河北省沧州市黄骅G231滨海三标项目部工地</t>
  </si>
  <si>
    <t>箱梁模板中梁</t>
  </si>
  <si>
    <t>41000*2100</t>
  </si>
  <si>
    <t>专桥邯郸机场南延（2013）S-2-1-2-03</t>
  </si>
  <si>
    <t>中铁咨询</t>
  </si>
  <si>
    <t>北京金凯利钢结构制造有限责任公司</t>
  </si>
  <si>
    <t>邯郸机场路工地</t>
  </si>
  <si>
    <t>谷彦磊</t>
  </si>
  <si>
    <t>国道112项目部</t>
  </si>
  <si>
    <t>箱梁模板边梁</t>
  </si>
  <si>
    <t>4100*2100</t>
  </si>
  <si>
    <t>箱梁模板芯模</t>
  </si>
  <si>
    <t>改造40m</t>
  </si>
  <si>
    <t>改造1.8m</t>
  </si>
  <si>
    <t>边墩墩身模板</t>
  </si>
  <si>
    <t>6mm厚*2m节</t>
  </si>
  <si>
    <t>保定市长峰金属结构有限公司</t>
  </si>
  <si>
    <t>廊坊市交通中心现场</t>
  </si>
  <si>
    <t>盖梁钢模板</t>
  </si>
  <si>
    <t>山西百利机械制造有限公司</t>
  </si>
  <si>
    <t>海滨路一标梁场</t>
  </si>
  <si>
    <t>孙赫光</t>
  </si>
  <si>
    <t>秦皇岛地区项目部</t>
  </si>
  <si>
    <t>33#墩柱模板</t>
  </si>
  <si>
    <t>52.5t/套，盖梁长13m，盖梁高度5m，盖梁宽度2.5m；墩柱高8.8m，长2.2m，宽2.5m锯齿形边</t>
  </si>
  <si>
    <t>北京岳星钢结构有限公司</t>
  </si>
  <si>
    <t>海滨路一标</t>
  </si>
  <si>
    <t>防撞模板</t>
  </si>
  <si>
    <t>高度1.8m、HA级；高度1.29m、1.6m，SS级</t>
  </si>
  <si>
    <t>按图纸加工</t>
  </si>
  <si>
    <t>唐山路通桥梁模板有限公司</t>
  </si>
  <si>
    <t>挡墙模板</t>
  </si>
  <si>
    <t>海滨路二标</t>
  </si>
  <si>
    <t>盖梁模板</t>
  </si>
  <si>
    <t>国道102</t>
  </si>
  <si>
    <t>B2米</t>
  </si>
  <si>
    <t>武义江大桥项目部</t>
  </si>
  <si>
    <t>2021.3.11</t>
  </si>
  <si>
    <t>京雄高速四工区（嘉年华）</t>
  </si>
  <si>
    <t>刘贺</t>
  </si>
  <si>
    <t>京雄高速四工区</t>
  </si>
  <si>
    <t>1.8m</t>
  </si>
  <si>
    <t>4-QL-106</t>
  </si>
  <si>
    <t>北京市市政工程设计研究总院有限公司</t>
  </si>
  <si>
    <t>北京铁建周转料租赁中心</t>
  </si>
  <si>
    <t>2021.4.10</t>
  </si>
  <si>
    <t>京雄高速四工区（学校）</t>
  </si>
  <si>
    <t>原始清单未给</t>
  </si>
  <si>
    <t>2021.4.14</t>
  </si>
  <si>
    <t>1.6m</t>
  </si>
  <si>
    <t>2021.6.7</t>
  </si>
  <si>
    <t>小箱梁模板</t>
  </si>
  <si>
    <t>30米梁（中梁）</t>
  </si>
  <si>
    <t>BZ-QL-L01</t>
  </si>
  <si>
    <t>2021.4.19</t>
  </si>
  <si>
    <t>京雄高速四工区（梁场）</t>
  </si>
  <si>
    <t>液压系统</t>
  </si>
  <si>
    <t>30米梁（2套中梁，2套边梁）</t>
  </si>
  <si>
    <t>2021.5.25-2021.6.9</t>
  </si>
  <si>
    <t>四套</t>
  </si>
  <si>
    <t>边梁（泵站/油管/电箱/油顶）</t>
  </si>
  <si>
    <t>2021.5.31</t>
  </si>
  <si>
    <t>中梁（泵站/油管/电箱/油顶）</t>
  </si>
  <si>
    <t>35米梁（4套中梁，2套边梁</t>
  </si>
  <si>
    <t>2021.6.11-2021.7.16</t>
  </si>
  <si>
    <t>六套</t>
  </si>
  <si>
    <t>盖梁侧模端模模板及盖梁底模模板</t>
  </si>
  <si>
    <t>4-QL-104</t>
  </si>
  <si>
    <t>北京奥宇模板公司</t>
  </si>
  <si>
    <t>2021.5.20-2021.10.9</t>
  </si>
  <si>
    <t>京雄高速四工区（标尾）</t>
  </si>
  <si>
    <t>墩身模板</t>
  </si>
  <si>
    <t>9#</t>
  </si>
  <si>
    <t>中铁第四勘察设计院</t>
  </si>
  <si>
    <t>方菱桥隧模架（福州）有限公司</t>
  </si>
  <si>
    <t>2018.6.12</t>
  </si>
  <si>
    <t>福厦一分部工地</t>
  </si>
  <si>
    <t>邹云鹏</t>
  </si>
  <si>
    <t>福厦一分部</t>
  </si>
  <si>
    <t>1#</t>
  </si>
  <si>
    <t>1#/2#</t>
  </si>
  <si>
    <t>2018.6.15</t>
  </si>
  <si>
    <t>2#</t>
  </si>
  <si>
    <t>2#/4#</t>
  </si>
  <si>
    <t>2018.6.17</t>
  </si>
  <si>
    <t>1-5#</t>
  </si>
  <si>
    <t>2018.7.13</t>
  </si>
  <si>
    <t>4-2#</t>
  </si>
  <si>
    <t>2018.7.31</t>
  </si>
  <si>
    <t>2018.8.3</t>
  </si>
  <si>
    <t>4#/19#</t>
  </si>
  <si>
    <t>2018.9.2</t>
  </si>
  <si>
    <t>2018.9.6</t>
  </si>
  <si>
    <t>2018.9.11</t>
  </si>
  <si>
    <t>19#</t>
  </si>
  <si>
    <t>2018.10.14</t>
  </si>
  <si>
    <t>2#/19#</t>
  </si>
  <si>
    <t>2018.10.17</t>
  </si>
  <si>
    <t>2#/5#</t>
  </si>
  <si>
    <t>2018.10.18</t>
  </si>
  <si>
    <t>21#</t>
  </si>
  <si>
    <t>2018.8.27</t>
  </si>
  <si>
    <t>2#/15#</t>
  </si>
  <si>
    <t>24#</t>
  </si>
  <si>
    <t>27#/28#7# /2-4#</t>
  </si>
  <si>
    <t>2018.12.02-12.28</t>
  </si>
  <si>
    <t>1-2#/1-3#/1-4#/26#/14#</t>
  </si>
  <si>
    <t>2018.12.07-12.17</t>
  </si>
  <si>
    <t>2-2#/2-3#/2-4#/17#</t>
  </si>
  <si>
    <t>2018.12.14-12.22</t>
  </si>
  <si>
    <t>2019.3.26</t>
  </si>
  <si>
    <t>王建</t>
  </si>
  <si>
    <t>1#/5#</t>
  </si>
  <si>
    <t>2019.4.1</t>
  </si>
  <si>
    <t>1-2#/1-3#/1-4#</t>
  </si>
  <si>
    <t>2019.3.20</t>
  </si>
  <si>
    <t>2-2#/2-3#/7#/13#</t>
  </si>
  <si>
    <t>2019.4.07-4.11</t>
  </si>
  <si>
    <t>9#/13#/22#</t>
  </si>
  <si>
    <t>2019.4.21-4.30</t>
  </si>
  <si>
    <t>1-5#/1-6#</t>
  </si>
  <si>
    <t>2019.5.30</t>
  </si>
  <si>
    <t>2-5#/31-1#/2-5#/1-5#/1-6#</t>
  </si>
  <si>
    <t>2019.8.21</t>
  </si>
  <si>
    <t>27#/28#/14#/12#</t>
  </si>
  <si>
    <t>9#/13#</t>
  </si>
  <si>
    <t>2019.10.20</t>
  </si>
  <si>
    <t>30#/31#-1</t>
  </si>
  <si>
    <t>24#/27#/28#</t>
  </si>
  <si>
    <t>30#/13#</t>
  </si>
  <si>
    <t>2019.11.21</t>
  </si>
  <si>
    <t>连续梁模板</t>
  </si>
  <si>
    <t>16#32+48+32连续梁/17#</t>
  </si>
  <si>
    <t>湖北潜江江汉环保有限公司</t>
  </si>
  <si>
    <t>2019.12.1-12.15</t>
  </si>
  <si>
    <t>25#-1/25#-2</t>
  </si>
  <si>
    <t>2020.1.15</t>
  </si>
  <si>
    <t>挂篮模板主构件</t>
  </si>
  <si>
    <t>40+64+40</t>
  </si>
  <si>
    <t>2020.05.20</t>
  </si>
  <si>
    <t>24-2#</t>
  </si>
  <si>
    <t>25-2#</t>
  </si>
  <si>
    <t>31#</t>
  </si>
  <si>
    <t>挂篮</t>
  </si>
  <si>
    <t>40+56+40</t>
  </si>
  <si>
    <t>2020.4.16-2020.5.15</t>
  </si>
  <si>
    <t>17-2#</t>
  </si>
  <si>
    <t>2020.6.20</t>
  </si>
  <si>
    <t>倒角模板</t>
  </si>
  <si>
    <t>23#</t>
  </si>
  <si>
    <t>31-1#</t>
  </si>
  <si>
    <t>1-7#</t>
  </si>
  <si>
    <t>1-8#</t>
  </si>
  <si>
    <t>8#</t>
  </si>
  <si>
    <t>4-3#</t>
  </si>
  <si>
    <t>16#</t>
  </si>
  <si>
    <t>2020.1.20</t>
  </si>
  <si>
    <t>17#</t>
  </si>
  <si>
    <t>25#-1</t>
  </si>
  <si>
    <t>25#-2</t>
  </si>
  <si>
    <t>27#-1</t>
  </si>
  <si>
    <t>（40+64+40）m</t>
  </si>
  <si>
    <t>2020.7.15</t>
  </si>
  <si>
    <t>1－7#</t>
  </si>
  <si>
    <t>2020.5.28－5.30</t>
  </si>
  <si>
    <t>2020.6.9－6.11</t>
  </si>
  <si>
    <t>11#</t>
  </si>
  <si>
    <t>2020.6.18－6.20</t>
  </si>
  <si>
    <t>20#</t>
  </si>
  <si>
    <t>5－2#</t>
  </si>
  <si>
    <t>2020.5.29－6.1</t>
  </si>
  <si>
    <t>1－8#模板</t>
  </si>
  <si>
    <t>2020.6.28－7.1</t>
  </si>
  <si>
    <t>11#模板</t>
  </si>
  <si>
    <t>2020.6.30－7.16</t>
  </si>
  <si>
    <t>22－2#模板</t>
  </si>
  <si>
    <t>2020.7.8－8.2</t>
  </si>
  <si>
    <t>31-1#模板</t>
  </si>
  <si>
    <t>2020.7.29－7.31</t>
  </si>
  <si>
    <t>2020.8.9</t>
  </si>
  <si>
    <t>2020.8.13</t>
  </si>
  <si>
    <t>2020.8.14</t>
  </si>
  <si>
    <t>唐晓东</t>
  </si>
  <si>
    <t>2020.8.16</t>
  </si>
  <si>
    <t>2020.9.25-2020.9.27</t>
  </si>
  <si>
    <t>2020.10.21-2020.11.08</t>
  </si>
  <si>
    <t>护坡拱形骨架模板</t>
  </si>
  <si>
    <t>2020.10.27-2020.10.29</t>
  </si>
  <si>
    <t>挂篮模板</t>
  </si>
  <si>
    <t>三角托架</t>
  </si>
  <si>
    <t>2020.4.16-2020.6.15</t>
  </si>
  <si>
    <t>（40+56+40）m</t>
  </si>
  <si>
    <t>2020.5.16-2020.8.15</t>
  </si>
  <si>
    <t>（70+125+70）m</t>
  </si>
  <si>
    <t>\</t>
  </si>
  <si>
    <t>文水县旭弘工程机械制造有限公司</t>
  </si>
  <si>
    <t>(40+72+40)m</t>
  </si>
  <si>
    <t>浙江兴土桥梁专用装备制造有限公司</t>
  </si>
  <si>
    <t>山东邦杰金属制品有限公司</t>
  </si>
  <si>
    <t>2020.11.11-2020.11.13</t>
  </si>
  <si>
    <t>门式墩30#模板</t>
  </si>
  <si>
    <t>2020.11.09-2020.12.06</t>
  </si>
  <si>
    <t>截水天沟钢模板</t>
  </si>
  <si>
    <t>2020.12.04-2020.12.06</t>
  </si>
  <si>
    <t>边墩三角托架</t>
  </si>
  <si>
    <t>32+48+32</t>
  </si>
  <si>
    <t>（40+72+40）m</t>
  </si>
  <si>
    <t>门式墩11#</t>
  </si>
  <si>
    <t>拱形截水骨架模板</t>
  </si>
  <si>
    <t>28#</t>
  </si>
  <si>
    <t>16#、19#</t>
  </si>
  <si>
    <t>27#、28#</t>
  </si>
  <si>
    <t>30-2#</t>
  </si>
  <si>
    <t>圆弧倒角</t>
  </si>
  <si>
    <t>三墙模板</t>
  </si>
  <si>
    <t>2021.7.8</t>
  </si>
  <si>
    <t>29#</t>
  </si>
  <si>
    <t>2021.11.22</t>
  </si>
  <si>
    <t>Q235</t>
  </si>
  <si>
    <t>2022.1.20</t>
  </si>
  <si>
    <t>空心方墩角模</t>
  </si>
  <si>
    <t>1500mm</t>
  </si>
  <si>
    <t>236mm</t>
  </si>
  <si>
    <t>圆柱模</t>
  </si>
  <si>
    <t>φ1500*3000mm</t>
  </si>
  <si>
    <t>φ1500*2000mm</t>
  </si>
  <si>
    <t>正交</t>
  </si>
  <si>
    <t>斜交</t>
  </si>
  <si>
    <t>φ1500mm</t>
  </si>
  <si>
    <t>中系梁模板</t>
  </si>
  <si>
    <t>φ1500*580mm</t>
  </si>
  <si>
    <t>唐山二环线调拨</t>
  </si>
  <si>
    <t>1500*1800</t>
  </si>
  <si>
    <t>北京市丰台区匝道桥项目部工地</t>
  </si>
  <si>
    <t>徐策</t>
  </si>
  <si>
    <t>丰台匝道桥项目部</t>
  </si>
  <si>
    <t>薄壁空心墩模板</t>
  </si>
  <si>
    <t>2.4m*5.5m</t>
  </si>
  <si>
    <t>2021.8.18</t>
  </si>
  <si>
    <t>盖梁托架</t>
  </si>
  <si>
    <t>2021.12.2</t>
  </si>
  <si>
    <t>薄壁空心墩盖梁模板</t>
  </si>
  <si>
    <t>2021.12.26</t>
  </si>
  <si>
    <t>T梁底模</t>
  </si>
  <si>
    <t xml:space="preserve">吨 </t>
  </si>
  <si>
    <t>山西腾驰金属材料有限公司</t>
  </si>
  <si>
    <t>2021.7.30</t>
  </si>
  <si>
    <t>2021.8.5</t>
  </si>
  <si>
    <t>2021.9.3</t>
  </si>
  <si>
    <t>2021.9.4</t>
  </si>
  <si>
    <t>2021.9.6</t>
  </si>
  <si>
    <t>2021.9.9</t>
  </si>
  <si>
    <t>2021.9.18</t>
  </si>
  <si>
    <t>变径钢棒</t>
  </si>
  <si>
    <t>根</t>
  </si>
  <si>
    <t>1#、3#</t>
  </si>
  <si>
    <t>2021.9.17</t>
  </si>
  <si>
    <t>3#</t>
  </si>
  <si>
    <t>3#、7#</t>
  </si>
  <si>
    <t>2021.9.25</t>
  </si>
  <si>
    <t>2#、7#、2A#、5#6#爬梯</t>
  </si>
  <si>
    <t>2021.9.29</t>
  </si>
  <si>
    <t>2#、2A、10#、</t>
  </si>
  <si>
    <t>2021.9.30</t>
  </si>
  <si>
    <t>4#</t>
  </si>
  <si>
    <t>2021.10.3</t>
  </si>
  <si>
    <t>4#、8#、9#、10#</t>
  </si>
  <si>
    <t>2021.10.4</t>
  </si>
  <si>
    <t>4#、5#、6#、8#、9#、</t>
  </si>
  <si>
    <t>2021.10.7</t>
  </si>
  <si>
    <t>2#、5#、6#、8#、9#、</t>
  </si>
  <si>
    <t>2021.10.11</t>
  </si>
  <si>
    <t>5#、6#、8#、9#、</t>
  </si>
  <si>
    <t>2021.10.12</t>
  </si>
  <si>
    <t>槽型梁墩</t>
  </si>
  <si>
    <t>槽型梁</t>
  </si>
  <si>
    <t>2021.10.21</t>
  </si>
  <si>
    <t>框架墩模板</t>
  </si>
  <si>
    <t>方柱M1</t>
  </si>
  <si>
    <t>方柱M1、M2</t>
  </si>
  <si>
    <t>方柱M2</t>
  </si>
  <si>
    <t>2021.10.24</t>
  </si>
  <si>
    <t>4A</t>
  </si>
  <si>
    <t>2022.01.08</t>
  </si>
  <si>
    <t>0#块模板</t>
  </si>
  <si>
    <t>74m</t>
  </si>
  <si>
    <t>BJS1XD-03-03-SS-QL-通020A</t>
  </si>
  <si>
    <t>铁三院</t>
  </si>
  <si>
    <t>北京奥宇</t>
  </si>
  <si>
    <t>中铁六局集团北京铁路建设有限公司北京市S1线西段工程03标项目部</t>
  </si>
  <si>
    <t>0#模板</t>
  </si>
  <si>
    <t>厂家设计</t>
  </si>
  <si>
    <t>详见图纸</t>
  </si>
  <si>
    <t>2019.3.18</t>
  </si>
  <si>
    <t>60+64+40</t>
  </si>
  <si>
    <t>2019.6.7</t>
  </si>
  <si>
    <t>各型</t>
  </si>
  <si>
    <t>河北博汇桥梁模板有限公司</t>
  </si>
  <si>
    <t>合拢段挂篮</t>
  </si>
  <si>
    <t>合拢段挂篮行走系统</t>
  </si>
  <si>
    <t>移动模（支）架</t>
  </si>
  <si>
    <t>二</t>
  </si>
  <si>
    <t>型钢类</t>
  </si>
  <si>
    <t>型钢</t>
  </si>
  <si>
    <t>钢板</t>
  </si>
  <si>
    <t>中铁五院</t>
  </si>
  <si>
    <t>廊坊工地</t>
  </si>
  <si>
    <t>翟云淳</t>
  </si>
  <si>
    <t>廊坊艺术大道</t>
  </si>
  <si>
    <t>已切割</t>
  </si>
  <si>
    <r>
      <rPr>
        <sz val="10"/>
        <rFont val="宋体"/>
        <family val="3"/>
        <charset val="134"/>
      </rPr>
      <t>1</t>
    </r>
    <r>
      <rPr>
        <sz val="10"/>
        <rFont val="宋体"/>
        <family val="3"/>
        <charset val="134"/>
      </rPr>
      <t>.5*1.6m</t>
    </r>
  </si>
  <si>
    <t>京张隧道项目部调拨</t>
  </si>
  <si>
    <t>1.2*1.4m</t>
  </si>
  <si>
    <t>宣左公路项目部调拨</t>
  </si>
  <si>
    <r>
      <rPr>
        <sz val="10"/>
        <rFont val="宋体"/>
        <family val="3"/>
        <charset val="134"/>
      </rPr>
      <t>2</t>
    </r>
    <r>
      <rPr>
        <sz val="10"/>
        <rFont val="宋体"/>
        <family val="3"/>
        <charset val="134"/>
      </rPr>
      <t>018.12</t>
    </r>
  </si>
  <si>
    <r>
      <rPr>
        <sz val="10"/>
        <rFont val="宋体"/>
        <family val="3"/>
        <charset val="134"/>
      </rPr>
      <t>φ1</t>
    </r>
    <r>
      <rPr>
        <sz val="10"/>
        <rFont val="宋体"/>
        <family val="3"/>
        <charset val="134"/>
      </rPr>
      <t>.6m</t>
    </r>
  </si>
  <si>
    <t>工字钢</t>
  </si>
  <si>
    <t>18#×9m</t>
  </si>
  <si>
    <t>28</t>
  </si>
  <si>
    <t>45b#×6m</t>
  </si>
  <si>
    <t>9</t>
  </si>
  <si>
    <t>56b#</t>
  </si>
  <si>
    <t>84</t>
  </si>
  <si>
    <t>20#×9m</t>
  </si>
  <si>
    <t>8</t>
  </si>
  <si>
    <t>代建京张一分部调拨</t>
  </si>
  <si>
    <t>16#×9m</t>
  </si>
  <si>
    <t>2</t>
  </si>
  <si>
    <t>18#×5.9m</t>
  </si>
  <si>
    <t>5</t>
  </si>
  <si>
    <t>18#×4.5m</t>
  </si>
  <si>
    <t>32#×4.6m</t>
  </si>
  <si>
    <t>1</t>
  </si>
  <si>
    <t>30#×6.2m</t>
  </si>
  <si>
    <t>40#×12m</t>
  </si>
  <si>
    <t>56#×12m</t>
  </si>
  <si>
    <t>10#×6m</t>
  </si>
  <si>
    <t>17</t>
  </si>
  <si>
    <t>星火项目部调拨</t>
  </si>
  <si>
    <t>40b#</t>
  </si>
  <si>
    <t>丰台站改项目部调拨</t>
  </si>
  <si>
    <t>津兴胜芳项目部</t>
  </si>
  <si>
    <t>30.6</t>
  </si>
  <si>
    <t>25#</t>
  </si>
  <si>
    <t>46.7</t>
  </si>
  <si>
    <t>32#</t>
  </si>
  <si>
    <t>35.3</t>
  </si>
  <si>
    <t>45#a</t>
  </si>
  <si>
    <t>16.2</t>
  </si>
  <si>
    <t>H型钢400*400</t>
  </si>
  <si>
    <t>12.6米</t>
  </si>
  <si>
    <t>中铁六局集团丰台站改建项目部</t>
  </si>
  <si>
    <t>京张隧道项目部</t>
  </si>
  <si>
    <t>12*2.24*0.02</t>
  </si>
  <si>
    <t>中铁六局集团北京铁路建设有限公司代建京张铁路站前工程一分部</t>
  </si>
  <si>
    <t>2020.7.2</t>
  </si>
  <si>
    <t>9.76*2.19*0.02</t>
  </si>
  <si>
    <t>5.36*2.19*0.02</t>
  </si>
  <si>
    <t>10*2.19*0.02</t>
  </si>
  <si>
    <t>3*2*0.02</t>
  </si>
  <si>
    <t>4.8*2*0.02</t>
  </si>
  <si>
    <t>4.4*2*0.02</t>
  </si>
  <si>
    <t>4.5*2*0.02</t>
  </si>
  <si>
    <t>5.6*2*0.02</t>
  </si>
  <si>
    <t>4.2*2*0.02</t>
  </si>
  <si>
    <t>6*2*0.02</t>
  </si>
  <si>
    <t>16*12m</t>
  </si>
  <si>
    <t>北京京狮伟业钢材有限公司</t>
  </si>
  <si>
    <t>现场工地</t>
  </si>
  <si>
    <t>14*6m</t>
  </si>
  <si>
    <t>56a*12m</t>
  </si>
  <si>
    <t>14# （6米一根）</t>
  </si>
  <si>
    <t>北京明山祥兴商贸有限公司</t>
  </si>
  <si>
    <t>丰台站改建工程四合庄工地</t>
  </si>
  <si>
    <t>14#工字钢</t>
  </si>
  <si>
    <t>3米/根</t>
  </si>
  <si>
    <t>3.8米/根</t>
  </si>
  <si>
    <t>4米/根</t>
  </si>
  <si>
    <t>4.5米/根</t>
  </si>
  <si>
    <t>5米/根</t>
  </si>
  <si>
    <t>6米/根</t>
  </si>
  <si>
    <t>6.5米/根</t>
  </si>
  <si>
    <t>9米/根</t>
  </si>
  <si>
    <t>槽钢</t>
  </si>
  <si>
    <t>14*9</t>
  </si>
  <si>
    <t>盐山县中诚盛乾商贸有限公司</t>
  </si>
  <si>
    <t>H型钢</t>
  </si>
  <si>
    <t>400*400</t>
  </si>
  <si>
    <t>32B</t>
  </si>
  <si>
    <t>25B</t>
  </si>
  <si>
    <t>20B</t>
  </si>
  <si>
    <t>12#</t>
  </si>
  <si>
    <t>1.51mx5mx6mm</t>
  </si>
  <si>
    <t>张</t>
  </si>
  <si>
    <t>北京正顺通达商贸中心/山东百得利建筑材料有限公司</t>
  </si>
  <si>
    <t>25cm*10cm*5mm</t>
  </si>
  <si>
    <t>天津市南开区正瑞丰达五金销售中心</t>
  </si>
  <si>
    <t>1.52m*3m*10mm</t>
  </si>
  <si>
    <t>邯郸市普照紧固件销售有限公司</t>
  </si>
  <si>
    <t>Q235B1.55*6</t>
  </si>
  <si>
    <t>沧州市铭磊商贸有限公司</t>
  </si>
  <si>
    <t>20mm*6m*2m Q235B</t>
  </si>
  <si>
    <t>直缝焊管</t>
  </si>
  <si>
    <t>630mm*10mm*12m Q235B</t>
  </si>
  <si>
    <t>45A Q235B</t>
  </si>
  <si>
    <t>45B Q235B</t>
  </si>
  <si>
    <t>角钢</t>
  </si>
  <si>
    <t>80*80*8 Q235B</t>
  </si>
  <si>
    <t>5# Q235B</t>
  </si>
  <si>
    <t>8# Q235B</t>
  </si>
  <si>
    <t>宽2.27m、长5.9m、厚2cm</t>
  </si>
  <si>
    <t>护筒</t>
  </si>
  <si>
    <t>直径1.6m、壁厚1cm、长5.2m</t>
  </si>
  <si>
    <t>江阴大桥（北京）工程有限公司</t>
  </si>
  <si>
    <t>钢棒丝杆</t>
  </si>
  <si>
    <t>φ90mm×3m</t>
  </si>
  <si>
    <t>天津市南开区万佳昌达五金销售中心</t>
  </si>
  <si>
    <t>φ100mm×2.4m</t>
  </si>
  <si>
    <t>φ100mm×2.9m</t>
  </si>
  <si>
    <t>牛腿</t>
  </si>
  <si>
    <t>650mm</t>
  </si>
  <si>
    <t>螺母</t>
  </si>
  <si>
    <t>φ90mm</t>
  </si>
  <si>
    <t>φ100mm</t>
  </si>
  <si>
    <t>垫片</t>
  </si>
  <si>
    <t>150×150mm</t>
  </si>
  <si>
    <t>钢管（焊管）</t>
  </si>
  <si>
    <t>外径48mm 壁厚3.5mm长6m</t>
  </si>
  <si>
    <t>北京自然居商贸有限公司</t>
  </si>
  <si>
    <t>2020.3.15</t>
  </si>
  <si>
    <t>36b*12m</t>
  </si>
  <si>
    <t>25B*12m</t>
  </si>
  <si>
    <t>12#*6m</t>
  </si>
  <si>
    <t>2018.4.12</t>
  </si>
  <si>
    <t>25b*12m</t>
  </si>
  <si>
    <t>56B*12m</t>
  </si>
  <si>
    <t>40B*12m</t>
  </si>
  <si>
    <t>2018.4.18</t>
  </si>
  <si>
    <t>2019.11.20</t>
  </si>
  <si>
    <t>2019.12.12</t>
  </si>
  <si>
    <t>螺旋管(钢管柱)</t>
  </si>
  <si>
    <t>外径400mm*8mm</t>
  </si>
  <si>
    <t>外径1400mm*18mm</t>
  </si>
  <si>
    <t>外径720mm*14mm</t>
  </si>
  <si>
    <t>外径426mm*10mm</t>
  </si>
  <si>
    <t>可拆装泥浆池模板</t>
  </si>
  <si>
    <t>10.2m*4.8m*2m</t>
  </si>
  <si>
    <t>云南益龙建材有限公司</t>
  </si>
  <si>
    <t>2020.4.21</t>
  </si>
  <si>
    <t>20A*12</t>
  </si>
  <si>
    <t>厦门市晋汇富贸易有限公司</t>
  </si>
  <si>
    <t>20A*9</t>
  </si>
  <si>
    <t>400*200*12米</t>
  </si>
  <si>
    <t>488*300*12米</t>
  </si>
  <si>
    <t>25B*12米</t>
  </si>
  <si>
    <t>2020.5.18</t>
  </si>
  <si>
    <t>30A*12米</t>
  </si>
  <si>
    <t>20A*12米</t>
  </si>
  <si>
    <t>40B*12米</t>
  </si>
  <si>
    <t>36A*12米</t>
  </si>
  <si>
    <t>25A*12米</t>
  </si>
  <si>
    <t>16A*12米</t>
  </si>
  <si>
    <t>32A*12米</t>
  </si>
  <si>
    <t>10*6米</t>
  </si>
  <si>
    <t>精轧螺纹</t>
  </si>
  <si>
    <t>PSB 32*12.03米</t>
  </si>
  <si>
    <t>16A*6米</t>
  </si>
  <si>
    <t>焊管</t>
  </si>
  <si>
    <t>48*3.5*6米</t>
  </si>
  <si>
    <t>2020.7.31</t>
  </si>
  <si>
    <t>50*50*4.0*6米</t>
  </si>
  <si>
    <t>1.5*3.5*6米</t>
  </si>
  <si>
    <t>48*3.5*6米(1.5寸）</t>
  </si>
  <si>
    <t>75*6*6米</t>
  </si>
  <si>
    <t>50*5*6米</t>
  </si>
  <si>
    <t>36B*12米</t>
  </si>
  <si>
    <t>18A*12米</t>
  </si>
  <si>
    <t>12A*6米</t>
  </si>
  <si>
    <t>2020.6.20-2020.7.15</t>
  </si>
  <si>
    <t>12*6米</t>
  </si>
  <si>
    <t>1.0寸*2.75*6米</t>
  </si>
  <si>
    <t>1.5寸*3.5*6米</t>
  </si>
  <si>
    <t>PSB 25*12.03米</t>
  </si>
  <si>
    <t>50*4*6米</t>
  </si>
  <si>
    <t>33*3.25*6米(1.0寸）</t>
  </si>
  <si>
    <t>PSB 32*12米</t>
  </si>
  <si>
    <t>2020.7.16-2020.9.15</t>
  </si>
  <si>
    <t>45B*12m</t>
  </si>
  <si>
    <t>16A#*9m</t>
  </si>
  <si>
    <t>钢护筒</t>
  </si>
  <si>
    <t>8-12mm厚</t>
  </si>
  <si>
    <t>厦门旺楷闳工贸有限公司</t>
  </si>
  <si>
    <t>1.8m×6m</t>
  </si>
  <si>
    <t>泉州市协万机电设备有限公司</t>
  </si>
  <si>
    <t>1.8m×4m×1.2</t>
  </si>
  <si>
    <t>泥浆池</t>
  </si>
  <si>
    <t>10.2*4.8*2</t>
  </si>
  <si>
    <t>厦门旺和祥建筑工程有限公司</t>
  </si>
  <si>
    <t>2.2*2.2*6*2</t>
  </si>
  <si>
    <t>2.2*2.2*6</t>
  </si>
  <si>
    <t>分体10.2*4.8*2.5</t>
  </si>
  <si>
    <t>2020.9.15-2020.10.25</t>
  </si>
  <si>
    <t>6*4.8*2.5沉渣池改制</t>
  </si>
  <si>
    <t>整体式（8*3*2）</t>
  </si>
  <si>
    <t>拼装式（10.2*4.8*2）Ⅰ型</t>
  </si>
  <si>
    <t>2019.8.3-9.18</t>
  </si>
  <si>
    <t>2020.7.16-2020.8.15</t>
  </si>
  <si>
    <t>2018.8.13</t>
  </si>
  <si>
    <t>分体（10.2*4.8*2.5）</t>
  </si>
  <si>
    <t>2018.8.20</t>
  </si>
  <si>
    <t>10.2*4.8双面钢板</t>
  </si>
  <si>
    <t>2019.4.10</t>
  </si>
  <si>
    <t>水泥罐</t>
  </si>
  <si>
    <t>150T</t>
  </si>
  <si>
    <t>青岛瑞玛机械设备安装有限公司</t>
  </si>
  <si>
    <t>钢管柱（螺旋管）</t>
  </si>
  <si>
    <t>1420mm* 壁厚10mm*12m</t>
  </si>
  <si>
    <t>厦门鸿进福贸易有限公司</t>
  </si>
  <si>
    <t>精轧螺纹钢</t>
  </si>
  <si>
    <t>φ25*12m</t>
  </si>
  <si>
    <t>φ32*12m</t>
  </si>
  <si>
    <t>48*3.5mm，6m/根</t>
  </si>
  <si>
    <t>14#，12m/根</t>
  </si>
  <si>
    <t>20a，12m/根</t>
  </si>
  <si>
    <t>18a，6m/根</t>
  </si>
  <si>
    <t>角铁</t>
  </si>
  <si>
    <t>75mm*75mm*5mm，6m/根</t>
  </si>
  <si>
    <t>50mm*50mm*4mm，6m/根</t>
  </si>
  <si>
    <t>50*4*6m</t>
  </si>
  <si>
    <t>2019.7.14</t>
  </si>
  <si>
    <t>20A*12m</t>
  </si>
  <si>
    <t>48mm*3.5mm*6m</t>
  </si>
  <si>
    <t>33.5mm*2.75mm*6m</t>
  </si>
  <si>
    <t>25b*12m*12支</t>
  </si>
  <si>
    <t>40b*12m*8支</t>
  </si>
  <si>
    <t>25b*12m*40支</t>
  </si>
  <si>
    <t>三脚架连接件</t>
  </si>
  <si>
    <t>角钢200*100*10</t>
  </si>
  <si>
    <t>高强螺栓</t>
  </si>
  <si>
    <t>70*16</t>
  </si>
  <si>
    <t>2019.1.13</t>
  </si>
  <si>
    <t>三脚架脚踏板</t>
  </si>
  <si>
    <t>800*50</t>
  </si>
  <si>
    <t>镀锌溜槽</t>
  </si>
  <si>
    <t>4000*4000*20</t>
  </si>
  <si>
    <t>三脚架</t>
  </si>
  <si>
    <t>10#槽钢焊接</t>
  </si>
  <si>
    <t>2019.1.17</t>
  </si>
  <si>
    <t>钢筋定位卡具</t>
  </si>
  <si>
    <t>6.5m*3.5m*2mm 8节</t>
  </si>
  <si>
    <t>内径1.25m，外径1.33mm，壁厚20mm，连接壁厚40mm。</t>
  </si>
  <si>
    <t>北京正亚泰世纪商贸有限责任公司</t>
  </si>
  <si>
    <t>钢管</t>
  </si>
  <si>
    <t>外径48mm 壁厚3.5mm 长6m</t>
  </si>
  <si>
    <t>14A#*9m</t>
  </si>
  <si>
    <t>10#*6m</t>
  </si>
  <si>
    <t>36B*12m</t>
  </si>
  <si>
    <t>上饶市星亮实业有限公司</t>
  </si>
  <si>
    <t>225*600*3cm</t>
  </si>
  <si>
    <t>中建材大宗物联有限公司</t>
  </si>
  <si>
    <t>驼房营料场</t>
  </si>
  <si>
    <t>杨志超</t>
  </si>
  <si>
    <t>星火项目部</t>
  </si>
  <si>
    <t>中厚钢板</t>
  </si>
  <si>
    <t>Q235 2cm*2.2m</t>
  </si>
  <si>
    <t>天津市永顺达钢材销售有限公司</t>
  </si>
  <si>
    <t>Q235 厚20cm 宽2.2m</t>
  </si>
  <si>
    <t>天津市兴鸿建材销售有限公司</t>
  </si>
  <si>
    <t>2.2m*6m*20mm*6块</t>
  </si>
  <si>
    <t>1500mm*6000mm*4mm厚</t>
  </si>
  <si>
    <t>天津广旭科技有限公司</t>
  </si>
  <si>
    <t>2021.3.24-2021.5.20</t>
  </si>
  <si>
    <t>10b*6000mm</t>
  </si>
  <si>
    <t>14b*6000mm</t>
  </si>
  <si>
    <t>6.3*6000m</t>
  </si>
  <si>
    <t>宽10cm,高4.7cm,厚4.5mm,6m/根</t>
  </si>
  <si>
    <t>7.5cm**6*6000mm</t>
  </si>
  <si>
    <t>16a*9m</t>
  </si>
  <si>
    <t>2020.5.2-2021.5.20</t>
  </si>
  <si>
    <t>20a*9m</t>
  </si>
  <si>
    <t>25*12m</t>
  </si>
  <si>
    <t>32b*6m</t>
  </si>
  <si>
    <t>16a*6m</t>
  </si>
  <si>
    <t>20a*12m</t>
  </si>
  <si>
    <t>20b*12m</t>
  </si>
  <si>
    <t>20b*9m</t>
  </si>
  <si>
    <t>16a*12m</t>
  </si>
  <si>
    <t>10*6m</t>
  </si>
  <si>
    <t>天津市和畅商贸有限公司</t>
  </si>
  <si>
    <t>2021.5.18-2021.5.20</t>
  </si>
  <si>
    <t>6b*6000mm</t>
  </si>
  <si>
    <t>14a，12m</t>
  </si>
  <si>
    <t>2000*4000*5mm</t>
  </si>
  <si>
    <t>16B*6m</t>
  </si>
  <si>
    <t>北京宏业盛泰钢铁物资有限公司</t>
  </si>
  <si>
    <t>2021.6.16-2021.6.20</t>
  </si>
  <si>
    <t>Ф48mm,壁厚3mm,6m/根</t>
  </si>
  <si>
    <t>PSB830φ25mm，6m/根</t>
  </si>
  <si>
    <t>北京明杰伟业商贸有限公司</t>
  </si>
  <si>
    <t>PSB930φ25mm，6.3m/根</t>
  </si>
  <si>
    <t>平螺母</t>
  </si>
  <si>
    <t>M25，50*60</t>
  </si>
  <si>
    <t>M25，20*120*120</t>
  </si>
  <si>
    <t>螺旋筋</t>
  </si>
  <si>
    <t>M25，10*110*6*45</t>
  </si>
  <si>
    <t>锥螺母</t>
  </si>
  <si>
    <t>连接器</t>
  </si>
  <si>
    <t>M25</t>
  </si>
  <si>
    <t>φ10圆钢，螺径180mm，螺距100mm，5个螺距</t>
  </si>
  <si>
    <t>φ10圆钢，螺径190mm，螺距100mm，5个螺距</t>
  </si>
  <si>
    <t>φ10圆钢，螺径240mm，螺距100mm，5个螺距</t>
  </si>
  <si>
    <t>圆钢</t>
  </si>
  <si>
    <t>HPB300φ16mm</t>
  </si>
  <si>
    <t>廊坊市坤平建筑材料有限公司</t>
  </si>
  <si>
    <t>螺栓</t>
  </si>
  <si>
    <t>M20，15cm/根，两端配单螺母</t>
  </si>
  <si>
    <t>M32平螺母</t>
  </si>
  <si>
    <t>40*60*72</t>
  </si>
  <si>
    <t>M32锥螺母</t>
  </si>
  <si>
    <t>M32平垫片</t>
  </si>
  <si>
    <t>140*140*20</t>
  </si>
  <si>
    <t>M32锥垫片</t>
  </si>
  <si>
    <t>M3螺旋筋</t>
  </si>
  <si>
    <t>12*160*6*45</t>
  </si>
  <si>
    <t>φ25mm*9</t>
  </si>
  <si>
    <t>φ25mm</t>
  </si>
  <si>
    <t>平垫片</t>
  </si>
  <si>
    <t>120*120*20</t>
  </si>
  <si>
    <t>锥垫片</t>
  </si>
  <si>
    <t>10*110*6*45</t>
  </si>
  <si>
    <t>转轴卡子</t>
  </si>
  <si>
    <t>河北淮文商贸有限公司</t>
  </si>
  <si>
    <t>顶托</t>
  </si>
  <si>
    <t>M36M</t>
  </si>
  <si>
    <t>2.3m*6m*2cm</t>
  </si>
  <si>
    <t>山西奇沃达建筑材料有限公司</t>
  </si>
  <si>
    <t>胜芳站</t>
  </si>
  <si>
    <t>Q235B 25B*12m</t>
  </si>
  <si>
    <t>56B Q235B</t>
  </si>
  <si>
    <t>22# Q235B</t>
  </si>
  <si>
    <t>75*6*6米 Q235B</t>
  </si>
  <si>
    <t>12#*6米</t>
  </si>
  <si>
    <t>56A Q235B</t>
  </si>
  <si>
    <t>厚 10mm</t>
  </si>
  <si>
    <t>壁厚12mm,直径1.2m,长12m</t>
  </si>
  <si>
    <t>壁厚12mm,直径1.4m,长12m</t>
  </si>
  <si>
    <t>30B*12M</t>
  </si>
  <si>
    <t>36B*12</t>
  </si>
  <si>
    <t>20B*9M</t>
  </si>
  <si>
    <t>14B*6M</t>
  </si>
  <si>
    <t>10#*6M</t>
  </si>
  <si>
    <t>14#*6M</t>
  </si>
  <si>
    <t>14#*9M</t>
  </si>
  <si>
    <t>20#,6米/根</t>
  </si>
  <si>
    <t>14#,6米/根</t>
  </si>
  <si>
    <t>16#,6米一根</t>
  </si>
  <si>
    <t>45B</t>
  </si>
  <si>
    <t>100*100*10mm6米/根</t>
  </si>
  <si>
    <t>30cm*30cm*2cm</t>
  </si>
  <si>
    <t>1m*1m*2mm，（按尺寸加工）</t>
  </si>
  <si>
    <t>1.5米*3米*5mm</t>
  </si>
  <si>
    <t>16m*1m*1cm</t>
  </si>
  <si>
    <t>10#，6米</t>
  </si>
  <si>
    <t>16#，6米</t>
  </si>
  <si>
    <t>20B，9米</t>
  </si>
  <si>
    <t>花纹板</t>
  </si>
  <si>
    <t>厚3mm，宽1.51m，长4米</t>
  </si>
  <si>
    <t>20mm*100cm*100cm</t>
  </si>
  <si>
    <t>1.51m*4m*3mm</t>
  </si>
  <si>
    <t>6m*1.51m*6mm</t>
  </si>
  <si>
    <t>8#*6m</t>
  </si>
  <si>
    <t>100cm*230cm*10mm</t>
  </si>
  <si>
    <t>1200mm*500mm*20mm</t>
  </si>
  <si>
    <t>700mm*500mm*20mm</t>
  </si>
  <si>
    <t>800mm*950mm*20mm</t>
  </si>
  <si>
    <t>400mm*240mm*10mm</t>
  </si>
  <si>
    <t>厚度20mm</t>
  </si>
  <si>
    <t>5mm</t>
  </si>
  <si>
    <t>㎡</t>
  </si>
  <si>
    <t>2.61</t>
  </si>
  <si>
    <t>钢轨</t>
  </si>
  <si>
    <t>43KG</t>
  </si>
  <si>
    <t>北京鲁兴伟业商贸有限公司</t>
  </si>
  <si>
    <t>鱼尾板</t>
  </si>
  <si>
    <t>43*12.5</t>
  </si>
  <si>
    <t>包钢</t>
  </si>
  <si>
    <t>双桥库</t>
  </si>
  <si>
    <t>路桥工程项目部</t>
  </si>
  <si>
    <t>50*6-12.5</t>
  </si>
  <si>
    <t>再用钢轨</t>
  </si>
  <si>
    <t>P43*6.25m带孔</t>
  </si>
  <si>
    <t>中国铁路设计集团有限公司</t>
  </si>
  <si>
    <t>滦县秀平物资经销处</t>
  </si>
  <si>
    <t>北京市大兴区</t>
  </si>
  <si>
    <t>臧学斌</t>
  </si>
  <si>
    <t>新建城际铁路联络线项目部</t>
  </si>
  <si>
    <t>台车用</t>
  </si>
  <si>
    <t>50型（每根6米）</t>
  </si>
  <si>
    <t>第四设计院</t>
  </si>
  <si>
    <t>福建省闽清聚隆路桥设备有限公司</t>
  </si>
  <si>
    <t>福建省政和县熊城拌合站</t>
  </si>
  <si>
    <t>王立虎</t>
  </si>
  <si>
    <t>衢宁项目部</t>
  </si>
  <si>
    <t>P60</t>
  </si>
  <si>
    <t>河北翼辰实业集团股份有限公司</t>
  </si>
  <si>
    <t>昌平库房</t>
  </si>
  <si>
    <t>宋文杰</t>
  </si>
  <si>
    <t>京张线路项目部</t>
  </si>
  <si>
    <t>丰台项目部借用</t>
  </si>
  <si>
    <t>林州市工务铁路器材制造有限公司</t>
  </si>
  <si>
    <t>大扣板</t>
  </si>
  <si>
    <t>安徽金星预应力工程技术有限公司</t>
  </si>
  <si>
    <t>甲供材料33.8元/套</t>
  </si>
  <si>
    <t>小扣板</t>
  </si>
  <si>
    <t>胶垫</t>
  </si>
  <si>
    <t>尼龙挡板座</t>
  </si>
  <si>
    <t>平垫</t>
  </si>
  <si>
    <t>螺旋道钉</t>
  </si>
  <si>
    <t>弹条</t>
  </si>
  <si>
    <t>护轨扣板</t>
  </si>
  <si>
    <t>P50</t>
  </si>
  <si>
    <t>护轨弹垫</t>
  </si>
  <si>
    <t>护轨螺母</t>
  </si>
  <si>
    <t>护轨平垫</t>
  </si>
  <si>
    <t>螺纹道钉</t>
  </si>
  <si>
    <t>护轨胶垫</t>
  </si>
  <si>
    <t>轨矩挡块</t>
  </si>
  <si>
    <t>6#</t>
  </si>
  <si>
    <t>房山青龙湖库房</t>
  </si>
  <si>
    <t>平垫圈</t>
  </si>
  <si>
    <t>胶带</t>
  </si>
  <si>
    <t>接头螺栓</t>
  </si>
  <si>
    <t>条</t>
  </si>
  <si>
    <t>60kg</t>
  </si>
  <si>
    <t>滑床板</t>
  </si>
  <si>
    <t>枕木道钉螺母</t>
  </si>
  <si>
    <t>枕木螺栓</t>
  </si>
  <si>
    <t>轨距挡板</t>
  </si>
  <si>
    <t>4-6#</t>
  </si>
  <si>
    <t>8-10#</t>
  </si>
  <si>
    <t>枕木胶垫</t>
  </si>
  <si>
    <t>190*150</t>
  </si>
  <si>
    <t>道岔胶垫</t>
  </si>
  <si>
    <t>190*145</t>
  </si>
  <si>
    <t>尼龙后座</t>
  </si>
  <si>
    <t>0-6#</t>
  </si>
  <si>
    <t>185*149*3</t>
  </si>
  <si>
    <t>185*149*4</t>
  </si>
  <si>
    <t>185*149*5</t>
  </si>
  <si>
    <t>185*149*2</t>
  </si>
  <si>
    <t>185*149*7</t>
  </si>
  <si>
    <t>轨距挡板底座</t>
  </si>
  <si>
    <t>5-2#</t>
  </si>
  <si>
    <t>5-8#</t>
  </si>
  <si>
    <t>5-7#</t>
  </si>
  <si>
    <t>5-5#</t>
  </si>
  <si>
    <t>5-3#</t>
  </si>
  <si>
    <t>道岔轨距扣铁</t>
  </si>
  <si>
    <t>9-11#</t>
  </si>
  <si>
    <t>线路轨距挡板</t>
  </si>
  <si>
    <t>5-4#</t>
  </si>
  <si>
    <t>5-6#</t>
  </si>
  <si>
    <t>13-15#</t>
  </si>
  <si>
    <t>7-17#</t>
  </si>
  <si>
    <t>185*150*10</t>
  </si>
  <si>
    <t>190*150*5</t>
  </si>
  <si>
    <t>绝缘轨距块</t>
  </si>
  <si>
    <t>轨排</t>
  </si>
  <si>
    <t>北京铁五院工程机械有限公司</t>
  </si>
  <si>
    <t>京唐项目部调拨</t>
  </si>
  <si>
    <t>丰台站改项目部</t>
  </si>
  <si>
    <t>顶铁</t>
  </si>
  <si>
    <t>横梁</t>
  </si>
  <si>
    <t>钢腰梁</t>
  </si>
  <si>
    <t>工28b*12</t>
  </si>
  <si>
    <t>京枢丰台施桥支护～2</t>
  </si>
  <si>
    <t>中铁六局集团有限工程设计院</t>
  </si>
  <si>
    <t>锚杆台座</t>
  </si>
  <si>
    <t>15º</t>
  </si>
  <si>
    <t>京枢丰台施桥支护～4</t>
  </si>
  <si>
    <t>2018.7-2018.9</t>
  </si>
  <si>
    <t>钢腰梁支架</t>
  </si>
  <si>
    <t>1100*16</t>
  </si>
  <si>
    <t>京枢丰台施桥支护～5</t>
  </si>
  <si>
    <t>28b*12</t>
  </si>
  <si>
    <t>京枢丰台施桥支护～8</t>
  </si>
  <si>
    <t>钢缀板</t>
  </si>
  <si>
    <t>458*150*12</t>
  </si>
  <si>
    <t>京枢丰台施桥支护～9</t>
  </si>
  <si>
    <t>1100*16*313*460</t>
  </si>
  <si>
    <t>京枢丰台施桥支护～10</t>
  </si>
  <si>
    <t>助板</t>
  </si>
  <si>
    <t>254*54*45</t>
  </si>
  <si>
    <t>京枢丰台施桥支护～11</t>
  </si>
  <si>
    <t>15度角</t>
  </si>
  <si>
    <t>京枢丰台施桥支护～12</t>
  </si>
  <si>
    <t>三</t>
  </si>
  <si>
    <t>支架类</t>
  </si>
  <si>
    <t>盘扣式脚手架</t>
  </si>
  <si>
    <t>脚手管</t>
  </si>
  <si>
    <t>直径48mm</t>
  </si>
  <si>
    <t>天津科莱特有限公司</t>
  </si>
  <si>
    <t>架子管</t>
  </si>
  <si>
    <t>48  6米一根</t>
  </si>
  <si>
    <t>北京明山祥兴商贸有限公司/北京辉煌腾锦商贸中心/山东百得利建筑材料有限/邯郸市普照紧固件销售有限公司</t>
  </si>
  <si>
    <t>安全笼梯</t>
  </si>
  <si>
    <t>3m*2m*2m</t>
  </si>
  <si>
    <t>开平市健利脚手架有限公司</t>
  </si>
  <si>
    <t>2020.12.16-2021.2.15</t>
  </si>
  <si>
    <t>扬州宏建工程材料有限公司</t>
  </si>
  <si>
    <t>2018.10.1</t>
  </si>
  <si>
    <t>HJP322-F</t>
  </si>
  <si>
    <t>φ3.0mm</t>
  </si>
  <si>
    <t>架子管接卡</t>
  </si>
  <si>
    <t>十字卡扣</t>
  </si>
  <si>
    <t>转卡</t>
  </si>
  <si>
    <t>6m/根</t>
  </si>
  <si>
    <t>京张桥梁项目部</t>
  </si>
  <si>
    <t>3m/根</t>
  </si>
  <si>
    <t>清河火车站专用匝道建设工程项目经理部</t>
  </si>
  <si>
    <t>直径φ48mm，壁厚2.5mm</t>
  </si>
  <si>
    <t>托盘</t>
  </si>
  <si>
    <t>大</t>
  </si>
  <si>
    <t>6M</t>
  </si>
  <si>
    <t>2M</t>
  </si>
  <si>
    <t>十字卡</t>
  </si>
  <si>
    <t>-</t>
  </si>
  <si>
    <t>接头</t>
  </si>
  <si>
    <t>接头卡子</t>
  </si>
  <si>
    <t>十字卡子</t>
  </si>
  <si>
    <t>梯笼</t>
  </si>
  <si>
    <t>张家口吉永商贸有限公司</t>
  </si>
  <si>
    <t>贝雷梁</t>
  </si>
  <si>
    <t>贝雷片</t>
  </si>
  <si>
    <t>钢支撑</t>
  </si>
  <si>
    <t>活络端</t>
  </si>
  <si>
    <t>609*16*1450</t>
  </si>
  <si>
    <t>长安街西延丰沙线项目部调拨</t>
  </si>
  <si>
    <t>609*16*6000</t>
  </si>
  <si>
    <t>609*16*1000</t>
  </si>
  <si>
    <t>609*16*1500</t>
  </si>
  <si>
    <t>609*16*2000</t>
  </si>
  <si>
    <t>609*16*3000</t>
  </si>
  <si>
    <t>固定端</t>
  </si>
  <si>
    <t>609*16*300</t>
  </si>
  <si>
    <t>609*16*500</t>
  </si>
  <si>
    <t>609*16*200</t>
  </si>
  <si>
    <t>609*16*100</t>
  </si>
  <si>
    <t>钢围檩</t>
  </si>
  <si>
    <t>700*400</t>
  </si>
  <si>
    <t>600*400</t>
  </si>
  <si>
    <t>680*400</t>
  </si>
  <si>
    <t>580*400</t>
  </si>
  <si>
    <t>钢楔子</t>
  </si>
  <si>
    <t>40*50*350</t>
  </si>
  <si>
    <t>秦皇岛地区项目部调拨</t>
  </si>
  <si>
    <t>800*6000*16</t>
  </si>
  <si>
    <t>地铁六号线调拨</t>
  </si>
  <si>
    <t>800*4000*16</t>
  </si>
  <si>
    <t>800*200</t>
  </si>
  <si>
    <t>挂板</t>
  </si>
  <si>
    <t>线桥设备分公司调拨</t>
  </si>
  <si>
    <t>钢支撑φ609*200</t>
  </si>
  <si>
    <t>钢支撑φ609*300</t>
  </si>
  <si>
    <t>钢支撑φ609*500</t>
  </si>
  <si>
    <t>钢支撑φ609*1000</t>
  </si>
  <si>
    <t>钢支撑φ609*2000</t>
  </si>
  <si>
    <t>钢支撑φ609*4000</t>
  </si>
  <si>
    <t>钢支撑φ609*6000</t>
  </si>
  <si>
    <t>活络头φ609</t>
  </si>
  <si>
    <t>钢支撑φ800*200</t>
  </si>
  <si>
    <t>钢支撑φ800*300</t>
  </si>
  <si>
    <t>钢支撑φ800*500</t>
  </si>
  <si>
    <t>钢支撑φ800*1000</t>
  </si>
  <si>
    <t>钢支撑φ800*2000</t>
  </si>
  <si>
    <t>钢支撑φ800*4000</t>
  </si>
  <si>
    <t>钢支撑φ800*6000</t>
  </si>
  <si>
    <t>活络头φ800</t>
  </si>
  <si>
    <t>700mm*6m</t>
  </si>
  <si>
    <t>保定易创装饰装修工程有限公司</t>
  </si>
  <si>
    <t>900mm*6m</t>
  </si>
  <si>
    <t>600mm*650mm</t>
  </si>
  <si>
    <t>预埋件</t>
  </si>
  <si>
    <t>Q355B</t>
  </si>
  <si>
    <t>北京北雄钢结构有限公司</t>
  </si>
  <si>
    <t>Q235B</t>
  </si>
  <si>
    <t>钢支撑短节</t>
  </si>
  <si>
    <t>钢板桩</t>
  </si>
  <si>
    <t>拉森钢板桩（Ⅳ）12m</t>
  </si>
  <si>
    <t>2020.4.16-2020.5.20</t>
  </si>
  <si>
    <t>拉森钢板桩（Ⅳ）9m</t>
  </si>
  <si>
    <t>2020.6.16-2020.7.15</t>
  </si>
  <si>
    <t>拉森钢板桩</t>
  </si>
  <si>
    <t>9m</t>
  </si>
  <si>
    <t>中铁六局集团物资工贸有限公司</t>
  </si>
  <si>
    <t>胜芳特大桥</t>
  </si>
  <si>
    <t>H=12米</t>
  </si>
  <si>
    <t>军便梁</t>
  </si>
  <si>
    <t>四</t>
  </si>
  <si>
    <t>台车类</t>
  </si>
  <si>
    <t>衬砌台车</t>
  </si>
  <si>
    <t>侧模台车</t>
  </si>
  <si>
    <t>12.1米标准段</t>
  </si>
  <si>
    <t>单边12米共24米</t>
  </si>
  <si>
    <t>边墙模板</t>
  </si>
  <si>
    <t>单边12.1米共24.2米</t>
  </si>
  <si>
    <t>仰拱堵头板</t>
  </si>
  <si>
    <t>单端</t>
  </si>
  <si>
    <t>侧模堵头板</t>
  </si>
  <si>
    <t>顶模模台车</t>
  </si>
  <si>
    <t>24米标准段</t>
  </si>
  <si>
    <t>外模模板</t>
  </si>
  <si>
    <t>12.1M</t>
  </si>
  <si>
    <t>顶模堵头板</t>
  </si>
  <si>
    <t>仰拱边墙模板</t>
  </si>
  <si>
    <t>外角模模板</t>
  </si>
  <si>
    <t>顶模台车</t>
  </si>
  <si>
    <t>12米架体</t>
  </si>
  <si>
    <t>开关洞模板</t>
  </si>
  <si>
    <t>大跨段仰拱、边墙模板</t>
  </si>
  <si>
    <t>仰拱模板、边墙模板</t>
  </si>
  <si>
    <t>12m架体</t>
  </si>
  <si>
    <t>12.1M标准段</t>
  </si>
  <si>
    <t>防水板简易台架</t>
  </si>
  <si>
    <t>9m架体</t>
  </si>
  <si>
    <t>6m架体</t>
  </si>
  <si>
    <t>顶模雾泡养护系统</t>
  </si>
  <si>
    <t>侧模养护台车</t>
  </si>
  <si>
    <t>仰拱模板、堵头板</t>
  </si>
  <si>
    <t>洞室模板、堵头板等</t>
  </si>
  <si>
    <t>隧道二衬台车</t>
  </si>
  <si>
    <t>12m</t>
  </si>
  <si>
    <t>2021.5.11</t>
  </si>
  <si>
    <t>12.15米</t>
  </si>
  <si>
    <t>营口金鼎模板制造有限公司</t>
  </si>
  <si>
    <t>2021.11.01</t>
  </si>
  <si>
    <t>凿岩台车</t>
  </si>
  <si>
    <t>其他作业台车</t>
  </si>
  <si>
    <t>挂防水板台架</t>
  </si>
  <si>
    <t>10.34m</t>
  </si>
  <si>
    <t>2021.05.07</t>
  </si>
  <si>
    <t>五</t>
  </si>
  <si>
    <t>栈桥类</t>
  </si>
  <si>
    <t>仰拱栈桥</t>
  </si>
  <si>
    <t>30.5m</t>
  </si>
  <si>
    <t>2021.04.15</t>
  </si>
  <si>
    <t>2021.04.28</t>
  </si>
  <si>
    <t>国道110工地</t>
  </si>
  <si>
    <t>水中栈桥</t>
  </si>
  <si>
    <t>六</t>
  </si>
  <si>
    <t>大临类</t>
  </si>
  <si>
    <t>装配式房屋</t>
  </si>
  <si>
    <t>集装箱房屋</t>
  </si>
  <si>
    <t>标准箱</t>
  </si>
  <si>
    <t>6055×2990×2910mm</t>
  </si>
  <si>
    <t>间</t>
  </si>
  <si>
    <t>河北双龙建业金属制品有限公司</t>
  </si>
  <si>
    <t>2019.12.17</t>
  </si>
  <si>
    <t>峰峰矿区街儿庄小区工程项目部</t>
  </si>
  <si>
    <t>卫生间   （浴室）箱</t>
  </si>
  <si>
    <t>2020.1.13</t>
  </si>
  <si>
    <t>卫生间箱</t>
  </si>
  <si>
    <t>守卫室箱</t>
  </si>
  <si>
    <t>集装箱</t>
  </si>
  <si>
    <t>5620*3800mm</t>
  </si>
  <si>
    <t>2020.3.17</t>
  </si>
  <si>
    <t>办公模块</t>
  </si>
  <si>
    <t>L6055mm*W2990mm*h2896mm</t>
  </si>
  <si>
    <t>北京博格建筑工程集团有限公司</t>
  </si>
  <si>
    <t>2021.2.3</t>
  </si>
  <si>
    <t>北京市通州区胡各庄邮政支局对面工地</t>
  </si>
  <si>
    <t>李世猛</t>
  </si>
  <si>
    <t>京通隆化地道桥项目部</t>
  </si>
  <si>
    <t>卫生间、洗漱间</t>
  </si>
  <si>
    <t>内楼梯</t>
  </si>
  <si>
    <t>2990*6055*2896</t>
  </si>
  <si>
    <t>走廊箱</t>
  </si>
  <si>
    <t>1930*6055*2896</t>
  </si>
  <si>
    <t>1930*3000*2896</t>
  </si>
  <si>
    <t>外楼梯</t>
  </si>
  <si>
    <t>3层</t>
  </si>
  <si>
    <t>玻璃幕墙</t>
  </si>
  <si>
    <t>6000*2576</t>
  </si>
  <si>
    <t>平米</t>
  </si>
  <si>
    <t>6米门厅</t>
  </si>
  <si>
    <t>5516*2576</t>
  </si>
  <si>
    <t>门卫室</t>
  </si>
  <si>
    <t>3990*6055*2896</t>
  </si>
  <si>
    <t>6米走廊箱</t>
  </si>
  <si>
    <t>6010*1800*2896mm</t>
  </si>
  <si>
    <t>北京鑫盛佳茂钢结构有限公司</t>
  </si>
  <si>
    <t>6055*3000*2896mm</t>
  </si>
  <si>
    <t>男卫生间</t>
  </si>
  <si>
    <t>女卫浴间</t>
  </si>
  <si>
    <t>洗漱间</t>
  </si>
  <si>
    <t>男淋浴间</t>
  </si>
  <si>
    <t>3米走廊箱</t>
  </si>
  <si>
    <t>3000*1800*2896mm</t>
  </si>
  <si>
    <t>6+12+6蓝星灰镀膜</t>
  </si>
  <si>
    <t>女卫生间</t>
  </si>
  <si>
    <t>室内四跑楼梯</t>
  </si>
  <si>
    <t>箱房</t>
  </si>
  <si>
    <t>3m*6m*2.7m</t>
  </si>
  <si>
    <t>天津恒联彩钢制品有限公司</t>
  </si>
  <si>
    <t>2.98*2.54*6m</t>
  </si>
  <si>
    <t>北京市石景山区工地</t>
  </si>
  <si>
    <t>中铁六局集团北京铁路建设有限公司北京市S1线西段工程04标项目部</t>
  </si>
  <si>
    <t>精华白</t>
  </si>
  <si>
    <t>栋</t>
  </si>
  <si>
    <t>北京东方广厦模块化房屋有限公司</t>
  </si>
  <si>
    <t>男卫生间箱</t>
  </si>
  <si>
    <t>标准箱/门卫箱/厨房箱/盥洗室箱/男（女）卫箱</t>
  </si>
  <si>
    <t>6055*2990*2896</t>
  </si>
  <si>
    <t>6米走道箱</t>
  </si>
  <si>
    <t>5995*1800*2896</t>
  </si>
  <si>
    <t>外挂单跑楼梯</t>
  </si>
  <si>
    <t>定制</t>
  </si>
  <si>
    <t>3米走道箱</t>
  </si>
  <si>
    <t>2990*1800*2896</t>
  </si>
  <si>
    <t>二层楼道箱</t>
  </si>
  <si>
    <t>6055*2990*5972</t>
  </si>
  <si>
    <t>玻璃门厅</t>
  </si>
  <si>
    <t>4800*1800*2896</t>
  </si>
  <si>
    <t>地簧门</t>
  </si>
  <si>
    <t>3000*2896</t>
  </si>
  <si>
    <t>储物间</t>
  </si>
  <si>
    <t>墙板及包件</t>
  </si>
  <si>
    <t>防火阻燃彩钢房</t>
  </si>
  <si>
    <t>3K*11K*3P</t>
  </si>
  <si>
    <t>北京安居昌盛集成房屋有限公司</t>
  </si>
  <si>
    <t>存料棚</t>
  </si>
  <si>
    <t>6m*20m</t>
  </si>
  <si>
    <t>中铁六局集团北京铁路建设有限公司周转材料租赁中心</t>
  </si>
  <si>
    <t>6m*24m</t>
  </si>
  <si>
    <t>集装箱房</t>
  </si>
  <si>
    <t>3m*6m</t>
  </si>
  <si>
    <t>北京明山祥兴商贸有限公司/中铁六局集团有限公司清河火车站专用匝道建设工程项目经理部</t>
  </si>
  <si>
    <t>集装箱活动板房</t>
  </si>
  <si>
    <t>北京昊文盛达科技有限公司/北京万洲鸿业科技有限公司</t>
  </si>
  <si>
    <t>北京辉煌腾锦商贸中心/北京明山祥兴商贸有限公司</t>
  </si>
  <si>
    <t>6m*6m*3m</t>
  </si>
  <si>
    <t>暂无</t>
  </si>
  <si>
    <t>中铁六局集团有限公司清河火车站专用匝道建设工程项目经理部</t>
  </si>
  <si>
    <t>2020.09.23</t>
  </si>
  <si>
    <t>国道109项目驻地</t>
  </si>
  <si>
    <t>标箱</t>
  </si>
  <si>
    <t>中铁六局集团北京地铁6号线西延七标项目经理部</t>
  </si>
  <si>
    <t>2020.10.18</t>
  </si>
  <si>
    <t>箱式房</t>
  </si>
  <si>
    <t>三河市宏远钢结构工程有限公司</t>
  </si>
  <si>
    <t>2020.12.05</t>
  </si>
  <si>
    <t>卫生间、淋浴间、洗漱间</t>
  </si>
  <si>
    <t>四跑室内楼梯</t>
  </si>
  <si>
    <t>不锈钢扶手</t>
  </si>
  <si>
    <t>L5992mm*W1840mm*h2896mm</t>
  </si>
  <si>
    <t>门厅及电动感应门</t>
  </si>
  <si>
    <t>有框断桥铝蓝色
镀膜玻璃外悬窗</t>
  </si>
  <si>
    <t>(5+12+5mm）中空钢化玻璃</t>
  </si>
  <si>
    <t>独立卫浴</t>
  </si>
  <si>
    <t>腰线</t>
  </si>
  <si>
    <t>1.5厚镀锌板</t>
  </si>
  <si>
    <t>前立面空调扣槽</t>
  </si>
  <si>
    <t>不锈钢扶手单跑外楼梯</t>
  </si>
  <si>
    <t>L4885mm*W1200mm*h3050mm</t>
  </si>
  <si>
    <t>折叠集装箱</t>
  </si>
  <si>
    <t>3m*6m*2.75m</t>
  </si>
  <si>
    <t>河北逸航新诺集成房屋有限公司</t>
  </si>
  <si>
    <t>2021.8.16</t>
  </si>
  <si>
    <t>雨棚</t>
  </si>
  <si>
    <t>2900*1200*68mm</t>
  </si>
  <si>
    <t>带透明玻璃窗和双开门箱式房</t>
  </si>
  <si>
    <t>装饰门卫房</t>
  </si>
  <si>
    <t>L6055mm*W2990mm*h2986mm</t>
  </si>
  <si>
    <t>大厂回族自治县鑫亿达彩钢活动房厂</t>
  </si>
  <si>
    <t>2021.9.21</t>
  </si>
  <si>
    <t>18631369850</t>
  </si>
  <si>
    <t>不锈钢门卫房</t>
  </si>
  <si>
    <t>2000*2000*2500</t>
  </si>
  <si>
    <t>普通集装箱</t>
  </si>
  <si>
    <t>6000*3000*2800</t>
  </si>
  <si>
    <t>空压机房</t>
  </si>
  <si>
    <t>20m*6m</t>
  </si>
  <si>
    <t>彩钢活动板房</t>
  </si>
  <si>
    <t>6k*3k</t>
  </si>
  <si>
    <t>北京融创绿色科技有限公司</t>
  </si>
  <si>
    <t>标准型箱式房</t>
  </si>
  <si>
    <t>新锐集成房屋（北京）有限公司</t>
  </si>
  <si>
    <t>规划一路</t>
  </si>
  <si>
    <t>孙辉</t>
  </si>
  <si>
    <t>卫生间</t>
  </si>
  <si>
    <t>淋浴间</t>
  </si>
  <si>
    <t>女淋浴+盥洗间</t>
  </si>
  <si>
    <t>楼梯间</t>
  </si>
  <si>
    <t>L6055mm*W1800mm*h2896mm</t>
  </si>
  <si>
    <t>L2990mm*W1800mm*h2896mm</t>
  </si>
  <si>
    <t>含挑梁栏杆</t>
  </si>
  <si>
    <t>端头走廊箱玻璃幕墙</t>
  </si>
  <si>
    <t>蓝色镀膜断桥铝外悬玻璃窗（5+12A+5）</t>
  </si>
  <si>
    <t>1.5mm ，蓝色腰线</t>
  </si>
  <si>
    <t>空调扣槽</t>
  </si>
  <si>
    <t>1.5mm 白色扣槽</t>
  </si>
  <si>
    <t>6m*3m*2.5m</t>
  </si>
  <si>
    <t>2019.1.15</t>
  </si>
  <si>
    <t>6*3M</t>
  </si>
  <si>
    <t>漳州市腾烨建筑有限公司</t>
  </si>
  <si>
    <t>2020.4.15</t>
  </si>
  <si>
    <t>衡安润五金制品有限公司</t>
  </si>
  <si>
    <t>2020.5.15</t>
  </si>
  <si>
    <t>3*6M</t>
  </si>
  <si>
    <t>2990*9055*2896</t>
  </si>
  <si>
    <t>北京市丰台区丰台站匝道桥工地</t>
  </si>
  <si>
    <t>丰台站匝道桥项目部</t>
  </si>
  <si>
    <t>丰台区芦井路A段（长辛店北十五路-长辛店北二十七路）道路工程项目</t>
  </si>
  <si>
    <t>丰台区芦井路A段道路工程项目部</t>
  </si>
  <si>
    <t>集装箱（少一面墙）</t>
  </si>
  <si>
    <t>住人集装箱</t>
  </si>
  <si>
    <t>3*6m</t>
  </si>
  <si>
    <t>北京东方广厦模块房屋有限公司</t>
  </si>
  <si>
    <t>楼梯、走廊、门厅</t>
  </si>
  <si>
    <t>北京法利莱得移动板房有限公司</t>
  </si>
  <si>
    <t>3*6*2.8</t>
  </si>
  <si>
    <t>西道口驻地</t>
  </si>
  <si>
    <t>刘兴</t>
  </si>
  <si>
    <t>代建京张一分部</t>
  </si>
  <si>
    <t>星火、地下工程调拨</t>
  </si>
  <si>
    <t>各项目部工地</t>
  </si>
  <si>
    <t>需要维修</t>
  </si>
  <si>
    <t>打包箱</t>
  </si>
  <si>
    <t>宁夏鑫中旺工贸有限公司</t>
  </si>
  <si>
    <t>2021.07.12</t>
  </si>
  <si>
    <t>驻地</t>
  </si>
  <si>
    <t>室内楼梯</t>
  </si>
  <si>
    <t>钢制</t>
  </si>
  <si>
    <t>2m*6m</t>
  </si>
  <si>
    <t>2m*3m</t>
  </si>
  <si>
    <t>玻璃钢材质</t>
  </si>
  <si>
    <t>自动门</t>
  </si>
  <si>
    <t>自动感应</t>
  </si>
  <si>
    <t>移动集装箱</t>
  </si>
  <si>
    <t>北京同城易家科技有限公司</t>
  </si>
  <si>
    <t>移动集装箱（二层）</t>
  </si>
  <si>
    <t>楼梯</t>
  </si>
  <si>
    <t>架</t>
  </si>
  <si>
    <t>中铁六局集团北京铁路建设有限公司京张铁路隧道项目部</t>
  </si>
  <si>
    <t>3m*6m，A级阻燃</t>
  </si>
  <si>
    <t>6m*6m</t>
  </si>
  <si>
    <t>廊坊启尚钢结构有限公司</t>
  </si>
  <si>
    <t>永清县津安兴商贸有限公司</t>
  </si>
  <si>
    <t>打包拼装式集装箱</t>
  </si>
  <si>
    <t>9m*6m</t>
  </si>
  <si>
    <t>6m*3m</t>
  </si>
  <si>
    <t>中铁六局集团北京铁路建设有限公司京沈客专星火站枢纽站前工程项目部</t>
  </si>
  <si>
    <t>活动房屋</t>
  </si>
  <si>
    <t>活动房</t>
  </si>
  <si>
    <t>拼装</t>
  </si>
  <si>
    <t>邯郸市正鹏钢结构制造有限公司</t>
  </si>
  <si>
    <t>室外四跑+雨棚</t>
  </si>
  <si>
    <t>彩钢房</t>
  </si>
  <si>
    <t>标准K数房（三防贴面板吊顶）</t>
  </si>
  <si>
    <t>平方米</t>
  </si>
  <si>
    <t>文安县皓鸿彩钢房有限公司</t>
  </si>
  <si>
    <t>标准K数房（PVC吊顶）</t>
  </si>
  <si>
    <t>门卫岗亭</t>
  </si>
  <si>
    <t>3m*3m*2.7m</t>
  </si>
  <si>
    <t>3m*3m*2.9m（精装）</t>
  </si>
  <si>
    <t>楼梯室内平行双分</t>
  </si>
  <si>
    <t>钢结构</t>
  </si>
  <si>
    <t>移动钢筋棚</t>
  </si>
  <si>
    <t>12m*14m</t>
  </si>
  <si>
    <t>11m*14m</t>
  </si>
  <si>
    <t>12m*12m</t>
  </si>
  <si>
    <t>11m*12m</t>
  </si>
  <si>
    <t>钢筋承载平台</t>
  </si>
  <si>
    <t>30B*24m*10+7.5*2m+20B*4*1.5</t>
  </si>
  <si>
    <t>北京相泽鸿业科技有限公司</t>
  </si>
  <si>
    <t>30B*11m*8+5*2m+20B*4*1.5</t>
  </si>
  <si>
    <t>30B*11m*6+5*2m+*20B*25*1.5</t>
  </si>
  <si>
    <t>30B*9.5m*6+4.5m*2</t>
  </si>
  <si>
    <t>安全体验馆</t>
  </si>
  <si>
    <t>3*6</t>
  </si>
  <si>
    <t>大厂回族自治县鑫亿达彩钢结构有限公司</t>
  </si>
  <si>
    <t>活动板房</t>
  </si>
  <si>
    <t>25K*3K*9P2T*2栋（含硅钙板吊顶）</t>
  </si>
  <si>
    <t>22K*3K*9P1T*1栋（含硅钙板吊顶）</t>
  </si>
  <si>
    <t>彩钢门卫亭</t>
  </si>
  <si>
    <t>2米*2米</t>
  </si>
  <si>
    <t>2020.12.10</t>
  </si>
  <si>
    <t>不锈钢门卫亭</t>
  </si>
  <si>
    <t>轻钢龙骨房</t>
  </si>
  <si>
    <t>河北京冀普惠金属制品有限公司</t>
  </si>
  <si>
    <t>K式板房</t>
  </si>
  <si>
    <t>50型 18K*7K*9P 三层</t>
  </si>
  <si>
    <t>50型 14K*3K*3P 一层</t>
  </si>
  <si>
    <t>50型 6K*3.4m*3P 一层</t>
  </si>
  <si>
    <t>板厚75mm，岩棉密度50kg/m³</t>
  </si>
  <si>
    <t>彩钢房门房</t>
  </si>
  <si>
    <t>守卫房</t>
  </si>
  <si>
    <t>推拉式钢筋加工棚</t>
  </si>
  <si>
    <t>10m*12m*5m</t>
  </si>
  <si>
    <t>青海浩途建筑工程有限公司</t>
  </si>
  <si>
    <t>2021.07.30</t>
  </si>
  <si>
    <t>9.4m*12m*4m</t>
  </si>
  <si>
    <t>钢筋加工棚</t>
  </si>
  <si>
    <t>25m*70m*12m</t>
  </si>
  <si>
    <t>钢结构料棚</t>
  </si>
  <si>
    <t>20m*72m(10-12)m</t>
  </si>
  <si>
    <t>湟源县申中乡华浩门窗加工厂</t>
  </si>
  <si>
    <t>2022.01.22</t>
  </si>
  <si>
    <t>钢筋加工场</t>
  </si>
  <si>
    <t>封闭式轻钢料棚</t>
  </si>
  <si>
    <t>12.5m*12m+5m*50m</t>
  </si>
  <si>
    <t>3*5.9*2.7米</t>
  </si>
  <si>
    <t>5.9m*3m*2.7m</t>
  </si>
  <si>
    <t>6m*3m*2.7m</t>
  </si>
  <si>
    <t>可移动钢筋加工棚</t>
  </si>
  <si>
    <t>870</t>
  </si>
  <si>
    <t>安次南站</t>
  </si>
  <si>
    <t>混凝土预压块</t>
  </si>
  <si>
    <t>2吨</t>
  </si>
  <si>
    <t>移动式钢筋棚</t>
  </si>
  <si>
    <t>10m*14m</t>
  </si>
  <si>
    <t>9m*14m</t>
  </si>
  <si>
    <t>3.64m*5.62m</t>
  </si>
  <si>
    <t>霸州德升益科技有限公司</t>
  </si>
  <si>
    <t>被强拆</t>
  </si>
  <si>
    <t>活动板房
外置楼梯</t>
  </si>
  <si>
    <t>双层使用</t>
  </si>
  <si>
    <t>部</t>
  </si>
  <si>
    <t>2021.8.30</t>
  </si>
  <si>
    <t>七</t>
  </si>
  <si>
    <t>其他类</t>
  </si>
  <si>
    <t>红白栏杆</t>
  </si>
  <si>
    <t>300*120*2</t>
  </si>
  <si>
    <t>96块</t>
  </si>
  <si>
    <t>混凝土轨枕</t>
  </si>
  <si>
    <t>Ⅲ型</t>
  </si>
  <si>
    <t>中铁六局集团京唐项目部调拨</t>
  </si>
  <si>
    <t>砼预压块</t>
  </si>
  <si>
    <t>京雄工地</t>
  </si>
  <si>
    <t>2m</t>
  </si>
  <si>
    <t>宁大工地</t>
  </si>
  <si>
    <t>混凝土枕</t>
  </si>
  <si>
    <t>Ⅲa</t>
  </si>
  <si>
    <t>北京丰怀轨枕有限公司</t>
  </si>
  <si>
    <t>甲供料</t>
  </si>
  <si>
    <t>Ⅲc</t>
  </si>
  <si>
    <t>混凝土桥枕</t>
  </si>
  <si>
    <t>Ⅲqa</t>
  </si>
  <si>
    <t>Ⅲqc</t>
  </si>
  <si>
    <t>电气绝缘枕</t>
  </si>
  <si>
    <t>ⅩⅡ</t>
  </si>
  <si>
    <t>电容枕</t>
  </si>
  <si>
    <t>围挡板</t>
  </si>
  <si>
    <t>2MX0.93</t>
  </si>
  <si>
    <t>2MX0.93白</t>
  </si>
  <si>
    <t>防护栏</t>
  </si>
  <si>
    <t>2.15*1.2</t>
  </si>
  <si>
    <t>延米</t>
  </si>
  <si>
    <t>组装式围挡</t>
  </si>
  <si>
    <t>2.4*3（灰白）</t>
  </si>
  <si>
    <t>北京隆驰致达建材经销中心</t>
  </si>
  <si>
    <t>2020.12.28</t>
  </si>
  <si>
    <t>成品围挡</t>
  </si>
  <si>
    <t>2.4*3（贴布）</t>
  </si>
  <si>
    <t>2.2*3</t>
  </si>
  <si>
    <t>地磅</t>
  </si>
  <si>
    <t>120吨，4块</t>
  </si>
  <si>
    <t>台</t>
  </si>
  <si>
    <t>北京市丰台区洪泰庄</t>
  </si>
  <si>
    <t>围挡</t>
  </si>
  <si>
    <t>WD-1</t>
  </si>
  <si>
    <t>中铁六局集团天津铁路建设有限公司</t>
  </si>
  <si>
    <t>蓝（白）围挡板</t>
  </si>
  <si>
    <t>2500*9300</t>
  </si>
  <si>
    <t>安全护栏</t>
  </si>
  <si>
    <t>北京昊文盛达科技有限公司</t>
  </si>
  <si>
    <t>配电箱</t>
  </si>
  <si>
    <t>一级、1000*800*400、二级、800*600、三级</t>
  </si>
  <si>
    <t>邯郸市普照紧固件销售有限公司/北京明山祥兴商贸有限公司/北京辉煌腾锦商贸中心/山东正德通业建筑材料有限公司/北京正顺通达商贸中心</t>
  </si>
  <si>
    <t>泥浆箱</t>
  </si>
  <si>
    <t>6.4*2.6*2.5m，壁厚6mm,底厚8mm</t>
  </si>
  <si>
    <t>天津宏鑫昌盛商贸有限公司</t>
  </si>
  <si>
    <t>2020.11.20</t>
  </si>
  <si>
    <t>国道109桥梁桩基工地</t>
  </si>
  <si>
    <t>6.4*2.6*2.2m，壁厚6mm,底厚8mm</t>
  </si>
  <si>
    <t>2020.11.26</t>
  </si>
  <si>
    <t>2020.06.13</t>
  </si>
  <si>
    <t>2021.12.12</t>
  </si>
  <si>
    <t>6.4*2.6*2.1m，壁厚6mm,底厚8mm</t>
  </si>
  <si>
    <t>铺铁皮</t>
  </si>
  <si>
    <t>2mm</t>
  </si>
  <si>
    <t>油丝绳加固</t>
  </si>
  <si>
    <t>50型</t>
  </si>
  <si>
    <t>1.2*2.15</t>
  </si>
  <si>
    <t>2020.12.19</t>
  </si>
  <si>
    <t>2.2*0.93</t>
  </si>
  <si>
    <t>钢抱箍</t>
  </si>
  <si>
    <t>中铁六局集团北京铁路建设有限公司330国道武义江大桥改建工程项目部</t>
  </si>
  <si>
    <t>2021.03.20</t>
  </si>
  <si>
    <t>日字框围挡板</t>
  </si>
  <si>
    <t>2.2m</t>
  </si>
  <si>
    <t>2021.05.14</t>
  </si>
  <si>
    <t>洗轮机</t>
  </si>
  <si>
    <t>4000*4000*4800</t>
  </si>
  <si>
    <t>北京华云鹤科贸有限责任公司</t>
  </si>
  <si>
    <t>2021.12.10</t>
  </si>
  <si>
    <t>电缆</t>
  </si>
  <si>
    <t>YC 3*95+2*50</t>
  </si>
  <si>
    <t>廊坊市集百商贸有限公司</t>
  </si>
  <si>
    <t>YC3*70+2*35</t>
  </si>
  <si>
    <t>3*240+2*120</t>
  </si>
  <si>
    <t>3*185+2*95</t>
  </si>
  <si>
    <t>铝凯电缆</t>
  </si>
  <si>
    <t>3*150+2*70</t>
  </si>
  <si>
    <t>蓝色围挡</t>
  </si>
  <si>
    <t>2m*0.93</t>
  </si>
  <si>
    <t>北京市丰台区大葆台芦花路工地</t>
  </si>
  <si>
    <t>白色围挡</t>
  </si>
  <si>
    <t>二级防护棚</t>
  </si>
  <si>
    <t>2m*2.5m*2.5m</t>
  </si>
  <si>
    <t>2m*1.2m</t>
  </si>
  <si>
    <t>定型防护栏杆</t>
  </si>
  <si>
    <t>2*1.15米</t>
  </si>
  <si>
    <t>防护栏杆</t>
  </si>
  <si>
    <t>1.2*2.15米</t>
  </si>
  <si>
    <t>砂箱</t>
  </si>
  <si>
    <t>Φ750</t>
  </si>
  <si>
    <t>唐山通力模板有限公司</t>
  </si>
  <si>
    <t>北京黄村料库</t>
  </si>
  <si>
    <t>白围挡板</t>
  </si>
  <si>
    <t>0.93*2m</t>
  </si>
  <si>
    <t>损毁</t>
  </si>
  <si>
    <t>周转料租赁中心</t>
  </si>
  <si>
    <t>蓝围挡板</t>
  </si>
  <si>
    <t>蓝色围挡板</t>
  </si>
  <si>
    <t>1.8m*0.03mm</t>
  </si>
  <si>
    <t>方木</t>
  </si>
  <si>
    <t>15cm*15cm*4m</t>
  </si>
  <si>
    <t>8cm*8cm*4m</t>
  </si>
  <si>
    <t>10cm*10cm*4m</t>
  </si>
  <si>
    <t>竹胶板</t>
  </si>
  <si>
    <t>1.22m*2.44m*0.015m</t>
  </si>
  <si>
    <t>桥西区恒同建材经销部</t>
  </si>
  <si>
    <t>2*0.93</t>
  </si>
  <si>
    <t>半网日字框</t>
  </si>
  <si>
    <t>钢制推拉门</t>
  </si>
  <si>
    <t>8.5*2</t>
  </si>
  <si>
    <t>雄县顺畅商贸有限公司</t>
  </si>
  <si>
    <t>12cm*15cm*4m</t>
  </si>
  <si>
    <t>5cm*10cm*4m</t>
  </si>
  <si>
    <t>木跳板</t>
  </si>
  <si>
    <t>厚3cm，宽20cm，长4m</t>
  </si>
  <si>
    <t>厚4cm，宽20cm，长4m</t>
  </si>
  <si>
    <t>0.08*0.08*4</t>
  </si>
  <si>
    <t>10CM*10CM*4米</t>
  </si>
  <si>
    <t>244CM*122CM*1.5CM</t>
  </si>
  <si>
    <t>方</t>
  </si>
  <si>
    <t>5cm*20cm*4m</t>
  </si>
  <si>
    <t>防护棚</t>
  </si>
  <si>
    <t>10CM*10CM</t>
  </si>
  <si>
    <t>5cm*10cm*400cm</t>
  </si>
  <si>
    <t>固安县固安镇骄阳商贸中心</t>
  </si>
  <si>
    <t>20cm*5cm*400cm</t>
  </si>
  <si>
    <t>彩钢板</t>
  </si>
  <si>
    <t>彩钢板房</t>
  </si>
  <si>
    <t>电动伸缩门</t>
  </si>
  <si>
    <t>长12cm 宽850mm 高1.6m</t>
  </si>
  <si>
    <t>彩钢棚（含安装、含附件）</t>
  </si>
  <si>
    <t>7.3M*8.5M*4M</t>
  </si>
  <si>
    <t>8.5M*9.8M*5.7M</t>
  </si>
  <si>
    <t>6M*8.2M*5.7M</t>
  </si>
  <si>
    <t>8.3M*20M*4M</t>
  </si>
  <si>
    <t>6M*8.6M*4M</t>
  </si>
  <si>
    <t>3M*3.5M*2.7M</t>
  </si>
  <si>
    <t>围挡板篮板</t>
  </si>
  <si>
    <t>围挡板白板</t>
  </si>
  <si>
    <t>围挡板蓝板</t>
  </si>
  <si>
    <t>高2m宽0.93m厚0.3mm</t>
  </si>
  <si>
    <t>//</t>
  </si>
  <si>
    <t>脚手板</t>
  </si>
  <si>
    <t>250*4000*50mm</t>
  </si>
  <si>
    <t>2021.5.26-2021.5.30</t>
  </si>
  <si>
    <t>20*4*400cm</t>
  </si>
  <si>
    <t>模板</t>
  </si>
  <si>
    <t>122*244*1.5cm</t>
  </si>
  <si>
    <t>木方</t>
  </si>
  <si>
    <t>10*10*400cm</t>
  </si>
  <si>
    <t>4*8*400cm</t>
  </si>
  <si>
    <t>2020.11.24-12.20</t>
  </si>
  <si>
    <t>4*7*400cm</t>
  </si>
  <si>
    <t>10*10*300cm</t>
  </si>
  <si>
    <t>2020.11.28-12.20</t>
  </si>
  <si>
    <t>2020.12.6-12.20</t>
  </si>
  <si>
    <t>4*20*400cm</t>
  </si>
  <si>
    <t>多层复合模板</t>
  </si>
  <si>
    <t>木模板</t>
  </si>
  <si>
    <t>1222*2440*15mm</t>
  </si>
  <si>
    <t>100*100*4000mm</t>
  </si>
  <si>
    <t>弧形模板</t>
  </si>
  <si>
    <t>d3600*l2170*h1800mm</t>
  </si>
  <si>
    <t>400*5*20</t>
  </si>
  <si>
    <t>单根长3米，宽0.2米，厚0.04米</t>
  </si>
  <si>
    <t>1.22*2.44*1.5</t>
  </si>
  <si>
    <t>1.22*2.44*2</t>
  </si>
  <si>
    <t>2021.3.21-2021.5.20</t>
  </si>
  <si>
    <t>弧形木模板</t>
  </si>
  <si>
    <t>厚1.5cm，半径1.8米</t>
  </si>
  <si>
    <t>八</t>
  </si>
  <si>
    <t>小型机具</t>
  </si>
  <si>
    <t>二氧化碳气体保护焊机</t>
  </si>
  <si>
    <t>500A</t>
  </si>
  <si>
    <t>邢台天晨永拓机械制造有限公司</t>
  </si>
  <si>
    <t>污水泵</t>
  </si>
  <si>
    <t>2.5寸</t>
  </si>
  <si>
    <t>通用</t>
  </si>
  <si>
    <t>4寸</t>
  </si>
  <si>
    <t>6寸</t>
  </si>
  <si>
    <t>10寸</t>
  </si>
  <si>
    <t>起道机</t>
  </si>
  <si>
    <t>20T</t>
  </si>
  <si>
    <t>内燃振捣器</t>
  </si>
  <si>
    <t>*</t>
  </si>
  <si>
    <t>配电箱（含设备）</t>
  </si>
  <si>
    <t>一级</t>
  </si>
  <si>
    <t>二级</t>
  </si>
  <si>
    <t>2016-2019</t>
  </si>
  <si>
    <t>配电柜（含设备）</t>
  </si>
  <si>
    <t>内燃钢轨锯轨机</t>
  </si>
  <si>
    <t>NGJ- 9 GX270</t>
  </si>
  <si>
    <t>锦州市华兴铁路机械有限公司</t>
  </si>
  <si>
    <t>2018.11.27</t>
  </si>
  <si>
    <t>内燃钢轨钻孔机</t>
  </si>
  <si>
    <t>NGZ-31型</t>
  </si>
  <si>
    <t>内燃捣固机</t>
  </si>
  <si>
    <t>便携式</t>
  </si>
  <si>
    <t>任县佳明铁路机械配件厂</t>
  </si>
  <si>
    <t>2019.7.25</t>
  </si>
  <si>
    <t>电暖风炮</t>
  </si>
  <si>
    <t>50kw</t>
  </si>
  <si>
    <t>天津市南开区强劲海阔五金销售中心</t>
  </si>
  <si>
    <t>2019.12.8</t>
  </si>
  <si>
    <t>对讲机</t>
  </si>
  <si>
    <t>北京明山祥兴商贸有限公司/天津市南开区正瑞丰达五金销售中心/北京辉煌腾锦商贸中心/邯郸市普照紧固件销售有限公司</t>
  </si>
  <si>
    <t>2018.10.25</t>
  </si>
  <si>
    <t>防雷测试仪</t>
  </si>
  <si>
    <t>BM4100</t>
  </si>
  <si>
    <t>山东正德通业建筑材料有限公司</t>
  </si>
  <si>
    <t>2019.5.26</t>
  </si>
  <si>
    <t>管道泵</t>
  </si>
  <si>
    <t>3kw</t>
  </si>
  <si>
    <t>山东百得利建筑材料有限公司</t>
  </si>
  <si>
    <t>2020.1.14</t>
  </si>
  <si>
    <t>磨石机</t>
  </si>
  <si>
    <t>350型</t>
  </si>
  <si>
    <t>双臂焊烟净化器</t>
  </si>
  <si>
    <t>HCHYD4800</t>
  </si>
  <si>
    <t>2019.10.25</t>
  </si>
  <si>
    <t>柴油移动照明车</t>
  </si>
  <si>
    <t>LED</t>
  </si>
  <si>
    <t>2019.10.28</t>
  </si>
  <si>
    <t>混凝土测定仪</t>
  </si>
  <si>
    <t>北京正顺通达商贸中心</t>
  </si>
  <si>
    <t>2018.9.18</t>
  </si>
  <si>
    <t>一级配电箱</t>
  </si>
  <si>
    <t>1300*500*190</t>
  </si>
  <si>
    <t>河西支线九标项目部工地</t>
  </si>
  <si>
    <t>陈艳冰</t>
  </si>
  <si>
    <t xml:space="preserve">河西支线九标项目部 </t>
  </si>
  <si>
    <t>二级配电箱</t>
  </si>
  <si>
    <t>800*500*1400</t>
  </si>
  <si>
    <t>柴油锯</t>
  </si>
  <si>
    <t>φ600</t>
  </si>
  <si>
    <t>搅拌站料库</t>
  </si>
  <si>
    <t>热风机</t>
  </si>
  <si>
    <t>35kw</t>
  </si>
  <si>
    <t>热放炮</t>
  </si>
  <si>
    <t>9-15kw</t>
  </si>
  <si>
    <t>千斤顶</t>
  </si>
  <si>
    <t>50吨</t>
  </si>
  <si>
    <t>32吨</t>
  </si>
  <si>
    <t>磁座钻</t>
  </si>
  <si>
    <t>MOD:MLQ-38,功率1800W</t>
  </si>
  <si>
    <t>2020.3.13</t>
  </si>
  <si>
    <t>武义江大桥</t>
  </si>
  <si>
    <t>丁振山</t>
  </si>
  <si>
    <t>330国道武义江大桥改建抢修工程</t>
  </si>
  <si>
    <t>5.5kw</t>
  </si>
  <si>
    <t>2019.09.07</t>
  </si>
  <si>
    <t>3km 4寸</t>
  </si>
  <si>
    <t>2019.09.01</t>
  </si>
  <si>
    <t>压管钳</t>
  </si>
  <si>
    <t>把</t>
  </si>
  <si>
    <t>2019.09.08</t>
  </si>
  <si>
    <t>数显钢筋扳手</t>
  </si>
  <si>
    <t>320KN</t>
  </si>
  <si>
    <t>2019.09.11</t>
  </si>
  <si>
    <t>1.5km</t>
  </si>
  <si>
    <t>2019.09.12</t>
  </si>
  <si>
    <t>6寸污水泵</t>
  </si>
  <si>
    <t>7.5kw</t>
  </si>
  <si>
    <t>2019.09.17</t>
  </si>
  <si>
    <t>潜水泵</t>
  </si>
  <si>
    <t>2.2k</t>
  </si>
  <si>
    <t>2019.09.22</t>
  </si>
  <si>
    <t>多级泵</t>
  </si>
  <si>
    <t>Y19-95-5.5</t>
  </si>
  <si>
    <t>2019.09.26</t>
  </si>
  <si>
    <t>手拉链</t>
  </si>
  <si>
    <t>1吨</t>
  </si>
  <si>
    <t>2019.10.08</t>
  </si>
  <si>
    <t>扭力扳手</t>
  </si>
  <si>
    <t>2000型</t>
  </si>
  <si>
    <t>2019.10.19</t>
  </si>
  <si>
    <t>汽油打夯机</t>
  </si>
  <si>
    <t>2019.11.17</t>
  </si>
  <si>
    <r>
      <rPr>
        <sz val="12"/>
        <color rgb="FF000000"/>
        <rFont val="宋体"/>
        <family val="3"/>
        <charset val="134"/>
      </rPr>
      <t>填写说明：根据计划提报内容要求按周转材料分类填写，内容不足可补充，</t>
    </r>
    <r>
      <rPr>
        <sz val="12"/>
        <color rgb="FFFF0000"/>
        <rFont val="宋体"/>
        <family val="3"/>
        <charset val="134"/>
      </rPr>
      <t>材料名称统一</t>
    </r>
    <r>
      <rPr>
        <sz val="12"/>
        <color rgb="FF000000"/>
        <rFont val="宋体"/>
        <family val="3"/>
        <charset val="134"/>
      </rPr>
      <t>，</t>
    </r>
    <r>
      <rPr>
        <sz val="12"/>
        <color rgb="FFFF0000"/>
        <rFont val="宋体"/>
        <family val="3"/>
        <charset val="134"/>
      </rPr>
      <t>不同规格型号的周转材料填写要清晰（必填），有设计图号的（必填），存放地点要写详尽</t>
    </r>
    <r>
      <rPr>
        <sz val="12"/>
        <color rgb="FF000000"/>
        <rFont val="宋体"/>
        <family val="3"/>
        <charset val="134"/>
      </rPr>
      <t>。普通钢模（按照标准化图纸设计的桥墩、墩帽、承台、涵洞模板等）；异形钢模（连续梁主边墩、固定墩、门式墩、矩形墩、空心墩内外模、坡比墩、护栏模板、涵洞模板、桥面系各类模板、避车洞模板、洞门模板、0#块模板、现浇梁模板、6015（3015）标准建筑模板等）。墩柱模板：按照公路、普通铁路与高速铁路墩型分类，隧道衬砌台车:按照铁路单线、双线及公路分类。状况：是否良好等，使用情况：在用或闲置。</t>
    </r>
  </si>
  <si>
    <r>
      <t>填报说明：1、</t>
    </r>
    <r>
      <rPr>
        <b/>
        <sz val="12"/>
        <color rgb="FFFF0000"/>
        <rFont val="Arial"/>
        <family val="2"/>
      </rPr>
      <t xml:space="preserve">	</t>
    </r>
    <r>
      <rPr>
        <b/>
        <sz val="12"/>
        <color rgb="FFFF0000"/>
        <rFont val="宋体"/>
        <family val="3"/>
        <charset val="134"/>
      </rPr>
      <t>原值必须填写。
2、</t>
    </r>
    <r>
      <rPr>
        <b/>
        <sz val="12"/>
        <color rgb="FFFF0000"/>
        <rFont val="Arial"/>
        <family val="2"/>
      </rPr>
      <t xml:space="preserve">	</t>
    </r>
    <r>
      <rPr>
        <b/>
        <sz val="12"/>
        <color rgb="FFFF0000"/>
        <rFont val="宋体"/>
        <family val="3"/>
        <charset val="134"/>
      </rPr>
      <t>模板没有设计图号的，填施工图图号。
3、</t>
    </r>
    <r>
      <rPr>
        <b/>
        <sz val="12"/>
        <color rgb="FFFF0000"/>
        <rFont val="Arial"/>
        <family val="2"/>
      </rPr>
      <t xml:space="preserve">	</t>
    </r>
    <r>
      <rPr>
        <b/>
        <sz val="12"/>
        <color rgb="FFFF0000"/>
        <rFont val="宋体"/>
        <family val="3"/>
        <charset val="134"/>
      </rPr>
      <t>型钢的设计图号栏里可填写有代表性的规格型号。
4、</t>
    </r>
    <r>
      <rPr>
        <b/>
        <sz val="12"/>
        <color rgb="FFFF0000"/>
        <rFont val="Arial"/>
        <family val="2"/>
      </rPr>
      <t xml:space="preserve">	</t>
    </r>
    <r>
      <rPr>
        <b/>
        <sz val="12"/>
        <color rgb="FFFF0000"/>
        <rFont val="宋体"/>
        <family val="3"/>
        <charset val="134"/>
      </rPr>
      <t>状况栏填写（良好/微损/损坏）。
5、</t>
    </r>
    <r>
      <rPr>
        <b/>
        <sz val="12"/>
        <color rgb="FFFF0000"/>
        <rFont val="Arial"/>
        <family val="2"/>
      </rPr>
      <t xml:space="preserve">	</t>
    </r>
    <r>
      <rPr>
        <b/>
        <sz val="12"/>
        <color rgb="FFFF0000"/>
        <rFont val="宋体"/>
        <family val="3"/>
        <charset val="134"/>
      </rPr>
      <t>使用状态栏填写（在用/待用/闲置）。说明：“待用”指本项材料3个月内可能用到。
6、</t>
    </r>
    <r>
      <rPr>
        <b/>
        <sz val="12"/>
        <color rgb="FFFF0000"/>
        <rFont val="Arial"/>
        <family val="2"/>
      </rPr>
      <t xml:space="preserve">	</t>
    </r>
    <r>
      <rPr>
        <b/>
        <sz val="12"/>
        <color rgb="FFFF0000"/>
        <rFont val="宋体"/>
        <family val="3"/>
        <charset val="134"/>
      </rPr>
      <t>每种材料内容填报完整，不能空项漏项。
7、</t>
    </r>
    <r>
      <rPr>
        <b/>
        <sz val="12"/>
        <color rgb="FFFF0000"/>
        <rFont val="Arial"/>
        <family val="2"/>
      </rPr>
      <t xml:space="preserve">	</t>
    </r>
    <r>
      <rPr>
        <b/>
        <sz val="12"/>
        <color rgb="FFFF0000"/>
        <rFont val="宋体"/>
        <family val="3"/>
        <charset val="134"/>
      </rPr>
      <t>项目报送日期：每月23日前报公司物资部。
8、</t>
    </r>
    <r>
      <rPr>
        <b/>
        <sz val="12"/>
        <color rgb="FFFF0000"/>
        <rFont val="Arial"/>
        <family val="2"/>
      </rPr>
      <t xml:space="preserve">	</t>
    </r>
    <r>
      <rPr>
        <b/>
        <sz val="12"/>
        <color rgb="FFFF0000"/>
        <rFont val="宋体"/>
        <family val="3"/>
        <charset val="134"/>
      </rPr>
      <t>每月月底公司物资部将周转材料信息台账上传至物资部群文件，方便项目查阅及信息共享，协调使用。
9、</t>
    </r>
    <r>
      <rPr>
        <b/>
        <sz val="12"/>
        <color rgb="FFFF0000"/>
        <rFont val="Arial"/>
        <family val="2"/>
      </rPr>
      <t xml:space="preserve">	</t>
    </r>
    <r>
      <rPr>
        <b/>
        <sz val="12"/>
        <color rgb="FFFF0000"/>
        <rFont val="宋体"/>
        <family val="3"/>
        <charset val="134"/>
      </rPr>
      <t>漏报、不及时报送、台账内容格式错误的项目，季度考核扣分。</t>
    </r>
  </si>
  <si>
    <t>附件</t>
  </si>
  <si>
    <t>中铁六局集团太原公司周转材料信息管理台账</t>
  </si>
  <si>
    <t>套数</t>
  </si>
  <si>
    <t>重量</t>
  </si>
  <si>
    <t>1.1</t>
  </si>
  <si>
    <t>文水益鑫钢模板厂</t>
  </si>
  <si>
    <t>轻轨工地</t>
  </si>
  <si>
    <t>王慧邦</t>
  </si>
  <si>
    <t>晋中市轻轨项目部</t>
  </si>
  <si>
    <t>太原公司</t>
  </si>
  <si>
    <t>1.2</t>
  </si>
  <si>
    <t>退租赁</t>
  </si>
  <si>
    <t>西中环瓦流路项目部</t>
  </si>
  <si>
    <t>1.3</t>
  </si>
  <si>
    <t>北中环东晋支线戏项目部</t>
  </si>
  <si>
    <t>1.4</t>
  </si>
  <si>
    <t>晋中政府北延工地</t>
  </si>
  <si>
    <t>晋中政府东巷北延北延</t>
  </si>
  <si>
    <t>1.5</t>
  </si>
  <si>
    <t>新店街调入</t>
  </si>
  <si>
    <t>1.6</t>
  </si>
  <si>
    <t>1.7</t>
  </si>
  <si>
    <t>滨河自行车专用道工地</t>
  </si>
  <si>
    <t>滨河自行车专用道</t>
  </si>
  <si>
    <t>1.8</t>
  </si>
  <si>
    <t>1.9</t>
  </si>
  <si>
    <t>1.10</t>
  </si>
  <si>
    <t>文水县亿鑫工程机械有限公司</t>
  </si>
  <si>
    <t>晋阳街地铁项目部工地</t>
  </si>
  <si>
    <t>张振远</t>
  </si>
  <si>
    <t>晋阳街地铁项目部</t>
  </si>
  <si>
    <t>1.11</t>
  </si>
  <si>
    <t>隧道中央水沟模板</t>
  </si>
  <si>
    <t>6m</t>
  </si>
  <si>
    <t>1套</t>
  </si>
  <si>
    <t>有</t>
  </si>
  <si>
    <t>文水县立华工程机械设备制造有限公司</t>
  </si>
  <si>
    <t>新田湾隧道出口-左洞</t>
  </si>
  <si>
    <t>乔贵庆</t>
  </si>
  <si>
    <t>宜彝项目部</t>
  </si>
  <si>
    <t>1.12</t>
  </si>
  <si>
    <t>新田湾隧道出口-右洞</t>
  </si>
  <si>
    <t>1.13</t>
  </si>
  <si>
    <t>新田湾隧道进口-左洞</t>
  </si>
  <si>
    <t>1.14</t>
  </si>
  <si>
    <t>新田湾隧道进-右洞</t>
  </si>
  <si>
    <t>1.15</t>
  </si>
  <si>
    <t>排水槽钢模板</t>
  </si>
  <si>
    <t>0.4*016*0.8*0.5</t>
  </si>
  <si>
    <t>太原尚易购电子商务有限公司</t>
  </si>
  <si>
    <t>山西省大同市云州区瓜园乡大同县站</t>
  </si>
  <si>
    <t>王占方</t>
  </si>
  <si>
    <t>大同县站改项目</t>
  </si>
  <si>
    <t>1.16</t>
  </si>
  <si>
    <t>加高纵向排水沟模板</t>
  </si>
  <si>
    <t>1.26*0.685*0.5</t>
  </si>
  <si>
    <t>1.17</t>
  </si>
  <si>
    <t>横向排水沟盖板模板</t>
  </si>
  <si>
    <t>0.8*0.5*0.21</t>
  </si>
  <si>
    <t>1.18</t>
  </si>
  <si>
    <t>横向排水沟模板</t>
  </si>
  <si>
    <t>1.24*1.08*0.5</t>
  </si>
  <si>
    <t>1.19</t>
  </si>
  <si>
    <t>矩形墩24米/15米</t>
  </si>
  <si>
    <t>山西文水县益鑫钢模板厂</t>
  </si>
  <si>
    <t>2019.5.28</t>
  </si>
  <si>
    <t>挂甲峪大桥，牦牛河大桥</t>
  </si>
  <si>
    <t>崔鲁柯</t>
  </si>
  <si>
    <t>京通项目部</t>
  </si>
  <si>
    <t>1.20</t>
  </si>
  <si>
    <t>矩形墩2.5*3</t>
  </si>
  <si>
    <t>2019.9.12</t>
  </si>
  <si>
    <t>1.21</t>
  </si>
  <si>
    <t>2020.6.25</t>
  </si>
  <si>
    <t>1.22</t>
  </si>
  <si>
    <t>1.23</t>
  </si>
  <si>
    <t>水沟模板</t>
  </si>
  <si>
    <t>太原站改工地</t>
  </si>
  <si>
    <t>燕永进</t>
  </si>
  <si>
    <t>太原站改项目部</t>
  </si>
  <si>
    <t>1.24</t>
  </si>
  <si>
    <t>1.26</t>
  </si>
  <si>
    <t>山西省交科公路勘察院</t>
  </si>
  <si>
    <t>2018.9</t>
  </si>
  <si>
    <t>前河二号</t>
  </si>
  <si>
    <t>李钊</t>
  </si>
  <si>
    <t>静兴项目部</t>
  </si>
  <si>
    <t>1.27</t>
  </si>
  <si>
    <t>空心墩钢模板</t>
  </si>
  <si>
    <t>2019年9月</t>
  </si>
  <si>
    <t>正洞</t>
  </si>
  <si>
    <t>1.28</t>
  </si>
  <si>
    <t>2020年3月</t>
  </si>
  <si>
    <t>1.29</t>
  </si>
  <si>
    <t>2020年8月</t>
  </si>
  <si>
    <t>阳坡</t>
  </si>
  <si>
    <t>1.30</t>
  </si>
  <si>
    <t>圆柱钢模板</t>
  </si>
  <si>
    <t>1.31</t>
  </si>
  <si>
    <t>钢模板加工</t>
  </si>
  <si>
    <t>40米T梁模板</t>
  </si>
  <si>
    <t>箱</t>
  </si>
  <si>
    <t>1.32</t>
  </si>
  <si>
    <t>12米台车模板</t>
  </si>
  <si>
    <t>2020年9月</t>
  </si>
  <si>
    <t>阳坡2</t>
  </si>
  <si>
    <t>1.33</t>
  </si>
  <si>
    <t>精扎螺纹钢配件</t>
  </si>
  <si>
    <t>1.34</t>
  </si>
  <si>
    <t>精扎螺母配件</t>
  </si>
  <si>
    <t>Ф20</t>
  </si>
  <si>
    <t>1.35</t>
  </si>
  <si>
    <t>Ф25</t>
  </si>
  <si>
    <t>1.36</t>
  </si>
  <si>
    <t>钢板（周模）</t>
  </si>
  <si>
    <t>10mm</t>
  </si>
  <si>
    <t>1.37</t>
  </si>
  <si>
    <t>2020年12月</t>
  </si>
  <si>
    <t>前河二号桥</t>
  </si>
  <si>
    <t>1.38</t>
  </si>
  <si>
    <t>1.39</t>
  </si>
  <si>
    <t>1.40</t>
  </si>
  <si>
    <t>槽钢（周模）</t>
  </si>
  <si>
    <t>5#</t>
  </si>
  <si>
    <t>阳坡大桥</t>
  </si>
  <si>
    <t>1.41</t>
  </si>
  <si>
    <t>14mm</t>
  </si>
  <si>
    <t>阳坡二号</t>
  </si>
  <si>
    <t>1.42</t>
  </si>
  <si>
    <t>10#</t>
  </si>
  <si>
    <t>1.43</t>
  </si>
  <si>
    <t>1.44</t>
  </si>
  <si>
    <t>1.45</t>
  </si>
  <si>
    <t>12mm</t>
  </si>
  <si>
    <t>1.46</t>
  </si>
  <si>
    <t>1.47</t>
  </si>
  <si>
    <t>1.48</t>
  </si>
  <si>
    <t>1.49</t>
  </si>
  <si>
    <t>1.50</t>
  </si>
  <si>
    <t>工字钢（周模）</t>
  </si>
  <si>
    <t>1.51</t>
  </si>
  <si>
    <t>18#</t>
  </si>
  <si>
    <t>1.52</t>
  </si>
  <si>
    <t>1.53</t>
  </si>
  <si>
    <t>1.54</t>
  </si>
  <si>
    <t>1.55</t>
  </si>
  <si>
    <t>1.56</t>
  </si>
  <si>
    <t>1.57</t>
  </si>
  <si>
    <t>1.58</t>
  </si>
  <si>
    <t>2019年3月</t>
  </si>
  <si>
    <t>梁场</t>
  </si>
  <si>
    <t>1.59</t>
  </si>
  <si>
    <t>承台钢模板</t>
  </si>
  <si>
    <t>2019年5月</t>
  </si>
  <si>
    <t>前河</t>
  </si>
  <si>
    <t>1.60</t>
  </si>
  <si>
    <t>防撞墙钢模板</t>
  </si>
  <si>
    <t>K21+666通道桥</t>
  </si>
  <si>
    <t>1.61</t>
  </si>
  <si>
    <t>2019年11月</t>
  </si>
  <si>
    <t>1.62</t>
  </si>
  <si>
    <t>2020年6月</t>
  </si>
  <si>
    <t>1.63</t>
  </si>
  <si>
    <t>T梁台座钢板</t>
  </si>
  <si>
    <t>2020年7月</t>
  </si>
  <si>
    <t>1.64</t>
  </si>
  <si>
    <t>加工收入</t>
  </si>
  <si>
    <t>1.65</t>
  </si>
  <si>
    <t>螺母配件</t>
  </si>
  <si>
    <t>1.66</t>
  </si>
  <si>
    <t>螺纹钢配件</t>
  </si>
  <si>
    <t>1.67</t>
  </si>
  <si>
    <t>1.68</t>
  </si>
  <si>
    <t>圆柱盖梁模板</t>
  </si>
  <si>
    <t>1.69</t>
  </si>
  <si>
    <t>1.70</t>
  </si>
  <si>
    <t>1.71</t>
  </si>
  <si>
    <t>箱梁钢模板</t>
  </si>
  <si>
    <t>1.72</t>
  </si>
  <si>
    <t>1.73</t>
  </si>
  <si>
    <t>1.74</t>
  </si>
  <si>
    <t>肋板式盖板涵盖板模板</t>
  </si>
  <si>
    <t>1-4</t>
  </si>
  <si>
    <t>2012年</t>
  </si>
  <si>
    <t>陕西省榆林市府谷县大岔乡大岔村</t>
  </si>
  <si>
    <t>曹慧君</t>
  </si>
  <si>
    <t>府谷项目部</t>
  </si>
  <si>
    <t>1.75</t>
  </si>
  <si>
    <t>1-5</t>
  </si>
  <si>
    <t>1.76</t>
  </si>
  <si>
    <t>1-6</t>
  </si>
  <si>
    <t>1.77</t>
  </si>
  <si>
    <t>600*1500</t>
  </si>
  <si>
    <t>2008年</t>
  </si>
  <si>
    <t>1.78</t>
  </si>
  <si>
    <t>虎峪河</t>
  </si>
  <si>
    <t>郭兴</t>
  </si>
  <si>
    <t>虎峪河项目部</t>
  </si>
  <si>
    <t>1.79</t>
  </si>
  <si>
    <t>4.5*2m</t>
  </si>
  <si>
    <t>1.80</t>
  </si>
  <si>
    <t>5*2m</t>
  </si>
  <si>
    <t>1.81</t>
  </si>
  <si>
    <t>箱涵</t>
  </si>
  <si>
    <t>文水县通宇钢结构有限公司</t>
  </si>
  <si>
    <t>山西省阳曲县北小店乡西北二环10标项目部钢筋加工厂</t>
  </si>
  <si>
    <t>王国来</t>
  </si>
  <si>
    <t>西北二环10标</t>
  </si>
  <si>
    <t>1.82</t>
  </si>
  <si>
    <t>墩柱</t>
  </si>
  <si>
    <t>1.83</t>
  </si>
  <si>
    <t>圆柱实心墩钢模板</t>
  </si>
  <si>
    <t>Φ1.4m</t>
  </si>
  <si>
    <t>文水县金杰</t>
  </si>
  <si>
    <t>1.84</t>
  </si>
  <si>
    <t>钢模板加工费</t>
  </si>
  <si>
    <t>晋盛达</t>
  </si>
  <si>
    <t>1.85</t>
  </si>
  <si>
    <t>1.86</t>
  </si>
  <si>
    <t>T梁模板加工费</t>
  </si>
  <si>
    <t>30mT梁中梁模板</t>
  </si>
  <si>
    <t>山西鑫诺路桥工程有限公司</t>
  </si>
  <si>
    <t>1.87</t>
  </si>
  <si>
    <t>30mT梁左边梁模板</t>
  </si>
  <si>
    <t>1.88</t>
  </si>
  <si>
    <t>30mT梁右边梁模板</t>
  </si>
  <si>
    <t>1.89</t>
  </si>
  <si>
    <t>2021.10</t>
  </si>
  <si>
    <t>1.90</t>
  </si>
  <si>
    <t>2022.03</t>
  </si>
  <si>
    <t>1.91</t>
  </si>
  <si>
    <t>1.92</t>
  </si>
  <si>
    <t>1.5m*0.9m</t>
  </si>
  <si>
    <t>太原站改</t>
  </si>
  <si>
    <t>1.93</t>
  </si>
  <si>
    <t>静兴</t>
  </si>
  <si>
    <t>1.94</t>
  </si>
  <si>
    <t>1.95</t>
  </si>
  <si>
    <t>1.96</t>
  </si>
  <si>
    <t>1.97</t>
  </si>
  <si>
    <t>1.98</t>
  </si>
  <si>
    <t>1.99</t>
  </si>
  <si>
    <t>1.100</t>
  </si>
  <si>
    <t>1.101</t>
  </si>
  <si>
    <t>φ2*4.2m*10mm</t>
  </si>
  <si>
    <t>成自项目部调拨</t>
  </si>
  <si>
    <t>牛尾沟特大桥</t>
  </si>
  <si>
    <t>冯日生</t>
  </si>
  <si>
    <t>乐西项目部</t>
  </si>
  <si>
    <t>中铁六局太原铁路建设有限公司</t>
  </si>
  <si>
    <t>1.102</t>
  </si>
  <si>
    <t>φ2*2.2m*10mm</t>
  </si>
  <si>
    <t>1.103</t>
  </si>
  <si>
    <t>1.104</t>
  </si>
  <si>
    <t>圆柱模板</t>
  </si>
  <si>
    <t>φ1.6m*3m</t>
  </si>
  <si>
    <t>宜彝项目部调拨</t>
  </si>
  <si>
    <t>1.105</t>
  </si>
  <si>
    <t>1.8m*2m</t>
  </si>
  <si>
    <t>1.106</t>
  </si>
  <si>
    <t>1.8m*3m</t>
  </si>
  <si>
    <t>1.107</t>
  </si>
  <si>
    <t>2.0m*3m</t>
  </si>
  <si>
    <t>1.108</t>
  </si>
  <si>
    <t>1.6m*1m</t>
  </si>
  <si>
    <t>1.109</t>
  </si>
  <si>
    <t>1.8m*1m</t>
  </si>
  <si>
    <t>1.110</t>
  </si>
  <si>
    <t>2.0m*6m</t>
  </si>
  <si>
    <t>1.111</t>
  </si>
  <si>
    <t>2.0m*1m</t>
  </si>
  <si>
    <t>1.112</t>
  </si>
  <si>
    <t>1.113</t>
  </si>
  <si>
    <t>φ1.6m*1m</t>
  </si>
  <si>
    <t>1.114</t>
  </si>
  <si>
    <t>φ1.4m*2m</t>
  </si>
  <si>
    <t>1.115</t>
  </si>
  <si>
    <t>φ1.4m*3m</t>
  </si>
  <si>
    <t>1.116</t>
  </si>
  <si>
    <t>钢棒</t>
  </si>
  <si>
    <t>φ100mm*6.41m</t>
  </si>
  <si>
    <t>1.117</t>
  </si>
  <si>
    <t>φ100mm*6.68m</t>
  </si>
  <si>
    <t>1.118</t>
  </si>
  <si>
    <t>φ100mm*4.25m</t>
  </si>
  <si>
    <t>1.119</t>
  </si>
  <si>
    <t>1.120</t>
  </si>
  <si>
    <t>塑钢模板</t>
  </si>
  <si>
    <t>150*80*8</t>
  </si>
  <si>
    <t>平方</t>
  </si>
  <si>
    <t>1.121</t>
  </si>
  <si>
    <t>物贸分公司调拨</t>
  </si>
  <si>
    <t>1.122</t>
  </si>
  <si>
    <t>1.123</t>
  </si>
  <si>
    <t>φ2m*3m</t>
  </si>
  <si>
    <t>1.124</t>
  </si>
  <si>
    <t>φ2m*1m</t>
  </si>
  <si>
    <t>1.125</t>
  </si>
  <si>
    <t>φ1.8m*1m</t>
  </si>
  <si>
    <t>1.126</t>
  </si>
  <si>
    <t>1.127</t>
  </si>
  <si>
    <t>1.128</t>
  </si>
  <si>
    <t>1.129</t>
  </si>
  <si>
    <t>φ1.4m*1m</t>
  </si>
  <si>
    <t>1.130</t>
  </si>
  <si>
    <t>1.131</t>
  </si>
  <si>
    <t>1.132</t>
  </si>
  <si>
    <t>φ1.4m*0.4m</t>
  </si>
  <si>
    <t>1.133</t>
  </si>
  <si>
    <t>φ1.8m*3m</t>
  </si>
  <si>
    <t>1.134</t>
  </si>
  <si>
    <t>1.135</t>
  </si>
  <si>
    <t>1.136</t>
  </si>
  <si>
    <t>φ14*3m</t>
  </si>
  <si>
    <t>1.137</t>
  </si>
  <si>
    <t>φ14*1.5m</t>
  </si>
  <si>
    <t>1.138</t>
  </si>
  <si>
    <t>φ1.4*1m</t>
  </si>
  <si>
    <t>1.139</t>
  </si>
  <si>
    <t>φ1.4*3m</t>
  </si>
  <si>
    <t>1.140</t>
  </si>
  <si>
    <t>φ1.8*3m</t>
  </si>
  <si>
    <t>1.141</t>
  </si>
  <si>
    <t>φ1.8*2m</t>
  </si>
  <si>
    <t>1.142</t>
  </si>
  <si>
    <t>φ1.8*1m</t>
  </si>
  <si>
    <t>1.143</t>
  </si>
  <si>
    <t>φ2*1m</t>
  </si>
  <si>
    <t>1.144</t>
  </si>
  <si>
    <t>1.145</t>
  </si>
  <si>
    <t>φ2*3m</t>
  </si>
  <si>
    <t>1.146</t>
  </si>
  <si>
    <t>1.147</t>
  </si>
  <si>
    <t>φ1.4*2m</t>
  </si>
  <si>
    <t>1.148</t>
  </si>
  <si>
    <t>1.149</t>
  </si>
  <si>
    <t>1.150</t>
  </si>
  <si>
    <t>1.151</t>
  </si>
  <si>
    <t>圆柱墩系梁模板</t>
  </si>
  <si>
    <t>φ2.2、2.4</t>
  </si>
  <si>
    <t>成都衡威钢构彩板有限公司</t>
  </si>
  <si>
    <t>1.152</t>
  </si>
  <si>
    <t>φ1.3、2.2</t>
  </si>
  <si>
    <t>1.153</t>
  </si>
  <si>
    <t>φ1.6、1.8、2、2.2、2.4</t>
  </si>
  <si>
    <t>1.154</t>
  </si>
  <si>
    <t>2.3*2.3</t>
  </si>
  <si>
    <t>1.155</t>
  </si>
  <si>
    <t>1.156</t>
  </si>
  <si>
    <t>1.157</t>
  </si>
  <si>
    <t>站台墙模板</t>
  </si>
  <si>
    <t>山西省吕梁市柳林县龙门会</t>
  </si>
  <si>
    <t>党有兵</t>
  </si>
  <si>
    <t>18630528116</t>
  </si>
  <si>
    <t>水曹项目部（太中银）</t>
  </si>
  <si>
    <t>1.158</t>
  </si>
  <si>
    <t>圆柱钢模板φ1.6</t>
  </si>
  <si>
    <t>t</t>
  </si>
  <si>
    <t>良</t>
  </si>
  <si>
    <t>山西省太原市阳曲县杨兴河大桥</t>
  </si>
  <si>
    <t>戎飞任</t>
  </si>
  <si>
    <t>西北二环11标</t>
  </si>
  <si>
    <t>1.159</t>
  </si>
  <si>
    <t>圆柱钢模板φ1.8</t>
  </si>
  <si>
    <t>1.160</t>
  </si>
  <si>
    <t>中系梁钢模板φ1.6m</t>
  </si>
  <si>
    <t>1.161</t>
  </si>
  <si>
    <t>盖梁钢模板φ1.4m</t>
  </si>
  <si>
    <t>1.162</t>
  </si>
  <si>
    <t>盖梁钢模板φ1.6m</t>
  </si>
  <si>
    <t>1.163</t>
  </si>
  <si>
    <t>盖梁钢模板φ1.8m</t>
  </si>
  <si>
    <t>1.164</t>
  </si>
  <si>
    <t>山西省太原市阳曲县北家庄2号桥</t>
  </si>
  <si>
    <t>1.165</t>
  </si>
  <si>
    <t>1.166</t>
  </si>
  <si>
    <t>1.167</t>
  </si>
  <si>
    <t>1.168</t>
  </si>
  <si>
    <t>矩形墩模板支撑</t>
  </si>
  <si>
    <t>1.169</t>
  </si>
  <si>
    <t>1.170</t>
  </si>
  <si>
    <t>1.171</t>
  </si>
  <si>
    <t>1.172</t>
  </si>
  <si>
    <t>钢模板1.6m盖梁</t>
  </si>
  <si>
    <t>1.173</t>
  </si>
  <si>
    <t>钢模板1.4m盖梁</t>
  </si>
  <si>
    <t>1.174</t>
  </si>
  <si>
    <t>1.175</t>
  </si>
  <si>
    <t>1.176</t>
  </si>
  <si>
    <t>1.177</t>
  </si>
  <si>
    <t>1.178</t>
  </si>
  <si>
    <t>1.179</t>
  </si>
  <si>
    <t>尖草坪项目部工地</t>
  </si>
  <si>
    <t>尖草坪项目部</t>
  </si>
  <si>
    <t>1.180</t>
  </si>
  <si>
    <t>30cm*150cm</t>
  </si>
  <si>
    <t>山西省吕梁市</t>
  </si>
  <si>
    <t>赵志刚</t>
  </si>
  <si>
    <t>太中银项目部</t>
  </si>
  <si>
    <t>1.181</t>
  </si>
  <si>
    <t>钢模板平模</t>
  </si>
  <si>
    <t>宽20*长150cm</t>
  </si>
  <si>
    <t>晋中市榆次区中鼎物流园对面</t>
  </si>
  <si>
    <t>1.182</t>
  </si>
  <si>
    <t>宽30*长150cm</t>
  </si>
  <si>
    <t>1.183</t>
  </si>
  <si>
    <t>宽90*长150cm</t>
  </si>
  <si>
    <t>1.184</t>
  </si>
  <si>
    <t>钢模板倒角模</t>
  </si>
  <si>
    <t>宽10+20+10*长150cm</t>
  </si>
  <si>
    <t>1.185</t>
  </si>
  <si>
    <t>钢模板直角模</t>
  </si>
  <si>
    <t>宽25+25*长150cm</t>
  </si>
  <si>
    <t>1.186</t>
  </si>
  <si>
    <t>宽30+45*长150cm</t>
  </si>
  <si>
    <t>1.187</t>
  </si>
  <si>
    <t>临汾五一路工地</t>
  </si>
  <si>
    <t>临汾五一路快速通道工程</t>
  </si>
  <si>
    <t>1.188</t>
  </si>
  <si>
    <t>1.189</t>
  </si>
  <si>
    <t>新兰路项目部</t>
  </si>
  <si>
    <t>1.190</t>
  </si>
  <si>
    <t>墩柱钢模板</t>
  </si>
  <si>
    <t>实体直墩</t>
  </si>
  <si>
    <t>成自项目部调过</t>
  </si>
  <si>
    <t>蒙家湾北洛河特大桥</t>
  </si>
  <si>
    <t>尚龙</t>
  </si>
  <si>
    <t>西延项目部</t>
  </si>
  <si>
    <t>中铁六局集团太原铁建</t>
  </si>
  <si>
    <t>1.191</t>
  </si>
  <si>
    <t>1.192</t>
  </si>
  <si>
    <t>关家沟北洛河特大桥</t>
  </si>
  <si>
    <t>1.193</t>
  </si>
  <si>
    <t>6*2.3</t>
  </si>
  <si>
    <t>文水县保俐钢模板有限公司</t>
  </si>
  <si>
    <t>综合一工区</t>
  </si>
  <si>
    <t>1.194</t>
  </si>
  <si>
    <t>8.5*3.6</t>
  </si>
  <si>
    <t>1.195</t>
  </si>
  <si>
    <t>1.196</t>
  </si>
  <si>
    <t>1.197</t>
  </si>
  <si>
    <t>1.198</t>
  </si>
  <si>
    <t>1.199</t>
  </si>
  <si>
    <t>7*3.4</t>
  </si>
  <si>
    <t>1.200</t>
  </si>
  <si>
    <t>1.201</t>
  </si>
  <si>
    <t>1.202</t>
  </si>
  <si>
    <t>8.8*3.4</t>
  </si>
  <si>
    <t>1.203</t>
  </si>
  <si>
    <t>1.204</t>
  </si>
  <si>
    <t>6.4*3.2</t>
  </si>
  <si>
    <t>1.205</t>
  </si>
  <si>
    <t>1.206</t>
  </si>
  <si>
    <t>1.207</t>
  </si>
  <si>
    <t>1.208</t>
  </si>
  <si>
    <t>2.1</t>
  </si>
  <si>
    <t>墩身异形模板</t>
  </si>
  <si>
    <t>ACDFGHIJLRM各1套为单线圆端实体型桥墩；ON各1套为32+48+32连续梁边墩及中墩；EK各3套为单线圆端实体型桥墩。曲线，坡率35:1。</t>
  </si>
  <si>
    <t>根据《单线圆端形实体桥墩 通桥（2012）4103-Ⅱ》定做</t>
  </si>
  <si>
    <t>中铁二院工程集团有限责任公司</t>
  </si>
  <si>
    <t>立华工程机械厂</t>
  </si>
  <si>
    <t>2015.6-2020.7</t>
  </si>
  <si>
    <t>马鹏程</t>
  </si>
  <si>
    <t>朔山项目部</t>
  </si>
  <si>
    <t>2.2</t>
  </si>
  <si>
    <t>文水县益鑫模板</t>
  </si>
  <si>
    <t>2.3</t>
  </si>
  <si>
    <t>E型4套，K型3套为单线圆端实体型桥墩</t>
  </si>
  <si>
    <t>2020.10.30</t>
  </si>
  <si>
    <t>2.4</t>
  </si>
  <si>
    <t>承台挡渣墙模板挡渣墙</t>
  </si>
  <si>
    <t>闲置（暂时）</t>
  </si>
  <si>
    <t xml:space="preserve">铁道第三勘察设计院集团有限公司
</t>
  </si>
  <si>
    <t>2017.10.20</t>
  </si>
  <si>
    <t>山西省朔州市朔城区三泉湾村朔山项目部料库</t>
  </si>
  <si>
    <t>2.5</t>
  </si>
  <si>
    <t>等截面曲线墩身模板</t>
  </si>
  <si>
    <t>文水县华盛钢模板有限公司</t>
  </si>
  <si>
    <t>2018.10</t>
  </si>
  <si>
    <t>山西省临汾市安泽县东梁家圪台</t>
  </si>
  <si>
    <t>杨春生</t>
  </si>
  <si>
    <t>永鑫项目部</t>
  </si>
  <si>
    <t>2.6</t>
  </si>
  <si>
    <t>变截面曲线墩身模板</t>
  </si>
  <si>
    <t>2.7</t>
  </si>
  <si>
    <t>变截面直线墩身模板</t>
  </si>
  <si>
    <t>2.8</t>
  </si>
  <si>
    <t>圆端型墩柱钢模板</t>
  </si>
  <si>
    <t>文水县通达工程设备有限公司</t>
  </si>
  <si>
    <t>2019.11</t>
  </si>
  <si>
    <t>山西省临汾市安泽东上县村</t>
  </si>
  <si>
    <t>2.9</t>
  </si>
  <si>
    <t>2020.5</t>
  </si>
  <si>
    <t>2.10</t>
  </si>
  <si>
    <t>空心墩身模板</t>
  </si>
  <si>
    <t>60:1</t>
  </si>
  <si>
    <t>2.11</t>
  </si>
  <si>
    <t>45:1</t>
  </si>
  <si>
    <t>2.12</t>
  </si>
  <si>
    <t>30:1</t>
  </si>
  <si>
    <t>2013年</t>
  </si>
  <si>
    <t>2.13</t>
  </si>
  <si>
    <t>2011年</t>
  </si>
  <si>
    <t>2.14</t>
  </si>
  <si>
    <t>实心墩身模板</t>
  </si>
  <si>
    <t>45：1</t>
  </si>
  <si>
    <t>2.15</t>
  </si>
  <si>
    <t>圆形墩柱模板</t>
  </si>
  <si>
    <t>文水县通达设备有限公司</t>
  </si>
  <si>
    <t>山西省吕梁市兴县蔚汾镇兴县北山项目部</t>
  </si>
  <si>
    <t>方仲浩</t>
  </si>
  <si>
    <t>兴县项目部</t>
  </si>
  <si>
    <t>2.16</t>
  </si>
  <si>
    <t>2.17</t>
  </si>
  <si>
    <t>2.18</t>
  </si>
  <si>
    <t>φ2.0m</t>
  </si>
  <si>
    <t>2.19</t>
  </si>
  <si>
    <t>桩间系梁模板</t>
  </si>
  <si>
    <t>2.20</t>
  </si>
  <si>
    <t>柱间系梁模板</t>
  </si>
  <si>
    <t>2.21</t>
  </si>
  <si>
    <t>2.22</t>
  </si>
  <si>
    <t>2.23</t>
  </si>
  <si>
    <t>2.24</t>
  </si>
  <si>
    <t>矩形空心墩模板</t>
  </si>
  <si>
    <t>2.8*6m</t>
  </si>
  <si>
    <t>2.25</t>
  </si>
  <si>
    <t>6*2.4m</t>
  </si>
  <si>
    <t>文水县航艺模板有限公司</t>
  </si>
  <si>
    <t>2.26</t>
  </si>
  <si>
    <t>2.27</t>
  </si>
  <si>
    <t>2.28</t>
  </si>
  <si>
    <t>2.29</t>
  </si>
  <si>
    <t>2.30</t>
  </si>
  <si>
    <t>2.31</t>
  </si>
  <si>
    <t>矩形盖梁模板</t>
  </si>
  <si>
    <t>2.32</t>
  </si>
  <si>
    <t>矩形钢模板</t>
  </si>
  <si>
    <t>矩形6*2.4m</t>
  </si>
  <si>
    <t>2.33</t>
  </si>
  <si>
    <t>2.34</t>
  </si>
  <si>
    <t>圆柱Φ2.3m</t>
  </si>
  <si>
    <t>2.35</t>
  </si>
  <si>
    <t>2.36</t>
  </si>
  <si>
    <t>2.37</t>
  </si>
  <si>
    <t>2.38</t>
  </si>
  <si>
    <t>2.39</t>
  </si>
  <si>
    <t>2.40</t>
  </si>
  <si>
    <t>2.41</t>
  </si>
  <si>
    <t>2.42</t>
  </si>
  <si>
    <t>圆柱系梁模板</t>
  </si>
  <si>
    <t>2.43</t>
  </si>
  <si>
    <t>护栏模板</t>
  </si>
  <si>
    <t>118*43.2cm</t>
  </si>
  <si>
    <t>2.44</t>
  </si>
  <si>
    <t>40米梁</t>
  </si>
  <si>
    <t>2.45</t>
  </si>
  <si>
    <t>原平项目部</t>
  </si>
  <si>
    <t>2.46</t>
  </si>
  <si>
    <t>3.1</t>
  </si>
  <si>
    <t>墩身模板6.68*1.2*1.5米 Ф1600中系梁</t>
  </si>
  <si>
    <t>3.2</t>
  </si>
  <si>
    <t>2019年7月</t>
  </si>
  <si>
    <t>3.3</t>
  </si>
  <si>
    <t>3.4</t>
  </si>
  <si>
    <t>3.5</t>
  </si>
  <si>
    <t>3.6</t>
  </si>
  <si>
    <t>3.7</t>
  </si>
  <si>
    <t>3.8</t>
  </si>
  <si>
    <t>系梁钢模板</t>
  </si>
  <si>
    <t>3.9</t>
  </si>
  <si>
    <t>24.8m</t>
  </si>
  <si>
    <t>2019.6.10</t>
  </si>
  <si>
    <t>3.10</t>
  </si>
  <si>
    <t>桥台钢模板</t>
  </si>
  <si>
    <t>2020.8-2021.5</t>
  </si>
  <si>
    <t>成自项目部料场、各大桥施工地</t>
  </si>
  <si>
    <t>王志伟</t>
  </si>
  <si>
    <t>成自项目部</t>
  </si>
  <si>
    <t>3.11</t>
  </si>
  <si>
    <t>60m</t>
  </si>
  <si>
    <t>2020.8-2021.1</t>
  </si>
  <si>
    <t>成自项目部料场</t>
  </si>
  <si>
    <t>3.12</t>
  </si>
  <si>
    <t>52m</t>
  </si>
  <si>
    <t>3.13</t>
  </si>
  <si>
    <t>37.5m</t>
  </si>
  <si>
    <t>3.14</t>
  </si>
  <si>
    <t>3.15</t>
  </si>
  <si>
    <t>实体坡比墩</t>
  </si>
  <si>
    <t>3.16</t>
  </si>
  <si>
    <t>直墩踏板</t>
  </si>
  <si>
    <t>3.17</t>
  </si>
  <si>
    <t>2-2.5m×2.9-5m</t>
  </si>
  <si>
    <t>3.18</t>
  </si>
  <si>
    <t>2.5*2米盖梁  高低跨盖梁</t>
  </si>
  <si>
    <t>T</t>
  </si>
  <si>
    <t>山西省原平市前进东街</t>
  </si>
  <si>
    <t>李雪刚</t>
  </si>
  <si>
    <t>原平市前进东街铁路立交桥项目</t>
  </si>
  <si>
    <t>3.19</t>
  </si>
  <si>
    <t>1.8米圆墩，30°斜交盖梁</t>
  </si>
  <si>
    <t>3.20</t>
  </si>
  <si>
    <t>2*2米方墩0.15米倒角</t>
  </si>
  <si>
    <t>3.21</t>
  </si>
  <si>
    <t>1.8米圆墩</t>
  </si>
  <si>
    <t>3.22</t>
  </si>
  <si>
    <t>预制箱梁模板</t>
  </si>
  <si>
    <t>40m箱梁外模</t>
  </si>
  <si>
    <t>3.23</t>
  </si>
  <si>
    <t>40m箱梁内模</t>
  </si>
  <si>
    <t>3.24</t>
  </si>
  <si>
    <t>40米梁模板</t>
  </si>
  <si>
    <t>钢模板 内膜为合页式</t>
  </si>
  <si>
    <t>3.25</t>
  </si>
  <si>
    <t>防护模板</t>
  </si>
  <si>
    <t>2020.11.5</t>
  </si>
  <si>
    <t>3.26</t>
  </si>
  <si>
    <t>湿接缝模板</t>
  </si>
  <si>
    <t>40m箱梁湿接缝</t>
  </si>
  <si>
    <t>3.27</t>
  </si>
  <si>
    <t>文水县金杰建筑工程材料有限公司</t>
  </si>
  <si>
    <t>新田湾隧道出口炸药库旁</t>
  </si>
  <si>
    <t>3.28</t>
  </si>
  <si>
    <t>葫包咀大桥</t>
  </si>
  <si>
    <t>3.29</t>
  </si>
  <si>
    <t>文水县四方金属材料有限公司</t>
  </si>
  <si>
    <t>3.30</t>
  </si>
  <si>
    <t>3.31</t>
  </si>
  <si>
    <t>生基埂大桥</t>
  </si>
  <si>
    <t>3.32</t>
  </si>
  <si>
    <t>3.33</t>
  </si>
  <si>
    <t>3.34</t>
  </si>
  <si>
    <t>变截面实心墩模板</t>
  </si>
  <si>
    <t>25m</t>
  </si>
  <si>
    <t>3.35</t>
  </si>
  <si>
    <t>1.7*1.7m</t>
  </si>
  <si>
    <t>3.36</t>
  </si>
  <si>
    <t>25m、中梁</t>
  </si>
  <si>
    <t>3.37</t>
  </si>
  <si>
    <t>实心墩模板</t>
  </si>
  <si>
    <t>25m、边梁</t>
  </si>
  <si>
    <t>3.38</t>
  </si>
  <si>
    <t>3.39</t>
  </si>
  <si>
    <t>圆柱墩盖梁、系梁</t>
  </si>
  <si>
    <t>3.40</t>
  </si>
  <si>
    <t>T梁</t>
  </si>
  <si>
    <t>3.41</t>
  </si>
  <si>
    <t>变截面实心墩盖梁</t>
  </si>
  <si>
    <t>3.42</t>
  </si>
  <si>
    <t>液压滑模</t>
  </si>
  <si>
    <t>中铁二局第六工程有限公司</t>
  </si>
  <si>
    <t>3.43</t>
  </si>
  <si>
    <t>矩形墩模板</t>
  </si>
  <si>
    <t>1.7m</t>
  </si>
  <si>
    <t>3.44</t>
  </si>
  <si>
    <t>圆柱墩模板</t>
  </si>
  <si>
    <t>E匝道4#桥</t>
  </si>
  <si>
    <t>3.45</t>
  </si>
  <si>
    <t>桥面附属</t>
  </si>
  <si>
    <t>3.46</t>
  </si>
  <si>
    <t>25m、2套</t>
  </si>
  <si>
    <t>3.47</t>
  </si>
  <si>
    <t>25米内模、2套</t>
  </si>
  <si>
    <t>2套</t>
  </si>
  <si>
    <t>重庆市鹏骐钢模制造有限公司</t>
  </si>
  <si>
    <t>3.48</t>
  </si>
  <si>
    <t>25米边梁、1套</t>
  </si>
  <si>
    <t>3.49</t>
  </si>
  <si>
    <t>变截面空心墩盖梁模板</t>
  </si>
  <si>
    <t>2.3m、1套</t>
  </si>
  <si>
    <t>空岩湾1#桥</t>
  </si>
  <si>
    <t>3.50</t>
  </si>
  <si>
    <t>110米</t>
  </si>
  <si>
    <t>3.51</t>
  </si>
  <si>
    <t>25m、1.5套边梁</t>
  </si>
  <si>
    <t>3.52</t>
  </si>
  <si>
    <t>中铁六局集团太原铁路建设有限公司宜彝高速公路项目部</t>
  </si>
  <si>
    <t>太原铁建</t>
  </si>
  <si>
    <t xml:space="preserve">箱梁模板
</t>
  </si>
  <si>
    <t>35米，含内模</t>
  </si>
  <si>
    <t>文水县亚峰盛钢模板制造有限公司</t>
  </si>
  <si>
    <t>3.53</t>
  </si>
  <si>
    <t>3.54</t>
  </si>
  <si>
    <t>3.55</t>
  </si>
  <si>
    <t>Φ1.4-Φ2.1m</t>
  </si>
  <si>
    <t>中铁第四勘察设计院集团有限公司</t>
  </si>
  <si>
    <t>云南中铁双百建材有限公司</t>
  </si>
  <si>
    <t>2021.3.23</t>
  </si>
  <si>
    <t>库房存放</t>
  </si>
  <si>
    <t>李靖</t>
  </si>
  <si>
    <t>勐绿项目部</t>
  </si>
  <si>
    <t>3.56</t>
  </si>
  <si>
    <t>成自项目调拨</t>
  </si>
  <si>
    <t>2021.12.16</t>
  </si>
  <si>
    <t>土洞新寨3号大桥</t>
  </si>
  <si>
    <t>3.57</t>
  </si>
  <si>
    <t>3.58</t>
  </si>
  <si>
    <t>地系梁弧模</t>
  </si>
  <si>
    <t>3.59</t>
  </si>
  <si>
    <t>3.60</t>
  </si>
  <si>
    <t>φ1.4m 长5.5m*宽1m*高1.2m</t>
  </si>
  <si>
    <t>河南凯煌模板有限公司</t>
  </si>
  <si>
    <t>3.61</t>
  </si>
  <si>
    <t>地系梁模板</t>
  </si>
  <si>
    <t>φ1.6m 长5.3m*宽1.2m*高1.5m</t>
  </si>
  <si>
    <t>3.62</t>
  </si>
  <si>
    <t>1.6米柱式墩地系梁</t>
  </si>
  <si>
    <t>φ1.6m 长5.3m*宽1.3m*高1.5m</t>
  </si>
  <si>
    <t>3.63</t>
  </si>
  <si>
    <t>φ1.6m 长5.5m*宽1.3m*高1.5m</t>
  </si>
  <si>
    <t>3.64</t>
  </si>
  <si>
    <t>φ1.6m 长3.95m*宽1.3m*高1.5m</t>
  </si>
  <si>
    <t>3.65</t>
  </si>
  <si>
    <t>φ1.8m 长5.1m*宽1.3m*高1.5m</t>
  </si>
  <si>
    <t>3.66</t>
  </si>
  <si>
    <t>地系梁平模</t>
  </si>
  <si>
    <t>φ1.6m*2.35m</t>
  </si>
  <si>
    <t>3.67</t>
  </si>
  <si>
    <t>φ1.6m*3.59m</t>
  </si>
  <si>
    <t>3.68</t>
  </si>
  <si>
    <t>φ1.6m*2.16m</t>
  </si>
  <si>
    <t>3.69</t>
  </si>
  <si>
    <t>弧模</t>
  </si>
  <si>
    <t>φ2.6m*1.6m</t>
  </si>
  <si>
    <t>3.70</t>
  </si>
  <si>
    <t>平模</t>
  </si>
  <si>
    <t>2.45m*1.3m</t>
  </si>
  <si>
    <t>3.71</t>
  </si>
  <si>
    <t>2m*2.03m</t>
  </si>
  <si>
    <t>3.72</t>
  </si>
  <si>
    <t>0.7m*2m</t>
  </si>
  <si>
    <t>3.73</t>
  </si>
  <si>
    <t>1.6m*0.75m</t>
  </si>
  <si>
    <t>3.74</t>
  </si>
  <si>
    <t>2.1m*2m</t>
  </si>
  <si>
    <t>3.75</t>
  </si>
  <si>
    <t>2.6m*1.5m</t>
  </si>
  <si>
    <t>3.76</t>
  </si>
  <si>
    <t>1.6m*3.3m</t>
  </si>
  <si>
    <t>3.77</t>
  </si>
  <si>
    <t>3.78</t>
  </si>
  <si>
    <t>1.9m*2.9m</t>
  </si>
  <si>
    <t>3.79</t>
  </si>
  <si>
    <t>1.9m*2m</t>
  </si>
  <si>
    <t>3.80</t>
  </si>
  <si>
    <t>柱模</t>
  </si>
  <si>
    <t>3.81</t>
  </si>
  <si>
    <t>φ1.8m*2m</t>
  </si>
  <si>
    <t>3.82</t>
  </si>
  <si>
    <t>3.83</t>
  </si>
  <si>
    <t>4.1</t>
  </si>
  <si>
    <t>第二架子队</t>
  </si>
  <si>
    <t>蒙华项目部</t>
  </si>
  <si>
    <t>4.2</t>
  </si>
  <si>
    <t>文水县天正安防设备有限公司</t>
  </si>
  <si>
    <t>2017.4.25</t>
  </si>
  <si>
    <t>2020.8.15</t>
  </si>
  <si>
    <t>现浇梁模板0#块</t>
  </si>
  <si>
    <t>32m+48m+32m</t>
  </si>
  <si>
    <t>安泽项目部</t>
  </si>
  <si>
    <t>2021.8-2021.11</t>
  </si>
  <si>
    <t>球溪河工地（成自）</t>
  </si>
  <si>
    <t>柱式墩模板</t>
  </si>
  <si>
    <t>φ1.4m 2m*4节+1m+0.5m+0.5m</t>
  </si>
  <si>
    <t>φ1.4m 2m*9节+1m+0.5m+0.5m</t>
  </si>
  <si>
    <t>圆柱墩抱箍</t>
  </si>
  <si>
    <t>φ2.4m</t>
  </si>
  <si>
    <t>德阳凯旋机械有限公司</t>
  </si>
  <si>
    <t>φ1.3m</t>
  </si>
  <si>
    <t>4.10</t>
  </si>
  <si>
    <t>φ2.2m</t>
  </si>
  <si>
    <t>小边模</t>
  </si>
  <si>
    <t>200mm每块共3段</t>
  </si>
  <si>
    <t>钢模</t>
  </si>
  <si>
    <t>0.1m*1.5m</t>
  </si>
  <si>
    <t>成都市滕磊物流有限公司</t>
  </si>
  <si>
    <t>0.2m*1.5m</t>
  </si>
  <si>
    <t>0.3m*1.5m</t>
  </si>
  <si>
    <t>平模板</t>
  </si>
  <si>
    <t>文水县保利钢模有限公司</t>
  </si>
  <si>
    <t>地、中系梁模板</t>
  </si>
  <si>
    <t>1.3*11.2（横）*2（纵）*1.3（高）</t>
  </si>
  <si>
    <t>1.4*11.2（横）*2（纵）*1.3（高）</t>
  </si>
  <si>
    <t>1.4m*11.84*2.2*1.6</t>
  </si>
  <si>
    <t>（40+2*64+40）m</t>
  </si>
  <si>
    <t>合格</t>
  </si>
  <si>
    <t>湖北晟鑫金属制品有限公司</t>
  </si>
  <si>
    <t>（40+64+40）0号块</t>
  </si>
  <si>
    <t>5.1</t>
  </si>
  <si>
    <t>调车平转台</t>
  </si>
  <si>
    <t>DHZ-35</t>
  </si>
  <si>
    <t>长风街料库</t>
  </si>
  <si>
    <t>刘小民</t>
  </si>
  <si>
    <t>西南环项目部</t>
  </si>
  <si>
    <t>5.2</t>
  </si>
  <si>
    <t>轨道排架</t>
  </si>
  <si>
    <t>弹性支撑块型</t>
  </si>
  <si>
    <t>北京铁五院工程机械有限公司、蒙华调入</t>
  </si>
  <si>
    <t>5.3</t>
  </si>
  <si>
    <t>爬升机位</t>
  </si>
  <si>
    <t>2.3*2.3m液压爬模</t>
  </si>
  <si>
    <t>1榀</t>
  </si>
  <si>
    <t>5.4</t>
  </si>
  <si>
    <t>操作平台</t>
  </si>
  <si>
    <t>5.5</t>
  </si>
  <si>
    <t>5.6</t>
  </si>
  <si>
    <t>操作平台模板</t>
  </si>
  <si>
    <t>5.7</t>
  </si>
  <si>
    <t>2.1米</t>
  </si>
  <si>
    <t>四川卓良模板有限公司</t>
  </si>
  <si>
    <t>5.8</t>
  </si>
  <si>
    <t>2.6米</t>
  </si>
  <si>
    <t>5.9</t>
  </si>
  <si>
    <t>5.10</t>
  </si>
  <si>
    <t>蝶形螺母（爬架）</t>
  </si>
  <si>
    <t>D20</t>
  </si>
  <si>
    <t>件</t>
  </si>
  <si>
    <t>5.11</t>
  </si>
  <si>
    <t>母连垫（爬架）</t>
  </si>
  <si>
    <t>5.12</t>
  </si>
  <si>
    <t>铸造调节座（爬架）</t>
  </si>
  <si>
    <t>5.13</t>
  </si>
  <si>
    <t>爬锥（爬架）</t>
  </si>
  <si>
    <t>M42/D26.5</t>
  </si>
  <si>
    <t>5.14</t>
  </si>
  <si>
    <t>受力螺栓（爬架）</t>
  </si>
  <si>
    <t>M42/90</t>
  </si>
  <si>
    <t>5.15</t>
  </si>
  <si>
    <t>安装螺栓（爬架）</t>
  </si>
  <si>
    <t>M42/50</t>
  </si>
  <si>
    <t>5.16</t>
  </si>
  <si>
    <t>背楞扣件（爬架）</t>
  </si>
  <si>
    <t>D15</t>
  </si>
  <si>
    <t>5.17</t>
  </si>
  <si>
    <t>5.18</t>
  </si>
  <si>
    <t>垫片（爬架）</t>
  </si>
  <si>
    <t>60x140</t>
  </si>
  <si>
    <t>5.19</t>
  </si>
  <si>
    <t xml:space="preserve">高强螺杆（爬架）    </t>
  </si>
  <si>
    <t>D26.5</t>
  </si>
  <si>
    <t>5.20</t>
  </si>
  <si>
    <t>埋件板（爬架）</t>
  </si>
  <si>
    <t>5.21</t>
  </si>
  <si>
    <t>对拉杆（爬架）</t>
  </si>
  <si>
    <t>5.22</t>
  </si>
  <si>
    <t>5.23</t>
  </si>
  <si>
    <t>5.24</t>
  </si>
  <si>
    <t>5.25</t>
  </si>
  <si>
    <t>5.26</t>
  </si>
  <si>
    <t>5.27</t>
  </si>
  <si>
    <t>5.28</t>
  </si>
  <si>
    <t>5.29</t>
  </si>
  <si>
    <t>5.30</t>
  </si>
  <si>
    <t>5.31</t>
  </si>
  <si>
    <t>5.32</t>
  </si>
  <si>
    <t>5.33</t>
  </si>
  <si>
    <t>液压油缸（爬架）</t>
  </si>
  <si>
    <t>行程400m</t>
  </si>
  <si>
    <t>工槽角</t>
  </si>
  <si>
    <t>500*200*16</t>
  </si>
  <si>
    <t>顶一</t>
  </si>
  <si>
    <t>顶桥一项目部</t>
  </si>
  <si>
    <t>900*300</t>
  </si>
  <si>
    <t>螺纹钢</t>
  </si>
  <si>
    <t>HRB400EФ12mm</t>
  </si>
  <si>
    <t>隧道左线</t>
  </si>
  <si>
    <t>HRB400EФ16mm</t>
  </si>
  <si>
    <t>斜井</t>
  </si>
  <si>
    <t>HRB400EФ22mm</t>
  </si>
  <si>
    <t>20mm</t>
  </si>
  <si>
    <t>30mm</t>
  </si>
  <si>
    <t>40mm</t>
  </si>
  <si>
    <t>I300A</t>
  </si>
  <si>
    <t>2019年12月</t>
  </si>
  <si>
    <t>400b</t>
  </si>
  <si>
    <t>钢筋加工场、拌合站</t>
  </si>
  <si>
    <t>300a</t>
  </si>
  <si>
    <t xml:space="preserve"> Q235B  140b</t>
  </si>
  <si>
    <t>球溪河工地</t>
  </si>
  <si>
    <t xml:space="preserve"> Q345B  250b</t>
  </si>
  <si>
    <t>Q235  280a</t>
  </si>
  <si>
    <t xml:space="preserve"> Q345B  400b</t>
  </si>
  <si>
    <t xml:space="preserve"> Q345B  450b</t>
  </si>
  <si>
    <t>花纹钢板</t>
  </si>
  <si>
    <t>6000*1510*2.5mm</t>
  </si>
  <si>
    <t>项目部</t>
  </si>
  <si>
    <t>6000*1510*10mm</t>
  </si>
  <si>
    <t>钢管立柱</t>
  </si>
  <si>
    <t>630*10*4.5米</t>
  </si>
  <si>
    <t>山西泰海钢材有限公司</t>
  </si>
  <si>
    <t>山西省太原市万柏林区北寒村</t>
  </si>
  <si>
    <t>梁忠</t>
  </si>
  <si>
    <t>东中环北延三标段</t>
  </si>
  <si>
    <t>32A*30米</t>
  </si>
  <si>
    <t>14*26米</t>
  </si>
  <si>
    <t>56*9.3米</t>
  </si>
  <si>
    <t>1.25</t>
  </si>
  <si>
    <t>630*10*4米</t>
  </si>
  <si>
    <t>1120*63mm</t>
  </si>
  <si>
    <t>榆次管片场</t>
  </si>
  <si>
    <t>任震</t>
  </si>
  <si>
    <t>榆次管片厂</t>
  </si>
  <si>
    <t>1206*63mm</t>
  </si>
  <si>
    <t>扁钢</t>
  </si>
  <si>
    <t>120*10*6000mm</t>
  </si>
  <si>
    <t>支</t>
  </si>
  <si>
    <t>80*80*6</t>
  </si>
  <si>
    <t>折弯钢板</t>
  </si>
  <si>
    <t>950*500*80mm</t>
  </si>
  <si>
    <t>600*500*80mm</t>
  </si>
  <si>
    <t>800*500*80mm</t>
  </si>
  <si>
    <t>矩形钢管</t>
  </si>
  <si>
    <t>100*50*30</t>
  </si>
  <si>
    <t xml:space="preserve">63C   </t>
  </si>
  <si>
    <t>市政项目部</t>
  </si>
  <si>
    <t>禹峰</t>
  </si>
  <si>
    <t>18636822122</t>
  </si>
  <si>
    <t>56B</t>
  </si>
  <si>
    <t>机械分公司</t>
  </si>
  <si>
    <t>16a</t>
  </si>
  <si>
    <t>钢管柱</t>
  </si>
  <si>
    <t>800*8000</t>
  </si>
  <si>
    <t>800*9200</t>
  </si>
  <si>
    <t>800*8500</t>
  </si>
  <si>
    <t>800*7730</t>
  </si>
  <si>
    <t>桥面走形板1.26*4.5m 203块，1.26*6m 37块</t>
  </si>
  <si>
    <t>800*7500</t>
  </si>
  <si>
    <t>63.0*10m</t>
  </si>
  <si>
    <t>630*10mm</t>
  </si>
  <si>
    <t>630*12米</t>
  </si>
  <si>
    <t>45a</t>
  </si>
  <si>
    <t>陕西省安康市汉阴县恒口中心料库</t>
  </si>
  <si>
    <t>王凯仁</t>
  </si>
  <si>
    <t>阳安项目部</t>
  </si>
  <si>
    <t>36a</t>
  </si>
  <si>
    <t>I45-2730</t>
  </si>
  <si>
    <t>40b</t>
  </si>
  <si>
    <t>22b</t>
  </si>
  <si>
    <t>36b</t>
  </si>
  <si>
    <t>32b</t>
  </si>
  <si>
    <t>22B</t>
  </si>
  <si>
    <t>36B</t>
  </si>
  <si>
    <t>32b*9.5m</t>
  </si>
  <si>
    <t>25b*10.3m</t>
  </si>
  <si>
    <t>25b*8m</t>
  </si>
  <si>
    <t>36b*8m</t>
  </si>
  <si>
    <t>45*2.73m</t>
  </si>
  <si>
    <t>工45*2730（YB163-63）</t>
  </si>
  <si>
    <t>40*6m</t>
  </si>
  <si>
    <t>工40*9500mm</t>
  </si>
  <si>
    <t>工18*3170mm</t>
  </si>
  <si>
    <t>工18*2270mm</t>
  </si>
  <si>
    <t>工32b*3370mm</t>
  </si>
  <si>
    <t>工18*1800mm</t>
  </si>
  <si>
    <t>工18*3005mm</t>
  </si>
  <si>
    <t>工18*2470mm</t>
  </si>
  <si>
    <t>工18*1610mm</t>
  </si>
  <si>
    <t>工18*3225mm</t>
  </si>
  <si>
    <t>工18*2798mm</t>
  </si>
  <si>
    <t>40B*6M*12.5MM</t>
  </si>
  <si>
    <t>规格：I18*长1.5m</t>
  </si>
  <si>
    <t>规格：I18*长3.5m</t>
  </si>
  <si>
    <t>100mm  6m</t>
  </si>
  <si>
    <t>陕西省安康市付家河</t>
  </si>
  <si>
    <t>2017.10</t>
  </si>
  <si>
    <t>陕西省安康市汉阴县恒口镇制梁场</t>
  </si>
  <si>
    <t>10# 6m</t>
  </si>
  <si>
    <t>安康市汉滨区恒口镇恒海物资供应站</t>
  </si>
  <si>
    <t>钢板Q235</t>
  </si>
  <si>
    <t>6mm</t>
  </si>
  <si>
    <t>陕西省安康市汉阴县恒口镇蒲溪、月亮坝</t>
  </si>
  <si>
    <t>8mm</t>
  </si>
  <si>
    <t>地脚钢板</t>
  </si>
  <si>
    <t>热镀M36*1300</t>
  </si>
  <si>
    <t>薄钢板</t>
  </si>
  <si>
    <t>连接钢板</t>
  </si>
  <si>
    <t>d880*22mm</t>
  </si>
  <si>
    <t>6000*2200*20mm</t>
  </si>
  <si>
    <t>6000*2200*225mm</t>
  </si>
  <si>
    <t>规格：24m*宽：2.2m*厚：2.5cm</t>
  </si>
  <si>
    <t>760*740*5</t>
  </si>
  <si>
    <t>1.26*6m*2mm</t>
  </si>
  <si>
    <t>冠梁工字钢</t>
  </si>
  <si>
    <t>45B*41000</t>
  </si>
  <si>
    <t>2019.7.20</t>
  </si>
  <si>
    <t>H70型钢腹板连接板</t>
  </si>
  <si>
    <t>665*115*10</t>
  </si>
  <si>
    <t>360*325*12</t>
  </si>
  <si>
    <t>横抬梁H型钢</t>
  </si>
  <si>
    <t>H700*300*19800</t>
  </si>
  <si>
    <t>H700*300*13500</t>
  </si>
  <si>
    <t>465*70*10</t>
  </si>
  <si>
    <t>665*300*22</t>
  </si>
  <si>
    <t>45B*17000</t>
  </si>
  <si>
    <t>465*152*16</t>
  </si>
  <si>
    <t>580*325*10</t>
  </si>
  <si>
    <t>m</t>
  </si>
  <si>
    <t>16#工字钢</t>
  </si>
  <si>
    <t>山西省太原市阳曲县北家庄牛金山隧道钢筋工厂旁</t>
  </si>
  <si>
    <t>22#A工字钢</t>
  </si>
  <si>
    <t>20#工字钢</t>
  </si>
  <si>
    <t>5#钢板</t>
  </si>
  <si>
    <t>400*400H型钢</t>
  </si>
  <si>
    <t>400*400H型钢（仰拱栈桥）</t>
  </si>
  <si>
    <t>圆钢Φ10cm*3m</t>
  </si>
  <si>
    <t>山西省太原市阳曲县五家咀隧道</t>
  </si>
  <si>
    <t>工字钢40#</t>
  </si>
  <si>
    <t>槽钢16#</t>
  </si>
  <si>
    <t>工字钢16#</t>
  </si>
  <si>
    <t>工字钢45#</t>
  </si>
  <si>
    <t>工字钢16mm</t>
  </si>
  <si>
    <t>工字钢45b*12m</t>
  </si>
  <si>
    <t>山西省太原市阳曲县料库</t>
  </si>
  <si>
    <t>钢板20mm</t>
  </si>
  <si>
    <t>钢板12mm</t>
  </si>
  <si>
    <t>槽钢16mm</t>
  </si>
  <si>
    <t>槽钢10#</t>
  </si>
  <si>
    <t>钢板10mm</t>
  </si>
  <si>
    <t>工字钢Q235B</t>
  </si>
  <si>
    <t>30工A*12m</t>
  </si>
  <si>
    <t>河北凯瑞华新材料科技有限公司</t>
  </si>
  <si>
    <t>2020.09</t>
  </si>
  <si>
    <t>30B</t>
  </si>
  <si>
    <t>新店街调拨</t>
  </si>
  <si>
    <t>40B</t>
  </si>
  <si>
    <t>中铁物贸</t>
  </si>
  <si>
    <t>钢模板加工原材料</t>
  </si>
  <si>
    <t>无缝钢管</t>
  </si>
  <si>
    <t>89mm</t>
  </si>
  <si>
    <t>100*10</t>
  </si>
  <si>
    <t>4mm</t>
  </si>
  <si>
    <t>108*6</t>
  </si>
  <si>
    <t>89*6</t>
  </si>
  <si>
    <t>等边角钢</t>
  </si>
  <si>
    <t>6.3#</t>
  </si>
  <si>
    <t>45#</t>
  </si>
  <si>
    <t>静兴调拨</t>
  </si>
  <si>
    <t>60kg/12.5m</t>
  </si>
  <si>
    <t>2020年4月</t>
  </si>
  <si>
    <t>岚城河</t>
  </si>
  <si>
    <t>主型卡</t>
  </si>
  <si>
    <t>内高320</t>
  </si>
  <si>
    <t>内高560</t>
  </si>
  <si>
    <t>扣板</t>
  </si>
  <si>
    <t>内高50</t>
  </si>
  <si>
    <t>p50-12.5m旧轨</t>
  </si>
  <si>
    <t>50kg/12.5米</t>
  </si>
  <si>
    <t>高强鱼尾螺栓</t>
  </si>
  <si>
    <t>60kg-25m</t>
  </si>
  <si>
    <t>P60-25m</t>
  </si>
  <si>
    <t>4m</t>
  </si>
  <si>
    <t>鸣里库房</t>
  </si>
  <si>
    <t>1m</t>
  </si>
  <si>
    <t>旧钢轨</t>
  </si>
  <si>
    <t>50kg/12.5m</t>
  </si>
  <si>
    <t>滦县榛子镇永利物资经销处</t>
  </si>
  <si>
    <t>鱼尾夹板</t>
  </si>
  <si>
    <t>50kg/m</t>
  </si>
  <si>
    <t>鱼尾高强螺栓带帽</t>
  </si>
  <si>
    <t>50kg/m  24*145mm</t>
  </si>
  <si>
    <t>弹簧垫圈</t>
  </si>
  <si>
    <t>Ф26mm</t>
  </si>
  <si>
    <t>43kg/m</t>
  </si>
  <si>
    <t>中铁物贸集团有限公司轨道集成分公司</t>
  </si>
  <si>
    <t>钢筋加工厂</t>
  </si>
  <si>
    <t>宗苏晋</t>
  </si>
  <si>
    <r>
      <rPr>
        <sz val="9"/>
        <color theme="1"/>
        <rFont val="宋体"/>
        <family val="3"/>
        <charset val="134"/>
      </rPr>
      <t>国道</t>
    </r>
    <r>
      <rPr>
        <sz val="9"/>
        <color theme="1"/>
        <rFont val="Tahoma"/>
        <family val="2"/>
      </rPr>
      <t>241</t>
    </r>
    <r>
      <rPr>
        <sz val="9"/>
        <color theme="1"/>
        <rFont val="宋体"/>
        <family val="3"/>
        <charset val="134"/>
      </rPr>
      <t>项目部</t>
    </r>
  </si>
  <si>
    <t>p60</t>
  </si>
  <si>
    <t>o50-25m</t>
  </si>
  <si>
    <t>盘扣挂网式安全爬梯</t>
  </si>
  <si>
    <t>3*2.7*1.45</t>
  </si>
  <si>
    <t>盘扣式安全爬梯</t>
  </si>
  <si>
    <t>梯笼式安全爬梯</t>
  </si>
  <si>
    <t>3*2*2</t>
  </si>
  <si>
    <t>框架组合式梯笼</t>
  </si>
  <si>
    <t>挂网式安全爬梯</t>
  </si>
  <si>
    <t>爬梯横杆</t>
  </si>
  <si>
    <t>1.34米</t>
  </si>
  <si>
    <t>安全爬梯</t>
  </si>
  <si>
    <t>立柱</t>
  </si>
  <si>
    <t>80*80</t>
  </si>
  <si>
    <t>扶手</t>
  </si>
  <si>
    <t>箱式梯笼</t>
  </si>
  <si>
    <t>4000mm*2000mm*2000mm 蓝色</t>
  </si>
  <si>
    <t>带网安全爬梯</t>
  </si>
  <si>
    <t>2438*1268</t>
  </si>
  <si>
    <t>2021年5月</t>
  </si>
  <si>
    <t>安全梯笼</t>
  </si>
  <si>
    <t>3008*1968</t>
  </si>
  <si>
    <t xml:space="preserve"> 米</t>
  </si>
  <si>
    <r>
      <rPr>
        <sz val="10"/>
        <rFont val="宋体"/>
        <family val="3"/>
        <charset val="134"/>
        <scheme val="minor"/>
      </rPr>
      <t>2013</t>
    </r>
    <r>
      <rPr>
        <sz val="10"/>
        <color theme="1"/>
        <rFont val="宋体"/>
        <family val="3"/>
        <charset val="134"/>
        <scheme val="minor"/>
      </rPr>
      <t>年</t>
    </r>
  </si>
  <si>
    <t>75型</t>
  </si>
  <si>
    <t>月亮坝墩身</t>
  </si>
  <si>
    <t>脚手架</t>
  </si>
  <si>
    <t>热镀锌盘扣式</t>
  </si>
  <si>
    <t>2017.4.20</t>
  </si>
  <si>
    <t>模块化安全梯笼</t>
  </si>
  <si>
    <t>3000*2000*2000高30m</t>
  </si>
  <si>
    <t>广东腾盛模架科技有限公司</t>
  </si>
  <si>
    <t>3000*2000*2000高32m</t>
  </si>
  <si>
    <t>3000*2000*2000高34m</t>
  </si>
  <si>
    <t>3*2*2米</t>
  </si>
  <si>
    <t>京张调拨</t>
  </si>
  <si>
    <t>2米高，2m*4m，带防护铁丝网，外侧需有防护铁丝网，楼梯宽度不低于75cm，外侧需刷防锈漆</t>
  </si>
  <si>
    <t>开平市中盛建筑脚手架有限公司</t>
  </si>
  <si>
    <t>2米高，2m*4m，外侧需有防护铁丝网，楼梯宽度不低于75cm，外侧需刷防锈漆，需配置门一套</t>
  </si>
  <si>
    <t>副</t>
  </si>
  <si>
    <t>山西省太原市阳曲县1#搅拌站</t>
  </si>
  <si>
    <t>挂网式安全爬梯1.3*2.5*3m</t>
  </si>
  <si>
    <t>中村特大桥</t>
  </si>
  <si>
    <t>梯笼
3m(长)*2m(宽)*2m(高)/节</t>
  </si>
  <si>
    <t>石板滩大桥、牛尾沟特大桥</t>
  </si>
  <si>
    <t>模块化梯笼</t>
  </si>
  <si>
    <t>3000*2000*2000mm</t>
  </si>
  <si>
    <t>土洞新寨1号大桥</t>
  </si>
  <si>
    <t>盖梁平台</t>
  </si>
  <si>
    <t>800*1500mm</t>
  </si>
  <si>
    <t>圆柱平台</t>
  </si>
  <si>
    <t>直径2.1</t>
  </si>
  <si>
    <t>廊桥通道</t>
  </si>
  <si>
    <t>800*1200mm</t>
  </si>
  <si>
    <t>大阿巴大桥</t>
  </si>
  <si>
    <t>综合三工区</t>
  </si>
  <si>
    <t>1.5*3</t>
  </si>
  <si>
    <t>450片</t>
  </si>
  <si>
    <t>330片</t>
  </si>
  <si>
    <t>L=3000</t>
  </si>
  <si>
    <t>1144片</t>
  </si>
  <si>
    <t>1.5*2</t>
  </si>
  <si>
    <t>129片</t>
  </si>
  <si>
    <t>1.5*1.5</t>
  </si>
  <si>
    <t>416片</t>
  </si>
  <si>
    <t>京张项目部</t>
  </si>
  <si>
    <t>131片</t>
  </si>
  <si>
    <t>贝雷销</t>
  </si>
  <si>
    <t>38个</t>
  </si>
  <si>
    <t>283个</t>
  </si>
  <si>
    <t>1465个</t>
  </si>
  <si>
    <t>含卡簧</t>
  </si>
  <si>
    <t>3200套</t>
  </si>
  <si>
    <t>227套</t>
  </si>
  <si>
    <t>支撑架</t>
  </si>
  <si>
    <t>198片</t>
  </si>
  <si>
    <t>352片</t>
  </si>
  <si>
    <t>85片</t>
  </si>
  <si>
    <t>900型</t>
  </si>
  <si>
    <t>L=900</t>
  </si>
  <si>
    <t>719片</t>
  </si>
  <si>
    <t>450型</t>
  </si>
  <si>
    <t>738片</t>
  </si>
  <si>
    <t>中铁六局集团太原铁路建设有限公司</t>
  </si>
  <si>
    <t>立杆3米</t>
  </si>
  <si>
    <t>φ60*3.2*3000</t>
  </si>
  <si>
    <t>9015根</t>
  </si>
  <si>
    <t>立杆2米</t>
  </si>
  <si>
    <t>φ60*3.2*2500</t>
  </si>
  <si>
    <t>2520根</t>
  </si>
  <si>
    <t>立杆1.5米</t>
  </si>
  <si>
    <t>φ60*3.2*1500</t>
  </si>
  <si>
    <t>1292根</t>
  </si>
  <si>
    <t>立杆1米</t>
  </si>
  <si>
    <t>φ60*3.2*1000</t>
  </si>
  <si>
    <t>1471根</t>
  </si>
  <si>
    <t>立杆0.5米</t>
  </si>
  <si>
    <t>φ60*3.2*500</t>
  </si>
  <si>
    <t>958根</t>
  </si>
  <si>
    <t>200基座</t>
  </si>
  <si>
    <t>5908根</t>
  </si>
  <si>
    <t>横杆0.6米</t>
  </si>
  <si>
    <t>φ48*2.5*540</t>
  </si>
  <si>
    <t>44006根</t>
  </si>
  <si>
    <t>横向斜杆0.79米</t>
  </si>
  <si>
    <t>φ33*2.3*790</t>
  </si>
  <si>
    <t>1288根</t>
  </si>
  <si>
    <t>纵向斜杆1.61米</t>
  </si>
  <si>
    <t>φ33*2.3*1606</t>
  </si>
  <si>
    <t>10412根</t>
  </si>
  <si>
    <t>φ42*2.3*1606</t>
  </si>
  <si>
    <t>24900根</t>
  </si>
  <si>
    <t>丝杆下托</t>
  </si>
  <si>
    <t>XT</t>
  </si>
  <si>
    <t>2326根</t>
  </si>
  <si>
    <t>丝杆上托</t>
  </si>
  <si>
    <t>ST</t>
  </si>
  <si>
    <t>1910根</t>
  </si>
  <si>
    <t>400*170*15.5*9m</t>
  </si>
  <si>
    <t>睢县裕铭建设劳务有限公司</t>
  </si>
  <si>
    <t>D8型</t>
  </si>
  <si>
    <t>1组</t>
  </si>
  <si>
    <t>D12型</t>
  </si>
  <si>
    <t>3组</t>
  </si>
  <si>
    <t>D24型</t>
  </si>
  <si>
    <t>8组</t>
  </si>
  <si>
    <t>台车模板</t>
  </si>
  <si>
    <t>隧道右线</t>
  </si>
  <si>
    <t>行走系统</t>
  </si>
  <si>
    <t>2017.9</t>
  </si>
  <si>
    <t>利旧</t>
  </si>
  <si>
    <t>液压行走系统</t>
  </si>
  <si>
    <t>隧道斜井</t>
  </si>
  <si>
    <t>二衬台车</t>
  </si>
  <si>
    <t>台车堵头模板</t>
  </si>
  <si>
    <t>人行横洞台车模板</t>
  </si>
  <si>
    <t>加宽段</t>
  </si>
  <si>
    <t>车行横洞台车</t>
  </si>
  <si>
    <t>水沟台车</t>
  </si>
  <si>
    <t>3套</t>
  </si>
  <si>
    <t>台车丝杠</t>
  </si>
  <si>
    <t>手动水沟槽模板</t>
  </si>
  <si>
    <t>水沟电缆槽台车</t>
  </si>
  <si>
    <t>台车行走系统</t>
  </si>
  <si>
    <t>台车液压系统</t>
  </si>
  <si>
    <t>二衬台车丝杠</t>
  </si>
  <si>
    <t>2019年8月</t>
  </si>
  <si>
    <t>二衬台车销子</t>
  </si>
  <si>
    <t>台车升降油缸</t>
  </si>
  <si>
    <t>800mm</t>
  </si>
  <si>
    <t>台车制动系统</t>
  </si>
  <si>
    <t>台车专用</t>
  </si>
  <si>
    <t>台车行走</t>
  </si>
  <si>
    <t>台车液压</t>
  </si>
  <si>
    <t>隧道台车模板</t>
  </si>
  <si>
    <t>台车主动行走系统</t>
  </si>
  <si>
    <t>12.1m</t>
  </si>
  <si>
    <t>1台</t>
  </si>
  <si>
    <t>文水县城鑫钢模板有限公司</t>
  </si>
  <si>
    <t>新田湾隧道出口</t>
  </si>
  <si>
    <t>新田湾隧道进口</t>
  </si>
  <si>
    <t>隧道电缆沟台车</t>
  </si>
  <si>
    <t>洛阳众拓隧道机械设备有限公司</t>
  </si>
  <si>
    <t>新田湾隧道</t>
  </si>
  <si>
    <t>隧道加宽段台车</t>
  </si>
  <si>
    <t>中铁八局第二工程有限公司</t>
  </si>
  <si>
    <t>隧道电缆槽模板</t>
  </si>
  <si>
    <t>台车</t>
  </si>
  <si>
    <r>
      <rPr>
        <sz val="10"/>
        <color theme="1"/>
        <rFont val="Tahoma"/>
        <family val="2"/>
      </rPr>
      <t>12.1</t>
    </r>
    <r>
      <rPr>
        <sz val="10"/>
        <color theme="1"/>
        <rFont val="宋体"/>
        <family val="3"/>
        <charset val="134"/>
      </rPr>
      <t>米</t>
    </r>
  </si>
  <si>
    <t>山文水四方金属材料有限公司</t>
  </si>
  <si>
    <t>山西省太原市阳曲县北家庄牛金山隧道</t>
  </si>
  <si>
    <t>12.5m/136.17t</t>
  </si>
  <si>
    <t>120.88t</t>
  </si>
  <si>
    <t>山西省太原市阳曲县五家砠隧道</t>
  </si>
  <si>
    <t>120.89t</t>
  </si>
  <si>
    <t>液压衬砌台车</t>
  </si>
  <si>
    <r>
      <rPr>
        <sz val="9"/>
        <color rgb="FF333333"/>
        <rFont val="Helvetica"/>
      </rPr>
      <t>12</t>
    </r>
    <r>
      <rPr>
        <sz val="9"/>
        <color indexed="63"/>
        <rFont val="宋体"/>
        <family val="3"/>
        <charset val="134"/>
      </rPr>
      <t>米（普通二衬）</t>
    </r>
  </si>
  <si>
    <r>
      <rPr>
        <sz val="9"/>
        <color theme="1"/>
        <rFont val="宋体"/>
        <family val="3"/>
        <charset val="134"/>
      </rPr>
      <t>文水县四方金属材料有限公司</t>
    </r>
    <r>
      <rPr>
        <sz val="11"/>
        <color theme="1"/>
        <rFont val="Tahoma"/>
        <family val="2"/>
      </rPr>
      <t xml:space="preserve">  </t>
    </r>
  </si>
  <si>
    <t>山西省阳曲县北小店乡西北二环10标项目部工地</t>
  </si>
  <si>
    <r>
      <rPr>
        <sz val="9"/>
        <color theme="1"/>
        <rFont val="宋体"/>
        <family val="3"/>
        <charset val="134"/>
      </rPr>
      <t>西北二环</t>
    </r>
    <r>
      <rPr>
        <sz val="9"/>
        <color theme="1"/>
        <rFont val="Tahoma"/>
        <family val="2"/>
      </rPr>
      <t>10</t>
    </r>
    <r>
      <rPr>
        <sz val="9"/>
        <color theme="1"/>
        <rFont val="宋体"/>
        <family val="3"/>
        <charset val="134"/>
      </rPr>
      <t>标</t>
    </r>
  </si>
  <si>
    <t>自动浇筑系统</t>
  </si>
  <si>
    <t>斜井台车加工</t>
  </si>
  <si>
    <t>衬砌台车模板</t>
  </si>
  <si>
    <t>萍乡亿中桥梁模板有限公司</t>
  </si>
  <si>
    <t>云南中铁双百建材有限公司楚雄分公司</t>
  </si>
  <si>
    <t>隧道洞口</t>
  </si>
  <si>
    <t>隧道二衬台车模板</t>
  </si>
  <si>
    <t>隧道出口</t>
  </si>
  <si>
    <t>6.5米（洞口加宽段紧急通车）</t>
  </si>
  <si>
    <t>高分子堵头板（台车用）</t>
  </si>
  <si>
    <t>12米（普通二衬）</t>
  </si>
  <si>
    <t>分料槽（台车用）</t>
  </si>
  <si>
    <t>291*4管、6板</t>
  </si>
  <si>
    <t>操作平台（台车用）</t>
  </si>
  <si>
    <t>6.5m</t>
  </si>
  <si>
    <t>半自动化导轨（台车用）</t>
  </si>
  <si>
    <t>9.6m</t>
  </si>
  <si>
    <t>防爆低频振捣器（台车用）</t>
  </si>
  <si>
    <t>2.0kw</t>
  </si>
  <si>
    <t>60cm</t>
  </si>
  <si>
    <t>隧道进、出口</t>
  </si>
  <si>
    <t>人行通道模板</t>
  </si>
  <si>
    <t>0.87m*1.5m</t>
  </si>
  <si>
    <t>1.25m*1.5m</t>
  </si>
  <si>
    <t>防爆振捣器（台车）</t>
  </si>
  <si>
    <t>2.2kw</t>
  </si>
  <si>
    <t>轴承（台车）</t>
  </si>
  <si>
    <t>面板</t>
  </si>
  <si>
    <t>河北江建商贸有限公司</t>
  </si>
  <si>
    <t>高强螺栓（台车）</t>
  </si>
  <si>
    <t>20*65</t>
  </si>
  <si>
    <t>面板（台车）</t>
  </si>
  <si>
    <t>平板振动器</t>
  </si>
  <si>
    <t>1500瓦</t>
  </si>
  <si>
    <t>四川煊朗商贸有限公司</t>
  </si>
  <si>
    <t>单侧曲轨侧卸式矿车</t>
  </si>
  <si>
    <t>（MCC8-9）</t>
  </si>
  <si>
    <t>（MCC12-9）</t>
  </si>
  <si>
    <t>人车</t>
  </si>
  <si>
    <t>(XRB15-9/6)</t>
  </si>
  <si>
    <t>轨轮式混泥土灌车</t>
  </si>
  <si>
    <t>MJC-4/9</t>
  </si>
  <si>
    <t>平板车</t>
  </si>
  <si>
    <t>天轮</t>
  </si>
  <si>
    <t>TDG2500/1600</t>
  </si>
  <si>
    <t>钢筋挂布台车</t>
  </si>
  <si>
    <t>洛阳中铁强力机械有限公司</t>
  </si>
  <si>
    <t>喷淋养护台车</t>
  </si>
  <si>
    <t>墩柱作业平台1.6m</t>
  </si>
  <si>
    <r>
      <rPr>
        <sz val="9"/>
        <color theme="1"/>
        <rFont val="宋体"/>
        <family val="3"/>
        <charset val="134"/>
      </rPr>
      <t>西北二环</t>
    </r>
    <r>
      <rPr>
        <sz val="9"/>
        <color theme="1"/>
        <rFont val="Tahoma"/>
        <family val="2"/>
      </rPr>
      <t>11</t>
    </r>
    <r>
      <rPr>
        <sz val="9"/>
        <color theme="1"/>
        <rFont val="宋体"/>
        <family val="3"/>
        <charset val="134"/>
      </rPr>
      <t>标</t>
    </r>
  </si>
  <si>
    <t>盖梁作业平台600mm（12.75*2）</t>
  </si>
  <si>
    <t>墩柱作业平台1.4m</t>
  </si>
  <si>
    <t>墩柱平台通道600mm*1.4m</t>
  </si>
  <si>
    <t>墩柱平台通道600mm*1.6m</t>
  </si>
  <si>
    <t>盖梁作业平台600mm（16.75*2）</t>
  </si>
  <si>
    <t>24m</t>
  </si>
  <si>
    <t>中铁隧道集团</t>
  </si>
  <si>
    <t>石挡山1#、2#隧道</t>
  </si>
  <si>
    <t>中国铁建重工集团有限公司</t>
  </si>
  <si>
    <t>寺山2#隧道</t>
  </si>
  <si>
    <t>寺山1#隧道</t>
  </si>
  <si>
    <t>第六架子队隧道</t>
  </si>
  <si>
    <t>24米</t>
  </si>
  <si>
    <t>2020.8.20</t>
  </si>
  <si>
    <t>朔山项目部料库</t>
  </si>
  <si>
    <t>蒙华调入</t>
  </si>
  <si>
    <t>液压仰拱栈桥</t>
  </si>
  <si>
    <r>
      <rPr>
        <sz val="9"/>
        <color rgb="FF333333"/>
        <rFont val="Helvetica"/>
      </rPr>
      <t>20m</t>
    </r>
    <r>
      <rPr>
        <sz val="9"/>
        <color rgb="FF333333"/>
        <rFont val="宋体"/>
        <family val="3"/>
        <charset val="134"/>
      </rPr>
      <t>全液压履带式自行栈桥</t>
    </r>
  </si>
  <si>
    <t>北二环10标</t>
  </si>
  <si>
    <t>栈桥</t>
  </si>
  <si>
    <t>16m</t>
  </si>
  <si>
    <t>有效长的24m</t>
  </si>
  <si>
    <t>乐西（隧道出口）</t>
  </si>
  <si>
    <t>精轧螺纹钢（栈桥用）</t>
  </si>
  <si>
    <t>φ25*500mm</t>
  </si>
  <si>
    <t>螺母垫片（栈桥用）</t>
  </si>
  <si>
    <r>
      <rPr>
        <sz val="11"/>
        <color theme="1"/>
        <rFont val="Tahoma"/>
        <family val="2"/>
      </rPr>
      <t>1</t>
    </r>
    <r>
      <rPr>
        <sz val="11"/>
        <color theme="1"/>
        <rFont val="宋体"/>
        <family val="3"/>
        <charset val="134"/>
      </rPr>
      <t>套</t>
    </r>
  </si>
  <si>
    <t>仰拱端头模</t>
  </si>
  <si>
    <t>顶板</t>
  </si>
  <si>
    <t>单瓦</t>
  </si>
  <si>
    <t>武汉佳泽达钢结构工程有限公司</t>
  </si>
  <si>
    <t>墙板</t>
  </si>
  <si>
    <t>T式（高5.1m）</t>
  </si>
  <si>
    <t>T式（厚度0.25mm，夹心厚度75mm，岩棉）</t>
  </si>
  <si>
    <t>彩钢瓦围墙</t>
  </si>
  <si>
    <t>钢筋加工场 搅拌站</t>
  </si>
  <si>
    <t>m2</t>
  </si>
  <si>
    <t>河北颖冲钢结构工程有限公司</t>
  </si>
  <si>
    <t>通风球</t>
  </si>
  <si>
    <t>600mm</t>
  </si>
  <si>
    <t>铝合金窗户</t>
  </si>
  <si>
    <t>2.35*2.65</t>
  </si>
  <si>
    <t>调度中心活动板房（T式）</t>
  </si>
  <si>
    <t>聚氨酯封边彩钢房</t>
  </si>
  <si>
    <t>断桥铝窗</t>
  </si>
  <si>
    <t>1.8m*1.5m</t>
  </si>
  <si>
    <t>仿古瓦</t>
  </si>
  <si>
    <t>仿古</t>
  </si>
  <si>
    <t>调度中心附属楼（T式）</t>
  </si>
  <si>
    <t>双层（聚氨酯封边）</t>
  </si>
  <si>
    <t>内置走廊</t>
  </si>
  <si>
    <t>双层</t>
  </si>
  <si>
    <t>内置楼梯</t>
  </si>
  <si>
    <t>3K</t>
  </si>
  <si>
    <t>2K</t>
  </si>
  <si>
    <t>外置楼梯</t>
  </si>
  <si>
    <t>彩钢瓦顶板</t>
  </si>
  <si>
    <t>拌合站</t>
  </si>
  <si>
    <t>生活区、空压机房、水房、锅炉房、厨房、厕所墙板</t>
  </si>
  <si>
    <t>材料库彩钢棚墙板</t>
  </si>
  <si>
    <t>进口架子队厨房屋顶彩钢板安装</t>
  </si>
  <si>
    <t>75mm复合板</t>
  </si>
  <si>
    <t>材料库彩钢棚立板</t>
  </si>
  <si>
    <t>材料库彩钢棚顶板</t>
  </si>
  <si>
    <t>K式房（75mm厚）</t>
  </si>
  <si>
    <t>进口架子队走廊顶彩钢板安装</t>
  </si>
  <si>
    <t>生活区、水房、锅炉房、厨房、厕所顶板</t>
  </si>
  <si>
    <t>空压机房顶板</t>
  </si>
  <si>
    <t>单瓦6m高</t>
  </si>
  <si>
    <t>发电机房</t>
  </si>
  <si>
    <t>轻钢单瓦</t>
  </si>
  <si>
    <t>减水剂房</t>
  </si>
  <si>
    <t>50mm厚岩棉板</t>
  </si>
  <si>
    <t>材料库封墙面积</t>
  </si>
  <si>
    <t>斜皮带封闭封墙</t>
  </si>
  <si>
    <t>1m宽</t>
  </si>
  <si>
    <t>活动房隔断</t>
  </si>
  <si>
    <t>活动房楼梯</t>
  </si>
  <si>
    <t>1.2m宽</t>
  </si>
  <si>
    <t>锅炉房</t>
  </si>
  <si>
    <t>修车房顶封墙</t>
  </si>
  <si>
    <t>修车房顶面积</t>
  </si>
  <si>
    <t>活动房走廊</t>
  </si>
  <si>
    <t>标准K式房</t>
  </si>
  <si>
    <t>材料库顶面积</t>
  </si>
  <si>
    <t>斜皮带封闭顶面积</t>
  </si>
  <si>
    <t>1#拌合彩钢棚</t>
  </si>
  <si>
    <t>试验室顶板</t>
  </si>
  <si>
    <t>1#拌合站板房顶板</t>
  </si>
  <si>
    <t>50mm复合板</t>
  </si>
  <si>
    <t>材料库板房</t>
  </si>
  <si>
    <t>T式（75mm彩钢夹芯板）</t>
  </si>
  <si>
    <t>1#拌合站板房</t>
  </si>
  <si>
    <t>T式房（高4.5m，50mm复合板）</t>
  </si>
  <si>
    <t>1#梁场板房楼梯</t>
  </si>
  <si>
    <t>K式（75mm厚复合板）</t>
  </si>
  <si>
    <t>项目部落水池板房</t>
  </si>
  <si>
    <t>K式（75mm彩钢夹芯板）</t>
  </si>
  <si>
    <t>钢筋加工厂生活区隔离板</t>
  </si>
  <si>
    <t>彩钢棚</t>
  </si>
  <si>
    <t>1#拌合站雨棚前沿折件</t>
  </si>
  <si>
    <t>1#拌合站板房侧板</t>
  </si>
  <si>
    <t>1#梁场板房</t>
  </si>
  <si>
    <t>试验室侧板</t>
  </si>
  <si>
    <t>双180拌合站粉仓封闭彩钢棚墙板</t>
  </si>
  <si>
    <t>31m*38m 高24m</t>
  </si>
  <si>
    <t>双180拌合站粉仓封闭彩钢棚顶板</t>
  </si>
  <si>
    <t>彩钢墙板</t>
  </si>
  <si>
    <t>40m 高4.5m</t>
  </si>
  <si>
    <t>钢筋加工固定棚</t>
  </si>
  <si>
    <t>15m*25m 柱高4.5m</t>
  </si>
  <si>
    <t>钢筋加工活动棚</t>
  </si>
  <si>
    <t>15m*15m 柱高4.5m</t>
  </si>
  <si>
    <t>移动式彩钢房</t>
  </si>
  <si>
    <t>25*15*4.5m</t>
  </si>
  <si>
    <t>2021.12</t>
  </si>
  <si>
    <t>斜皮带封闭</t>
  </si>
  <si>
    <t>7.8*8.5</t>
  </si>
  <si>
    <t>垃圾场封顶</t>
  </si>
  <si>
    <t>10*25 高3m 三面封闭</t>
  </si>
  <si>
    <t>拌合站骨料仓封顶</t>
  </si>
  <si>
    <t>70*28.5 高8m</t>
  </si>
  <si>
    <t>卷闸门</t>
  </si>
  <si>
    <t>5*6m</t>
  </si>
  <si>
    <t>机制砂加工棚封顶</t>
  </si>
  <si>
    <t>18*20 高6m，四周封闭</t>
  </si>
  <si>
    <t>拌合站蓄水池封闭</t>
  </si>
  <si>
    <t>11.7*27.5 高6.2m</t>
  </si>
  <si>
    <t>燕尾钉</t>
  </si>
  <si>
    <t>660个/盒</t>
  </si>
  <si>
    <t>盒</t>
  </si>
  <si>
    <t>太原市万柏林区利渊好工矿设备销售部</t>
  </si>
  <si>
    <t>方钢</t>
  </si>
  <si>
    <t>彩钢瓦</t>
  </si>
  <si>
    <t>高1.8m</t>
  </si>
  <si>
    <t>玻璃钢水箱</t>
  </si>
  <si>
    <t>2*5*10m</t>
  </si>
  <si>
    <t>太原市小店区大中五金配件经销商</t>
  </si>
  <si>
    <t>蒸养设备</t>
  </si>
  <si>
    <t>柴油</t>
  </si>
  <si>
    <t>彩钢</t>
  </si>
  <si>
    <t>彩钢棚顶板</t>
  </si>
  <si>
    <t>防盗门</t>
  </si>
  <si>
    <t>0.86*1.85m</t>
  </si>
  <si>
    <t>扇</t>
  </si>
  <si>
    <t>山西圆朔建筑材料有限公司</t>
  </si>
  <si>
    <t>1.2*2.2m</t>
  </si>
  <si>
    <t>52.2*102m</t>
  </si>
  <si>
    <t>云南永盈顺钢结构工程有限公司</t>
  </si>
  <si>
    <t>轻型</t>
  </si>
  <si>
    <t>m²</t>
  </si>
  <si>
    <t>54m*100.8m</t>
  </si>
  <si>
    <t>板房</t>
  </si>
  <si>
    <t>电动门</t>
  </si>
  <si>
    <t>大万山隧道正洞</t>
  </si>
  <si>
    <t>1#加工场</t>
  </si>
  <si>
    <t>大万山隧道炸药库</t>
  </si>
  <si>
    <t>4*6</t>
  </si>
  <si>
    <t>集装箱活动房</t>
  </si>
  <si>
    <t>3*6m含装修、安装</t>
  </si>
  <si>
    <t>3*3m含装修、安装</t>
  </si>
  <si>
    <t>3*6米</t>
  </si>
  <si>
    <t>太原市小店区朝月建材经销部</t>
  </si>
  <si>
    <t>山西省临汾市安泽县西上县工地</t>
  </si>
  <si>
    <t>四标</t>
  </si>
  <si>
    <t>3*6*2.7m</t>
  </si>
  <si>
    <t>山西新柜人集装箱有限公司</t>
  </si>
  <si>
    <t>西南环调入</t>
  </si>
  <si>
    <t>山西省阳曲县北小店乡西北二环11标项目部工地</t>
  </si>
  <si>
    <t>合肥巢湖市黄麓镇邘明建材批发部</t>
  </si>
  <si>
    <t>2021.5</t>
  </si>
  <si>
    <t>福建正成</t>
  </si>
  <si>
    <t>山西格瑞斯泰商贸有限公司</t>
  </si>
  <si>
    <r>
      <rPr>
        <sz val="10"/>
        <color theme="1"/>
        <rFont val="宋体"/>
        <family val="3"/>
        <charset val="134"/>
      </rPr>
      <t>国道</t>
    </r>
    <r>
      <rPr>
        <sz val="10"/>
        <color theme="1"/>
        <rFont val="Tahoma"/>
        <family val="2"/>
      </rPr>
      <t>241</t>
    </r>
    <r>
      <rPr>
        <sz val="10"/>
        <color theme="1"/>
        <rFont val="宋体"/>
        <family val="3"/>
        <charset val="134"/>
      </rPr>
      <t>项目部</t>
    </r>
  </si>
  <si>
    <t>打包式集成房屋</t>
  </si>
  <si>
    <t>3米*6米</t>
  </si>
  <si>
    <t>延安强龙彩钢有限公司</t>
  </si>
  <si>
    <t>2米*6米*2.95米门厅</t>
  </si>
  <si>
    <t>三层开间</t>
  </si>
  <si>
    <t>隔断</t>
  </si>
  <si>
    <t>楼梯杆扶手</t>
  </si>
  <si>
    <t>63mm不锈钢</t>
  </si>
  <si>
    <t>办公楼梯</t>
  </si>
  <si>
    <t>1.14*3.4*2+2.8*3.4</t>
  </si>
  <si>
    <t>宿舍楼梯</t>
  </si>
  <si>
    <t>2.5*1.05*16</t>
  </si>
  <si>
    <t>宿舍楼梯平台</t>
  </si>
  <si>
    <t>2.2*1*16</t>
  </si>
  <si>
    <t>宿舍楼梯梯杆扶手</t>
  </si>
  <si>
    <t>2.5*24+3*16</t>
  </si>
  <si>
    <t>宿舍楼过道</t>
  </si>
  <si>
    <t>1*9*3*2+8*3*1*2</t>
  </si>
  <si>
    <t>宿舍楼雨棚</t>
  </si>
  <si>
    <t>1*9*3+11*8*3</t>
  </si>
  <si>
    <t>楼梯阳光板护栏</t>
  </si>
  <si>
    <t>晾衣间</t>
  </si>
  <si>
    <t>10*4*3</t>
  </si>
  <si>
    <t>树脂瓦楼顶</t>
  </si>
  <si>
    <t>楼梯改造</t>
  </si>
  <si>
    <t>玻璃窗户</t>
  </si>
  <si>
    <t>河北颖冲钢结构有限公司</t>
  </si>
  <si>
    <t>6.9*18.5</t>
  </si>
  <si>
    <t>延安市宝塔区创迹工贸有限公司</t>
  </si>
  <si>
    <t>半封闭彩钢棚</t>
  </si>
  <si>
    <t>9.4*15.4*2+20.4*10.2</t>
  </si>
  <si>
    <t>全封闭彩钢棚</t>
  </si>
  <si>
    <t>14*25</t>
  </si>
  <si>
    <t>3*3.7*6.9</t>
  </si>
  <si>
    <t>双开门</t>
  </si>
  <si>
    <t>彩钢房配电房</t>
  </si>
  <si>
    <t>设备棚</t>
  </si>
  <si>
    <t>填料站</t>
  </si>
  <si>
    <t>2.47</t>
  </si>
  <si>
    <t>减水剂棚</t>
  </si>
  <si>
    <t>2.48</t>
  </si>
  <si>
    <t>清水池棚</t>
  </si>
  <si>
    <t>2.49</t>
  </si>
  <si>
    <t>搅拌机棚</t>
  </si>
  <si>
    <t>2.50</t>
  </si>
  <si>
    <t>皮传送带棚</t>
  </si>
  <si>
    <t>2.51</t>
  </si>
  <si>
    <t>发电机棚</t>
  </si>
  <si>
    <t>2.52</t>
  </si>
  <si>
    <t>2.53</t>
  </si>
  <si>
    <t>2.54</t>
  </si>
  <si>
    <t>改造加高0.5m</t>
  </si>
  <si>
    <t>2.55</t>
  </si>
  <si>
    <t>厕所隔断</t>
  </si>
  <si>
    <t>2.56</t>
  </si>
  <si>
    <t>彩钢板挡墙</t>
  </si>
  <si>
    <t>机组主机</t>
  </si>
  <si>
    <t>2.57</t>
  </si>
  <si>
    <t>锅炉房棚</t>
  </si>
  <si>
    <t>2.58</t>
  </si>
  <si>
    <t>半封闭式圆弧形料棚</t>
  </si>
  <si>
    <t>2.59</t>
  </si>
  <si>
    <t>2.60</t>
  </si>
  <si>
    <t>出料口彩钢棚</t>
  </si>
  <si>
    <t>2.62</t>
  </si>
  <si>
    <t>主机及上料区彩钢棚</t>
  </si>
  <si>
    <t>2.63</t>
  </si>
  <si>
    <t>蓄水池彩钢棚</t>
  </si>
  <si>
    <t>2.64</t>
  </si>
  <si>
    <t>25*17m</t>
  </si>
  <si>
    <t>2.65</t>
  </si>
  <si>
    <t>25*15m</t>
  </si>
  <si>
    <t>2.66</t>
  </si>
  <si>
    <t>12*9.3m</t>
  </si>
  <si>
    <t>2.67</t>
  </si>
  <si>
    <t>12*15m</t>
  </si>
  <si>
    <t>2.68</t>
  </si>
  <si>
    <t>PVC管</t>
  </si>
  <si>
    <t>Φ160mm</t>
  </si>
  <si>
    <t>2.69</t>
  </si>
  <si>
    <t>变压器彩钢围挡</t>
  </si>
  <si>
    <t>高3m</t>
  </si>
  <si>
    <t>2.70</t>
  </si>
  <si>
    <t>安装门</t>
  </si>
  <si>
    <t>2.71</t>
  </si>
  <si>
    <t>2.72</t>
  </si>
  <si>
    <t>12*17m</t>
  </si>
  <si>
    <t>2.73</t>
  </si>
  <si>
    <t>活动板房21间</t>
  </si>
  <si>
    <t>6.9*3.7m</t>
  </si>
  <si>
    <t>2.74</t>
  </si>
  <si>
    <t>2.75</t>
  </si>
  <si>
    <t>钢筋棚</t>
  </si>
  <si>
    <t>拱形彩钢棚2.95*130.5</t>
  </si>
  <si>
    <t>苏州辰丰钢结构工程有限公司</t>
  </si>
  <si>
    <t>1#拌合站1#钢筋厂</t>
  </si>
  <si>
    <t>2.76</t>
  </si>
  <si>
    <t>料棚</t>
  </si>
  <si>
    <t>拱形彩钢棚119.5*80.6</t>
  </si>
  <si>
    <t>2.77</t>
  </si>
  <si>
    <t>活动彩钢板房</t>
  </si>
  <si>
    <t>3.7*6.9</t>
  </si>
  <si>
    <t>1#拌合站1#钢筋厂综合一工区</t>
  </si>
  <si>
    <t>2.78</t>
  </si>
  <si>
    <t>彩钢房屋檐</t>
  </si>
  <si>
    <t>3.7*1.2</t>
  </si>
  <si>
    <t>2.79</t>
  </si>
  <si>
    <t>地板革</t>
  </si>
  <si>
    <t>8.1*3.7</t>
  </si>
  <si>
    <t>2.80</t>
  </si>
  <si>
    <t>3m*6m*2.8m</t>
  </si>
  <si>
    <r>
      <rPr>
        <sz val="10"/>
        <color theme="1"/>
        <rFont val="Tahoma"/>
        <family val="2"/>
      </rPr>
      <t>208</t>
    </r>
    <r>
      <rPr>
        <sz val="10"/>
        <color theme="1"/>
        <rFont val="宋体"/>
        <family val="3"/>
        <charset val="134"/>
      </rPr>
      <t>项目部</t>
    </r>
  </si>
  <si>
    <t>苏轶</t>
  </si>
  <si>
    <t>国道208项目部</t>
  </si>
  <si>
    <t>2.81</t>
  </si>
  <si>
    <t>集装箱房（厕所）</t>
  </si>
  <si>
    <t>彩钢板厚度0.5mm；保温夹层为泡沫；夹层厚度10公分；防火；质量技术标准为JG/T516-2017</t>
  </si>
  <si>
    <t>山西省临汾市安泽县唐城镇永鑫项目部</t>
  </si>
  <si>
    <t>彩钢房顶板</t>
  </si>
  <si>
    <t>彩钢房墙板</t>
  </si>
  <si>
    <t>不锈钢水箱</t>
  </si>
  <si>
    <t>2*2*2m</t>
  </si>
  <si>
    <t>山西伯莱流体自控科技有限公司</t>
  </si>
  <si>
    <t>移动式安全防护棚</t>
  </si>
  <si>
    <t>兴县鸿达彩钢装饰材料有限公司</t>
  </si>
  <si>
    <t>32*20m</t>
  </si>
  <si>
    <t>移动棚</t>
  </si>
  <si>
    <t>22*21m</t>
  </si>
  <si>
    <t>单层</t>
  </si>
  <si>
    <t>20*10m</t>
  </si>
  <si>
    <t>5*4.5m</t>
  </si>
  <si>
    <t>7*7m</t>
  </si>
  <si>
    <t>彩钢围挡</t>
  </si>
  <si>
    <t>4.2m*4m</t>
  </si>
  <si>
    <t>彩钢房围挡板</t>
  </si>
  <si>
    <t>岩棉板房</t>
  </si>
  <si>
    <t>2020.3-2021.4</t>
  </si>
  <si>
    <t>钢筋加工场、拌合站、试验室、料库</t>
  </si>
  <si>
    <t>临时房建</t>
  </si>
  <si>
    <t>2020.3-2020.8</t>
  </si>
  <si>
    <t>钢筋加工场、拌合站、预制构件厂、球溪河工地</t>
  </si>
  <si>
    <t>钢筋加工场、拌合站、料库</t>
  </si>
  <si>
    <t>长113m，宽7.1m</t>
  </si>
  <si>
    <r>
      <rPr>
        <sz val="10"/>
        <rFont val="宋体"/>
        <family val="3"/>
        <charset val="134"/>
      </rPr>
      <t>m</t>
    </r>
    <r>
      <rPr>
        <vertAlign val="superscript"/>
        <sz val="10"/>
        <rFont val="宋体"/>
        <family val="3"/>
        <charset val="134"/>
      </rPr>
      <t>2</t>
    </r>
  </si>
  <si>
    <t>山西省朔州市怀仁市吴家窑镇峙峰山煤业公司</t>
  </si>
  <si>
    <t>李廷晋</t>
  </si>
  <si>
    <t>峙峰山项目部</t>
  </si>
  <si>
    <t>彩钢板（走廊）</t>
  </si>
  <si>
    <t>长105.57m，高2.55m</t>
  </si>
  <si>
    <t>怀仁市天盈商贸有限公司</t>
  </si>
  <si>
    <t>100mm厚，岩棉板，铁皮厚0.6mm，带安装</t>
  </si>
  <si>
    <r>
      <t>1#</t>
    </r>
    <r>
      <rPr>
        <sz val="10"/>
        <color theme="1"/>
        <rFont val="宋体"/>
        <family val="3"/>
        <charset val="134"/>
      </rPr>
      <t>拌合站</t>
    </r>
    <r>
      <rPr>
        <sz val="10"/>
        <color theme="1"/>
        <rFont val="Tahoma"/>
        <family val="2"/>
      </rPr>
      <t>1#</t>
    </r>
    <r>
      <rPr>
        <sz val="10"/>
        <color theme="1"/>
        <rFont val="宋体"/>
        <family val="3"/>
        <charset val="134"/>
      </rPr>
      <t>钢筋厂综合一工区</t>
    </r>
  </si>
  <si>
    <t>成都华荣集成房屋有限公司</t>
  </si>
  <si>
    <r>
      <t>隧道出口、</t>
    </r>
    <r>
      <rPr>
        <sz val="10"/>
        <color theme="1"/>
        <rFont val="Tahoma"/>
        <family val="2"/>
      </rPr>
      <t>1</t>
    </r>
    <r>
      <rPr>
        <sz val="10"/>
        <color theme="1"/>
        <rFont val="宋体"/>
        <family val="3"/>
        <charset val="134"/>
      </rPr>
      <t>号搅拌站、</t>
    </r>
    <r>
      <rPr>
        <sz val="10"/>
        <color theme="1"/>
        <rFont val="Tahoma"/>
        <family val="2"/>
      </rPr>
      <t>2</t>
    </r>
    <r>
      <rPr>
        <sz val="10"/>
        <color theme="1"/>
        <rFont val="宋体"/>
        <family val="3"/>
        <charset val="134"/>
      </rPr>
      <t>号搅拌站、隧道进口</t>
    </r>
  </si>
  <si>
    <t>篮球场防护网</t>
  </si>
  <si>
    <t>吊顶</t>
  </si>
  <si>
    <t>三防板</t>
  </si>
  <si>
    <t>PVC班</t>
  </si>
  <si>
    <t>2m高</t>
  </si>
  <si>
    <t>2.5m高</t>
  </si>
  <si>
    <t>3K*6K*3p</t>
  </si>
  <si>
    <t>进口监控室板房</t>
  </si>
  <si>
    <t>5.62*11.08</t>
  </si>
  <si>
    <t>四川雅新钢结构工程有限公司</t>
  </si>
  <si>
    <t>隧道进口</t>
  </si>
  <si>
    <t>12.6*16.6*6</t>
  </si>
  <si>
    <t>3K*8K*6P</t>
  </si>
  <si>
    <t>其他</t>
  </si>
  <si>
    <t>再用木枕</t>
  </si>
  <si>
    <t>160*220*2500mm</t>
  </si>
  <si>
    <t>山西省太原市阳曲县北家庄项目部料库</t>
  </si>
  <si>
    <t>160*220*3400mm</t>
  </si>
  <si>
    <t>山西省太原市阳曲县北家庄1#拌合站后</t>
  </si>
  <si>
    <t>160*240*4800mm</t>
  </si>
  <si>
    <t>枕木头</t>
  </si>
  <si>
    <t>160*220*500mm</t>
  </si>
  <si>
    <t>枕木2m</t>
  </si>
  <si>
    <t>圆铁油罐650*1100mm</t>
  </si>
  <si>
    <t>方铁油罐1*1.5*0.5m</t>
  </si>
  <si>
    <t>42.5*6m</t>
  </si>
  <si>
    <t>钢管卡子</t>
  </si>
  <si>
    <t>油罐</t>
  </si>
  <si>
    <t>1.5*1*0.5m</t>
  </si>
  <si>
    <t>1.52*1.5*0.7</t>
  </si>
  <si>
    <t>货架</t>
  </si>
  <si>
    <t>2.2*0.5*2m四层</t>
  </si>
  <si>
    <t>枕木</t>
  </si>
  <si>
    <t>2.5m</t>
  </si>
  <si>
    <t>钢轨接头夹板</t>
  </si>
  <si>
    <t>50kg</t>
  </si>
  <si>
    <t>柱帽</t>
  </si>
  <si>
    <t>180*180*150</t>
  </si>
  <si>
    <t>嘉兴望族实业有限公司</t>
  </si>
  <si>
    <t>上槛</t>
  </si>
  <si>
    <t>3000*180*125</t>
  </si>
  <si>
    <t>下槛</t>
  </si>
  <si>
    <t>2810*180*155</t>
  </si>
  <si>
    <t>中柱</t>
  </si>
  <si>
    <t>2375*180*180</t>
  </si>
  <si>
    <t>栏片</t>
  </si>
  <si>
    <t>1495*1405*90</t>
  </si>
  <si>
    <t>路堤拱形骨架护坡1#</t>
  </si>
  <si>
    <t>57.5cm*40cm*45.5cm</t>
  </si>
  <si>
    <t>济南圣鑫模具有限公司</t>
  </si>
  <si>
    <t>路堤拱形骨架护坡2#</t>
  </si>
  <si>
    <t>40cm*19.5cm*39cm*40.5cm</t>
  </si>
  <si>
    <t>路堤拱形骨架护坡3#</t>
  </si>
  <si>
    <t>40.5cm*39cm*24cm</t>
  </si>
  <si>
    <t>路堤拱形骨架护坡4#</t>
  </si>
  <si>
    <t>49.1cm*39cm*24cm</t>
  </si>
  <si>
    <t>路堤拱形骨架护坡5#</t>
  </si>
  <si>
    <t>40cm*39cm</t>
  </si>
  <si>
    <t>路堤拱形骨架护坡6#</t>
  </si>
  <si>
    <t>40cm*26cm</t>
  </si>
  <si>
    <t>路堤拱形骨架护坡7#</t>
  </si>
  <si>
    <t>39cm*62.5cm</t>
  </si>
  <si>
    <t>桥头六棱块</t>
  </si>
  <si>
    <t>20cm</t>
  </si>
  <si>
    <t>路堤排水沟（渠）1#</t>
  </si>
  <si>
    <t>52cm</t>
  </si>
  <si>
    <t>路堤排水沟（渠）2#</t>
  </si>
  <si>
    <t>路堤排水沟（渠）3#</t>
  </si>
  <si>
    <t>路堤排水沟（渠）4#</t>
  </si>
  <si>
    <t>26cm</t>
  </si>
  <si>
    <t>路堤排水沟（渠）5#</t>
  </si>
  <si>
    <t>46cm</t>
  </si>
  <si>
    <t>平台排（截）水沟1#</t>
  </si>
  <si>
    <t>200cm</t>
  </si>
  <si>
    <t>平台排（截）水沟2#</t>
  </si>
  <si>
    <t>填方路基边坡急流槽1#</t>
  </si>
  <si>
    <t>9cm*14cm*38cm</t>
  </si>
  <si>
    <t>填方路基边坡急流槽2#</t>
  </si>
  <si>
    <t>9cm*38cm*38cm</t>
  </si>
  <si>
    <t>填方路基边坡急流槽3#</t>
  </si>
  <si>
    <t>18cm*14*38cm</t>
  </si>
  <si>
    <t>填方路基边坡急流槽4#</t>
  </si>
  <si>
    <t>9cm*29cm*38cm</t>
  </si>
  <si>
    <t>连接边沟急流槽1#</t>
  </si>
  <si>
    <t>14cm*9cm*38CM</t>
  </si>
  <si>
    <t>连接边沟急流槽2#</t>
  </si>
  <si>
    <t>9CM*38CM*38cm</t>
  </si>
  <si>
    <t>连接边沟急流槽3#</t>
  </si>
  <si>
    <t>14CM*18CM*38CM</t>
  </si>
  <si>
    <t>连接边沟急流槽4#</t>
  </si>
  <si>
    <t>9CM*24CM*38CM</t>
  </si>
  <si>
    <t>连接平台截水沟急流槽盖板</t>
  </si>
  <si>
    <t>90CM</t>
  </si>
  <si>
    <t>1.15单元格</t>
  </si>
  <si>
    <t>1.15单元格坡度18°</t>
  </si>
  <si>
    <t>1.15单元格坡度24°</t>
  </si>
  <si>
    <t>1.15单元格坡度30°</t>
  </si>
  <si>
    <t>1.15单元格坡度36°</t>
  </si>
  <si>
    <t>PSB830 25mm</t>
  </si>
  <si>
    <t>2020.7-2021.5</t>
  </si>
  <si>
    <t>成自项目部料库、各大桥施工地</t>
  </si>
  <si>
    <t>墩身模板用</t>
  </si>
  <si>
    <t>2000*2000*10mm</t>
  </si>
  <si>
    <t>各大桥施工地</t>
  </si>
  <si>
    <t>2000*4000*10mm</t>
  </si>
  <si>
    <t>1200*6000*10mm</t>
  </si>
  <si>
    <t>2000*2200*10mm</t>
  </si>
  <si>
    <t>2000*2200*8mm</t>
  </si>
  <si>
    <t>2000*4200*10mm</t>
  </si>
  <si>
    <t>1200*6200*10mm</t>
  </si>
  <si>
    <t>1200*8200*10mm</t>
  </si>
  <si>
    <t>1200*9200*20mm锰钢</t>
  </si>
  <si>
    <t>1700*8200*20mm锰钢</t>
  </si>
  <si>
    <t>1700*9200*20mm锰钢</t>
  </si>
  <si>
    <t>1200*6200*10mm锰钢</t>
  </si>
  <si>
    <t>水泥筒仓</t>
  </si>
  <si>
    <t>300t</t>
  </si>
  <si>
    <t>4#搅拌站</t>
  </si>
  <si>
    <t>董想社</t>
  </si>
  <si>
    <t>150t</t>
  </si>
  <si>
    <t>5#搅拌站</t>
  </si>
  <si>
    <t>4cm*8cm*4m</t>
  </si>
  <si>
    <t>立方米</t>
  </si>
  <si>
    <t>钢筋混凝土管</t>
  </si>
  <si>
    <t>直径30cm，长2米，承插口</t>
  </si>
  <si>
    <t>直径1米，长2米，承插口</t>
  </si>
  <si>
    <t>直径1.2米，长2米，平口</t>
  </si>
  <si>
    <t>钢护桶</t>
  </si>
  <si>
    <t>内径1.7米*6米</t>
  </si>
  <si>
    <t>内径1.45米*6米</t>
  </si>
  <si>
    <t>内径1.2米*9米</t>
  </si>
  <si>
    <t>跟进护筒</t>
  </si>
  <si>
    <t>底管内径1m*3m</t>
  </si>
  <si>
    <t>2节</t>
  </si>
  <si>
    <t>成都金达鑫宸机械设备有限公司</t>
  </si>
  <si>
    <t>方头驱动器</t>
  </si>
  <si>
    <t>内径1m</t>
  </si>
  <si>
    <t>2个</t>
  </si>
  <si>
    <t>内径1.25m</t>
  </si>
  <si>
    <t>1个</t>
  </si>
  <si>
    <t>通用节内径1m*3m</t>
  </si>
  <si>
    <t>4节</t>
  </si>
  <si>
    <t>通用节内径1m*2m</t>
  </si>
  <si>
    <t>通用节内径1m*1m</t>
  </si>
  <si>
    <t>通用节内径1.25m*1m</t>
  </si>
  <si>
    <t>1节</t>
  </si>
  <si>
    <t>通用节内径1.25m*2m</t>
  </si>
  <si>
    <t>通用节内径1.25m*3m</t>
  </si>
  <si>
    <t>3节</t>
  </si>
  <si>
    <t>底管内径1.25m*2m</t>
  </si>
  <si>
    <t>钢护筒（钢板）</t>
  </si>
  <si>
    <t>1.45m*10mm</t>
  </si>
  <si>
    <t>36.8米</t>
  </si>
  <si>
    <t>1.2m*10mm</t>
  </si>
  <si>
    <t>55.4米</t>
  </si>
  <si>
    <t>1.2m*6m*10mm</t>
  </si>
  <si>
    <t>6.2米</t>
  </si>
  <si>
    <t>1.2m</t>
  </si>
  <si>
    <t>109.4米</t>
  </si>
  <si>
    <t>57.2米</t>
  </si>
  <si>
    <t>锰开平（钢护筒）</t>
  </si>
  <si>
    <t>38米</t>
  </si>
  <si>
    <t>锰中板（钢护筒）</t>
  </si>
  <si>
    <t>74.4米</t>
  </si>
  <si>
    <t>1.2m*20mm</t>
  </si>
  <si>
    <t>43.8米</t>
  </si>
  <si>
    <t>太皇山北洛河特大桥</t>
  </si>
  <si>
    <t>1.45m*20mm</t>
  </si>
  <si>
    <t>62.4米</t>
  </si>
  <si>
    <t>甘泉北洛河大桥</t>
  </si>
  <si>
    <t>1.7m*20mm</t>
  </si>
  <si>
    <t>18.8米</t>
  </si>
  <si>
    <t>φ1.1*6*10mm</t>
  </si>
  <si>
    <t>φ1.2*6*10mm</t>
  </si>
  <si>
    <t>料斗</t>
  </si>
  <si>
    <t>晋中开发区信达物资部</t>
  </si>
  <si>
    <t>3m×2m×2m</t>
  </si>
  <si>
    <t>河北畅盛科技工程有限公司</t>
  </si>
  <si>
    <t>路堤边坡急流槽2#块模板</t>
  </si>
  <si>
    <t>坡脚排水沟1#块模板</t>
  </si>
  <si>
    <t>拱形骨架2#块模板</t>
  </si>
  <si>
    <t>拱形骨架4#块模板</t>
  </si>
  <si>
    <t>拱形骨架1#块模板</t>
  </si>
  <si>
    <t>路堤边坡急流槽3#块模板</t>
  </si>
  <si>
    <t>拱形骨架6#块模板</t>
  </si>
  <si>
    <t>连接边沟急流槽3#块模板</t>
  </si>
  <si>
    <t>拱形骨架5#块模板</t>
  </si>
  <si>
    <t>路堑平台截水沟1#块模板</t>
  </si>
  <si>
    <t>连接边沟急流槽2#块模板</t>
  </si>
  <si>
    <t>坡脚排水沟2#块模板</t>
  </si>
  <si>
    <t>坡脚排水沟3#块模板</t>
  </si>
  <si>
    <t>连接边沟急流槽1#块模板</t>
  </si>
  <si>
    <t>拱形骨架7#块模板</t>
  </si>
  <si>
    <t>坡脚排水沟4#块模板</t>
  </si>
  <si>
    <t>桥头六棱角块模板</t>
  </si>
  <si>
    <t>拱形骨架3#块模板</t>
  </si>
  <si>
    <t>路堤边坡急流槽4#块模板</t>
  </si>
  <si>
    <t>路堑平台截水沟2#块模板</t>
  </si>
  <si>
    <t>路堤边坡急流槽1#块模板</t>
  </si>
  <si>
    <t>连接边沟急流槽4#块模板</t>
  </si>
  <si>
    <t>木板</t>
  </si>
  <si>
    <t>长400*宽30*厚5cm</t>
  </si>
  <si>
    <t>部分损坏</t>
  </si>
  <si>
    <t>吕梁站南200米材料库</t>
  </si>
  <si>
    <r>
      <rPr>
        <sz val="12"/>
        <color theme="1"/>
        <rFont val="宋体"/>
        <family val="3"/>
        <charset val="134"/>
      </rPr>
      <t>填写说明：根据计划提报内容要求按周转材料分类填写，内容不足可补充，</t>
    </r>
    <r>
      <rPr>
        <b/>
        <sz val="12"/>
        <color rgb="FFFF0000"/>
        <rFont val="宋体"/>
        <family val="3"/>
        <charset val="134"/>
      </rPr>
      <t>材料名称统一</t>
    </r>
    <r>
      <rPr>
        <b/>
        <sz val="12"/>
        <color theme="1"/>
        <rFont val="宋体"/>
        <family val="3"/>
        <charset val="134"/>
      </rPr>
      <t>，</t>
    </r>
    <r>
      <rPr>
        <b/>
        <sz val="12"/>
        <color rgb="FFFF0000"/>
        <rFont val="宋体"/>
        <family val="3"/>
        <charset val="134"/>
      </rPr>
      <t>不同规格型号的周转材料填写要清晰（必填），有设计图号的（必填），存放地点要写详尽</t>
    </r>
    <r>
      <rPr>
        <sz val="12"/>
        <color theme="1"/>
        <rFont val="宋体"/>
        <family val="3"/>
        <charset val="134"/>
      </rPr>
      <t>。普通钢模（按照标准化图纸设计的桥墩、墩帽、承台、涵洞模板等）；异形钢模（连续梁主边墩、固定墩、门式墩、矩形墩、空心墩内外模、坡比墩、护栏模板、涵洞模板、桥面系各类模板、避车洞模板、洞门模板、0#块模板、现浇梁模板、6015（3015）标准建筑模板等）。墩柱模板：按照公路、普通铁路与高速铁路墩型分类，隧道衬砌台车:按照铁路单线、双线及公路分类。状况：是否良好等，使用情况：在用或闲置。</t>
    </r>
  </si>
  <si>
    <t>中铁六局集团(  天津  )公司周转材料信息管理台账</t>
  </si>
  <si>
    <t>1.5*1</t>
  </si>
  <si>
    <t>一般</t>
  </si>
  <si>
    <t>天津滨涛院内</t>
  </si>
  <si>
    <t>董云翔</t>
  </si>
  <si>
    <t>道桥</t>
  </si>
  <si>
    <t>天津公司</t>
  </si>
  <si>
    <t>2.5M*8M.2.5M*8.2M.1.25M*8.1.25*8.2</t>
  </si>
  <si>
    <t>2.5米</t>
  </si>
  <si>
    <t>104国道</t>
  </si>
  <si>
    <t>1290*3000</t>
  </si>
  <si>
    <t>2020.11</t>
  </si>
  <si>
    <t>105国道</t>
  </si>
  <si>
    <t>九园</t>
  </si>
  <si>
    <t>唐洪涛</t>
  </si>
  <si>
    <t>路政</t>
  </si>
  <si>
    <t>安徽省宣城市宣州区</t>
  </si>
  <si>
    <t>王森</t>
  </si>
  <si>
    <t>商合杭</t>
  </si>
  <si>
    <t>挂篮配件</t>
  </si>
  <si>
    <t>挂篮模板内模</t>
  </si>
  <si>
    <t>浮动价模板</t>
  </si>
  <si>
    <t>宁西调入</t>
  </si>
  <si>
    <t>2016.6.25</t>
  </si>
  <si>
    <t>张呼调入</t>
  </si>
  <si>
    <t>2016.8.15</t>
  </si>
  <si>
    <t>X8-1</t>
  </si>
  <si>
    <t>2020.12</t>
  </si>
  <si>
    <t>XZ1-3</t>
  </si>
  <si>
    <t>MSL-1</t>
  </si>
  <si>
    <t>X9-1</t>
  </si>
  <si>
    <t>X10-1 ZT-4 FC-3 MS-3</t>
  </si>
  <si>
    <t>长9，外1.2，厚1，Q235B</t>
  </si>
  <si>
    <t>长12，外1.2，厚1，Q235B</t>
  </si>
  <si>
    <t>长12，外1.45，厚1.6，Q235B</t>
  </si>
  <si>
    <t>长9，外1.45，厚1.6，Q235B</t>
  </si>
  <si>
    <t>长9，外1.2，厚1.2，Q235B</t>
  </si>
  <si>
    <t>长20，外2.1，厚2，Q235B</t>
  </si>
  <si>
    <t>长20，外1.35，厚1.5，Q235B</t>
  </si>
  <si>
    <t>长24，外1.1，厚1，Q235B</t>
  </si>
  <si>
    <t>集装箱板房</t>
  </si>
  <si>
    <t>6mm钢板</t>
  </si>
  <si>
    <t>6*1500*6000</t>
  </si>
  <si>
    <t>2022.01</t>
  </si>
  <si>
    <t>3mm钢板</t>
  </si>
  <si>
    <t>3*1500*6000</t>
  </si>
  <si>
    <t>10mm钢板</t>
  </si>
  <si>
    <t>10*2000*10000</t>
  </si>
  <si>
    <t>16mm钢板</t>
  </si>
  <si>
    <t>MSL-1/MSL-2/MSXL-1</t>
  </si>
  <si>
    <t>X-8/X8-2</t>
  </si>
  <si>
    <t>29.5米模板</t>
  </si>
  <si>
    <t>45:1变截面圆端形实体墩：顶帽上口尺寸：7.8m*3.0m，配节为从上往下依次为：2.m/节*7节，0.5m调整节，合计高度14.5m</t>
  </si>
  <si>
    <t>45:1变截面圆端形实体墩：顶帽上口尺寸：7.8m*3.3m，顶帽下口尺寸：6m*2.6m，墩帽模板下带0.5m墩身模板，顶帽高度为3m，配节从上往下依次为2m/节*11节，1.5m调整节2节，0.5m调整节2节，共计29.5m。</t>
  </si>
  <si>
    <t>工装模板</t>
  </si>
  <si>
    <t>底座板、自密实</t>
  </si>
  <si>
    <t>墩身</t>
  </si>
  <si>
    <t>连续梁墩身模板</t>
  </si>
  <si>
    <t>2020.4.25</t>
  </si>
  <si>
    <t>2019.3</t>
  </si>
  <si>
    <t>丰台站改工地</t>
  </si>
  <si>
    <t>周恩春</t>
  </si>
  <si>
    <t>丰台</t>
  </si>
  <si>
    <t>2019.4</t>
  </si>
  <si>
    <t>2019.8</t>
  </si>
  <si>
    <t>2019.9</t>
  </si>
  <si>
    <t>2021.4</t>
  </si>
  <si>
    <t>通桥（2017）2101</t>
  </si>
  <si>
    <t>东海特钢工地</t>
  </si>
  <si>
    <t>李宝峰</t>
  </si>
  <si>
    <t>新东海</t>
  </si>
  <si>
    <t>墩模板</t>
  </si>
  <si>
    <t>东海特钢施桥（参02）</t>
  </si>
  <si>
    <t>防撞挡墙模板</t>
  </si>
  <si>
    <t>废旧</t>
  </si>
  <si>
    <t>2018.9-11</t>
  </si>
  <si>
    <t>2020.6</t>
  </si>
  <si>
    <t>2021.1</t>
  </si>
  <si>
    <t>2021.6</t>
  </si>
  <si>
    <t>斜坡35:1</t>
  </si>
  <si>
    <t>2020.10</t>
  </si>
  <si>
    <t>唐山小集工地</t>
  </si>
  <si>
    <t>高灿</t>
  </si>
  <si>
    <t>唐山</t>
  </si>
  <si>
    <t>墩身、承台</t>
  </si>
  <si>
    <t>滦县工地</t>
  </si>
  <si>
    <t>韩树志</t>
  </si>
  <si>
    <t>路桥</t>
  </si>
  <si>
    <t>A段</t>
  </si>
  <si>
    <t>转盘</t>
  </si>
  <si>
    <t>B段</t>
  </si>
  <si>
    <t>后浇段</t>
  </si>
  <si>
    <t>盖梁</t>
  </si>
  <si>
    <t>2021.3</t>
  </si>
  <si>
    <t>周永旭</t>
  </si>
  <si>
    <t>双槽钢托梁</t>
  </si>
  <si>
    <t>1.65m</t>
  </si>
  <si>
    <t>上托</t>
  </si>
  <si>
    <t>下托</t>
  </si>
  <si>
    <t>托梁座</t>
  </si>
  <si>
    <t>基座</t>
  </si>
  <si>
    <t>0.2m</t>
  </si>
  <si>
    <t>起步立杆</t>
  </si>
  <si>
    <t>3m</t>
  </si>
  <si>
    <t>立杆</t>
  </si>
  <si>
    <t>1.0m</t>
  </si>
  <si>
    <t>0.5m</t>
  </si>
  <si>
    <t>上调杆</t>
  </si>
  <si>
    <t>0.25m</t>
  </si>
  <si>
    <t>剪刀撑</t>
  </si>
  <si>
    <t>3.0m厚度6m管</t>
  </si>
  <si>
    <t>横杆</t>
  </si>
  <si>
    <t>0.9m</t>
  </si>
  <si>
    <t>0.6m</t>
  </si>
  <si>
    <t>斜杆</t>
  </si>
  <si>
    <t>1.2m*1.5m</t>
  </si>
  <si>
    <t>0.9m*1.5m</t>
  </si>
  <si>
    <t>0.6m*1.5m</t>
  </si>
  <si>
    <t>爬梯</t>
  </si>
  <si>
    <t>连续梁单线墩0#块</t>
  </si>
  <si>
    <t>连续梁单线墩直线段</t>
  </si>
  <si>
    <t>挂篮单线墩40+56+40</t>
  </si>
  <si>
    <t>挂篮杆件及内模</t>
  </si>
  <si>
    <t>挂篮内模及防护系统</t>
  </si>
  <si>
    <t>2020.01-2020.08</t>
  </si>
  <si>
    <t>天津市西青区李七庄镇于台村</t>
  </si>
  <si>
    <t>孙长胜</t>
  </si>
  <si>
    <t>地铁十号线</t>
  </si>
  <si>
    <t>2021.01</t>
  </si>
  <si>
    <t>2021.11</t>
  </si>
  <si>
    <t>爬模</t>
  </si>
  <si>
    <t>2019-6</t>
  </si>
  <si>
    <t>贵州瓮安县中坪镇茶店小学</t>
  </si>
  <si>
    <t>王宏</t>
  </si>
  <si>
    <t>瓮开高速</t>
  </si>
  <si>
    <t>2018-6</t>
  </si>
  <si>
    <t>40米</t>
  </si>
  <si>
    <t>2019-12</t>
  </si>
  <si>
    <t>6.5*3.5m</t>
  </si>
  <si>
    <t>30米</t>
  </si>
  <si>
    <t>防护栏模板</t>
  </si>
  <si>
    <t>1.22*2.44*0.015m</t>
  </si>
  <si>
    <t>2020.7</t>
  </si>
  <si>
    <t>m³</t>
  </si>
  <si>
    <t>2020.8</t>
  </si>
  <si>
    <t>50*200*4000mm</t>
  </si>
  <si>
    <t>清水模板</t>
  </si>
  <si>
    <t>1220×2440×15mm</t>
  </si>
  <si>
    <t>2021.7</t>
  </si>
  <si>
    <t>2021.9</t>
  </si>
  <si>
    <t>蒲烟项目工地</t>
  </si>
  <si>
    <t>王睿锋</t>
  </si>
  <si>
    <t>蒲烟</t>
  </si>
  <si>
    <t>台车钢模板</t>
  </si>
  <si>
    <t>保定市宇航机械科技有限公司</t>
  </si>
  <si>
    <t>2021.8</t>
  </si>
  <si>
    <t>团遵联络线工地</t>
  </si>
  <si>
    <t>何长血</t>
  </si>
  <si>
    <t>团遵</t>
  </si>
  <si>
    <t>…</t>
  </si>
  <si>
    <t>45#B</t>
  </si>
  <si>
    <t>630mm</t>
  </si>
  <si>
    <t>周城起</t>
  </si>
  <si>
    <t>560mm</t>
  </si>
  <si>
    <t>512mm</t>
  </si>
  <si>
    <t>450mm</t>
  </si>
  <si>
    <t>400mm</t>
  </si>
  <si>
    <t>300mm</t>
  </si>
  <si>
    <t>280mm</t>
  </si>
  <si>
    <t>0.56*0.02*12M</t>
  </si>
  <si>
    <t>天津西青钢构基地</t>
  </si>
  <si>
    <t>刘广树</t>
  </si>
  <si>
    <t>0.36*0.01*4M</t>
  </si>
  <si>
    <t>32A*12m</t>
  </si>
  <si>
    <t>40#B*12M</t>
  </si>
  <si>
    <t>32#A*12M</t>
  </si>
  <si>
    <t>50kg*12.5m</t>
  </si>
  <si>
    <t>工字钢拼接板</t>
  </si>
  <si>
    <t>800*390*10</t>
  </si>
  <si>
    <t>450mmB</t>
  </si>
  <si>
    <t>900*300*16*28</t>
  </si>
  <si>
    <t>900*300*16*28mm</t>
  </si>
  <si>
    <t>忠旺工程</t>
  </si>
  <si>
    <t>240mm</t>
  </si>
  <si>
    <t>忠旺工地</t>
  </si>
  <si>
    <t>3m*6m*20mm</t>
  </si>
  <si>
    <t>2*6*0.02m</t>
  </si>
  <si>
    <t>槽钢15</t>
  </si>
  <si>
    <t>钢管3cm</t>
  </si>
  <si>
    <t>钢管5cm</t>
  </si>
  <si>
    <t>铁丝网2*1.5m</t>
  </si>
  <si>
    <t>6m*6m*2cm</t>
  </si>
  <si>
    <t>6m*1.2m*1cm</t>
  </si>
  <si>
    <t>唐廊工地</t>
  </si>
  <si>
    <t>李杰</t>
  </si>
  <si>
    <t>市政</t>
  </si>
  <si>
    <t>钢平台</t>
  </si>
  <si>
    <t>钢管桩630*10</t>
  </si>
  <si>
    <t>工字钢114b</t>
  </si>
  <si>
    <t>工字钢125b</t>
  </si>
  <si>
    <t>工字钢145a</t>
  </si>
  <si>
    <t>槽钢123#</t>
  </si>
  <si>
    <t>内径1.4m，长度10m，壁厚10mm</t>
  </si>
  <si>
    <t>内径1.8m，长度10m，壁厚10mm</t>
  </si>
  <si>
    <t>内径2.2m，长度10m，壁厚15mm</t>
  </si>
  <si>
    <t>内径1.4m，长度16.5m，壁厚10mm</t>
  </si>
  <si>
    <t>内径1.8m，长度16.5m，壁厚10mm</t>
  </si>
  <si>
    <t>内径2.2m，长度16.5m，壁厚15mm</t>
  </si>
  <si>
    <t>r(内）=2.2m、l=10m、δ=15mm</t>
  </si>
  <si>
    <t>2018-11</t>
  </si>
  <si>
    <t>63*63*4</t>
  </si>
  <si>
    <t>20A</t>
  </si>
  <si>
    <t>45A</t>
  </si>
  <si>
    <t>I14</t>
  </si>
  <si>
    <t>[10</t>
  </si>
  <si>
    <t>[14</t>
  </si>
  <si>
    <t>[16</t>
  </si>
  <si>
    <t>2019-9</t>
  </si>
  <si>
    <t>I20</t>
  </si>
  <si>
    <t>I63</t>
  </si>
  <si>
    <t>[5</t>
  </si>
  <si>
    <t>Q345钢棒</t>
  </si>
  <si>
    <t>10cm*3米</t>
  </si>
  <si>
    <t>10米</t>
  </si>
  <si>
    <t>待用</t>
  </si>
  <si>
    <t>丰台转入</t>
  </si>
  <si>
    <t>连接件</t>
  </si>
  <si>
    <t>60型</t>
  </si>
  <si>
    <t>脚踏板安装支架</t>
  </si>
  <si>
    <t>48*3.5mm*1.6m</t>
  </si>
  <si>
    <t>2020.07</t>
  </si>
  <si>
    <t>48*3.5mm*2m</t>
  </si>
  <si>
    <t>48*3.5mm*1.2m</t>
  </si>
  <si>
    <t>48*3.5mm*1.7m</t>
  </si>
  <si>
    <t>斜拉杆</t>
  </si>
  <si>
    <t>42*3.5mm*1.9m</t>
  </si>
  <si>
    <t>底座</t>
  </si>
  <si>
    <t>38*3.5mm*0.5m</t>
  </si>
  <si>
    <t>1.2*1.8*2m</t>
  </si>
  <si>
    <t>踏板</t>
  </si>
  <si>
    <t>0.24*1.2m</t>
  </si>
  <si>
    <t>0.24*1.7m</t>
  </si>
  <si>
    <t>钢支撑及固定调节辅件</t>
  </si>
  <si>
    <t>钢支撑活络头</t>
  </si>
  <si>
    <t>36B、长度10米</t>
  </si>
  <si>
    <t>U型卡</t>
  </si>
  <si>
    <t>777*22</t>
  </si>
  <si>
    <t>327*22</t>
  </si>
  <si>
    <t>902*22</t>
  </si>
  <si>
    <t>584*22</t>
  </si>
  <si>
    <t>U型螺栓</t>
  </si>
  <si>
    <t>592*22</t>
  </si>
  <si>
    <t>1450*1450*350</t>
  </si>
  <si>
    <t>300#*22mm3扣5扣</t>
  </si>
  <si>
    <t>740#*22mm3扣5扣</t>
  </si>
  <si>
    <t>870#*22工字钢纵梁连接</t>
  </si>
  <si>
    <t>440*70</t>
  </si>
  <si>
    <t>570*70</t>
  </si>
  <si>
    <t>476*7mm3扣</t>
  </si>
  <si>
    <t>596*7mm5扣</t>
  </si>
  <si>
    <t>586*7mm工字钢纵梁连接</t>
  </si>
  <si>
    <t>拉杆垫片</t>
  </si>
  <si>
    <t>12*150*150</t>
  </si>
  <si>
    <t>片</t>
  </si>
  <si>
    <t>小滑车</t>
  </si>
  <si>
    <t>220*300</t>
  </si>
  <si>
    <t>钢栈桥</t>
  </si>
  <si>
    <t>滦河工地</t>
  </si>
  <si>
    <t>赵特</t>
  </si>
  <si>
    <t>模块房</t>
  </si>
  <si>
    <t>350442.49</t>
  </si>
  <si>
    <t>光华道工程</t>
  </si>
  <si>
    <t>东海现值转入</t>
  </si>
  <si>
    <t>多功能模块房(洗漱间)</t>
  </si>
  <si>
    <t>多功能模块房(卫生间)</t>
  </si>
  <si>
    <t>模块房(高端)</t>
  </si>
  <si>
    <t>6055*2990*3196mm</t>
  </si>
  <si>
    <t>多功能模块房(走廊箱)</t>
  </si>
  <si>
    <t>5996*1796*3196mm</t>
  </si>
  <si>
    <t>中控断桥铝5+10A+5</t>
  </si>
  <si>
    <t>二层室内楼梯(不锈钢含扶手等)</t>
  </si>
  <si>
    <t>1+1型</t>
  </si>
  <si>
    <t>电动门厅</t>
  </si>
  <si>
    <t>多功能模块房(楼梯间)</t>
  </si>
  <si>
    <t>男卫房</t>
  </si>
  <si>
    <t>6055*2990*2896mm</t>
  </si>
  <si>
    <t>男女混卫房</t>
  </si>
  <si>
    <t>护栏</t>
  </si>
  <si>
    <t>3.01*1.73</t>
  </si>
  <si>
    <t>*金属制品*模块房（办公室）</t>
  </si>
  <si>
    <t>地铁4号线</t>
  </si>
  <si>
    <t>刘凤有</t>
  </si>
  <si>
    <t>*金属制品*模块房（宿舍）</t>
  </si>
  <si>
    <t>*金属制品*玻璃幕墙</t>
  </si>
  <si>
    <t>金属制品*镀锌梯笼护栏</t>
  </si>
  <si>
    <t>2550*1200</t>
  </si>
  <si>
    <t>华通照明箱</t>
  </si>
  <si>
    <t>HBDX-14</t>
  </si>
  <si>
    <t>南仓站129库房</t>
  </si>
  <si>
    <t>张景力</t>
  </si>
  <si>
    <t>城建</t>
  </si>
  <si>
    <t>华通分配箱</t>
  </si>
  <si>
    <t>HBDX1-2</t>
  </si>
  <si>
    <t>华通配电箱</t>
  </si>
  <si>
    <t>HBDX-12</t>
  </si>
  <si>
    <t>HBDX-7</t>
  </si>
  <si>
    <t>HBDX-5</t>
  </si>
  <si>
    <t>HBDX1-5</t>
  </si>
  <si>
    <t>HBDX-4</t>
  </si>
  <si>
    <t>HBDX1-5T</t>
  </si>
  <si>
    <t>HBDX04-250A</t>
  </si>
  <si>
    <t>HBDX04-160A</t>
  </si>
  <si>
    <t>三级配电箱</t>
  </si>
  <si>
    <t>2019.12</t>
  </si>
  <si>
    <t>电表开关箱</t>
  </si>
  <si>
    <t>电闸箱</t>
  </si>
  <si>
    <t>一级箱、630A、分3路400A</t>
  </si>
  <si>
    <t>二级箱、双面开门、400A、分3路250A</t>
  </si>
  <si>
    <t>二级箱、单面开门、400A、分3路250A</t>
  </si>
  <si>
    <t>二级箱、总160A、1路100A</t>
  </si>
  <si>
    <t>三级箱、1路63A</t>
  </si>
  <si>
    <t>三级箱、1路40A</t>
  </si>
  <si>
    <t>1路100A</t>
  </si>
  <si>
    <t>40A空开、40/390漏电1个、40/290漏电1个</t>
  </si>
  <si>
    <t>总100A、3路63/490</t>
  </si>
  <si>
    <t>二级箱、总100A、3路40A、四级漏开</t>
  </si>
  <si>
    <t>总400、分2路250</t>
  </si>
  <si>
    <t>总400、分2路250、带计量</t>
  </si>
  <si>
    <t>总400、分4路100/490、2路83/290带5*63插座</t>
  </si>
  <si>
    <t>总400、分4路100/490、/2路63/290带5*63</t>
  </si>
  <si>
    <t>总400、分4路100/490/2路63/290带插座5*63</t>
  </si>
  <si>
    <t>总400分3路250</t>
  </si>
  <si>
    <t>带架子</t>
  </si>
  <si>
    <t>35平</t>
  </si>
  <si>
    <t>盘</t>
  </si>
  <si>
    <t>50平</t>
  </si>
  <si>
    <t>25平</t>
  </si>
  <si>
    <t>YJV3*95+2*50</t>
  </si>
  <si>
    <t>105国道工程</t>
  </si>
  <si>
    <t>35MM5芯</t>
  </si>
  <si>
    <t>3*95+2*50</t>
  </si>
  <si>
    <t>青县谭缺屯工地</t>
  </si>
  <si>
    <t>王杰</t>
  </si>
  <si>
    <t>50平方/5芯</t>
  </si>
  <si>
    <t>承德偏岭</t>
  </si>
  <si>
    <t>25平方/5芯</t>
  </si>
  <si>
    <t>35平方/5芯</t>
  </si>
  <si>
    <t>16平方/5芯</t>
  </si>
  <si>
    <t>橡胶电缆</t>
  </si>
  <si>
    <t>25平方</t>
  </si>
  <si>
    <t>6平方</t>
  </si>
  <si>
    <t>4平方</t>
  </si>
  <si>
    <t>95平方</t>
  </si>
  <si>
    <t>2.5平方</t>
  </si>
  <si>
    <t>重型橡套软电缆</t>
  </si>
  <si>
    <t>YCW 450/750V 3×35㎜2+1×16㎜2</t>
  </si>
  <si>
    <t>YCW 450/750V 3×10㎜2+1×6㎜2</t>
  </si>
  <si>
    <t>YJLV3×70+2×35mm2</t>
  </si>
  <si>
    <t>YJLV22-26/35kV 3×150MM2</t>
  </si>
  <si>
    <t>铝芯电缆</t>
  </si>
  <si>
    <t>3*90+2*50</t>
  </si>
  <si>
    <t>九</t>
  </si>
  <si>
    <t>橡套线</t>
  </si>
  <si>
    <t>95平</t>
  </si>
  <si>
    <t>护套线</t>
  </si>
  <si>
    <t>16平</t>
  </si>
  <si>
    <t>油岔枕</t>
  </si>
  <si>
    <t>33.5-3.5</t>
  </si>
  <si>
    <t>火工品箱</t>
  </si>
  <si>
    <t>辽西北二期朝阳一标</t>
  </si>
  <si>
    <t>朝阳一标</t>
  </si>
  <si>
    <t>梅汕一工地</t>
  </si>
  <si>
    <t>周宁</t>
  </si>
  <si>
    <t>梅汕</t>
  </si>
  <si>
    <t>拉森桩</t>
  </si>
  <si>
    <t>沙溪镇</t>
  </si>
  <si>
    <t>刘屹</t>
  </si>
  <si>
    <t>二级闸箱</t>
  </si>
  <si>
    <t>60型十字盘塔梯</t>
  </si>
  <si>
    <t>钢爬梯</t>
  </si>
  <si>
    <t>3.5m*2.4m</t>
  </si>
  <si>
    <t>2020.9</t>
  </si>
  <si>
    <t>汉口管廊工地</t>
  </si>
  <si>
    <t>牛志斌</t>
  </si>
  <si>
    <t>汉口管廊</t>
  </si>
  <si>
    <t>2805*2040</t>
  </si>
  <si>
    <t>动车城工地</t>
  </si>
  <si>
    <t>1050*2040</t>
  </si>
  <si>
    <t>2.805m*2.2m</t>
  </si>
  <si>
    <t>60881.94</t>
  </si>
  <si>
    <t>39767.85</t>
  </si>
  <si>
    <t>2.865m*2.5m</t>
  </si>
  <si>
    <t>28355.02</t>
  </si>
  <si>
    <t>围栏</t>
  </si>
  <si>
    <t>2040mm*1200mm</t>
  </si>
  <si>
    <t>2018.6</t>
  </si>
  <si>
    <t>2018.5</t>
  </si>
  <si>
    <t>2017.12</t>
  </si>
  <si>
    <t>2019.7</t>
  </si>
  <si>
    <t>施工围栏</t>
  </si>
  <si>
    <t>2.04m*1.2m</t>
  </si>
  <si>
    <t>带耳片</t>
  </si>
  <si>
    <t>运费</t>
  </si>
  <si>
    <t>趟</t>
  </si>
  <si>
    <t>2.765m*2m</t>
  </si>
  <si>
    <t>2.865m*2m</t>
  </si>
  <si>
    <t>222000</t>
  </si>
  <si>
    <t>2m*0.75m</t>
  </si>
  <si>
    <t>120000</t>
  </si>
  <si>
    <t>12*12㎝</t>
  </si>
  <si>
    <t>5*10*4m</t>
  </si>
  <si>
    <t>10*10*4m</t>
  </si>
  <si>
    <t>5*10*4</t>
  </si>
  <si>
    <t>10*10*4</t>
  </si>
  <si>
    <t>0.1*0.1*4m</t>
  </si>
  <si>
    <t>0.05*0.1*4m</t>
  </si>
  <si>
    <t>50mm*100mm</t>
  </si>
  <si>
    <t>2021.05</t>
  </si>
  <si>
    <t>50*100mm</t>
  </si>
  <si>
    <t>0.05*0.1*3m</t>
  </si>
  <si>
    <t>0.05*0.1*2m</t>
  </si>
  <si>
    <t>0.5*0.5*4m</t>
  </si>
  <si>
    <t>0.1*0.1*3m</t>
  </si>
  <si>
    <t>1.8m*8.8m*18mm</t>
  </si>
  <si>
    <t>2021.08</t>
  </si>
  <si>
    <t>1830*915*12mm</t>
  </si>
  <si>
    <t>1.4m*1.5m*18</t>
  </si>
  <si>
    <t>1.2m*1.5m*18</t>
  </si>
  <si>
    <t>1.5m*1.2m*18</t>
  </si>
  <si>
    <t>915*1830*12mm</t>
  </si>
  <si>
    <t>1220*2440*12mm</t>
  </si>
  <si>
    <t>1.4*8.8m</t>
  </si>
  <si>
    <t>1.8*8.8m</t>
  </si>
  <si>
    <t>1.6*1.5m</t>
  </si>
  <si>
    <t>1.2*1.5m</t>
  </si>
  <si>
    <t>1.5*1.5m</t>
  </si>
  <si>
    <t>1.4*1.5m</t>
  </si>
  <si>
    <t>水箱</t>
  </si>
  <si>
    <t>2019.6</t>
  </si>
  <si>
    <t>防冻水箱</t>
  </si>
  <si>
    <t>20立方米</t>
  </si>
  <si>
    <t>2m*2m*2m</t>
  </si>
  <si>
    <t>安全网</t>
  </si>
  <si>
    <t>2019-3</t>
  </si>
  <si>
    <t>转换柜</t>
  </si>
  <si>
    <t>铁质水箱</t>
  </si>
  <si>
    <t>彩钢围墙</t>
  </si>
  <si>
    <t>12m*24m</t>
  </si>
  <si>
    <t>座</t>
  </si>
  <si>
    <t>DN40</t>
  </si>
  <si>
    <t>2.4*6.8米</t>
  </si>
  <si>
    <t>LED照明灯</t>
  </si>
  <si>
    <t>300w</t>
  </si>
  <si>
    <t>再生钢轨</t>
  </si>
  <si>
    <t>43kg*1.5m</t>
  </si>
  <si>
    <t>50kg*2.1m</t>
  </si>
  <si>
    <t>跨度8米</t>
  </si>
  <si>
    <t>钢踏板</t>
  </si>
  <si>
    <t>1.5*0.24m,壁厚1.2mm</t>
  </si>
  <si>
    <t>养护棉被</t>
  </si>
  <si>
    <t>4米*8米</t>
  </si>
  <si>
    <t>苫布（防水）</t>
  </si>
  <si>
    <t>10米*8米</t>
  </si>
  <si>
    <t>螺丝</t>
  </si>
  <si>
    <t>M22*60</t>
  </si>
  <si>
    <t>精轧螺母</t>
  </si>
  <si>
    <t>Φ25</t>
  </si>
  <si>
    <t>十</t>
  </si>
  <si>
    <t>打包式集装箱式房</t>
  </si>
  <si>
    <t>2018.12</t>
  </si>
  <si>
    <t>集装箱式可移动厕所(男女厕)</t>
  </si>
  <si>
    <t>集装箱式可移动厕所(男厕)</t>
  </si>
  <si>
    <t>3*6*2.8m，岩棉彩钢房</t>
  </si>
  <si>
    <t>集装箱货架</t>
  </si>
  <si>
    <t>2*0.5*2米，4层</t>
  </si>
  <si>
    <t>钢结构板房</t>
  </si>
  <si>
    <r>
      <rPr>
        <sz val="12"/>
        <rFont val="宋体"/>
        <family val="3"/>
        <charset val="134"/>
      </rPr>
      <t>填写说明：根据计划提报内容要求按周转材料分类填写，内容不足可补充，</t>
    </r>
    <r>
      <rPr>
        <b/>
        <sz val="12"/>
        <rFont val="宋体"/>
        <family val="3"/>
        <charset val="134"/>
      </rPr>
      <t>材料名称统一，不同规格型号的周转材料填写要清晰（必填），有设计图号的（必填），存放地点要写详尽</t>
    </r>
    <r>
      <rPr>
        <sz val="12"/>
        <rFont val="宋体"/>
        <family val="3"/>
        <charset val="134"/>
      </rPr>
      <t>。普通钢模（按照标准化图纸设计的桥墩、墩帽、承台、涵洞模板等）；异形钢模（连续梁主边墩、固定墩、门式墩、矩形墩、空心墩内外模、坡比墩、护栏模板、涵洞模板、桥面系各类模板、避车洞模板、洞门模板、0#块模板、现浇梁模板、6015（3015）标准建筑模板等）。墩柱模板：按照公路、普通铁路与高速铁路墩型分类，隧道衬砌台车:按照铁路单线、双线及公路分类。状况：是否良好等，使用情况：在用或闲置。</t>
    </r>
  </si>
  <si>
    <t>中铁六局集团路桥公司周转材料信息管理台账</t>
  </si>
  <si>
    <t>2.3*2.3m</t>
  </si>
  <si>
    <t>第三册/BS4-3-4</t>
  </si>
  <si>
    <t>中国公路工程咨询集团有限公司</t>
  </si>
  <si>
    <t>成都锐龙</t>
  </si>
  <si>
    <t>四川省绵阳市平武县中铁六局九绵高速项目部钢筋加工厂</t>
  </si>
  <si>
    <t>何振兴</t>
  </si>
  <si>
    <t>九绵项目部</t>
  </si>
  <si>
    <t>路桥公司</t>
  </si>
  <si>
    <t>水沟电缆槽模板</t>
  </si>
  <si>
    <t>唐山鸿尚</t>
  </si>
  <si>
    <t>护坡模板</t>
  </si>
  <si>
    <t>广东省河源市和平县林寨镇</t>
  </si>
  <si>
    <t>杨峰</t>
  </si>
  <si>
    <t>赣深铁路项目</t>
  </si>
  <si>
    <t>路基电缆槽模板</t>
  </si>
  <si>
    <t>720mm*375mm*500mm</t>
  </si>
  <si>
    <t>台州焙元建设工程有限公司</t>
  </si>
  <si>
    <t>路基电缆槽盖板模板</t>
  </si>
  <si>
    <t>715mm*400mm*60mm</t>
  </si>
  <si>
    <t>钢筋混凝土立柱模板</t>
  </si>
  <si>
    <t>100mm*100mm*1390mm</t>
  </si>
  <si>
    <t>桥梁电缆槽盖板模板</t>
  </si>
  <si>
    <t>794mm*494mm*60mm</t>
  </si>
  <si>
    <t>444mm*494mm*60mm</t>
  </si>
  <si>
    <t>立柱模板</t>
  </si>
  <si>
    <t>120mm*120mm*1070mm</t>
  </si>
  <si>
    <t>伸缩缝立柱模板</t>
  </si>
  <si>
    <t>120mm*120mm*1080mm</t>
  </si>
  <si>
    <t>柱帽模板</t>
  </si>
  <si>
    <t>160mm*160mm*70mm</t>
  </si>
  <si>
    <t>栏片模板</t>
  </si>
  <si>
    <t>937.5mm*50mm*940mm</t>
  </si>
  <si>
    <t>扶手模板</t>
  </si>
  <si>
    <t>1960mm*100mm*100mm</t>
  </si>
  <si>
    <t>桥下栅栏立柱模板</t>
  </si>
  <si>
    <t>120mm*120mm*2500mm</t>
  </si>
  <si>
    <t>C35钢筋混凝土1号板模板</t>
  </si>
  <si>
    <t>420mm×400mm×80mm</t>
  </si>
  <si>
    <t>C35钢筋混凝土2号板模板</t>
  </si>
  <si>
    <t>470mm×400mm×80mm</t>
  </si>
  <si>
    <t>C35钢筋混凝土3号板模板</t>
  </si>
  <si>
    <t>700mm×400mm×80mm</t>
  </si>
  <si>
    <t>中间立柱模板</t>
  </si>
  <si>
    <t>36-45°防护栅栏</t>
  </si>
  <si>
    <t>低侧端立柱模板</t>
  </si>
  <si>
    <t>高侧端立柱模板</t>
  </si>
  <si>
    <t>上槛模板</t>
  </si>
  <si>
    <t>下槛模板</t>
  </si>
  <si>
    <t>1.5*1.2*0.56m</t>
  </si>
  <si>
    <t>江西大地路桥制造有限公司</t>
  </si>
  <si>
    <t>2m/2.5m空心桥墩</t>
  </si>
  <si>
    <t>福厦施桥参-02</t>
  </si>
  <si>
    <t>中铁中铁四院工程集团有限责任公司</t>
  </si>
  <si>
    <t>2018.11.01</t>
  </si>
  <si>
    <t>福建省漳州市龙海市角美镇吴宅村中铁六局福厦项目部二分部</t>
  </si>
  <si>
    <t>赵杰</t>
  </si>
  <si>
    <t>福厦项目部</t>
  </si>
  <si>
    <t>32米空心桥墩</t>
  </si>
  <si>
    <t>26米空心桥墩</t>
  </si>
  <si>
    <t>2019.03.01</t>
  </si>
  <si>
    <t>28米实心桥墩</t>
  </si>
  <si>
    <t>福厦施桥参-01</t>
  </si>
  <si>
    <t>30.5米实心墩</t>
  </si>
  <si>
    <t>2019.06.01</t>
  </si>
  <si>
    <t>双线圆端22.5-24.5米空心墩</t>
  </si>
  <si>
    <t>福厦施（桥）参-15-1</t>
  </si>
  <si>
    <t>2.5米实心墩</t>
  </si>
  <si>
    <t>26米直坡实心桥墩</t>
  </si>
  <si>
    <t>2019.01.01</t>
  </si>
  <si>
    <t>48+80+48空心墩</t>
  </si>
  <si>
    <t>保定宇航</t>
  </si>
  <si>
    <t>2019.11.01</t>
  </si>
  <si>
    <t>空心墩截面10*3.7m，直坡，总墩高25.5米，墩帽高5米</t>
  </si>
  <si>
    <t>2.3*6米圆端型实体墩</t>
  </si>
  <si>
    <t>2020.06.01</t>
  </si>
  <si>
    <t>32米简支箱梁矩形边墩</t>
  </si>
  <si>
    <t>2020.08.12</t>
  </si>
  <si>
    <t>（70+125+70）m双綫无砟连续梁挂篮模板</t>
  </si>
  <si>
    <t>圆端型实心墩</t>
  </si>
  <si>
    <t>2020.10.23</t>
  </si>
  <si>
    <t>肆桥（2016）2302-Ⅵ</t>
  </si>
  <si>
    <t>ZTLJFX-8</t>
  </si>
  <si>
    <t>22.5m空心桥墩</t>
  </si>
  <si>
    <t>2021.03.10</t>
  </si>
  <si>
    <t>门式墩</t>
  </si>
  <si>
    <t>2021.04.05</t>
  </si>
  <si>
    <t>系杆拱</t>
  </si>
  <si>
    <t>2021.04.08</t>
  </si>
  <si>
    <t>直墩1：1</t>
  </si>
  <si>
    <t>赣深调拨</t>
  </si>
  <si>
    <t>2020.12.5</t>
  </si>
  <si>
    <t>TYT-QLX-26QD-30、TYT-QLX-26QD-40</t>
  </si>
  <si>
    <t>贵州省交通规划勘察设计研究院股份有限公司</t>
  </si>
  <si>
    <t>玉磨调入</t>
  </si>
  <si>
    <t>云南省楚雄彝族自治州双柏县妥甸镇</t>
  </si>
  <si>
    <t>张虎</t>
  </si>
  <si>
    <t>玉楚项目部</t>
  </si>
  <si>
    <t>云南宇航机械制造有限公司</t>
  </si>
  <si>
    <t>隧道水沟模板</t>
  </si>
  <si>
    <t>空心板梁模板</t>
  </si>
  <si>
    <t>1*16m</t>
  </si>
  <si>
    <t>淮南市中兴路南段建设工程第四分册</t>
  </si>
  <si>
    <t>无锡市政设计研究院</t>
  </si>
  <si>
    <t>安徽宏材工程科技有限公司</t>
  </si>
  <si>
    <t>安徽省淮南市大通区工业园产区中铁六局项目部</t>
  </si>
  <si>
    <t>谷利军</t>
  </si>
  <si>
    <t>淮南项目部</t>
  </si>
  <si>
    <t>昆明鼎骏塑业有限公司</t>
  </si>
  <si>
    <t>配件</t>
  </si>
  <si>
    <t>长号，中号，短号</t>
  </si>
  <si>
    <t>组合
钢模板</t>
  </si>
  <si>
    <t>600×600
×4230mm</t>
  </si>
  <si>
    <t>京沪宿州站
改施（站）</t>
  </si>
  <si>
    <t>中国中铁第四勘察
设计院集团有限公司</t>
  </si>
  <si>
    <t>安徽华骅桥梁
设备制造有限公司</t>
  </si>
  <si>
    <t>张瑞华</t>
  </si>
  <si>
    <t>宿州项目部</t>
  </si>
  <si>
    <t>600×600
×4180mm</t>
  </si>
  <si>
    <t>800×800
×4080mm</t>
  </si>
  <si>
    <t>桩顶系梁整体模板</t>
  </si>
  <si>
    <t>S4-4-7-5</t>
  </si>
  <si>
    <t>中铁交投交通投资集团有限公司</t>
  </si>
  <si>
    <t>广西省南宁市飞龙乡横县</t>
  </si>
  <si>
    <t>祁锴</t>
  </si>
  <si>
    <t>南横项目部</t>
  </si>
  <si>
    <t>2.0m</t>
  </si>
  <si>
    <t>桩顶系梁圆弧模板</t>
  </si>
  <si>
    <t>柱间系梁模板侧模</t>
  </si>
  <si>
    <t>柱间系梁模板底模</t>
  </si>
  <si>
    <t>柱间系梁整体模板</t>
  </si>
  <si>
    <t>盖梁模板侧模</t>
  </si>
  <si>
    <t>2%横向坡度</t>
  </si>
  <si>
    <t>S4-4-7-5、S4-4-7-6</t>
  </si>
  <si>
    <t>柱径盖梁底模</t>
  </si>
  <si>
    <t>柱径盖梁整体模板</t>
  </si>
  <si>
    <t>1.6m墩柱模板</t>
  </si>
  <si>
    <t>13.6m高（除去系梁高度）</t>
  </si>
  <si>
    <t>1.8m墩柱模板</t>
  </si>
  <si>
    <t>22.1m高（除去系梁高度）</t>
  </si>
  <si>
    <t>2.0m墩柱模板</t>
  </si>
  <si>
    <t>13.7m高（除去系梁高度）</t>
  </si>
  <si>
    <t>30米箱梁外模</t>
  </si>
  <si>
    <t>面板为（5+1=6mm不锈钢复合304油抛面板）+背肋普通热轧Q235材质材质</t>
  </si>
  <si>
    <t>JGJ162-2008</t>
  </si>
  <si>
    <t>重庆新渝洋钢模制造有限公司</t>
  </si>
  <si>
    <t>30米箱梁内模</t>
  </si>
  <si>
    <t>面板、背肋均为普通热轧Q235材质材质（内模面板为6mm厚）</t>
  </si>
  <si>
    <t>S5-4-1-1</t>
  </si>
  <si>
    <t>玉楚试验段调入</t>
  </si>
  <si>
    <t>支墩模板</t>
  </si>
  <si>
    <t>1.5*0.5*0.5m</t>
  </si>
  <si>
    <t>淮南市中兴路综合管廊工程第二册结构工程（上册)</t>
  </si>
  <si>
    <t>河北助力工程材料有限公司</t>
  </si>
  <si>
    <t>1.5*0.5*0.8m</t>
  </si>
  <si>
    <t>防撞护栏钢模板</t>
  </si>
  <si>
    <t>2*1.28m</t>
  </si>
  <si>
    <t>淮南市中兴路南段建设工程第四分册桥涵工程</t>
  </si>
  <si>
    <t>模具</t>
  </si>
  <si>
    <t>51*30*5</t>
  </si>
  <si>
    <t>遵余项目部调入</t>
  </si>
  <si>
    <t>贵州省遵义市桐梓县娄山关镇</t>
  </si>
  <si>
    <t>冯晓光</t>
  </si>
  <si>
    <t>金仁桐项目部</t>
  </si>
  <si>
    <t>六角块模具</t>
  </si>
  <si>
    <t>镶边石模具</t>
  </si>
  <si>
    <t>铁托盘</t>
  </si>
  <si>
    <t>42*3.5mm</t>
  </si>
  <si>
    <t>合肥光讯建材有限公司</t>
  </si>
  <si>
    <t>12*3mm</t>
  </si>
  <si>
    <t>镀锌方管</t>
  </si>
  <si>
    <t>80*40*2mm</t>
  </si>
  <si>
    <t>钢丝绳</t>
  </si>
  <si>
    <t>6*19-7mm</t>
  </si>
  <si>
    <t>2.0×3m
2.5×3m
3.5×3m
2.7×3m
2.2×3m
2.0×0.5m
2.5×0.5m
3.5×0.5m</t>
  </si>
  <si>
    <t>QX-7-1-7(5)、
QX-14-1(5)、
QX-14-1(6)、
S6-2-13-80、
S6-2-13-42、
S6-2-13-42（3）、
S6-2-13-30（7）、
S6-2-13-36（2）、
S6-5-3-29（4）、
QX-14-1</t>
  </si>
  <si>
    <t>山西交科公路
勘察设计院</t>
  </si>
  <si>
    <t>山西省忻州市静乐县</t>
  </si>
  <si>
    <t>王建国</t>
  </si>
  <si>
    <t>φ1.8m×2.5m、φ2.5m×2.5m</t>
  </si>
  <si>
    <t>S4-3-10（1）、S4-3-9（2）、S4-3-9（3）S4-3-10（4）</t>
  </si>
  <si>
    <t>2250×1750
2250×3300
2250×700
2250×1600
2250×500
2250×3100</t>
  </si>
  <si>
    <t>S4-3-11(1)、
S4-3-10(3)、
S4-3-11(4)、
S6-2-13-77(1)、
S6-2-13-35（2）、
S6-2-13-29（7）、
S6-2-13-41（5）</t>
  </si>
  <si>
    <t>桥梁遮板</t>
  </si>
  <si>
    <t>AB墙及防撞墙</t>
  </si>
  <si>
    <t>直径φ1.5m</t>
  </si>
  <si>
    <t>TYT-QLX-26QD-30-1-1</t>
  </si>
  <si>
    <t>直径φ1.8m</t>
  </si>
  <si>
    <t>TYT-QLX-26QD-40-1-2</t>
  </si>
  <si>
    <t>直径φ2.1m</t>
  </si>
  <si>
    <t>TYT-QLX-26QD-40-1-3</t>
  </si>
  <si>
    <t>TYT-QLX-26QD-40-1</t>
  </si>
  <si>
    <t>薄壁空心墩模板（利用试验段原有模板改造）</t>
  </si>
  <si>
    <t>2.25米*2节/套</t>
  </si>
  <si>
    <t>TYT-QLX-26QD-30-2-2</t>
  </si>
  <si>
    <t>1.5m中系梁底模</t>
  </si>
  <si>
    <t>（系梁规格1.1m*1.3m）</t>
  </si>
  <si>
    <t>TYT-QLX-26QD-30-1-9</t>
  </si>
  <si>
    <t>1.5m中系梁圆模</t>
  </si>
  <si>
    <t>1.5m地系梁圆模</t>
  </si>
  <si>
    <t>1.5m墩柱中地系梁侧模</t>
  </si>
  <si>
    <t>（系梁高1.3m）</t>
  </si>
  <si>
    <t>1.6m地系梁圆模</t>
  </si>
  <si>
    <t>TYT-QLX-26QD-40-1-9</t>
  </si>
  <si>
    <t>1.6m地系梁侧模</t>
  </si>
  <si>
    <t>1.7m墩柱中系梁底模</t>
  </si>
  <si>
    <t>（系梁规格1.1m*1.5m）</t>
  </si>
  <si>
    <t>TYT-QLX-26QD-30-1-11</t>
  </si>
  <si>
    <t>1.7m中系梁圆模</t>
  </si>
  <si>
    <t>（系梁规格1.2m*1.5m）</t>
  </si>
  <si>
    <t>1.7m地系梁圆模</t>
  </si>
  <si>
    <t>1.7m墩柱中（地）系梁侧模</t>
  </si>
  <si>
    <t>（系梁高1.5m）</t>
  </si>
  <si>
    <t>1.8m中系梁圆模</t>
  </si>
  <si>
    <t>TYT-QLX-26QD-40-1-11</t>
  </si>
  <si>
    <t>1.8m中系梁侧模</t>
  </si>
  <si>
    <t>1.8m中系梁底模</t>
  </si>
  <si>
    <t>φ1.8m地系梁圆模</t>
  </si>
  <si>
    <t>1.9m地系梁圆模</t>
  </si>
  <si>
    <t>1.9m地系梁侧模</t>
  </si>
  <si>
    <t>2.1m中系梁圆模</t>
  </si>
  <si>
    <t>TYT-QLX-26QD-40-1-13</t>
  </si>
  <si>
    <t>2.1m中系梁侧模</t>
  </si>
  <si>
    <t>2.1m中系梁底模</t>
  </si>
  <si>
    <t>1.5m中系梁底模调节块</t>
  </si>
  <si>
    <t>（L=1330mm）</t>
  </si>
  <si>
    <t>1.5m墩柱系梁侧模调节块</t>
  </si>
  <si>
    <t>（L=1450mm）</t>
  </si>
  <si>
    <t>1.7m中系梁底模调节块</t>
  </si>
  <si>
    <t>（L=1250mm）</t>
  </si>
  <si>
    <t>1.7m墩柱系梁侧模调节块</t>
  </si>
  <si>
    <t>TYT-QLX-26QD-30-1</t>
  </si>
  <si>
    <t>Φ1.5m盖梁底模</t>
  </si>
  <si>
    <t>1.5m盖梁使用</t>
  </si>
  <si>
    <t>TYT-QLX-26QD-30-1-4</t>
  </si>
  <si>
    <t>Φ1.5m盖梁悬臂</t>
  </si>
  <si>
    <t>Φ1.5m盖梁中、边挡块模板</t>
  </si>
  <si>
    <t>盖梁挡块使用</t>
  </si>
  <si>
    <t>φ1.5m盖梁堵板</t>
  </si>
  <si>
    <t>1.5m、1.6m盖梁使用</t>
  </si>
  <si>
    <t>11.7*1.7*2.1盖梁中侧模</t>
  </si>
  <si>
    <t>1.5m、1.7m墩柱共用</t>
  </si>
  <si>
    <t>11.7*1.7*2.1盖梁边侧模</t>
  </si>
  <si>
    <t>11.7*1.7*2.1盖梁堵板</t>
  </si>
  <si>
    <t>11.7*1.7*2.1盖梁挡块</t>
  </si>
  <si>
    <t>Φ1.6m盖梁底模</t>
  </si>
  <si>
    <t>Φ1.6m盖梁悬臂</t>
  </si>
  <si>
    <t>Φ1.7m盖梁底模</t>
  </si>
  <si>
    <t>Φ1.7m盖梁悬臂</t>
  </si>
  <si>
    <t>φ1.7m盖梁堵板</t>
  </si>
  <si>
    <t>Φ1.7m盖梁中、边挡块模板</t>
  </si>
  <si>
    <t>Φ1.8m盖梁底模</t>
  </si>
  <si>
    <t>TYT-QLX-26QD-40-1-5</t>
  </si>
  <si>
    <t>Φ1.8m盖梁悬臂</t>
  </si>
  <si>
    <t>Φ1.8m盖梁堵板</t>
  </si>
  <si>
    <t>Φ2.1m盖梁底模</t>
  </si>
  <si>
    <t>Φ2.1m盖梁悬臂</t>
  </si>
  <si>
    <t>Φ2.1m盖梁中、边挡块模板</t>
  </si>
  <si>
    <t>空心墩盖梁侧模</t>
  </si>
  <si>
    <t>侧模为各型号圆柱墩、空心墩盖梁共用</t>
  </si>
  <si>
    <t>TYT-QLX-26QD-40-2-3</t>
  </si>
  <si>
    <t>空心墩中、边挡块模板</t>
  </si>
  <si>
    <t>空心墩盖梁堵板</t>
  </si>
  <si>
    <t>空心墩盖梁底模</t>
  </si>
  <si>
    <t>空心墩盖梁悬臂</t>
  </si>
  <si>
    <t>φ1.5m盖梁底模调节块</t>
  </si>
  <si>
    <t>（L=217cm）（适用于双柏互通匝道处间距渐变盖梁）</t>
  </si>
  <si>
    <t>φ1.5m盖梁侧模调节块</t>
  </si>
  <si>
    <t>（L=350cm）（适用于双柏互通匝道处间距渐变盖梁）</t>
  </si>
  <si>
    <t xml:space="preserve">φ1.5m盖梁侧模调节块 </t>
  </si>
  <si>
    <t>（L=55cm）（适用于双柏互通匝道处间距渐变盖梁）</t>
  </si>
  <si>
    <t xml:space="preserve">φ1.5m盖梁底模调节块 </t>
  </si>
  <si>
    <t>（L=36cm）（适用于双柏互通匝道处间距渐变盖梁）</t>
  </si>
  <si>
    <t>（L=91cm）（适用于双柏互通匝道处间距渐变盖梁）</t>
  </si>
  <si>
    <t>（L=99cm）（适用于双柏互通匝道处间距渐变盖梁）</t>
  </si>
  <si>
    <t>（L=154cm）（适用于双柏互通匝道处间距渐变盖梁）</t>
  </si>
  <si>
    <t>φ1.7m盖梁底模调节块</t>
  </si>
  <si>
    <t>（L=80cm）（适用于双柏互通匝道处间距渐变盖梁）</t>
  </si>
  <si>
    <t>φ1.7m盖梁侧模调节块</t>
  </si>
  <si>
    <t>（L=600cm）（适用于双柏互通匝道处间距渐变盖梁）</t>
  </si>
  <si>
    <t xml:space="preserve">φ1.7m盖梁侧模调节块 </t>
  </si>
  <si>
    <t>TYT-QLX-26T-30</t>
  </si>
  <si>
    <t>T梁模板（含调节块）</t>
  </si>
  <si>
    <t>防撞护栏模板（含配件）</t>
  </si>
  <si>
    <t>TYT-QLX-26T-30、TYT-QLX-26T-40</t>
  </si>
  <si>
    <t>高低边各0.5套</t>
  </si>
  <si>
    <t>40+80+80+48</t>
  </si>
  <si>
    <t>肆桥（2016）2302-II</t>
  </si>
  <si>
    <t>2019.08.01</t>
  </si>
  <si>
    <t>48+80+80+48</t>
  </si>
  <si>
    <t>FX-9-QL-28</t>
  </si>
  <si>
    <t>2020.04.20</t>
  </si>
  <si>
    <t>墩柱模板（铁路桥）</t>
  </si>
  <si>
    <t>1.5*2 斜墩  40:1（直线）</t>
  </si>
  <si>
    <t>中铁工程设计咨询集团有限公司</t>
  </si>
  <si>
    <t>山西丰晟钢模板有限公司</t>
  </si>
  <si>
    <t>山西省吕梁市柳林县留誉镇惠家坪村
中铁六局集团有限公司
山西焦煤汾西荣欣矿区铁路专用线（一期）一标段项目经理部温家山中桥加工厂</t>
  </si>
  <si>
    <t>张勇亮</t>
  </si>
  <si>
    <t>汾西项目部</t>
  </si>
  <si>
    <t>1.7*2 斜墩40:1</t>
  </si>
  <si>
    <t>1.5*2 斜墩40:1（直线）调节块</t>
  </si>
  <si>
    <t>1.7*2 斜墩40:1调节块</t>
  </si>
  <si>
    <t>预制梁模板</t>
  </si>
  <si>
    <t>汶马调拨</t>
  </si>
  <si>
    <t>工字钢、角钢</t>
  </si>
  <si>
    <t>36#</t>
  </si>
  <si>
    <t>云南省宜良县汤池镇可保村中铁六局运架分公司库房</t>
  </si>
  <si>
    <t>张书海</t>
  </si>
  <si>
    <t>昆枢项目部</t>
  </si>
  <si>
    <t>56#</t>
  </si>
  <si>
    <t>30#B</t>
  </si>
  <si>
    <t>I45b</t>
  </si>
  <si>
    <t>调拨</t>
  </si>
  <si>
    <t>湖南省常德市石门县太平镇</t>
  </si>
  <si>
    <t>王伟杰</t>
  </si>
  <si>
    <t>炉慈项目部</t>
  </si>
  <si>
    <t>Φ48*1.5*6</t>
  </si>
  <si>
    <t>山西利恒钢铁集团股份有限公司</t>
  </si>
  <si>
    <t>Φ48*2.2*6</t>
  </si>
  <si>
    <t>Φ48*3*6</t>
  </si>
  <si>
    <t>十字扣件</t>
  </si>
  <si>
    <t>1.7Kg</t>
  </si>
  <si>
    <t>1.2cm*1.5m*6m</t>
  </si>
  <si>
    <t>淮南泽霖商贸有限公司</t>
  </si>
  <si>
    <t>360C</t>
  </si>
  <si>
    <t>从大西客专项目部调出</t>
  </si>
  <si>
    <t>防滑钢板</t>
  </si>
  <si>
    <t>126×600×4</t>
  </si>
  <si>
    <t>南安市美林黄思念贸易商行</t>
  </si>
  <si>
    <t>2018.01.01</t>
  </si>
  <si>
    <t>江苏中贸路桥工程设备有限公司</t>
  </si>
  <si>
    <t>螺旋管</t>
  </si>
  <si>
    <t>Φ820*8mm</t>
  </si>
  <si>
    <t>Φ630*8mm</t>
  </si>
  <si>
    <t>Φ48*3.5mm</t>
  </si>
  <si>
    <t>工字钢(I型钢)</t>
  </si>
  <si>
    <t xml:space="preserve">热轧 </t>
  </si>
  <si>
    <t>I12b*6000mm</t>
  </si>
  <si>
    <t>I16b</t>
  </si>
  <si>
    <t>I36b*12000mm</t>
  </si>
  <si>
    <t>18mm*9m</t>
  </si>
  <si>
    <t>18mm*10m</t>
  </si>
  <si>
    <t>2018.10.01</t>
  </si>
  <si>
    <t>14mm*7.54m</t>
  </si>
  <si>
    <t xml:space="preserve"> Q235B 10mm</t>
  </si>
  <si>
    <t>12mm*5000mm*2000mm</t>
  </si>
  <si>
    <t>河北晨祖铁路工程有限公司</t>
  </si>
  <si>
    <t>14mm*11000mm*2000mm</t>
  </si>
  <si>
    <t>18mm*9000mm*2000mm</t>
  </si>
  <si>
    <t>2021.07.08</t>
  </si>
  <si>
    <t>工字钢（支架体系）</t>
  </si>
  <si>
    <t>63B</t>
  </si>
  <si>
    <t>加工钢板</t>
  </si>
  <si>
    <t>按照图纸</t>
  </si>
  <si>
    <t>600*600*20mm</t>
  </si>
  <si>
    <t>中铁开发投资有限公司</t>
  </si>
  <si>
    <t>[18</t>
  </si>
  <si>
    <t>[12</t>
  </si>
  <si>
    <t>Q235 6mm</t>
  </si>
  <si>
    <t>Q235 12mm</t>
  </si>
  <si>
    <t>Q235 14mm</t>
  </si>
  <si>
    <t>Q235 3mm</t>
  </si>
  <si>
    <t>[20</t>
  </si>
  <si>
    <t>使用</t>
  </si>
  <si>
    <t>16mm</t>
  </si>
  <si>
    <t>20mm*400mm*400mm</t>
  </si>
  <si>
    <t>2020.03</t>
  </si>
  <si>
    <t>16mm*400mm*400mm</t>
  </si>
  <si>
    <t>25mm*600mm*600</t>
  </si>
  <si>
    <t>12mm*200mm*200mm</t>
  </si>
  <si>
    <t>400*400*20mm</t>
  </si>
  <si>
    <t>3mm</t>
  </si>
  <si>
    <t>20mm*1500*8000</t>
  </si>
  <si>
    <t>玉磨项目部调入</t>
  </si>
  <si>
    <t>20*2000*10000</t>
  </si>
  <si>
    <t>63*40*4.8</t>
  </si>
  <si>
    <t>50*37*4.5</t>
  </si>
  <si>
    <t>70mm</t>
  </si>
  <si>
    <t>40mm*4</t>
  </si>
  <si>
    <t>HRB400φ12</t>
  </si>
  <si>
    <t>HRB400φ16</t>
  </si>
  <si>
    <t>HRB400φ20</t>
  </si>
  <si>
    <t>四川省绵阳市平武县中铁六局九绵高速项目部隧道库房</t>
  </si>
  <si>
    <t>18*12m</t>
  </si>
  <si>
    <t>预埋钢板</t>
  </si>
  <si>
    <t>430×240×10mm</t>
  </si>
  <si>
    <t>南宁市超尚起重机服务经营部</t>
  </si>
  <si>
    <t>43kg</t>
  </si>
  <si>
    <t>路桥公司昆明枢纽项目部调入</t>
  </si>
  <si>
    <t>43kg（配套钢轨）</t>
  </si>
  <si>
    <t>43kg/12.5米</t>
  </si>
  <si>
    <t>昆枢调拨</t>
  </si>
  <si>
    <t xml:space="preserve"> 43kg/m   12.5m</t>
  </si>
  <si>
    <t>43轨</t>
  </si>
  <si>
    <t>鱼尾板螺栓带帽</t>
  </si>
  <si>
    <t>P43</t>
  </si>
  <si>
    <t>再用
钢轨</t>
  </si>
  <si>
    <t>43#</t>
  </si>
  <si>
    <t>配套43#钢轨</t>
  </si>
  <si>
    <t>1.5*3m</t>
  </si>
  <si>
    <t>321型</t>
  </si>
  <si>
    <t>河北赛夫特建筑设备有限公司</t>
  </si>
  <si>
    <t>支架</t>
  </si>
  <si>
    <t>45型</t>
  </si>
  <si>
    <t>90型</t>
  </si>
  <si>
    <t>50*200</t>
  </si>
  <si>
    <t>安全卡</t>
  </si>
  <si>
    <t>支架螺栓</t>
  </si>
  <si>
    <t>22*110</t>
  </si>
  <si>
    <t>3000×1500mm</t>
  </si>
  <si>
    <t>3米</t>
  </si>
  <si>
    <t>贝雷片支撑架</t>
  </si>
  <si>
    <t>900×1180mm</t>
  </si>
  <si>
    <t>3*1.5m</t>
  </si>
  <si>
    <t>山西恒特安远建筑工程有限公司</t>
  </si>
  <si>
    <t>螺旋管（逃生管道）</t>
  </si>
  <si>
    <t>Φ800*8</t>
  </si>
  <si>
    <t>Φ920*10</t>
  </si>
  <si>
    <t>820*10</t>
  </si>
  <si>
    <t>920*8</t>
  </si>
  <si>
    <t>24M</t>
  </si>
  <si>
    <t>组</t>
  </si>
  <si>
    <t>贵阳市白云区都拉乡冷水村</t>
  </si>
  <si>
    <t>兰云飞</t>
  </si>
  <si>
    <t>贵阳项目部</t>
  </si>
  <si>
    <t>小钢梁</t>
  </si>
  <si>
    <t>3.95*0.21*0.20</t>
  </si>
  <si>
    <t>云南省宜良县汤池镇可保村中铁六局运架分公司库</t>
  </si>
  <si>
    <t>组合式梯笼</t>
  </si>
  <si>
    <t>2*3m</t>
  </si>
  <si>
    <t>沧州军义路畅工程材料有限公司</t>
  </si>
  <si>
    <t>2*4m</t>
  </si>
  <si>
    <t>献县宏兴建筑器材厂</t>
  </si>
  <si>
    <t>二衬台车（普通面板）</t>
  </si>
  <si>
    <t>12m,成品</t>
  </si>
  <si>
    <t>湖南五新隧道智能装备股份有限公司</t>
  </si>
  <si>
    <t>封堵模板</t>
  </si>
  <si>
    <t>12m,成品，与台车配套</t>
  </si>
  <si>
    <t>与台车配套</t>
  </si>
  <si>
    <t>二衬台车（不锈钢面板）</t>
  </si>
  <si>
    <t>263.15（已处理）</t>
  </si>
  <si>
    <t>455.36（已处理）</t>
  </si>
  <si>
    <t>二衬台车（普通面板、利用原试验段二衬台车架体改造）</t>
  </si>
  <si>
    <t>145.684（已处理，余9.104吨）</t>
  </si>
  <si>
    <t>二衬台车（普通面板，试验段调入改装部分）</t>
  </si>
  <si>
    <t>二衬台车（台车修补）</t>
  </si>
  <si>
    <t>12m，普通面板（现有台车改造为加宽段台车）</t>
  </si>
  <si>
    <t>台车配件</t>
  </si>
  <si>
    <t>第四册第一分册/S5-1-8</t>
  </si>
  <si>
    <t>隧道衬砌台车</t>
  </si>
  <si>
    <t>公路二衬台车</t>
  </si>
  <si>
    <t>台车平板振动器</t>
  </si>
  <si>
    <t>批</t>
  </si>
  <si>
    <t>柳林县鑫盛工程有限公司</t>
  </si>
  <si>
    <t>山西省吕梁市柳林县留誉镇惠家坪村
中铁六局集团有限公司
山西焦煤汾西荣欣矿区铁路专用线（一期）一标段项目经理部温家山1号隧道</t>
  </si>
  <si>
    <t>精调配件</t>
  </si>
  <si>
    <t>标准</t>
  </si>
  <si>
    <t>水沟电缆槽钢模</t>
  </si>
  <si>
    <t>钢筋加工棚、活动房</t>
  </si>
  <si>
    <t>河南庆利建筑工程有限公司</t>
  </si>
  <si>
    <t>K型</t>
  </si>
  <si>
    <t>活动板房墙面</t>
  </si>
  <si>
    <t>晾衣棚</t>
  </si>
  <si>
    <t>轻型钢架</t>
  </si>
  <si>
    <t>K式双坡</t>
  </si>
  <si>
    <t>四川华一荣鹏</t>
  </si>
  <si>
    <t>四川省绵阳市平武县中铁六局九绵高速项目部驻地</t>
  </si>
  <si>
    <t>青羊勇拓</t>
  </si>
  <si>
    <t>成都欣诚</t>
  </si>
  <si>
    <t>平武县万晟</t>
  </si>
  <si>
    <t>钢结构大棚</t>
  </si>
  <si>
    <t>96*20*12m</t>
  </si>
  <si>
    <t>河北颖冲</t>
  </si>
  <si>
    <t>27.5*18*4.5m</t>
  </si>
  <si>
    <t>中心料库料棚</t>
  </si>
  <si>
    <t>中心料库活动房</t>
  </si>
  <si>
    <t>值班室</t>
  </si>
  <si>
    <t>加工场棚</t>
  </si>
  <si>
    <t>围墙</t>
  </si>
  <si>
    <t>拌和站增加料棚</t>
  </si>
  <si>
    <t>拌合站料棚</t>
  </si>
  <si>
    <t>2018.04</t>
  </si>
  <si>
    <t>钢筋加工场棚</t>
  </si>
  <si>
    <t>窗户</t>
  </si>
  <si>
    <t>铝合金</t>
  </si>
  <si>
    <t>上料仓棚</t>
  </si>
  <si>
    <t>4K*3P</t>
  </si>
  <si>
    <t>3K*NK*3P</t>
  </si>
  <si>
    <t>3K*NK*6P</t>
  </si>
  <si>
    <t>3K*NK*4P</t>
  </si>
  <si>
    <t>4K*NK*3P</t>
  </si>
  <si>
    <t>5K*NK*4P</t>
  </si>
  <si>
    <t>石膏</t>
  </si>
  <si>
    <t>3K*NK*6P 双坡顶</t>
  </si>
  <si>
    <t>11m高</t>
  </si>
  <si>
    <t>4K*NK*4P</t>
  </si>
  <si>
    <t>材料棚</t>
  </si>
  <si>
    <t>砂石料仓棚</t>
  </si>
  <si>
    <t>3*6p</t>
  </si>
  <si>
    <t>路桥玉磨隧道项目部调入</t>
  </si>
  <si>
    <t>2017.12.01</t>
  </si>
  <si>
    <t>彩钢板料棚</t>
  </si>
  <si>
    <t>钢筋厂棚</t>
  </si>
  <si>
    <t>M型钢架</t>
  </si>
  <si>
    <t>0.33mm</t>
  </si>
  <si>
    <t>大波浪住人集装箱</t>
  </si>
  <si>
    <t>A级防火3*6*2.7m</t>
  </si>
  <si>
    <t>大波浪住人集装箱（配置空调）</t>
  </si>
  <si>
    <t>献县益鸿物资经销处</t>
  </si>
  <si>
    <t>漳州市鑫宏顺商贸有限公司</t>
  </si>
  <si>
    <t>钢结构钢筋加工棚</t>
  </si>
  <si>
    <t>桐梓县合桐建材有限公司</t>
  </si>
  <si>
    <t>钢筋棚顶板</t>
  </si>
  <si>
    <t>51m*27m*0.3mm</t>
  </si>
  <si>
    <t>3m*2.4m</t>
  </si>
  <si>
    <t>钢筋棚墙板</t>
  </si>
  <si>
    <t>102m*12m*0.3mm</t>
  </si>
  <si>
    <t>54m*12m*0.3mm</t>
  </si>
  <si>
    <t>54m*3m*0.3mm</t>
  </si>
  <si>
    <t>雨棚
模板</t>
  </si>
  <si>
    <t>12000*12000*5m</t>
  </si>
  <si>
    <t>单柱
雨棚
钢模板</t>
  </si>
  <si>
    <t>双柱
雨棚
钢模板</t>
  </si>
  <si>
    <t>天桥柱钢模板</t>
  </si>
  <si>
    <t>1.3*1.065*14.4m</t>
  </si>
  <si>
    <t>立柱0.65*0.65*6.22m
呈变截面凹槽立柱</t>
  </si>
  <si>
    <t>安徽鸿林桥梁模板有限公司</t>
  </si>
  <si>
    <t>住房集装箱</t>
  </si>
  <si>
    <t>2.4*4m</t>
  </si>
  <si>
    <t>成都和信昌</t>
  </si>
  <si>
    <t>3.1m*3.25m*2.65m</t>
  </si>
  <si>
    <t>吴江区震泽镇新申华建筑工程安装经营部</t>
  </si>
  <si>
    <t>3×6×3m</t>
  </si>
  <si>
    <t>3×6×2.8m</t>
  </si>
  <si>
    <t>活动钢筋加工棚</t>
  </si>
  <si>
    <t>280m2</t>
  </si>
  <si>
    <t>广西南宁固宇轻钢房屋有限公司</t>
  </si>
  <si>
    <t>7m×8m×3.3m</t>
  </si>
  <si>
    <t>聚氨酯彩钢房</t>
  </si>
  <si>
    <t>轻钢房</t>
  </si>
  <si>
    <t>T式彩钢房</t>
  </si>
  <si>
    <t>内置墙面</t>
  </si>
  <si>
    <t>断桥铝</t>
  </si>
  <si>
    <t>K式彩钢房</t>
  </si>
  <si>
    <t>轻钢构</t>
  </si>
  <si>
    <t>铝合金窗</t>
  </si>
  <si>
    <t>防火K式活动板房</t>
  </si>
  <si>
    <t>A级 7K×18K×6P</t>
  </si>
  <si>
    <t>石膏板吊顶</t>
  </si>
  <si>
    <t>600*600mm</t>
  </si>
  <si>
    <t>安全滑触线</t>
  </si>
  <si>
    <t>800A</t>
  </si>
  <si>
    <t>广西薛富贸易有限公司</t>
  </si>
  <si>
    <t>轨道压板</t>
  </si>
  <si>
    <t>献县必由得五金建材经营部</t>
  </si>
  <si>
    <t>安全操作平台</t>
  </si>
  <si>
    <t>重庆仟亿金属制品有限公司</t>
  </si>
  <si>
    <t>2438mm*1268mm*3135mm(长宽高），75实用型，承插式+防护网（φ60mm钢管）</t>
  </si>
  <si>
    <t>盖梁安全防护施工操作平台</t>
  </si>
  <si>
    <t>14.7m*4.5m*1.5m</t>
  </si>
  <si>
    <t>梯笼式爬梯</t>
  </si>
  <si>
    <t>3*2*2m</t>
  </si>
  <si>
    <t>沧州永盛建筑器材有限公司</t>
  </si>
  <si>
    <t>2020.03.01</t>
  </si>
  <si>
    <t>2020.09.</t>
  </si>
  <si>
    <t>电缆线</t>
  </si>
  <si>
    <t>铝电缆</t>
  </si>
  <si>
    <t>3×70+2</t>
  </si>
  <si>
    <t>3×50+2</t>
  </si>
  <si>
    <t>3×25+2</t>
  </si>
  <si>
    <t>VLV3×95+2×50</t>
  </si>
  <si>
    <t>铝芯电缆线</t>
  </si>
  <si>
    <t>铜芯电缆线</t>
  </si>
  <si>
    <t>3×16+1</t>
  </si>
  <si>
    <t>3×6+1</t>
  </si>
  <si>
    <t>3×952+2</t>
  </si>
  <si>
    <t>双色铜芯线</t>
  </si>
  <si>
    <t>95mm2</t>
  </si>
  <si>
    <t>铝电缆（带铠、国标）</t>
  </si>
  <si>
    <t>VLV22-3×150+2×70</t>
  </si>
  <si>
    <t>3×4+1</t>
  </si>
  <si>
    <t>3×10+1</t>
  </si>
  <si>
    <t>卷</t>
  </si>
  <si>
    <t>3×25mm2+2×10mm2</t>
  </si>
  <si>
    <t>3*240+120mm2</t>
  </si>
  <si>
    <t>四川九洲</t>
  </si>
  <si>
    <t>3*300+150mm2</t>
  </si>
  <si>
    <t>成都德源</t>
  </si>
  <si>
    <t>标电缆线</t>
  </si>
  <si>
    <t>3+352+1</t>
  </si>
  <si>
    <t>柳林县建大工程用品大全</t>
  </si>
  <si>
    <t>电线电缆</t>
  </si>
  <si>
    <t>柳林县金家庄海平门市部</t>
  </si>
  <si>
    <t>YJV-4*240+1*120</t>
  </si>
  <si>
    <t>—</t>
  </si>
  <si>
    <t>2.5m2/3芯</t>
  </si>
  <si>
    <t>新津邓双鹏程</t>
  </si>
  <si>
    <t>眉山万汇丰</t>
  </si>
  <si>
    <t>横县新福镇明达建材经营部</t>
  </si>
  <si>
    <t>安全围挡</t>
  </si>
  <si>
    <t>2m*0.8m*0.3mm</t>
  </si>
  <si>
    <t>彩钢板围挡</t>
  </si>
  <si>
    <t>高1.8m,厚0.4mm</t>
  </si>
  <si>
    <t>商丘铭华建筑工程有限公司</t>
  </si>
  <si>
    <t>献县亚中五金建材销售处</t>
  </si>
  <si>
    <t>木枕</t>
  </si>
  <si>
    <t>2.5-2.8m</t>
  </si>
  <si>
    <t>高效消毒灭菌仓</t>
  </si>
  <si>
    <t>海天智联科技有限公司</t>
  </si>
  <si>
    <t>水管</t>
  </si>
  <si>
    <t>50mm</t>
  </si>
  <si>
    <t>风管</t>
  </si>
  <si>
    <t>高强度螺栓螺母</t>
  </si>
  <si>
    <t>M12*40</t>
  </si>
  <si>
    <t>外加剂房、空压机房、蓄水池房、发电机房</t>
  </si>
  <si>
    <t>轴流风机</t>
  </si>
  <si>
    <t>100cm*100cm</t>
  </si>
  <si>
    <t>500T</t>
  </si>
  <si>
    <t>青岛艾玛重工有限公司</t>
  </si>
  <si>
    <t>散水喷淋系统</t>
  </si>
  <si>
    <t>FOR ENDO-S22000</t>
  </si>
  <si>
    <t>河南九州路桥设备有限公司</t>
  </si>
  <si>
    <t>山东和新建筑机械有限公司</t>
  </si>
  <si>
    <t>重量（吨）</t>
  </si>
  <si>
    <t>设计图号</t>
  </si>
  <si>
    <t>周转料生产单位</t>
  </si>
  <si>
    <t>原值（元）</t>
  </si>
  <si>
    <t>现值（元）</t>
  </si>
  <si>
    <t>异型角模</t>
  </si>
  <si>
    <t>560*900mm</t>
  </si>
  <si>
    <t>/</t>
    <phoneticPr fontId="32" type="noConversion"/>
  </si>
  <si>
    <t>祥瑞城项目部</t>
  </si>
  <si>
    <t>栾城县神宏桥模板厂</t>
  </si>
  <si>
    <t>山西省晋中市建安料库</t>
  </si>
  <si>
    <t>赵泽峰</t>
  </si>
  <si>
    <t>建安公司</t>
  </si>
  <si>
    <t>710*900mm</t>
  </si>
  <si>
    <t>690*900mm</t>
  </si>
  <si>
    <t>空心圆柱模板</t>
  </si>
  <si>
    <t>河北省石家庄市桥西区永庆路</t>
  </si>
  <si>
    <t>DX40/1300</t>
  </si>
  <si>
    <t>太原新店街钢结构分公司厂内</t>
  </si>
  <si>
    <t>朱军利</t>
  </si>
  <si>
    <t>钢结构分公司</t>
  </si>
  <si>
    <t>移动模架</t>
  </si>
  <si>
    <t>DX32/900(低墩）</t>
  </si>
  <si>
    <t>DX32/900(高墩）</t>
  </si>
  <si>
    <t>门头沟诺德彩园项目部</t>
  </si>
  <si>
    <t>朔州市鑫盛德建筑装饰工程有限公司</t>
  </si>
  <si>
    <t>张利英</t>
  </si>
  <si>
    <t>10*10*4000mm</t>
  </si>
  <si>
    <t>合肥金木晁商贸有限公司</t>
  </si>
  <si>
    <t>韩  航</t>
    <phoneticPr fontId="32" type="noConversion"/>
  </si>
  <si>
    <t>徐州棚改项目部</t>
  </si>
  <si>
    <t>915*1830*15mm</t>
  </si>
  <si>
    <t>江苏省徐州市鼓楼区</t>
  </si>
  <si>
    <t>0.04*0.09*4m</t>
  </si>
  <si>
    <t>机器人项目调入</t>
  </si>
  <si>
    <t>0.04*0.09*3m</t>
  </si>
  <si>
    <t>0.04*0.09*2m</t>
  </si>
  <si>
    <t>0.04*0.09*1m</t>
  </si>
  <si>
    <t>925*1830*15mm</t>
  </si>
  <si>
    <t>内蒙古春晨商贸有限公司</t>
  </si>
  <si>
    <t>北京市门头沟区车站街一号</t>
  </si>
  <si>
    <t>陆大伟</t>
  </si>
  <si>
    <t>门头沟站货场铁路职工住房项目部</t>
  </si>
  <si>
    <t>40*80mm</t>
  </si>
  <si>
    <t>/</t>
    <phoneticPr fontId="27" type="noConversion"/>
  </si>
  <si>
    <t>925*1830*15mm</t>
    <phoneticPr fontId="27" type="noConversion"/>
  </si>
  <si>
    <t>北京盘古时代国际贸易有限公司</t>
  </si>
  <si>
    <t>925*1830*14mm</t>
    <phoneticPr fontId="27" type="noConversion"/>
  </si>
  <si>
    <t>915*1830*14mm</t>
  </si>
  <si>
    <t>50*250*4000mm</t>
  </si>
  <si>
    <t>2021.10</t>
    <phoneticPr fontId="27" type="noConversion"/>
  </si>
  <si>
    <t>北京市门头沟区车站街一号</t>
    <phoneticPr fontId="27" type="noConversion"/>
  </si>
  <si>
    <t>塑料建筑模板</t>
  </si>
  <si>
    <t>15*915*1830mm</t>
  </si>
  <si>
    <t>廊坊荣建环保科技有限公司</t>
  </si>
  <si>
    <t>4000*200*50</t>
  </si>
  <si>
    <t>浙江省金华监狱西关押点改扩建工程</t>
  </si>
  <si>
    <t>浙江祺翔智能科技有限公司</t>
  </si>
  <si>
    <t>浙江省金华市婺城区蒋堂镇六大队</t>
    <phoneticPr fontId="32" type="noConversion"/>
  </si>
  <si>
    <t>李攀</t>
  </si>
  <si>
    <t>金华监狱项目部</t>
  </si>
  <si>
    <t>1830*915*14</t>
  </si>
  <si>
    <t>浙江省金华市婺城区蒋堂镇六大队</t>
  </si>
  <si>
    <t>4000*100*50</t>
  </si>
  <si>
    <t>4*0.077*0.04</t>
  </si>
  <si>
    <t>多层板</t>
  </si>
  <si>
    <t>1830*915*15</t>
  </si>
  <si>
    <t>4000*40*80</t>
  </si>
  <si>
    <t>广东省河源市源城区原南镇江东新区</t>
    <phoneticPr fontId="32" type="noConversion"/>
  </si>
  <si>
    <t>刘士杰</t>
    <phoneticPr fontId="32" type="noConversion"/>
  </si>
  <si>
    <t>河源法院项目</t>
  </si>
  <si>
    <t>建安公司</t>
    <phoneticPr fontId="32" type="noConversion"/>
  </si>
  <si>
    <t>3500*40*80</t>
  </si>
  <si>
    <t>3000*40*80</t>
  </si>
  <si>
    <t>胶合板</t>
  </si>
  <si>
    <t>915*1830*15</t>
  </si>
  <si>
    <t>1220*2440*15</t>
  </si>
  <si>
    <t>4000*80*40mm</t>
  </si>
  <si>
    <t>天津市捷惠商贸有限公司</t>
  </si>
  <si>
    <t>1830*915*15mm</t>
  </si>
  <si>
    <t>2440*1220*15mm</t>
  </si>
  <si>
    <t>河源法院工地</t>
  </si>
  <si>
    <t>刘士杰</t>
  </si>
  <si>
    <t>10mm*10mm*4m</t>
  </si>
  <si>
    <t>0.04*0.08*4m</t>
  </si>
  <si>
    <t>0.04*0.08*3m</t>
  </si>
  <si>
    <t>1220*2140*14mm</t>
  </si>
  <si>
    <t>木脚手板</t>
  </si>
  <si>
    <t>4000*200*40mm</t>
  </si>
  <si>
    <t>2022.3.17</t>
    <phoneticPr fontId="32" type="noConversion"/>
  </si>
  <si>
    <t>3000*200*50mm</t>
  </si>
  <si>
    <t>3000*200*30mm</t>
  </si>
  <si>
    <t>40mm*80mm*1000mm</t>
  </si>
  <si>
    <t>2022.1.9</t>
  </si>
  <si>
    <t>40mm*80mm*1500mm</t>
  </si>
  <si>
    <t>40mm*80mm*2000mm</t>
  </si>
  <si>
    <t>40mm*80mm*2500mm</t>
  </si>
  <si>
    <t>40mm*80mm*3000mm</t>
  </si>
  <si>
    <t>40mm*80mm*4000mm</t>
  </si>
  <si>
    <t>100mm*100mm*2500mm</t>
  </si>
  <si>
    <t>2022.1.19</t>
  </si>
  <si>
    <t>40*80*3000mm</t>
  </si>
  <si>
    <t>40*80*4000mm</t>
  </si>
  <si>
    <t>1220*2440*15mm</t>
  </si>
  <si>
    <r>
      <t>m</t>
    </r>
    <r>
      <rPr>
        <b/>
        <vertAlign val="superscript"/>
        <sz val="10"/>
        <color theme="1"/>
        <rFont val="宋体"/>
        <family val="3"/>
        <charset val="134"/>
        <scheme val="minor"/>
      </rPr>
      <t>2</t>
    </r>
  </si>
  <si>
    <t>组合工字钢</t>
  </si>
  <si>
    <t>800*300*4000</t>
  </si>
  <si>
    <t>400*1200*12000</t>
  </si>
  <si>
    <t>工装</t>
  </si>
  <si>
    <t>6*1.5*0.18</t>
  </si>
  <si>
    <t>金华市日进金属物资有限公司</t>
  </si>
  <si>
    <t>16#*9m</t>
  </si>
  <si>
    <t>第五项目部</t>
  </si>
  <si>
    <t>登封项目部调拨</t>
  </si>
  <si>
    <t>汤阴县长虹路北棚户区改造杨村片区安置房项目</t>
  </si>
  <si>
    <t>100*6.8*4.5mm</t>
  </si>
  <si>
    <t>北京天雅彩钢钢构有限公司</t>
  </si>
  <si>
    <t>北京市昌平区马池口镇下念头村建安公司</t>
  </si>
  <si>
    <t>殷佩林</t>
  </si>
  <si>
    <t>西北旺项目部</t>
  </si>
  <si>
    <t>16#。L=4.5m</t>
  </si>
  <si>
    <t>常州鸿越天建设工程有限公司</t>
  </si>
  <si>
    <t>吉林省长春市朝阳区永春镇长春博览中心</t>
  </si>
  <si>
    <t>长春博览城项目</t>
  </si>
  <si>
    <t>16#。L=6m</t>
  </si>
  <si>
    <t>16#。L=9m</t>
  </si>
  <si>
    <t>10#。L=6m</t>
  </si>
  <si>
    <t>钢板网</t>
  </si>
  <si>
    <t>北京源汇建设工程有限公司</t>
  </si>
  <si>
    <t>2公分厚</t>
  </si>
  <si>
    <t>北京中科辉腾科技有限公司</t>
  </si>
  <si>
    <t>李艳</t>
  </si>
  <si>
    <t>太原诺德逸宸云著项目部</t>
  </si>
  <si>
    <t>山西省太原市万柏林区大井峪街</t>
  </si>
  <si>
    <t>江苏省徐州市鼓楼区孟家沟社区</t>
  </si>
  <si>
    <t>韩航</t>
  </si>
  <si>
    <t>2019年6月</t>
  </si>
  <si>
    <t>长春博览园项目</t>
  </si>
  <si>
    <t>长春项目部</t>
  </si>
  <si>
    <t>φ48*6000*3.0</t>
  </si>
  <si>
    <t>山西荣江全商贸有限公司</t>
  </si>
  <si>
    <t>广东锦邦冷链仓储物流园项目工地</t>
  </si>
  <si>
    <t>广东锦邦冷链仓储物流园项目部</t>
  </si>
  <si>
    <t>1.1KG</t>
  </si>
  <si>
    <t>回转扣件</t>
  </si>
  <si>
    <t>直角扣件</t>
  </si>
  <si>
    <t>φ48mm</t>
  </si>
  <si>
    <t>广东省建筑设计研究院</t>
  </si>
  <si>
    <t>广州栏盛建筑有限公司</t>
  </si>
  <si>
    <t>广东省清远市碧桂园江与城对面中铁六局工地</t>
  </si>
  <si>
    <t>安装分公司清远法院项目</t>
  </si>
  <si>
    <t>旋转扣件</t>
  </si>
  <si>
    <t>对接扣件</t>
  </si>
  <si>
    <t>36*500mm</t>
  </si>
  <si>
    <t>悬挑架1</t>
  </si>
  <si>
    <t>16#工字钢，长度1米</t>
  </si>
  <si>
    <t>第四项目部西北旺工程</t>
  </si>
  <si>
    <t>悬挑架2</t>
  </si>
  <si>
    <t>16#工字钢，长度1.5米</t>
  </si>
  <si>
    <t>悬挑架3</t>
  </si>
  <si>
    <t>HN250x125，长度2.6米</t>
  </si>
  <si>
    <t>抱箍钢板</t>
  </si>
  <si>
    <t>20x100x372</t>
  </si>
  <si>
    <t>2m*6.5m*3cm</t>
  </si>
  <si>
    <t>2m*6.8m*2cm</t>
  </si>
  <si>
    <t>2m*6.2m*1cm</t>
  </si>
  <si>
    <t>2m*6m*2cm</t>
  </si>
  <si>
    <t>2m*5m*2cm</t>
  </si>
  <si>
    <t>2.25m*4m*2cm</t>
  </si>
  <si>
    <t>2.25m*6m*2cm</t>
  </si>
  <si>
    <t>活动脚手架</t>
  </si>
  <si>
    <t>对拉螺杆带帽</t>
  </si>
  <si>
    <t>步步紧</t>
  </si>
  <si>
    <t>80cm</t>
  </si>
  <si>
    <t>蝴蝶扣</t>
  </si>
  <si>
    <t>架管</t>
  </si>
  <si>
    <t>48*3</t>
  </si>
  <si>
    <t>唐山华冶钢管制造有限公司</t>
  </si>
  <si>
    <t>建安分公司</t>
  </si>
  <si>
    <r>
      <rPr>
        <sz val="8"/>
        <rFont val="Arial"/>
        <family val="2"/>
      </rPr>
      <t>₵</t>
    </r>
    <r>
      <rPr>
        <sz val="8"/>
        <rFont val="宋体"/>
        <family val="3"/>
        <charset val="134"/>
      </rPr>
      <t>48</t>
    </r>
  </si>
  <si>
    <t>河北省沧州市献县郭庄镇西双坦</t>
  </si>
  <si>
    <t>2021.7.21</t>
  </si>
  <si>
    <t>直接扣件</t>
  </si>
  <si>
    <t>钢管立杆</t>
  </si>
  <si>
    <t xml:space="preserve">1.2m </t>
  </si>
  <si>
    <t>北京市同力工贸有限公司</t>
  </si>
  <si>
    <t>弯头</t>
  </si>
  <si>
    <t>48钢管配套</t>
  </si>
  <si>
    <t>1.9*1.1m（45°）</t>
  </si>
  <si>
    <t>1.9*1.1m（135°）</t>
  </si>
  <si>
    <t>1.5*0.6m</t>
  </si>
  <si>
    <t>1.9*0.6m（45°）</t>
  </si>
  <si>
    <t>1.9*0.6m（135°）</t>
  </si>
  <si>
    <t>1.8*1.1m</t>
  </si>
  <si>
    <t>阳台柱</t>
  </si>
  <si>
    <t>2.72m（层高）</t>
  </si>
  <si>
    <t>2.8m（层高）</t>
  </si>
  <si>
    <t>窗口柱</t>
  </si>
  <si>
    <t>1.5m（层高）</t>
  </si>
  <si>
    <t>1.6m（层高）</t>
  </si>
  <si>
    <t>1.4m（层高）</t>
  </si>
  <si>
    <t>1.3m（层高）</t>
  </si>
  <si>
    <t>地下车库顶坡道</t>
  </si>
  <si>
    <t>11m*4m*3.5m</t>
  </si>
  <si>
    <t>北京市中宇恒盛商贸有限公司</t>
  </si>
  <si>
    <t>3#楼马道</t>
  </si>
  <si>
    <t>17.5m*3.5m*3.5m</t>
  </si>
  <si>
    <t>4#楼马道</t>
  </si>
  <si>
    <t>6.5m*1.8m* 2.8m</t>
  </si>
  <si>
    <t>φ630*9*1000</t>
  </si>
  <si>
    <t>φ630*9*7000</t>
  </si>
  <si>
    <t>φ630*9*8000</t>
  </si>
  <si>
    <t>φ630*9*9000</t>
  </si>
  <si>
    <t>φ630*9*10000</t>
  </si>
  <si>
    <t>北京阜石路工地</t>
  </si>
  <si>
    <t>胡晋</t>
  </si>
  <si>
    <t>φ630*9*11000</t>
  </si>
  <si>
    <t>φ630*9*12000</t>
  </si>
  <si>
    <t>φ630*9*13500</t>
  </si>
  <si>
    <t>φ630*9*14500</t>
  </si>
  <si>
    <t>φ630*9*15000</t>
  </si>
  <si>
    <t>400*10*6000</t>
  </si>
  <si>
    <t>700*10*6000</t>
  </si>
  <si>
    <t>普通钢管</t>
  </si>
  <si>
    <t>山西省晋中市榆次区龙城中央大道1-3b地块项目</t>
  </si>
  <si>
    <t>武秀忠</t>
  </si>
  <si>
    <t>建安公司市政项目部</t>
  </si>
  <si>
    <t>48mm</t>
  </si>
  <si>
    <t>钢管扣件</t>
  </si>
  <si>
    <t>一字50mm</t>
  </si>
  <si>
    <t>十字50mm</t>
  </si>
  <si>
    <t>旋转50mm</t>
  </si>
  <si>
    <t>扣件</t>
  </si>
  <si>
    <t>滑道</t>
  </si>
  <si>
    <t>2.4m（C型）</t>
  </si>
  <si>
    <t>滑板</t>
  </si>
  <si>
    <t>350*350*12</t>
  </si>
  <si>
    <t>350*350*100</t>
  </si>
  <si>
    <t>大滑车</t>
  </si>
  <si>
    <t>3m*3m</t>
  </si>
  <si>
    <t>LY2HX S 04-CZ03</t>
  </si>
  <si>
    <t>广州地铁设计研究院股份有限公司</t>
  </si>
  <si>
    <t>洛阳汇满金属制品有限公司</t>
  </si>
  <si>
    <t>洛阳地铁项目</t>
  </si>
  <si>
    <r>
      <t>洛阳地铁</t>
    </r>
    <r>
      <rPr>
        <sz val="10"/>
        <color theme="1"/>
        <rFont val="宋体"/>
        <family val="3"/>
        <charset val="134"/>
        <scheme val="major"/>
      </rPr>
      <t>2号线一期洛阳火车站、国花路站施工站点</t>
    </r>
  </si>
  <si>
    <t>6055x3000x2920</t>
  </si>
  <si>
    <t>2021.11.20</t>
  </si>
  <si>
    <t>地面铺PVC地胶，配踢脚线。220V标电配置。</t>
  </si>
  <si>
    <t>三连箱</t>
  </si>
  <si>
    <t>6055x9000x2920</t>
  </si>
  <si>
    <t>含室内接缝装饰件</t>
  </si>
  <si>
    <t>横置楼梯箱</t>
  </si>
  <si>
    <t>6010x3023x2920</t>
  </si>
  <si>
    <t>含楼梯，1+2型钢制组合折返楼梯，踏步铺防滑地胶，不锈钢扶手</t>
  </si>
  <si>
    <t>地面铺PVC地胶，配踢脚线。220V标电配置。不含后墙玻璃幕墙。下同</t>
  </si>
  <si>
    <t>横置标准箱</t>
  </si>
  <si>
    <t>三连箱（含内隔墙）</t>
  </si>
  <si>
    <t>四连箱</t>
  </si>
  <si>
    <t>6055x12000x2920</t>
  </si>
  <si>
    <t>横置门厅箱</t>
  </si>
  <si>
    <t>6010x6055x2920</t>
  </si>
  <si>
    <t>两侧固定玻璃，电动门。</t>
  </si>
  <si>
    <t>配装5套淋浴（含无门独立隔间），1套墩布池，1个排气扇，2樘外悬窗，箱底加保温。双盆洗手台1套。</t>
  </si>
  <si>
    <t>配装4套蹲便（含带门独立隔间），3套感应式挂斗小便器（含隔板）。1个排气扇，2樘外悬窗，箱底加保温。双盆洗手台1套。</t>
  </si>
  <si>
    <t>配装3套蹲便（含带门独立隔间），2套淋浴（含无门独立隔间）1个排气扇，2樘外悬窗，。箱底加保温。</t>
  </si>
  <si>
    <t>配装2套5头不锈钢洗手池，1套3头不锈钢洗手池。</t>
  </si>
  <si>
    <t>男女卫生间</t>
  </si>
  <si>
    <t>6055x6000x2920</t>
  </si>
  <si>
    <t>5950*3000*2780</t>
  </si>
  <si>
    <t>建安公司盂县市政项目部</t>
  </si>
  <si>
    <t>郑州华瑞轻钢房屋工程有限公司</t>
  </si>
  <si>
    <t>河南省郑州市管城回族区（郑州经济技术开发区）朝凤路盛和六期小区工地</t>
  </si>
  <si>
    <t>郑州经济技术开发区盛和六期（3#地块）项目部</t>
  </si>
  <si>
    <t>连云港樱桃谷项目部</t>
  </si>
  <si>
    <t>张运超</t>
  </si>
  <si>
    <t>江苏省连云港市海州区</t>
  </si>
  <si>
    <t>集装箱（走廊）
标准1.8m*3m*2.92m</t>
  </si>
  <si>
    <t>玻璃幕墙
5+12A+5中空钢化单侧镀膜玻璃</t>
  </si>
  <si>
    <t>电动玻璃门</t>
  </si>
  <si>
    <t>玻璃雨棚
6m*1.2m</t>
  </si>
  <si>
    <t>室内直跑楼梯</t>
  </si>
  <si>
    <t>室外直跑楼梯</t>
  </si>
  <si>
    <t>拼箱件</t>
  </si>
  <si>
    <t>门卫室
2.2m*2.5m*2.8m</t>
  </si>
  <si>
    <t>坐便器</t>
  </si>
  <si>
    <t>集装箱（餐厅）
24mx6mx3.3m</t>
  </si>
  <si>
    <t>集装箱（会议
24mx6mx3.3m
室）</t>
  </si>
  <si>
    <t>集装箱（K式）
3K*24K*3P*6栋</t>
  </si>
  <si>
    <t>集装箱（K式食堂、卫生间）</t>
  </si>
  <si>
    <t>玻璃雨棚1.2m*1.8m</t>
  </si>
  <si>
    <t>玻璃幕墙5+12A+5中空钢化单侧镀膜玻璃</t>
  </si>
  <si>
    <t>拼箱件标准1.8m*3m*2.92m</t>
  </si>
  <si>
    <t>3×6×2.8</t>
  </si>
  <si>
    <t>天津市壕泉活动房制造有限公司</t>
  </si>
  <si>
    <t>5950x3000x2780</t>
  </si>
  <si>
    <t>3m*6m*2.92m</t>
  </si>
  <si>
    <t>1.8m*6m*2.92m</t>
  </si>
  <si>
    <t>6m*6m*2.95m</t>
  </si>
  <si>
    <t>三层</t>
  </si>
  <si>
    <t>衡水荣瀚鑫达钢结构有限公司</t>
  </si>
  <si>
    <t>2021.02</t>
  </si>
  <si>
    <t>2550*3000*6</t>
  </si>
  <si>
    <t>3000*3000*6</t>
  </si>
  <si>
    <t>3000*6000*2700</t>
  </si>
  <si>
    <t>3000*6055*2920</t>
  </si>
  <si>
    <t>6055*3000*2920</t>
  </si>
  <si>
    <t>6010*6055*2920</t>
  </si>
  <si>
    <t>6055*1800*2920</t>
  </si>
  <si>
    <t>3000*1800*2920</t>
  </si>
  <si>
    <t>L3米*W1.15米</t>
  </si>
  <si>
    <t>1000*3000</t>
  </si>
  <si>
    <t>辽宁省沈阳市于洪区向山北街</t>
  </si>
  <si>
    <t>白如</t>
  </si>
  <si>
    <t>沈阳阅香湖项目</t>
  </si>
  <si>
    <t>6*3*2.4m</t>
  </si>
  <si>
    <t>沈阳鑫鸿联机械设备有限公司</t>
  </si>
  <si>
    <t>外置走廊 1m宽</t>
  </si>
  <si>
    <t>外置雨棚  1.15m宽</t>
  </si>
  <si>
    <t>三层楼梯  双跑楼梯</t>
  </si>
  <si>
    <t>6*3*3m</t>
  </si>
  <si>
    <t>河北省涿州市郎庄村</t>
  </si>
  <si>
    <t>5950x6000x2780</t>
  </si>
  <si>
    <t>外置走廊  宽度1米
花纹板走廊+方通护栏</t>
  </si>
  <si>
    <t>雨棚  宽度1.15米
50mm阻燃复合板+钢支架</t>
  </si>
  <si>
    <t>（标准）3m*6m*2.92m</t>
  </si>
  <si>
    <t>3mx3mx2.92m</t>
  </si>
  <si>
    <t>河北省张家口市崇礼区太子城村</t>
  </si>
  <si>
    <t>楼梯 3m*6m*2.92m</t>
  </si>
  <si>
    <t>盥洗  3m*6m*2.92m</t>
  </si>
  <si>
    <t>男女卫  3m*6m*2.92m</t>
  </si>
  <si>
    <t>淋浴间  3m*6m*2.92m</t>
  </si>
  <si>
    <t>走廊  1.8mx6mx2.92m</t>
  </si>
  <si>
    <t>门厅 1.8mx6.0mx2.92m</t>
  </si>
  <si>
    <t>会议室   21mx8mx6m</t>
  </si>
  <si>
    <t>玻璃幕墙明框断桥铝框架
5+10+5中空钢化镀膜玻璃</t>
  </si>
  <si>
    <t>钢结构彩钢房</t>
  </si>
  <si>
    <t>6010x3023x2780</t>
  </si>
  <si>
    <t>1+2型钢制组合折返楼梯，踏步铺防滑地胶，不锈钢扶手</t>
  </si>
  <si>
    <t>7855x3000x3300</t>
  </si>
  <si>
    <t>6010x1800x2920</t>
  </si>
  <si>
    <t>3000x1800x2920</t>
  </si>
  <si>
    <t>5+12A+5中空钢化单侧镀膜玻璃，断桥铝框架</t>
  </si>
  <si>
    <t>玻璃雨棚</t>
  </si>
  <si>
    <t>北京东站货场项目部</t>
  </si>
  <si>
    <t>东站货场项目部</t>
  </si>
  <si>
    <t>北京市朝阳区双井街道百子湾路27号</t>
  </si>
  <si>
    <t>6010x2970x2780</t>
  </si>
  <si>
    <t>6010x1800x2780</t>
  </si>
  <si>
    <t>3000x1800x2780</t>
  </si>
  <si>
    <t>彩钢复合板+钢质门</t>
  </si>
  <si>
    <t>彩钢复合板+塑钢窗</t>
  </si>
  <si>
    <t>钢制四跑折返楼梯，方通扶手</t>
  </si>
  <si>
    <t>彩涂单板+方通龙骨</t>
  </si>
  <si>
    <t>宽度1米花纹板走廊+方通护栏</t>
  </si>
  <si>
    <t>宽度1.15米50mm阻燃复合板+钢支架</t>
  </si>
  <si>
    <t>直跑钢制楼梯，方通扶手</t>
  </si>
  <si>
    <t>3*6.055*2.92</t>
  </si>
  <si>
    <t>6*6*2.92</t>
  </si>
  <si>
    <t>12*6.055*2.92</t>
  </si>
  <si>
    <t>双跑楼梯</t>
  </si>
  <si>
    <t>1跑楼梯</t>
  </si>
  <si>
    <t>1.15宽</t>
  </si>
  <si>
    <t>6×3×2.6m</t>
  </si>
  <si>
    <t>造甲街北里丰台站改工程</t>
  </si>
  <si>
    <t>陈浩</t>
  </si>
  <si>
    <t>外走廊2996×1090×102mm</t>
  </si>
  <si>
    <t>2118型</t>
  </si>
  <si>
    <t>楼梯踏步-</t>
  </si>
  <si>
    <t>玻璃雨棚-</t>
  </si>
  <si>
    <t>塑钢门</t>
  </si>
  <si>
    <t>2M×2M</t>
  </si>
  <si>
    <t>吊顶板 石膏板</t>
  </si>
  <si>
    <t>洗澡间PVC板厚：14mm</t>
  </si>
  <si>
    <t>7900×2900×2896</t>
  </si>
  <si>
    <t>隔断板防水</t>
  </si>
  <si>
    <t>60cm×30cm</t>
  </si>
  <si>
    <t>T式3×4m</t>
  </si>
  <si>
    <t>3.8长</t>
  </si>
  <si>
    <t>6055×2990×2896</t>
  </si>
  <si>
    <t>吊顶板石膏板</t>
  </si>
  <si>
    <t>洗澡间PVC板  厚：14mm</t>
  </si>
  <si>
    <t>2.5×3M</t>
  </si>
  <si>
    <t>隔断板 防水</t>
  </si>
  <si>
    <t>集成吊顶板  60cm×30cm</t>
  </si>
  <si>
    <t>12M×2.4M×2.9M</t>
  </si>
  <si>
    <t>1800×6010×2920mm</t>
  </si>
  <si>
    <t>6055×2990×2896mm</t>
  </si>
  <si>
    <t>氧气库房-</t>
  </si>
  <si>
    <t>3000×1100×10mm</t>
  </si>
  <si>
    <t>钢制门 700×2100mm</t>
  </si>
  <si>
    <t>樘</t>
  </si>
  <si>
    <t>成品展示柜</t>
  </si>
  <si>
    <t>钢制大门  2400×3000</t>
  </si>
  <si>
    <t>6m×3m×2.7m</t>
  </si>
  <si>
    <t>外走廊 2996×1090×102mm</t>
  </si>
  <si>
    <t>3m*5.8m</t>
  </si>
  <si>
    <t>回民区鑫浩瑞金属制品加工厂</t>
  </si>
  <si>
    <t>张向阳</t>
  </si>
  <si>
    <t>金汇家苑项目部</t>
  </si>
  <si>
    <t>门禁房  3M*6M</t>
  </si>
  <si>
    <t>广州市永筑钢结构有限公司</t>
  </si>
  <si>
    <t>门禁房  3M*2.7M</t>
  </si>
  <si>
    <t>广东省肇庆市鼎湖区桂城街道宝鼎路</t>
  </si>
  <si>
    <t>闸机房</t>
  </si>
  <si>
    <t>程会平</t>
  </si>
  <si>
    <t>浙江地区基建项目部金华分部</t>
  </si>
  <si>
    <t>上海易凯建筑工程有限公司</t>
  </si>
  <si>
    <t>上海市徐汇区柳州路与中山西路交叉口</t>
  </si>
  <si>
    <t>杨晋飞</t>
  </si>
  <si>
    <t>54013项目部</t>
  </si>
  <si>
    <t>河源法院新建项目</t>
  </si>
  <si>
    <t>金华市婺城区亚鑫金属家具加工厂</t>
  </si>
  <si>
    <t>6*3*2.78m</t>
  </si>
  <si>
    <t>6*2.5*2.7m</t>
  </si>
  <si>
    <t>3k*16k*3p</t>
  </si>
  <si>
    <t>1.8*3*2.92m</t>
  </si>
  <si>
    <t>2.4m*6m</t>
  </si>
  <si>
    <t>6*3m</t>
  </si>
  <si>
    <t>6*3*2.8m</t>
  </si>
  <si>
    <t>2020.09.18</t>
  </si>
  <si>
    <t>5+12A+5中空钢化单侧镀膜玻璃，60系断桥铝框架（白）</t>
  </si>
  <si>
    <t>6010x3000x2920</t>
  </si>
  <si>
    <t>1.8米x1.2米</t>
  </si>
  <si>
    <t>50/1150复合板+钢制门</t>
  </si>
  <si>
    <t>7855x18000x4000</t>
  </si>
  <si>
    <t>7855x12000x4000</t>
  </si>
  <si>
    <t>7855x6000x4000</t>
  </si>
  <si>
    <t>3米x1.2米 12mm夹胶钢化玻璃+钢支架</t>
  </si>
  <si>
    <t>3m*1.2m</t>
  </si>
  <si>
    <t>6m*1.2m</t>
  </si>
  <si>
    <t>2.1*0.9m</t>
  </si>
  <si>
    <t>不锈钢框架</t>
  </si>
  <si>
    <t>7.85*4m</t>
  </si>
  <si>
    <t>6*2.9m</t>
  </si>
  <si>
    <t>中铁六局建安公司太子城站站房项目部</t>
  </si>
  <si>
    <t>2021.12.20</t>
  </si>
  <si>
    <t>3000*2920*10</t>
  </si>
  <si>
    <r>
      <rPr>
        <sz val="8"/>
        <rFont val="宋体"/>
        <family val="3"/>
        <charset val="134"/>
        <scheme val="minor"/>
      </rPr>
      <t>m</t>
    </r>
    <r>
      <rPr>
        <vertAlign val="superscript"/>
        <sz val="8"/>
        <rFont val="宋体"/>
        <family val="3"/>
        <charset val="134"/>
      </rPr>
      <t>2</t>
    </r>
  </si>
  <si>
    <t>3K*18K*3P</t>
  </si>
  <si>
    <t>濮阳市富恒新型建筑材料股份有限公司</t>
  </si>
  <si>
    <t>李政伟</t>
  </si>
  <si>
    <t>3k*24K*3P</t>
  </si>
  <si>
    <t>河南省濮阳市华龙区西湖社区中铁六局项目部</t>
  </si>
  <si>
    <t>3K*2K*3P</t>
  </si>
  <si>
    <t>3K*21K*6P</t>
  </si>
  <si>
    <t>3K*17K*3P</t>
  </si>
  <si>
    <t>3K*30K*3P</t>
  </si>
  <si>
    <t>3K*20K*6P</t>
  </si>
  <si>
    <t>北京华安海成集成房屋有限公司</t>
  </si>
  <si>
    <t>3K*14K*6P</t>
  </si>
  <si>
    <t>郑靖宇</t>
  </si>
  <si>
    <t>郏县项目部</t>
  </si>
  <si>
    <t>3K*14K*3P</t>
  </si>
  <si>
    <t>河南平顶山市郏县东城街道</t>
  </si>
  <si>
    <t>3K*16K*6P</t>
  </si>
  <si>
    <t>3K*16K*3P</t>
  </si>
  <si>
    <t>3K*9K*3P</t>
  </si>
  <si>
    <t>3K*8K*3P</t>
  </si>
  <si>
    <t>3K*6K*4P</t>
  </si>
  <si>
    <t>2K*3K*4P</t>
  </si>
  <si>
    <t>3K*6K*3P</t>
  </si>
  <si>
    <t>3k*6p*18k</t>
  </si>
  <si>
    <t>辽宁天聚元建筑材料有限公司</t>
  </si>
  <si>
    <t xml:space="preserve">3K*4K*3P
</t>
  </si>
  <si>
    <t>2021.10.6</t>
  </si>
  <si>
    <t xml:space="preserve">3K*2K*3P
</t>
  </si>
  <si>
    <t xml:space="preserve">4K*3K*3P       </t>
  </si>
  <si>
    <t xml:space="preserve">16K*3K*3P      </t>
  </si>
  <si>
    <t xml:space="preserve">5K*2K*3P       </t>
  </si>
  <si>
    <t xml:space="preserve">24K*3K*6P      </t>
  </si>
  <si>
    <t xml:space="preserve">20k*3k*3p      </t>
  </si>
  <si>
    <r>
      <t>m</t>
    </r>
    <r>
      <rPr>
        <b/>
        <vertAlign val="superscript"/>
        <sz val="10"/>
        <rFont val="宋体"/>
        <family val="3"/>
        <charset val="134"/>
        <scheme val="minor"/>
      </rPr>
      <t>2</t>
    </r>
  </si>
  <si>
    <t>4K*19K*3P</t>
  </si>
  <si>
    <r>
      <t>m</t>
    </r>
    <r>
      <rPr>
        <b/>
        <vertAlign val="superscript"/>
        <sz val="10"/>
        <color rgb="FF000000"/>
        <rFont val="宋体"/>
        <family val="3"/>
        <charset val="134"/>
        <scheme val="minor"/>
      </rPr>
      <t>2</t>
    </r>
  </si>
  <si>
    <t>2021.10.25</t>
  </si>
  <si>
    <t>天雅</t>
  </si>
  <si>
    <t>3K*9K*6P</t>
  </si>
  <si>
    <t>4K*15K*4P</t>
  </si>
  <si>
    <t>3K*6K*6P</t>
  </si>
  <si>
    <t>3K*24K*6P</t>
  </si>
  <si>
    <t>3K*10K*3P</t>
  </si>
  <si>
    <t>3K*22K*6P</t>
  </si>
  <si>
    <t>3K*20K*3P</t>
  </si>
  <si>
    <t>4K*46K*6P</t>
  </si>
  <si>
    <t>22k*4k*6p</t>
  </si>
  <si>
    <t>安阳市中豪彩钢钢结构有限公司</t>
  </si>
  <si>
    <t>10k*4k*3p</t>
  </si>
  <si>
    <t>河南省安阳市汤阴县白营镇长虹路杨村中铁六局项目部工地</t>
  </si>
  <si>
    <t>10k*4k*4p</t>
  </si>
  <si>
    <t>16k*4k*6p</t>
  </si>
  <si>
    <t>10k*3k*3p</t>
  </si>
  <si>
    <t>6k*3k*3p</t>
  </si>
  <si>
    <t>20k*3k*6p</t>
  </si>
  <si>
    <t>24k*3k*3p</t>
  </si>
  <si>
    <t>14k*3k*3p</t>
  </si>
  <si>
    <t>A级 3K×12K×9P</t>
  </si>
  <si>
    <t>郑住·天地云墅二期一标段项目</t>
  </si>
  <si>
    <t>3.6M×5.56M</t>
  </si>
  <si>
    <t>河南省郑州市登封太和路与玉带路交叉口东北角</t>
  </si>
  <si>
    <t>3K*22K*3P</t>
  </si>
  <si>
    <t>成武县人民医院扩建工程项目部</t>
  </si>
  <si>
    <t>山东世捷建筑工程有限公司</t>
  </si>
  <si>
    <t>刘晓龙</t>
  </si>
  <si>
    <t>成武县人民医院项目部</t>
  </si>
  <si>
    <t>3K*4K*3P</t>
  </si>
  <si>
    <t>山东省菏泽市成武县永昌路与北环路交叉口中铁六局项目部</t>
  </si>
  <si>
    <t>2K*15K*3P</t>
  </si>
  <si>
    <t>3K*12K*3P</t>
  </si>
  <si>
    <t>2K*6K*3P，卷帘门</t>
  </si>
  <si>
    <t>宽1m</t>
  </si>
  <si>
    <t>4K*20K*9P</t>
  </si>
  <si>
    <t>3K*16K*4P</t>
  </si>
  <si>
    <t>3K*14K*6P
2栋</t>
  </si>
  <si>
    <t>3K*7K*3P</t>
  </si>
  <si>
    <t>彩钢板房楼梯</t>
  </si>
  <si>
    <t>4*12</t>
  </si>
  <si>
    <t>江苏省徐州市鼓楼区卡特彼勒配套园中铁六局项目部</t>
  </si>
  <si>
    <t>岳田田</t>
  </si>
  <si>
    <t>25.64*5.62</t>
  </si>
  <si>
    <t>靖江市阳鸿建设有限公司</t>
  </si>
  <si>
    <t>9.1*18.2</t>
  </si>
  <si>
    <t>9.1*21.84</t>
  </si>
  <si>
    <t>3米*3米</t>
  </si>
  <si>
    <t>5.4*3.6</t>
  </si>
  <si>
    <t>3.6*3.6</t>
  </si>
  <si>
    <t>3*3</t>
  </si>
  <si>
    <t>3.6*5.4</t>
  </si>
  <si>
    <t>12kx2</t>
  </si>
  <si>
    <t>5.5x11</t>
  </si>
  <si>
    <t>3K*14K*3P*1栋</t>
  </si>
  <si>
    <t>廊坊辰拓钢结构工程有限公司</t>
  </si>
  <si>
    <t>3K*9K*3P*2栋</t>
  </si>
  <si>
    <t>3K*18K*6P*2栋</t>
  </si>
  <si>
    <t>K型3K*16K*9P</t>
  </si>
  <si>
    <t>K型3K*12K*3P*2</t>
  </si>
  <si>
    <t>K型3K*11K*3P</t>
  </si>
  <si>
    <t>3K*26K*6P</t>
  </si>
  <si>
    <t>7K*22K*6P</t>
  </si>
  <si>
    <t>10K*14K*4P</t>
  </si>
  <si>
    <t>3K*4K*4P</t>
  </si>
  <si>
    <t>6.8*10</t>
  </si>
  <si>
    <t>晋中市榆次区邦奕物资经营部</t>
  </si>
  <si>
    <r>
      <rPr>
        <sz val="9"/>
        <rFont val="宋体"/>
        <family val="3"/>
        <charset val="134"/>
        <scheme val="minor"/>
      </rPr>
      <t>m</t>
    </r>
    <r>
      <rPr>
        <vertAlign val="superscript"/>
        <sz val="9"/>
        <rFont val="宋体"/>
        <family val="3"/>
        <charset val="134"/>
      </rPr>
      <t>2</t>
    </r>
  </si>
  <si>
    <t>1000*2000*800</t>
  </si>
  <si>
    <t>山西发建币尚善工程有限公司</t>
  </si>
  <si>
    <t>2021.7.18</t>
  </si>
  <si>
    <t>7300*58640</t>
  </si>
  <si>
    <t>5460*3640*13</t>
  </si>
  <si>
    <t>7200*3000*11</t>
  </si>
  <si>
    <t>3000*1200</t>
  </si>
  <si>
    <t>6m*9m</t>
  </si>
  <si>
    <t>2m*2m</t>
  </si>
  <si>
    <t>10m*12m</t>
  </si>
  <si>
    <t>0.8m*6m</t>
  </si>
  <si>
    <t>2米高</t>
  </si>
  <si>
    <t>80mm</t>
  </si>
  <si>
    <t>7300*19000</t>
  </si>
  <si>
    <t>3k*9k*3p</t>
  </si>
  <si>
    <t>2700*2300</t>
  </si>
  <si>
    <t>2020.12.18</t>
  </si>
  <si>
    <t>1.2m*2m</t>
  </si>
  <si>
    <t>总配电柜</t>
  </si>
  <si>
    <t>630A</t>
  </si>
  <si>
    <t>菏泽石峰机电设备有限公司</t>
  </si>
  <si>
    <t>二级配电柜</t>
  </si>
  <si>
    <t>400A</t>
  </si>
  <si>
    <t>401A</t>
  </si>
  <si>
    <t>照明配电柜</t>
  </si>
  <si>
    <t>100A</t>
  </si>
  <si>
    <t>JVLV22-3*185+2*90</t>
  </si>
  <si>
    <t>JVLV22-3*70+2*35</t>
  </si>
  <si>
    <t>JVLV22-3*50+2*25</t>
  </si>
  <si>
    <t>JVLV22-3*240+2*150</t>
  </si>
  <si>
    <t>铠装电缆</t>
  </si>
  <si>
    <t>YJLV22-4*240+1*120</t>
  </si>
  <si>
    <t>山西宝力电气有限公司</t>
  </si>
  <si>
    <t>平顶山市郏县东城街道</t>
  </si>
  <si>
    <t>河南郏县项目部</t>
  </si>
  <si>
    <t>YJLV22-4*95+1+50</t>
  </si>
  <si>
    <t>XL-21</t>
  </si>
  <si>
    <t>塔吊配电箱</t>
  </si>
  <si>
    <t>JXF</t>
  </si>
  <si>
    <t>YJLV铝电缆</t>
  </si>
  <si>
    <t>3*35+2*16</t>
  </si>
  <si>
    <t>Φ48*6</t>
  </si>
  <si>
    <t>太原市隆和广信商贸有限公司</t>
  </si>
  <si>
    <t>栅栏</t>
  </si>
  <si>
    <t>铁艺栏杆</t>
  </si>
  <si>
    <t>卡扣</t>
  </si>
  <si>
    <t>工地大门（含电动伸缩门）</t>
  </si>
  <si>
    <t>净宽高13.4m*6m</t>
  </si>
  <si>
    <t>常州信瑞达工程材料有限公司</t>
  </si>
  <si>
    <t>监控室电脑</t>
  </si>
  <si>
    <t>监控室桌子</t>
  </si>
  <si>
    <t>塔吊专用箱</t>
  </si>
  <si>
    <t>砼斗</t>
  </si>
  <si>
    <t>110cm</t>
  </si>
  <si>
    <t>140*110*60</t>
  </si>
  <si>
    <t>电梯井防护门</t>
  </si>
  <si>
    <t>1.8*1.8</t>
  </si>
  <si>
    <t>1.8*2.5</t>
  </si>
  <si>
    <t>施工电梯防护门</t>
  </si>
  <si>
    <t>1.2*1.8</t>
  </si>
  <si>
    <t>施工大门</t>
  </si>
  <si>
    <t>6*12m</t>
  </si>
  <si>
    <t>铁艺大门</t>
  </si>
  <si>
    <t>2.5*4m</t>
  </si>
  <si>
    <t>1.5m*1.8m</t>
  </si>
  <si>
    <t>山西省晋中市榆次区动车所施工现场</t>
  </si>
  <si>
    <t>2.5*6</t>
  </si>
  <si>
    <t>隔离护栏</t>
  </si>
  <si>
    <t>PZ30</t>
  </si>
  <si>
    <t>江苏中硕电气有限公司</t>
  </si>
  <si>
    <t>浙江省台州市仙居县高铁新城原木材市场项目部</t>
  </si>
  <si>
    <t>一级箱</t>
  </si>
  <si>
    <t>二级箱</t>
  </si>
  <si>
    <t>防护围栏</t>
  </si>
  <si>
    <t>1200*2000</t>
  </si>
  <si>
    <t>锈蚀严重</t>
  </si>
  <si>
    <t>靖江红科装饰材料经营部</t>
  </si>
  <si>
    <t>变频器箱</t>
  </si>
  <si>
    <t>7.5KW</t>
  </si>
  <si>
    <t>2.2KW</t>
  </si>
  <si>
    <t>增压泵</t>
  </si>
  <si>
    <t>4KW</t>
  </si>
  <si>
    <t>电表箱</t>
  </si>
  <si>
    <t>3*2.5</t>
  </si>
  <si>
    <t xml:space="preserve">西峰区立奥五金建材销售部 </t>
  </si>
  <si>
    <t>3*4+1</t>
  </si>
  <si>
    <t>3*50+2*25</t>
  </si>
  <si>
    <t>3*70+2+35</t>
  </si>
  <si>
    <t>3*120+2+70</t>
  </si>
  <si>
    <t>3*150+2+70</t>
  </si>
  <si>
    <t>断桥铝门</t>
  </si>
  <si>
    <t>3.64*2.5</t>
  </si>
  <si>
    <t>不锈钢防护窗</t>
  </si>
  <si>
    <t>1810*950mm</t>
  </si>
  <si>
    <t>闸机箱</t>
  </si>
  <si>
    <t>消防水带</t>
  </si>
  <si>
    <t>DN100</t>
  </si>
  <si>
    <t>9m*6m*3.6m</t>
  </si>
  <si>
    <t>木工加工棚</t>
  </si>
  <si>
    <t>9m*6m*4m</t>
  </si>
  <si>
    <t>2021.11.4</t>
  </si>
  <si>
    <t>4m*4m*4m</t>
  </si>
  <si>
    <t>铜芯电缆</t>
  </si>
  <si>
    <t>3*6+2</t>
  </si>
  <si>
    <t>2021.12.15</t>
  </si>
  <si>
    <t>3*10+2</t>
  </si>
  <si>
    <t>3*4</t>
  </si>
  <si>
    <t>4*50+1*25</t>
  </si>
  <si>
    <t>铜电缆</t>
  </si>
  <si>
    <t>3×4²</t>
  </si>
  <si>
    <t>4×50²</t>
  </si>
  <si>
    <t>4×4²</t>
  </si>
  <si>
    <t>5×16²</t>
  </si>
  <si>
    <t>YJV3*50+1*25</t>
  </si>
  <si>
    <t>电力电缆</t>
  </si>
  <si>
    <t>VV 1kV 3×25＋1×16mm </t>
  </si>
  <si>
    <t>VV 1kV 3×120＋1×70mm </t>
  </si>
  <si>
    <t>500*600</t>
  </si>
  <si>
    <t>1.1*0.9m</t>
  </si>
  <si>
    <t>0.8*0.6m</t>
  </si>
  <si>
    <t>动力柜</t>
  </si>
  <si>
    <t>400*500 </t>
  </si>
  <si>
    <t>配电箱总电箱</t>
  </si>
  <si>
    <t>1900*800*600</t>
  </si>
  <si>
    <t>600*800</t>
  </si>
  <si>
    <t>220V照明开关箱</t>
  </si>
  <si>
    <t>低压照明变压器</t>
  </si>
  <si>
    <t>JMB-5KVA</t>
  </si>
  <si>
    <t>1*0.8M</t>
  </si>
  <si>
    <t>前后开门一级箱</t>
  </si>
  <si>
    <t>1.8×1</t>
  </si>
  <si>
    <t>楼梯连接件</t>
  </si>
  <si>
    <t>1.25m</t>
  </si>
  <si>
    <t>楼梯转角</t>
  </si>
  <si>
    <t>12cm*12cm</t>
  </si>
  <si>
    <t>1.06*1.9</t>
  </si>
  <si>
    <t>1.8m*1.8m</t>
  </si>
  <si>
    <t>卸料平台</t>
  </si>
  <si>
    <t>配电箱防护棚</t>
  </si>
  <si>
    <t>2.1m*2.1m*2.8m</t>
  </si>
  <si>
    <t>河南品壹信商贸有限公司</t>
  </si>
  <si>
    <t>基坑定型防护栏杆</t>
  </si>
  <si>
    <t>1700*1300</t>
  </si>
  <si>
    <t>楼梯扶手</t>
  </si>
  <si>
    <t>常规性</t>
  </si>
  <si>
    <t>1m*2m</t>
  </si>
  <si>
    <t>楼梯样板</t>
  </si>
  <si>
    <t>2900*2300*1800mm</t>
  </si>
  <si>
    <t>砌体抹灰样板</t>
  </si>
  <si>
    <t>主体结构样板</t>
  </si>
  <si>
    <t>2*1.2m</t>
  </si>
  <si>
    <t>钢筋堆放架</t>
  </si>
  <si>
    <t>1.25×1.8m</t>
  </si>
  <si>
    <t>防护门</t>
  </si>
  <si>
    <t>1300×1800mm</t>
  </si>
  <si>
    <t>西北旺永靓家园项目</t>
  </si>
  <si>
    <t>一级配电箱防护棚</t>
  </si>
  <si>
    <t>电箱防砸顶棚</t>
  </si>
  <si>
    <t>锚喷机防护棚</t>
  </si>
  <si>
    <t>3.5m*3.5m</t>
  </si>
  <si>
    <t>围挡（含灯，线）</t>
  </si>
  <si>
    <t>货物存放支架</t>
  </si>
  <si>
    <t>2m*6.0m*0.01m</t>
  </si>
  <si>
    <t>门头</t>
  </si>
  <si>
    <t>大门</t>
  </si>
  <si>
    <t>二级配电箱防护棚</t>
  </si>
  <si>
    <t>箱变防护棚</t>
  </si>
  <si>
    <t>水泥罐防护棚</t>
  </si>
  <si>
    <t>10.5m*7.5m</t>
  </si>
  <si>
    <t>基坑防护栏杆</t>
  </si>
  <si>
    <t>2m×1.2m</t>
  </si>
  <si>
    <t>标准养护室</t>
  </si>
  <si>
    <t>防砸棚</t>
  </si>
  <si>
    <t>10*12m</t>
  </si>
  <si>
    <t>6*6m</t>
  </si>
  <si>
    <t>4*2*2</t>
  </si>
  <si>
    <t>沿街围挡</t>
  </si>
  <si>
    <t>2.4m*3.98m</t>
  </si>
  <si>
    <t>铁艺护栏</t>
  </si>
  <si>
    <r>
      <t>长</t>
    </r>
    <r>
      <rPr>
        <sz val="10"/>
        <color rgb="FF000000"/>
        <rFont val="宋体"/>
        <family val="3"/>
        <charset val="134"/>
        <scheme val="major"/>
      </rPr>
      <t>3m</t>
    </r>
    <r>
      <rPr>
        <sz val="10"/>
        <color indexed="8"/>
        <rFont val="宋体"/>
        <family val="3"/>
        <charset val="134"/>
        <scheme val="major"/>
      </rPr>
      <t>、高</t>
    </r>
    <r>
      <rPr>
        <sz val="10"/>
        <color rgb="FF000000"/>
        <rFont val="宋体"/>
        <family val="3"/>
        <charset val="134"/>
        <scheme val="major"/>
      </rPr>
      <t>2m</t>
    </r>
  </si>
  <si>
    <r>
      <t>9</t>
    </r>
    <r>
      <rPr>
        <sz val="10"/>
        <color indexed="8"/>
        <rFont val="宋体"/>
        <family val="3"/>
        <charset val="134"/>
        <scheme val="major"/>
      </rPr>
      <t>米长，具体做法见附件</t>
    </r>
  </si>
  <si>
    <t>垃圾桶堆放棚</t>
  </si>
  <si>
    <t>3.9*0.8m</t>
  </si>
  <si>
    <t>塔吊防攀爬</t>
  </si>
  <si>
    <t>4*4*1m</t>
  </si>
  <si>
    <t>2.2*6m</t>
  </si>
  <si>
    <t>广告围挡</t>
  </si>
  <si>
    <t>加覆钢板，粘贴广告布</t>
  </si>
  <si>
    <t>梯笼防砸棚</t>
  </si>
  <si>
    <t>2米宽</t>
  </si>
  <si>
    <t>钢筋防砸棚</t>
  </si>
  <si>
    <t>木工防砸棚</t>
  </si>
  <si>
    <t>6*9m</t>
  </si>
  <si>
    <t>宿舍防砸板</t>
  </si>
  <si>
    <t>12*3.6*5.4</t>
  </si>
  <si>
    <t>门头喷漆</t>
  </si>
  <si>
    <t>门柱：1.2*8m</t>
  </si>
  <si>
    <t>七板两图</t>
  </si>
  <si>
    <t>2000*1800</t>
  </si>
  <si>
    <t>汽车防撞杆</t>
  </si>
  <si>
    <t>1500*300，刷黄黑漆</t>
  </si>
  <si>
    <t>标识牌架</t>
  </si>
  <si>
    <t>600*350</t>
  </si>
  <si>
    <t>3000*1800*400</t>
  </si>
  <si>
    <t>钢踏步</t>
  </si>
  <si>
    <t>1.4*1.4</t>
  </si>
  <si>
    <t>1.5*1.5*1.5m</t>
  </si>
  <si>
    <t>混凝土试块货架</t>
  </si>
  <si>
    <t>3000*2000*350</t>
  </si>
  <si>
    <t>宣传牌骨架</t>
  </si>
  <si>
    <t>500*6000，方钢焊接</t>
  </si>
  <si>
    <t>厨房烟筒外罩</t>
  </si>
  <si>
    <t>800*400*400，不锈钢板</t>
  </si>
  <si>
    <t>水电棚隔断</t>
  </si>
  <si>
    <t>1.3*2m，两面</t>
  </si>
  <si>
    <t>铝合金模板</t>
  </si>
  <si>
    <t>江苏鼎正建材有限公司</t>
  </si>
  <si>
    <t>200mm，4.5米</t>
  </si>
  <si>
    <t>北京市朝阳区双井街道百子湾路28号北京东站货场项目部</t>
  </si>
  <si>
    <t>200mm，6米</t>
  </si>
  <si>
    <t>施工电梯
防护门</t>
  </si>
  <si>
    <t>2.1*2.2m</t>
  </si>
  <si>
    <t>洞口围网</t>
  </si>
  <si>
    <t xml:space="preserve">1.5*1.35* 58片 1.5*1.05 *58片 </t>
  </si>
  <si>
    <t>施工电梯
边护网</t>
  </si>
  <si>
    <t>0.68*2.0m　</t>
  </si>
  <si>
    <t>红白围网</t>
  </si>
  <si>
    <t>1.2*2m　</t>
  </si>
  <si>
    <t>不锈钢卷帘门</t>
  </si>
  <si>
    <t>3.2*6.47m，电动</t>
  </si>
  <si>
    <t>1800*3000*0.35mm</t>
  </si>
  <si>
    <t>连云港天涯文化传播有限公司</t>
  </si>
  <si>
    <t>3m高</t>
  </si>
  <si>
    <t>连云港润云园林绿化工程有限公司</t>
  </si>
  <si>
    <t>2.76*2.3m</t>
  </si>
  <si>
    <t>钢制爬架网</t>
  </si>
  <si>
    <t>1200*1800</t>
  </si>
  <si>
    <t>平方m</t>
  </si>
  <si>
    <t>1.2*2m</t>
  </si>
  <si>
    <t>消防展示柜</t>
  </si>
  <si>
    <t>2*3.6*0.4m</t>
  </si>
  <si>
    <t>钢材存放架</t>
  </si>
  <si>
    <t>6*1.2m</t>
  </si>
  <si>
    <t>3*1.2m</t>
  </si>
  <si>
    <t>一级户外防雨箱</t>
  </si>
  <si>
    <t>0.8*0.6*1.8m</t>
  </si>
  <si>
    <t>0.4*1.2*1.9m</t>
  </si>
  <si>
    <t>只</t>
  </si>
  <si>
    <t>二级户外防雨箱</t>
  </si>
  <si>
    <t>1.2*0.3*1m</t>
  </si>
  <si>
    <t>1.2*0.3*1.1m</t>
  </si>
  <si>
    <t>0.3*0.8*1.25</t>
  </si>
  <si>
    <t>主楼洞口护栏</t>
  </si>
  <si>
    <t>北京市门头沟区永定镇新城大街中铁六局诺德彩园项目部</t>
  </si>
  <si>
    <t>6m*2m</t>
  </si>
  <si>
    <t>叉放架</t>
  </si>
  <si>
    <t>L=6m</t>
  </si>
  <si>
    <t>吊梁</t>
  </si>
  <si>
    <t>L=4.5m</t>
  </si>
  <si>
    <t>L=5.5m</t>
  </si>
  <si>
    <t>防攀爬护网</t>
  </si>
  <si>
    <t>4150*4150</t>
  </si>
  <si>
    <t>L=5.5米</t>
  </si>
  <si>
    <t>L=5米</t>
  </si>
  <si>
    <t>L=4.5米</t>
  </si>
  <si>
    <t>悬挑架</t>
  </si>
  <si>
    <t>216#工字钢，长度1.5米</t>
  </si>
  <si>
    <t>3HN250x125，长度2.6米</t>
  </si>
  <si>
    <t>护栏立柱</t>
  </si>
  <si>
    <t>1.8M</t>
  </si>
  <si>
    <t>斜支撑</t>
  </si>
  <si>
    <t>2.2*2.6M</t>
  </si>
  <si>
    <t>0.8*1.2M</t>
  </si>
  <si>
    <t>定型防护栏</t>
  </si>
  <si>
    <t>1.8M*1.8M</t>
  </si>
  <si>
    <t>1.5M*1.8M</t>
  </si>
  <si>
    <t>施工电梯楼层门</t>
  </si>
  <si>
    <t>1.5M*2.1M</t>
  </si>
  <si>
    <t>4.2R*4.6R</t>
  </si>
  <si>
    <t>2.9R*3.3R</t>
  </si>
  <si>
    <t>3.2R*3.6R</t>
  </si>
  <si>
    <t>3.6R*4.0R</t>
  </si>
  <si>
    <t>1.1R*1.5R</t>
  </si>
  <si>
    <t>2.96R*3.0R</t>
  </si>
  <si>
    <t>加厚型定型防护栏</t>
  </si>
  <si>
    <t>1.5*1.8</t>
  </si>
  <si>
    <t>1.8*2</t>
  </si>
  <si>
    <t>加厚型定型防护栏立柱</t>
  </si>
  <si>
    <t>移动卫生间</t>
  </si>
  <si>
    <t>1.1*1.1*2.35</t>
  </si>
  <si>
    <t>德州德能环保科技有限公司</t>
  </si>
  <si>
    <t>6.2m*12.4m*4m</t>
  </si>
  <si>
    <t>铜山区莱胜机械设备制造厂</t>
  </si>
  <si>
    <t>8.14m*10.12m</t>
  </si>
  <si>
    <t>YJLY0.6/1kv1*50mm²</t>
  </si>
  <si>
    <t>厦门项目调入</t>
  </si>
  <si>
    <t>YJV0.6/1KV5*10</t>
  </si>
  <si>
    <t>YJV0.6/1KV3*16</t>
  </si>
  <si>
    <t>三级</t>
  </si>
  <si>
    <t>临边防护</t>
  </si>
  <si>
    <t>120cm*200cm</t>
  </si>
  <si>
    <t>江苏宏程达模板有限公司</t>
  </si>
  <si>
    <t>配电箱护栏</t>
  </si>
  <si>
    <t>220cm*220cm*4片</t>
  </si>
  <si>
    <t>240cm*220cm*4片</t>
  </si>
  <si>
    <t>120cm*100cm</t>
  </si>
  <si>
    <t>110cm*200cm</t>
  </si>
  <si>
    <t>110cm*100cm</t>
  </si>
  <si>
    <t>临边防护立杆</t>
  </si>
  <si>
    <t>临边防护标语牌</t>
  </si>
  <si>
    <t>总配电箱</t>
  </si>
  <si>
    <t>1800*1200*500</t>
  </si>
  <si>
    <t>闸机箱
（舒适型箱体）</t>
  </si>
  <si>
    <t>闸机</t>
  </si>
  <si>
    <t>◇开闸时间：0.2s 
◇通行速度：35人/分
◇电压 ：220V,50HZ
◇驱动电压：24v 
◇功率：32W 
◇驱动信号：12v干接点
◇双向读卡窗、方向指示，断电落杆；</t>
  </si>
  <si>
    <t>控制系统</t>
  </si>
  <si>
    <t xml:space="preserve">800*1000*400 </t>
  </si>
  <si>
    <t>镇江施耐德电器有限公司</t>
  </si>
  <si>
    <t xml:space="preserve">800*1400*350 </t>
  </si>
  <si>
    <t xml:space="preserve">600*800*250 </t>
  </si>
  <si>
    <t xml:space="preserve">500*600*250 </t>
  </si>
  <si>
    <t>700*800*250</t>
  </si>
  <si>
    <t xml:space="preserve">800*1500*400 </t>
  </si>
  <si>
    <t>电梯防砸棚</t>
  </si>
  <si>
    <t>4*200</t>
  </si>
  <si>
    <t>徐州步谨广告传媒有限公司</t>
  </si>
  <si>
    <t>安全通道</t>
  </si>
  <si>
    <t>200g</t>
  </si>
  <si>
    <t>变压器柜</t>
  </si>
  <si>
    <t>220v变36v</t>
  </si>
  <si>
    <t>徐州墨琳滕物资贸易有限公司</t>
  </si>
  <si>
    <t>临时安全防护护栏</t>
  </si>
  <si>
    <t>1.2*2.0</t>
  </si>
  <si>
    <t>井口防护门</t>
  </si>
  <si>
    <t>2.1*1.5</t>
  </si>
  <si>
    <t>2.6*1.5</t>
  </si>
  <si>
    <t>电梯门</t>
  </si>
  <si>
    <t>1.95*1.5</t>
  </si>
  <si>
    <t>护栏片</t>
  </si>
  <si>
    <t>1.3*1.95</t>
  </si>
  <si>
    <t>1.0*1.95</t>
  </si>
  <si>
    <t>0.4*2.2</t>
  </si>
  <si>
    <t>1.2*2.2</t>
  </si>
  <si>
    <t>0.975*1.95</t>
  </si>
  <si>
    <t>0.8*1.95</t>
  </si>
  <si>
    <t>1.1*1.95</t>
  </si>
  <si>
    <t>1.5*1.95</t>
  </si>
  <si>
    <t>砂浆罐防护棚</t>
  </si>
  <si>
    <t>4.5*3.1*3.5</t>
  </si>
  <si>
    <t>电梯防护门</t>
  </si>
  <si>
    <t>1.2*20</t>
  </si>
  <si>
    <t>基坑护栏</t>
  </si>
  <si>
    <t>赛罕区树仁五金建材经销店</t>
  </si>
  <si>
    <t>低压电力电缆</t>
  </si>
  <si>
    <t>YJLV22-1KV-4*120+1*70</t>
  </si>
  <si>
    <t>回民区隆海线缆电气销售部</t>
  </si>
  <si>
    <t>YJLV22-1KV-4*95+1*50</t>
  </si>
  <si>
    <t>YJLV22-1KV-4*70+1*35</t>
  </si>
  <si>
    <t>YJLV22-1KV-4*35+1*25</t>
  </si>
  <si>
    <t>一级柜</t>
  </si>
  <si>
    <t>AP1</t>
  </si>
  <si>
    <t>AP2</t>
  </si>
  <si>
    <t>AA1</t>
  </si>
  <si>
    <t>AA2</t>
  </si>
  <si>
    <t>AA3</t>
  </si>
  <si>
    <t>AA4</t>
  </si>
  <si>
    <t>AA5</t>
  </si>
  <si>
    <t>AA6</t>
  </si>
  <si>
    <t>AA7</t>
  </si>
  <si>
    <t>AA8</t>
  </si>
  <si>
    <t>AP3</t>
  </si>
  <si>
    <t>AH1</t>
  </si>
  <si>
    <t>AC1</t>
  </si>
  <si>
    <t>AS1</t>
  </si>
  <si>
    <t>SN1</t>
  </si>
  <si>
    <t>SN2</t>
  </si>
  <si>
    <t>SN3</t>
  </si>
  <si>
    <t>SN4</t>
  </si>
  <si>
    <t>SN5</t>
  </si>
  <si>
    <t>SN6</t>
  </si>
  <si>
    <t>防雨配电箱</t>
  </si>
  <si>
    <t>600*800*200</t>
  </si>
  <si>
    <t>消防箱</t>
  </si>
  <si>
    <t>800*600*240</t>
  </si>
  <si>
    <t>卷帘门</t>
  </si>
  <si>
    <t>内蒙古冠达电子科技有限公司</t>
  </si>
  <si>
    <t>闸机通道厢房</t>
  </si>
  <si>
    <t>3000*6000</t>
  </si>
  <si>
    <t>电梯井平台</t>
  </si>
  <si>
    <t>1.8*1.9m</t>
  </si>
  <si>
    <t>盂县项目部调入</t>
  </si>
  <si>
    <t>2.1*6m</t>
  </si>
  <si>
    <t>1.5*6m</t>
  </si>
  <si>
    <t>1.06*1.9m</t>
  </si>
  <si>
    <t>内蒙古光中钢材有限公司</t>
  </si>
  <si>
    <t>3*2*1.5</t>
  </si>
  <si>
    <t>钢筋、木工加工棚</t>
  </si>
  <si>
    <t>1.5*1*1m</t>
  </si>
  <si>
    <t>生活区集装箱防晒板</t>
  </si>
  <si>
    <t>内蒙古十方商贸有限公司</t>
  </si>
  <si>
    <t>6000x12000x3500</t>
  </si>
  <si>
    <t>套丝机加工棚</t>
  </si>
  <si>
    <t>2500x2000x3000</t>
  </si>
  <si>
    <t>北京建祥瑞新型建筑器材技术开发有限公司</t>
  </si>
  <si>
    <t>塔吊灰斗</t>
  </si>
  <si>
    <t>2方</t>
  </si>
  <si>
    <t>靖江市红科装饰材料经营部</t>
  </si>
  <si>
    <t>1.2*1.5</t>
  </si>
  <si>
    <t>1.5*1.8*2.5</t>
  </si>
  <si>
    <t>组装式电梯防护棚</t>
  </si>
  <si>
    <t>6*6*3.5</t>
  </si>
  <si>
    <t>组装式安全通道棚</t>
  </si>
  <si>
    <t>4*6*6</t>
  </si>
  <si>
    <t>4*4*6</t>
  </si>
  <si>
    <t>电子吊秤</t>
  </si>
  <si>
    <t>10t</t>
  </si>
  <si>
    <t>裕华安建建材经销处</t>
  </si>
  <si>
    <t>工程充电柜</t>
  </si>
  <si>
    <t>手机充电柜</t>
  </si>
  <si>
    <t>200*300*300</t>
  </si>
  <si>
    <t>振动台</t>
  </si>
  <si>
    <t>1000MM*1000MM</t>
  </si>
  <si>
    <t>楼层箱</t>
  </si>
  <si>
    <t>250A+380V*2+3P63A+220V*3+2P40A</t>
  </si>
  <si>
    <t>160A+380V*2+3P63A+220V*4+2P40A</t>
  </si>
  <si>
    <t>电梯配电箱</t>
  </si>
  <si>
    <t>250A+160*2</t>
  </si>
  <si>
    <t>组装式围栏</t>
  </si>
  <si>
    <t>3*2.5m</t>
  </si>
  <si>
    <t>1.99mm*2.09mm</t>
  </si>
  <si>
    <t>1950mm*2000mm</t>
  </si>
  <si>
    <t>1.8m*1.2m</t>
  </si>
  <si>
    <t>1.5m*2m</t>
  </si>
  <si>
    <t>1.5m*1.5m</t>
  </si>
  <si>
    <t>1级配电柜</t>
  </si>
  <si>
    <t>现场</t>
  </si>
  <si>
    <t>浙江基建项目部金华分部</t>
  </si>
  <si>
    <t>2级配电柜</t>
  </si>
  <si>
    <t>会议</t>
  </si>
  <si>
    <t>家属区提升机</t>
  </si>
  <si>
    <t>会议加工区</t>
  </si>
  <si>
    <t>北区1-4号楼</t>
  </si>
  <si>
    <t>塔吊配电柜</t>
  </si>
  <si>
    <t>南区办公楼</t>
  </si>
  <si>
    <t>修理工间</t>
  </si>
  <si>
    <t>南区567</t>
  </si>
  <si>
    <t>北区</t>
  </si>
  <si>
    <t>车库</t>
  </si>
  <si>
    <t>转接箱</t>
  </si>
  <si>
    <t>主630A二路400A二路250A</t>
  </si>
  <si>
    <t>肇庆市天盛五金电器有限公司</t>
  </si>
  <si>
    <t>肇庆市鼎湖区人民法院审判法庭新建项目</t>
  </si>
  <si>
    <t>主500A一路400A二路250A</t>
  </si>
  <si>
    <t>主400A一路300A三路100A</t>
  </si>
  <si>
    <t>铝铠电缆</t>
  </si>
  <si>
    <t>广州珠江</t>
  </si>
  <si>
    <t>三辊闸机</t>
  </si>
  <si>
    <t>5*6</t>
  </si>
  <si>
    <t>1800*1300</t>
  </si>
  <si>
    <t>兰州重离子项目</t>
  </si>
  <si>
    <t>2020年5月</t>
  </si>
  <si>
    <t>广东省河源市源城区源南镇江东新区碧桂园凤凰台</t>
  </si>
  <si>
    <t>广东河源法院项目部</t>
  </si>
  <si>
    <t>地下室防水样板</t>
  </si>
  <si>
    <t>2.2*2.8m</t>
  </si>
  <si>
    <t>长沙凯途标准建筑工程有限公司</t>
  </si>
  <si>
    <t>砌块加窗框安装样板</t>
  </si>
  <si>
    <t>屋面样板</t>
  </si>
  <si>
    <t>厨卫样板</t>
  </si>
  <si>
    <t>电梯井操作台</t>
  </si>
  <si>
    <t>1.9*2.1*2.9m</t>
  </si>
  <si>
    <t>2.1*1.9*2.9m</t>
  </si>
  <si>
    <t>电梯井临边防护栏</t>
  </si>
  <si>
    <t>1.8*1.8m</t>
  </si>
  <si>
    <t>2.25*1.8m</t>
  </si>
  <si>
    <t>1.16*1.8m</t>
  </si>
  <si>
    <t>干字型立杆</t>
  </si>
  <si>
    <t>48，壁厚1.2mm,高1.2m</t>
  </si>
  <si>
    <t>沈阳汀河源建筑安装有限公司</t>
  </si>
  <si>
    <t>二级配电箱BG-01         室外防雨型</t>
  </si>
  <si>
    <t>曲阳县宏畅商贸有限公司</t>
  </si>
  <si>
    <t>二级配电箱BG-02          室外防雨型</t>
  </si>
  <si>
    <t>二级配电箱JG-01/02       室外防雨型</t>
  </si>
  <si>
    <t>二级配电箱SG-01~04        室外防雨型</t>
  </si>
  <si>
    <t>照明二级箱ZM               室外防雨型</t>
  </si>
  <si>
    <t>室外壁挂式照明箱MW-01
带内板，外带透明翻盖，室外防雨型</t>
  </si>
  <si>
    <t>室外壁挂式照明箱-办公室楼
带内板，外带透明翻盖，室外防雨型</t>
  </si>
  <si>
    <t>室外壁挂式照明箱-厨房楼
带内板，外带透明翻盖，室外防雨型</t>
  </si>
  <si>
    <t>室外壁挂式照明箱-会议室楼
带内板，外带透明翻盖，室外防雨型</t>
  </si>
  <si>
    <t>铠装铝电缆</t>
  </si>
  <si>
    <t>YJLV22-3*150+2*70</t>
  </si>
  <si>
    <t>YJLV22-3*120+2*70</t>
  </si>
  <si>
    <t>YJLV22-3*240+2*120</t>
  </si>
  <si>
    <t>YJLV22-3*35+2*16</t>
  </si>
  <si>
    <t>YJLV22-3*50+2*25</t>
  </si>
  <si>
    <t>YJLV22-3*70+2*25</t>
  </si>
  <si>
    <t>YJLV22-4*95+1*50</t>
  </si>
  <si>
    <t>YJLV-5*10</t>
  </si>
  <si>
    <t>YJLV-5*16</t>
  </si>
  <si>
    <t>地下室样板</t>
  </si>
  <si>
    <t>2.3*2.9m</t>
  </si>
  <si>
    <t>陕西蓝软信息科技有限公司</t>
  </si>
  <si>
    <t>基础样板</t>
  </si>
  <si>
    <t>水井电井预埋样板</t>
  </si>
  <si>
    <t>装饰抹灰样板</t>
  </si>
  <si>
    <t>安全体验馆大门</t>
  </si>
  <si>
    <t>3.8*0.4*3.8m</t>
  </si>
  <si>
    <t>安全讲平台</t>
  </si>
  <si>
    <t>4.5*0.4*2.8m</t>
  </si>
  <si>
    <t>电动安全带体验</t>
  </si>
  <si>
    <t>5.4*0.5*4.5m</t>
  </si>
  <si>
    <t>劳保用品展示（B型）</t>
  </si>
  <si>
    <t>3*2.7*0.8m</t>
  </si>
  <si>
    <t>电焊机安全操作体验</t>
  </si>
  <si>
    <t>1.5*2.3m</t>
  </si>
  <si>
    <t>平台倾倒体验（带液压倾斜功能）</t>
  </si>
  <si>
    <t>1.85*0.95*3m</t>
  </si>
  <si>
    <t>护栏推到体验</t>
  </si>
  <si>
    <t>2.06*0.08*2.4m</t>
  </si>
  <si>
    <t>钢筋摆放支架</t>
  </si>
  <si>
    <t>6*9</t>
  </si>
  <si>
    <t>北京鑫同力装饰有限公司</t>
  </si>
  <si>
    <t>2020.11.18</t>
  </si>
  <si>
    <t>9*6</t>
  </si>
  <si>
    <t>5*5</t>
  </si>
  <si>
    <t>2*1.2</t>
  </si>
  <si>
    <t>盘螺支架</t>
  </si>
  <si>
    <t>0.8m*4.5m</t>
  </si>
  <si>
    <t>2021.1.18</t>
  </si>
  <si>
    <t>2*4*2m</t>
  </si>
  <si>
    <t>不锈钢货架</t>
  </si>
  <si>
    <t>2.5*0.7*1.8m</t>
  </si>
  <si>
    <t>组装式货架</t>
  </si>
  <si>
    <t>2*0.6*2m</t>
  </si>
  <si>
    <t>伸缩门</t>
  </si>
  <si>
    <t>10.5m</t>
  </si>
  <si>
    <t>太原市金科鸿瑞门业有限公司</t>
  </si>
  <si>
    <t>不锈钢门</t>
  </si>
  <si>
    <t>1.2*1.7</t>
  </si>
  <si>
    <t>临边防护栏杆</t>
  </si>
  <si>
    <t>2021.10.18</t>
  </si>
  <si>
    <t>电梯井防护栏杆</t>
  </si>
  <si>
    <t>长1.3m，高1.5m</t>
  </si>
  <si>
    <t>长2.2m，高1.5m</t>
  </si>
  <si>
    <t>长2m，高1.5m</t>
  </si>
  <si>
    <t>电梯井道提升架</t>
  </si>
  <si>
    <t xml:space="preserve">2200*2050  </t>
  </si>
  <si>
    <t xml:space="preserve"> 1850*2300 </t>
  </si>
  <si>
    <t>红白防护栏</t>
  </si>
  <si>
    <t>安全围网</t>
  </si>
  <si>
    <t>一级配电柜</t>
  </si>
  <si>
    <t>800*600*400（钢筋加工场）</t>
  </si>
  <si>
    <t>800*600*400（楼层箱）</t>
  </si>
  <si>
    <t>600*500*300（体验馆门岗）</t>
  </si>
  <si>
    <t>400*500*200（开关箱）</t>
  </si>
  <si>
    <t>800*600*300（塔吊箱）</t>
  </si>
  <si>
    <t>200*300*450</t>
  </si>
  <si>
    <t>岩棉被</t>
  </si>
  <si>
    <t>1.3m*6m</t>
  </si>
  <si>
    <t>4*185+1*95</t>
  </si>
  <si>
    <t>4*120+1*70</t>
  </si>
  <si>
    <t>3*2*2m，16米高</t>
  </si>
  <si>
    <t>中铁六局集团(电务)公司周转材料信息管理台账</t>
  </si>
  <si>
    <t>石济库房</t>
  </si>
  <si>
    <t>曲万松</t>
  </si>
  <si>
    <t>石济项目部</t>
  </si>
  <si>
    <t>电务公司</t>
  </si>
  <si>
    <t>4M*2.25M*20mm</t>
  </si>
  <si>
    <t>再用</t>
  </si>
  <si>
    <t>京唐220迁改施工现场</t>
  </si>
  <si>
    <t>田跃</t>
  </si>
  <si>
    <t>京唐四分部</t>
  </si>
  <si>
    <t>外部租赁</t>
  </si>
  <si>
    <r>
      <t>山西交科公路</t>
    </r>
    <r>
      <rPr>
        <sz val="10"/>
        <color rgb="FF000000"/>
        <rFont val="Times New Roman"/>
        <family val="1"/>
      </rPr>
      <t xml:space="preserve">
</t>
    </r>
    <r>
      <rPr>
        <sz val="10"/>
        <color rgb="FF000000"/>
        <rFont val="宋体"/>
        <family val="3"/>
        <charset val="134"/>
      </rPr>
      <t>勘察设计院</t>
    </r>
  </si>
  <si>
    <r>
      <t>京沪宿州站</t>
    </r>
    <r>
      <rPr>
        <sz val="10"/>
        <color theme="1"/>
        <rFont val="Tahoma"/>
        <family val="2"/>
      </rPr>
      <t xml:space="preserve">
</t>
    </r>
    <r>
      <rPr>
        <sz val="10"/>
        <color theme="1"/>
        <rFont val="宋体"/>
        <family val="3"/>
        <charset val="134"/>
      </rPr>
      <t>改施（站）</t>
    </r>
  </si>
  <si>
    <r>
      <t>填写说明：根据计划提报内容要求按周转材料分类填写，内容不足可补充，</t>
    </r>
    <r>
      <rPr>
        <b/>
        <sz val="10"/>
        <color rgb="FFFF0000"/>
        <rFont val="宋体"/>
        <family val="3"/>
        <charset val="134"/>
        <scheme val="major"/>
      </rPr>
      <t>材料名称统一</t>
    </r>
    <r>
      <rPr>
        <b/>
        <sz val="10"/>
        <color theme="1"/>
        <rFont val="宋体"/>
        <family val="3"/>
        <charset val="134"/>
        <scheme val="major"/>
      </rPr>
      <t>，</t>
    </r>
    <r>
      <rPr>
        <b/>
        <sz val="10"/>
        <color rgb="FFFF0000"/>
        <rFont val="宋体"/>
        <family val="3"/>
        <charset val="134"/>
        <scheme val="major"/>
      </rPr>
      <t>不同规格型号的周转材料填写要清晰（必填），有设计图号的（必填），存放地点要写详尽</t>
    </r>
    <r>
      <rPr>
        <sz val="10"/>
        <color theme="1"/>
        <rFont val="宋体"/>
        <family val="3"/>
        <charset val="134"/>
        <scheme val="major"/>
      </rPr>
      <t>。普通钢模（按照标准化图纸设计的桥墩、墩帽、承台、涵洞模板等）；异形钢模（连续梁主边墩、固定墩、门式墩、矩形墩、空心墩内外模、坡比墩、护栏模板、涵洞模板、桥面系各类模板、避车洞模板、洞门模板、0#块模板、现浇梁模板、6015（3015）标准建筑模板等）。墩柱模板：按照公路、普通铁路与高速铁路墩型分类，隧道衬砌台车:按照铁路单线、双线及公路分类。状况：是否良好等，使用情况：在用或闲置。</t>
    </r>
  </si>
  <si>
    <t>中铁六局集团(呼和)公司周转材料信息管理台账</t>
  </si>
  <si>
    <t>1.5*1.05</t>
  </si>
  <si>
    <t>部分良好</t>
  </si>
  <si>
    <t>呼和料库</t>
  </si>
  <si>
    <t>张霞</t>
  </si>
  <si>
    <t>呼和铁建物机分公司</t>
  </si>
  <si>
    <t>呼和铁建</t>
  </si>
  <si>
    <t>1.5*0.9</t>
  </si>
  <si>
    <t>1.5*0.6</t>
  </si>
  <si>
    <t xml:space="preserve"> </t>
  </si>
  <si>
    <t>0.9*1.5米</t>
  </si>
  <si>
    <t>2014年</t>
  </si>
  <si>
    <t>枢纽二队料库</t>
  </si>
  <si>
    <t>张彬</t>
  </si>
  <si>
    <t>呼和枢纽项目部</t>
  </si>
  <si>
    <t>呼和公司</t>
  </si>
  <si>
    <t>1.05*1.5米</t>
  </si>
  <si>
    <t>0.6*1.5米</t>
  </si>
  <si>
    <t>鄂尔多斯伊金霍洛旗新街站</t>
  </si>
  <si>
    <t>桥面系模板</t>
  </si>
  <si>
    <t>防护墙模板（含螺杆）</t>
  </si>
  <si>
    <t>通桥（2016）8388A图</t>
  </si>
  <si>
    <t>中铁第四勘察设计集团有限公司</t>
  </si>
  <si>
    <t>安徽神舟</t>
  </si>
  <si>
    <t>安徽宣城市十字镇双沟搅拌站</t>
  </si>
  <si>
    <t>徐雷</t>
  </si>
  <si>
    <t>商合杭项目部</t>
  </si>
  <si>
    <t>AB墙模板</t>
  </si>
  <si>
    <t>安徽奥发</t>
  </si>
  <si>
    <t>附属模板</t>
  </si>
  <si>
    <t>重力式挡土墙</t>
  </si>
  <si>
    <t>抗滑桩模板</t>
  </si>
  <si>
    <t>防护墙模板</t>
  </si>
  <si>
    <t>合肥早力</t>
  </si>
  <si>
    <t>重力式挡土墙（含螺栓）</t>
  </si>
  <si>
    <t>拱形骨架</t>
  </si>
  <si>
    <t>郎溪鑫汇达</t>
  </si>
  <si>
    <t>异型钢模板</t>
  </si>
  <si>
    <t>2.855*2</t>
  </si>
  <si>
    <t>S-QL-01-改</t>
  </si>
  <si>
    <t>中国铁路设计集团有限公司天津</t>
  </si>
  <si>
    <t>原平市大牛店宏丰模板厂</t>
  </si>
  <si>
    <t>鄂尔多斯伊金霍洛旗</t>
  </si>
  <si>
    <t>尹文鹏</t>
  </si>
  <si>
    <t>营业线改建工程项目部</t>
  </si>
  <si>
    <t>2.855*1.5</t>
  </si>
  <si>
    <t>2.855*1</t>
  </si>
  <si>
    <t>1.8*1.5</t>
  </si>
  <si>
    <t>1.8*1.0</t>
  </si>
  <si>
    <t>2*0.2</t>
  </si>
  <si>
    <t>1.5*0.2</t>
  </si>
  <si>
    <t>1*0.2</t>
  </si>
  <si>
    <t>2*0.6</t>
  </si>
  <si>
    <t>1*0.6</t>
  </si>
  <si>
    <t>1.8*0.2</t>
  </si>
  <si>
    <t>6.1*0.5</t>
  </si>
  <si>
    <t>2*3.218</t>
  </si>
  <si>
    <t>2*5.236</t>
  </si>
  <si>
    <t>2.088*6.2</t>
  </si>
  <si>
    <t>3.21*1.1</t>
  </si>
  <si>
    <t>6.1*0.65</t>
  </si>
  <si>
    <t>6.1*0.60</t>
  </si>
  <si>
    <t>3.21*0.65</t>
  </si>
  <si>
    <t>0.25*0.65</t>
  </si>
  <si>
    <t>各种</t>
  </si>
  <si>
    <t>桥墩台</t>
  </si>
  <si>
    <t>物机分公司集宁料库</t>
  </si>
  <si>
    <t>直径2m</t>
  </si>
  <si>
    <t>四川省西昌市喜得县北山村料库</t>
  </si>
  <si>
    <t>冯田田</t>
  </si>
  <si>
    <t>西昭高速项目部</t>
  </si>
  <si>
    <t>直径1.8m</t>
  </si>
  <si>
    <t>成都万欣邦达机械制造有限公司</t>
  </si>
  <si>
    <t>直径1.6m</t>
  </si>
  <si>
    <t>2018.8</t>
  </si>
  <si>
    <t>直径1.5m</t>
  </si>
  <si>
    <t>2019.1</t>
  </si>
  <si>
    <t>呼市福利马料库</t>
  </si>
  <si>
    <t>李计卜</t>
  </si>
  <si>
    <t>呼市地铁</t>
  </si>
  <si>
    <t>25米</t>
  </si>
  <si>
    <t>桩系梁模板</t>
  </si>
  <si>
    <t>1.3m</t>
  </si>
  <si>
    <t>2020.9.1</t>
  </si>
  <si>
    <t>后旗工地</t>
  </si>
  <si>
    <t>刘晓军</t>
  </si>
  <si>
    <t>公铁立交桥项目部</t>
  </si>
  <si>
    <t>柱系梁模板</t>
  </si>
  <si>
    <t>21m*1.7m</t>
  </si>
  <si>
    <t>1.64m*1.5m</t>
  </si>
  <si>
    <t xml:space="preserve">内蒙古陆桥钢结构有限责任公司 </t>
  </si>
  <si>
    <t>2021.9.10</t>
  </si>
  <si>
    <t>1.54m*1.5m</t>
  </si>
  <si>
    <t>墩柱模板（方模）</t>
  </si>
  <si>
    <t>集通电化施桥-20/23</t>
  </si>
  <si>
    <t>中国铁路设计集通有限公司</t>
  </si>
  <si>
    <t>徐建忠</t>
  </si>
  <si>
    <t>墩柱模板（圆模）</t>
  </si>
  <si>
    <t>托盘顶帽</t>
  </si>
  <si>
    <t>山西星火机械制造有限公司</t>
  </si>
  <si>
    <t>王朔</t>
  </si>
  <si>
    <t>李晓鹏</t>
  </si>
  <si>
    <t>集通电气化改造工程项目部一工区</t>
  </si>
  <si>
    <t>直径280cm</t>
  </si>
  <si>
    <t>四川中立达钢结构工程有限公司</t>
  </si>
  <si>
    <t>2021.10.22</t>
  </si>
  <si>
    <t>四川省西昌市喜得县北山村北山村3#大桥、2#特大桥</t>
  </si>
  <si>
    <t>直径250cm</t>
  </si>
  <si>
    <t>直径230cm</t>
  </si>
  <si>
    <t>地系梁钢模板</t>
  </si>
  <si>
    <t>桩基直径280cm</t>
  </si>
  <si>
    <t>桩基直径250cm</t>
  </si>
  <si>
    <t>中系梁钢模板</t>
  </si>
  <si>
    <t>桩基直径230cm</t>
  </si>
  <si>
    <t>空心墩盖梁模板</t>
  </si>
  <si>
    <t>墩身钢模板</t>
  </si>
  <si>
    <t>鞍山嘉胜模板有限公司</t>
  </si>
  <si>
    <t>沈阳市大东区柳条湖特大桥</t>
  </si>
  <si>
    <t>孙昌</t>
  </si>
  <si>
    <t>沈白高铁沈阳枢纽改建工程项目部</t>
  </si>
  <si>
    <t>沈白项目部</t>
  </si>
  <si>
    <t>平模2600*1000</t>
  </si>
  <si>
    <t>沈阳市大东区沈东特大桥</t>
  </si>
  <si>
    <t>弧模3000*1000</t>
  </si>
  <si>
    <t>平模2600*2000</t>
  </si>
  <si>
    <t>弧模3000*2000</t>
  </si>
  <si>
    <t>精轧螺纹钢Φ32*1600</t>
  </si>
  <si>
    <t>精轧螺纹螺母M32</t>
  </si>
  <si>
    <t>连接螺栓M20*70</t>
  </si>
  <si>
    <t>内蒙古陆桥钢结构有限责任公司</t>
  </si>
  <si>
    <t>桥台模板</t>
  </si>
  <si>
    <t>通桥（2009）4301-1图纸</t>
  </si>
  <si>
    <r>
      <rPr>
        <sz val="10"/>
        <color rgb="FF000000"/>
        <rFont val="宋体"/>
        <family val="3"/>
        <charset val="134"/>
      </rPr>
      <t>19.5米</t>
    </r>
    <r>
      <rPr>
        <sz val="10"/>
        <color rgb="FF000000"/>
        <rFont val="Calibri"/>
        <family val="2"/>
      </rPr>
      <t>*12.8</t>
    </r>
    <r>
      <rPr>
        <sz val="10"/>
        <color rgb="FF000000"/>
        <rFont val="宋体"/>
        <family val="3"/>
        <charset val="134"/>
      </rPr>
      <t>米</t>
    </r>
    <r>
      <rPr>
        <sz val="10"/>
        <color rgb="FF000000"/>
        <rFont val="Calibri"/>
        <family val="2"/>
      </rPr>
      <t>*4</t>
    </r>
    <r>
      <rPr>
        <sz val="10"/>
        <color rgb="FF000000"/>
        <rFont val="宋体"/>
        <family val="3"/>
        <charset val="134"/>
      </rPr>
      <t>米</t>
    </r>
  </si>
  <si>
    <t>原平市大牛店</t>
  </si>
  <si>
    <r>
      <rPr>
        <sz val="10"/>
        <color rgb="FF000000"/>
        <rFont val="宋体"/>
        <family val="3"/>
        <charset val="134"/>
      </rPr>
      <t>12.3米</t>
    </r>
    <r>
      <rPr>
        <sz val="10"/>
        <color rgb="FF000000"/>
        <rFont val="Calibri"/>
        <family val="2"/>
      </rPr>
      <t>*9*</t>
    </r>
    <r>
      <rPr>
        <sz val="10"/>
        <color rgb="FF000000"/>
        <rFont val="宋体"/>
        <family val="3"/>
        <charset val="134"/>
      </rPr>
      <t>米</t>
    </r>
    <r>
      <rPr>
        <sz val="10"/>
        <color rgb="FF000000"/>
        <rFont val="Calibri"/>
        <family val="2"/>
      </rPr>
      <t>2.5</t>
    </r>
    <r>
      <rPr>
        <sz val="10"/>
        <color rgb="FF000000"/>
        <rFont val="宋体"/>
        <family val="3"/>
        <charset val="134"/>
      </rPr>
      <t>米</t>
    </r>
  </si>
  <si>
    <t>不良</t>
  </si>
  <si>
    <t>报废</t>
  </si>
  <si>
    <t>物机分公司（呼和料库、集宁料库、包头网片厂）</t>
  </si>
  <si>
    <t>装配式模块化安全梯笼</t>
  </si>
  <si>
    <t>长*宽*高 75#角钢 3000*2000*2000mm</t>
  </si>
  <si>
    <t>2021.10.28</t>
  </si>
  <si>
    <t>四川省西昌市喜得县北山村北山村3#大桥</t>
  </si>
  <si>
    <t>液压爬模</t>
  </si>
  <si>
    <r>
      <rPr>
        <sz val="10"/>
        <color rgb="FF000000"/>
        <rFont val="宋体"/>
        <family val="3"/>
        <charset val="134"/>
      </rPr>
      <t>薄壁空心墩</t>
    </r>
    <r>
      <rPr>
        <sz val="10"/>
        <color rgb="FF000000"/>
        <rFont val="宋体"/>
        <family val="3"/>
        <charset val="134"/>
      </rPr>
      <t xml:space="preserve">  </t>
    </r>
    <r>
      <rPr>
        <sz val="10"/>
        <color rgb="FF000000"/>
        <rFont val="宋体"/>
        <family val="3"/>
        <charset val="134"/>
      </rPr>
      <t>高度51-62.591m，变截面矩形墩，壁厚0.5m，墩顶截面2.1m*2.1m，其中横桥向为2.1m，不变化，顺桥向顶面宽度2.1m，按照80:1的坡度向下扩大，底面最大尺寸3.64m</t>
    </r>
  </si>
  <si>
    <t>贵州卓良模板有限公司</t>
  </si>
  <si>
    <t>2021.10.29</t>
  </si>
  <si>
    <t>物资机械分公司</t>
  </si>
  <si>
    <t>30#</t>
  </si>
  <si>
    <t>四川石之源商贸有限公司</t>
  </si>
  <si>
    <t>四川明宇佳工程材料有限公司</t>
  </si>
  <si>
    <t>四川鸿琛科技有限责任公司</t>
  </si>
  <si>
    <t>梓潼蚁顺建材有限公司</t>
  </si>
  <si>
    <t>绵阳瑞鑫泰商贸有限公司</t>
  </si>
  <si>
    <t xml:space="preserve">工字钢 </t>
  </si>
  <si>
    <t>30b*12</t>
  </si>
  <si>
    <t>四川省西昌市喜得县北山村峰子岩隧道</t>
  </si>
  <si>
    <t>西昭高速</t>
  </si>
  <si>
    <t>300*300*10*15</t>
  </si>
  <si>
    <t>2015年</t>
  </si>
  <si>
    <t>商都工地</t>
  </si>
  <si>
    <t>高龙</t>
  </si>
  <si>
    <t>P60 25米</t>
  </si>
  <si>
    <t>P60 12.5米</t>
  </si>
  <si>
    <t>P50 12.5米</t>
  </si>
  <si>
    <t>工具轨</t>
  </si>
  <si>
    <t>集宁苏集站存放</t>
  </si>
  <si>
    <t>轨道钢</t>
  </si>
  <si>
    <t>四川东晟达商贸有限责任公司</t>
  </si>
  <si>
    <t>0.4米</t>
  </si>
  <si>
    <t>设备管理站院内</t>
  </si>
  <si>
    <t>李春森</t>
  </si>
  <si>
    <t>0.2米</t>
  </si>
  <si>
    <t>4米</t>
  </si>
  <si>
    <t>2011-2018</t>
  </si>
  <si>
    <t>0.9米</t>
  </si>
  <si>
    <t>0.5米</t>
  </si>
  <si>
    <t>横铁</t>
  </si>
  <si>
    <t>5米</t>
  </si>
  <si>
    <t>便梁</t>
  </si>
  <si>
    <t>孔</t>
  </si>
  <si>
    <t>盘扣脚手架</t>
  </si>
  <si>
    <r>
      <rPr>
        <sz val="10"/>
        <color indexed="8"/>
        <rFont val="宋体"/>
        <family val="3"/>
        <charset val="134"/>
      </rPr>
      <t>2</t>
    </r>
    <r>
      <rPr>
        <sz val="10"/>
        <color indexed="8"/>
        <rFont val="宋体"/>
        <family val="3"/>
        <charset val="134"/>
      </rPr>
      <t>017年</t>
    </r>
  </si>
  <si>
    <t>钢架管</t>
  </si>
  <si>
    <t>6米</t>
  </si>
  <si>
    <t>3.5米</t>
  </si>
  <si>
    <t>2米</t>
  </si>
  <si>
    <t>1.5米</t>
  </si>
  <si>
    <t>1米</t>
  </si>
  <si>
    <t xml:space="preserve"> 格构柱</t>
  </si>
  <si>
    <t>450*450</t>
  </si>
  <si>
    <t>成都地铁13号线幸福梅林站</t>
  </si>
  <si>
    <t>刘矿木</t>
  </si>
  <si>
    <t>成都轨道交通13号线一期工程土建7工区幸福梅林站</t>
  </si>
  <si>
    <t>440*440</t>
  </si>
  <si>
    <t xml:space="preserve"> 根 </t>
  </si>
  <si>
    <t>6米-0.2米</t>
  </si>
  <si>
    <t>7.15-1.6</t>
  </si>
  <si>
    <t>12米</t>
  </si>
  <si>
    <t>河北保定宇航</t>
  </si>
  <si>
    <t>集通新地隧道入库、出口各一套</t>
  </si>
  <si>
    <t>防水挂布台车</t>
  </si>
  <si>
    <t>新地隧道入口</t>
  </si>
  <si>
    <t>柳林隧道</t>
  </si>
  <si>
    <t>集通电气化改造工程项目部二工区</t>
  </si>
  <si>
    <t>隧道模板台车</t>
  </si>
  <si>
    <t>半径5.53m高7.15m长10.5m</t>
  </si>
  <si>
    <t>正在使用中</t>
  </si>
  <si>
    <r>
      <rPr>
        <sz val="10.5"/>
        <color rgb="FF000000"/>
        <rFont val="宋体"/>
        <family val="3"/>
        <charset val="134"/>
      </rPr>
      <t>发腾实业</t>
    </r>
    <r>
      <rPr>
        <sz val="10"/>
        <color rgb="FF000000"/>
        <rFont val="Times New Roman"/>
        <family val="1"/>
      </rPr>
      <t>(</t>
    </r>
    <r>
      <rPr>
        <sz val="10"/>
        <color rgb="FF000000"/>
        <rFont val="宋体"/>
        <family val="3"/>
        <charset val="134"/>
      </rPr>
      <t>云南</t>
    </r>
    <r>
      <rPr>
        <sz val="10"/>
        <color rgb="FF000000"/>
        <rFont val="Times New Roman"/>
        <family val="1"/>
      </rPr>
      <t>)</t>
    </r>
    <r>
      <rPr>
        <sz val="10"/>
        <color rgb="FF000000"/>
        <rFont val="宋体"/>
        <family val="3"/>
        <charset val="134"/>
      </rPr>
      <t>有限责任公司</t>
    </r>
  </si>
  <si>
    <t>2020.10.15</t>
  </si>
  <si>
    <t>上台阶台车</t>
  </si>
  <si>
    <t>全断面台车</t>
  </si>
  <si>
    <t>77.26吨</t>
  </si>
  <si>
    <t>临时栈桥</t>
  </si>
  <si>
    <t>装配式板房</t>
  </si>
  <si>
    <t>四川省成都市锦江区三圣街道幸福路与时蔬路交叉口</t>
  </si>
  <si>
    <t>成都地铁13号线项目部</t>
  </si>
  <si>
    <t>停车场1工区民工驻地</t>
  </si>
  <si>
    <t>王刚</t>
  </si>
  <si>
    <t>成都地铁9号线3B停车场项目部</t>
  </si>
  <si>
    <t>河北佳强节能科技有限公司</t>
  </si>
  <si>
    <r>
      <rPr>
        <sz val="10"/>
        <color theme="1"/>
        <rFont val="宋体"/>
        <family val="3"/>
        <charset val="134"/>
      </rPr>
      <t>呼和浩特市和林格尔新区中铁六局集团内蒙古和林格尔新区</t>
    </r>
    <r>
      <rPr>
        <sz val="11"/>
        <color theme="1"/>
        <rFont val="Tahoma"/>
        <family val="2"/>
      </rPr>
      <t>2017</t>
    </r>
    <r>
      <rPr>
        <sz val="11"/>
        <color theme="1"/>
        <rFont val="宋体"/>
        <family val="3"/>
        <charset val="134"/>
      </rPr>
      <t>年市政工程一标项目部现场</t>
    </r>
  </si>
  <si>
    <t>张永军</t>
  </si>
  <si>
    <r>
      <rPr>
        <sz val="10"/>
        <color theme="1"/>
        <rFont val="宋体"/>
        <family val="3"/>
        <charset val="134"/>
      </rPr>
      <t>中铁六局集团有限公司内蒙古和林格尔新区</t>
    </r>
    <r>
      <rPr>
        <sz val="11"/>
        <color theme="1"/>
        <rFont val="Tahoma"/>
        <family val="2"/>
      </rPr>
      <t>2018</t>
    </r>
    <r>
      <rPr>
        <sz val="11"/>
        <color theme="1"/>
        <rFont val="宋体"/>
        <family val="3"/>
        <charset val="134"/>
      </rPr>
      <t>年市政基础设施建设项目一期工程施工一标段项目部</t>
    </r>
  </si>
  <si>
    <t>四川富利昇商贸有限公司</t>
  </si>
  <si>
    <t>2018.1</t>
  </si>
  <si>
    <t>四川茂发建筑装饰有限公司</t>
  </si>
  <si>
    <t>折叠式厢房</t>
  </si>
  <si>
    <t>2.5m（高）*3m（宽）*6m(长）</t>
  </si>
  <si>
    <t>成都鑫至鑫</t>
  </si>
  <si>
    <t>2021.4.5</t>
  </si>
  <si>
    <t>四川省西昌市喜得县北山村项目部</t>
  </si>
  <si>
    <t>正常</t>
  </si>
  <si>
    <t>乌兰察布市博泰鑫盛钢结构有限公司</t>
  </si>
  <si>
    <t>鄂尔多斯市准格尔旗</t>
  </si>
  <si>
    <t>海勃湾区恒诚五金机电维修销售部</t>
  </si>
  <si>
    <t>乌兰察布市集宁区七苏木</t>
  </si>
  <si>
    <t>折叠集装厢房</t>
  </si>
  <si>
    <t>2.85*6m</t>
  </si>
  <si>
    <t>2020年6</t>
  </si>
  <si>
    <t xml:space="preserve">新疆阿拉山口
</t>
  </si>
  <si>
    <t>王月明</t>
  </si>
  <si>
    <t>新疆区域工程项目部</t>
  </si>
  <si>
    <t>2020年7</t>
  </si>
  <si>
    <t>8.6*6m</t>
  </si>
  <si>
    <t>2020年9</t>
  </si>
  <si>
    <t>3m*6m岩棉</t>
  </si>
  <si>
    <t>集通电气化改造1工区院内</t>
  </si>
  <si>
    <t>2021年6月 18间新</t>
  </si>
  <si>
    <t>集通电气化改造1工区驻地</t>
  </si>
  <si>
    <t>山东益通安装有限公司</t>
  </si>
  <si>
    <t>彩钢大棚</t>
  </si>
  <si>
    <t>高*宽*长10*30.5*60.3m</t>
  </si>
  <si>
    <r>
      <rPr>
        <sz val="10"/>
        <color theme="1"/>
        <rFont val="宋体"/>
        <family val="3"/>
        <charset val="134"/>
      </rPr>
      <t>呼和浩特市和林格尔新区中铁六局集团内蒙古和林格尔新区</t>
    </r>
    <r>
      <rPr>
        <sz val="11"/>
        <color theme="1"/>
        <rFont val="Tahoma"/>
        <family val="2"/>
      </rPr>
      <t>2018</t>
    </r>
    <r>
      <rPr>
        <sz val="11"/>
        <color theme="1"/>
        <rFont val="宋体"/>
        <family val="3"/>
        <charset val="134"/>
      </rPr>
      <t>年市政工程一标项目部现场</t>
    </r>
  </si>
  <si>
    <t>T型（2层）</t>
  </si>
  <si>
    <t>四川省西昌市喜得线北山村项目部</t>
  </si>
  <si>
    <t>K型（2层）</t>
  </si>
  <si>
    <t>楼梯及雨棚</t>
  </si>
  <si>
    <t>6.35m(长）*1m（宽）</t>
  </si>
  <si>
    <t>钢筋大棚</t>
  </si>
  <si>
    <t xml:space="preserve">长治市凤懿轩建筑工程有限公司 </t>
  </si>
  <si>
    <t>四川省西昌市喜得线北山村项目部峰子岩隧道临时设施、预制梁场</t>
  </si>
  <si>
    <t>K式</t>
  </si>
  <si>
    <t>四川省西昌市喜得县北山村北山村3#大桥民工驻地、峰子岩隧道临时设施</t>
  </si>
  <si>
    <t>中铁六局集团(石家庄)公司周转材料信息管理台账</t>
    <phoneticPr fontId="154" type="noConversion"/>
  </si>
  <si>
    <t>使用状态</t>
    <phoneticPr fontId="154" type="noConversion"/>
  </si>
  <si>
    <t>原值</t>
    <phoneticPr fontId="154" type="noConversion"/>
  </si>
  <si>
    <t>详细存放地</t>
    <phoneticPr fontId="154" type="noConversion"/>
  </si>
  <si>
    <t>公司名称</t>
    <phoneticPr fontId="154" type="noConversion"/>
  </si>
  <si>
    <t>备注</t>
    <phoneticPr fontId="154" type="noConversion"/>
  </si>
  <si>
    <t>一</t>
    <phoneticPr fontId="154" type="noConversion"/>
  </si>
  <si>
    <t>模板类</t>
    <phoneticPr fontId="154" type="noConversion"/>
  </si>
  <si>
    <t>普通钢模板</t>
    <phoneticPr fontId="154" type="noConversion"/>
  </si>
  <si>
    <t>京9015</t>
  </si>
  <si>
    <t>在用</t>
    <phoneticPr fontId="154" type="noConversion"/>
  </si>
  <si>
    <t>机械设备分公司</t>
  </si>
  <si>
    <t>席永兴</t>
  </si>
  <si>
    <t>机械分公司</t>
    <phoneticPr fontId="154" type="noConversion"/>
  </si>
  <si>
    <t>石家庄公司</t>
    <phoneticPr fontId="154" type="noConversion"/>
  </si>
  <si>
    <t>商合杭项目施工现场</t>
  </si>
  <si>
    <t>石家庄公司</t>
  </si>
  <si>
    <t>京6015</t>
  </si>
  <si>
    <t>京3015</t>
  </si>
  <si>
    <t>京2015</t>
  </si>
  <si>
    <t>京1015</t>
  </si>
  <si>
    <t>蓝1015</t>
  </si>
  <si>
    <t>待修</t>
    <phoneticPr fontId="154" type="noConversion"/>
  </si>
  <si>
    <t>在用</t>
    <phoneticPr fontId="154" type="noConversion"/>
  </si>
  <si>
    <t>北京诚智佳业科技发展有限公司</t>
  </si>
  <si>
    <t>料库</t>
  </si>
  <si>
    <t>张凯建</t>
  </si>
  <si>
    <t>路桥项目部</t>
    <phoneticPr fontId="154" type="noConversion"/>
  </si>
  <si>
    <t>蓝9015</t>
  </si>
  <si>
    <t>待报废</t>
    <phoneticPr fontId="154" type="noConversion"/>
  </si>
  <si>
    <t>角模161.6</t>
  </si>
  <si>
    <t>待修</t>
  </si>
  <si>
    <t>9015帯孔</t>
  </si>
  <si>
    <t>料库</t>
    <phoneticPr fontId="154" type="noConversion"/>
  </si>
  <si>
    <t>30*50*150</t>
  </si>
  <si>
    <t>基地库房</t>
  </si>
  <si>
    <t>薛爽</t>
  </si>
  <si>
    <t>成自高铁</t>
  </si>
  <si>
    <t>涵洞模板</t>
  </si>
  <si>
    <t>中交远洲交通科技集团有限公司</t>
  </si>
  <si>
    <t>曲阳县东林建材有限公司</t>
  </si>
  <si>
    <t>王君</t>
  </si>
  <si>
    <t>良好</t>
    <phoneticPr fontId="27" type="noConversion"/>
  </si>
  <si>
    <t>在用</t>
    <phoneticPr fontId="27" type="noConversion"/>
  </si>
  <si>
    <t>中铁二院工程集团有限公司</t>
    <phoneticPr fontId="27" type="noConversion"/>
  </si>
  <si>
    <t>河北华建金属科技有限公司</t>
    <phoneticPr fontId="27" type="noConversion"/>
  </si>
  <si>
    <t>阳曲县石沟村</t>
    <phoneticPr fontId="27" type="noConversion"/>
  </si>
  <si>
    <t>齐伟强</t>
    <phoneticPr fontId="27" type="noConversion"/>
  </si>
  <si>
    <t>太原西北二环高速zh12标</t>
    <phoneticPr fontId="27" type="noConversion"/>
  </si>
  <si>
    <t>中铁六局石家庄公司</t>
  </si>
  <si>
    <t>异形钢模板</t>
    <phoneticPr fontId="154" type="noConversion"/>
  </si>
  <si>
    <t>3m正面</t>
  </si>
  <si>
    <t>3*1.8*0.1</t>
  </si>
  <si>
    <t>铁四院</t>
  </si>
  <si>
    <t>柳州市双赢钢模制造有限公司</t>
  </si>
  <si>
    <t>施工工地仓库</t>
  </si>
  <si>
    <t>任超</t>
  </si>
  <si>
    <t>柳石南车辆段</t>
  </si>
  <si>
    <t>2m正面</t>
  </si>
  <si>
    <t>2*1.8*0.1</t>
  </si>
  <si>
    <t>0.5m正面</t>
  </si>
  <si>
    <t>0.5*1.8*0.1</t>
  </si>
  <si>
    <t>接帽梁1.5m正面</t>
  </si>
  <si>
    <t>1.5*1.8*0.1</t>
  </si>
  <si>
    <t>帽梁正面</t>
  </si>
  <si>
    <t>异形</t>
  </si>
  <si>
    <t>3m侧面</t>
  </si>
  <si>
    <t>2m侧面</t>
  </si>
  <si>
    <t>0.5m侧面</t>
  </si>
  <si>
    <t>1.5m侧面</t>
  </si>
  <si>
    <t>帽梁侧面</t>
  </si>
  <si>
    <t>中墩张拉槽模板</t>
  </si>
  <si>
    <t>0.6*1.6*0.2</t>
  </si>
  <si>
    <t>边墩张拉槽模板</t>
  </si>
  <si>
    <t>2.3*1.5*0.1</t>
  </si>
  <si>
    <t>1.5*2*0.1</t>
  </si>
  <si>
    <t>0.9*1.5*0.1</t>
  </si>
  <si>
    <t>0.6*1.5*0.1</t>
  </si>
  <si>
    <t>0.5*1.5*0.1</t>
  </si>
  <si>
    <t>2.3*2*0.1</t>
  </si>
  <si>
    <t>630*1990</t>
  </si>
  <si>
    <t>通桥（2008）8388A</t>
  </si>
  <si>
    <t>正常</t>
    <phoneticPr fontId="154" type="noConversion"/>
  </si>
  <si>
    <t>石济三队</t>
  </si>
  <si>
    <t>赵建永</t>
  </si>
  <si>
    <t>石济</t>
    <phoneticPr fontId="154" type="noConversion"/>
  </si>
  <si>
    <t>680*1990</t>
  </si>
  <si>
    <t>支撑架调节丝杆</t>
  </si>
  <si>
    <t>50*100</t>
  </si>
  <si>
    <t>900*1990</t>
  </si>
  <si>
    <t>正常</t>
    <phoneticPr fontId="154" type="noConversion"/>
  </si>
  <si>
    <t>石济</t>
    <phoneticPr fontId="154" type="noConversion"/>
  </si>
  <si>
    <t>1080*1990</t>
  </si>
  <si>
    <t>防护墙钢模板</t>
  </si>
  <si>
    <t>390*1990</t>
  </si>
  <si>
    <t>新乐工地</t>
  </si>
  <si>
    <t>张建辉</t>
  </si>
  <si>
    <t>15032119313</t>
  </si>
  <si>
    <t>新乐项目</t>
    <phoneticPr fontId="154" type="noConversion"/>
  </si>
  <si>
    <t>侧模模板</t>
  </si>
  <si>
    <t>良好</t>
    <phoneticPr fontId="154" type="noConversion"/>
  </si>
  <si>
    <t>在用</t>
    <phoneticPr fontId="154" type="noConversion"/>
  </si>
  <si>
    <t>西兆通车辆段工地</t>
  </si>
  <si>
    <t>王永玮</t>
  </si>
  <si>
    <t>石家庄地铁1号线</t>
    <phoneticPr fontId="154" type="noConversion"/>
  </si>
  <si>
    <t>1800*80H</t>
  </si>
  <si>
    <t>在用</t>
    <phoneticPr fontId="154" type="noConversion"/>
  </si>
  <si>
    <t>西安市灞桥区洪庆十字</t>
  </si>
  <si>
    <t>张志东</t>
    <phoneticPr fontId="32" type="noConversion"/>
  </si>
  <si>
    <t>西安地铁</t>
    <phoneticPr fontId="154" type="noConversion"/>
  </si>
  <si>
    <t>石家庄公司</t>
    <phoneticPr fontId="154" type="noConversion"/>
  </si>
  <si>
    <t>直径1.6米圆柱</t>
  </si>
  <si>
    <t>石家庄地铁2号线</t>
  </si>
  <si>
    <t>陈东升</t>
  </si>
  <si>
    <t>定型钢模</t>
  </si>
  <si>
    <t>700*700</t>
  </si>
  <si>
    <t>石家庄地铁施工现场</t>
  </si>
  <si>
    <t>陈乐</t>
  </si>
  <si>
    <t>800*800</t>
  </si>
  <si>
    <t>800*1000</t>
  </si>
  <si>
    <t>1000*1000</t>
  </si>
  <si>
    <t>定型钢模板</t>
    <phoneticPr fontId="154" type="noConversion"/>
  </si>
  <si>
    <t>850*1m</t>
  </si>
  <si>
    <t>六项基地</t>
  </si>
  <si>
    <t>侯吉文</t>
  </si>
  <si>
    <t>徐水项目部</t>
    <phoneticPr fontId="154" type="noConversion"/>
  </si>
  <si>
    <t>石家庄公司</t>
    <phoneticPr fontId="154" type="noConversion"/>
  </si>
  <si>
    <t>定型钢模板</t>
    <phoneticPr fontId="154" type="noConversion"/>
  </si>
  <si>
    <t>650*1m</t>
  </si>
  <si>
    <t>750*1000</t>
  </si>
  <si>
    <t>2015.12.12</t>
  </si>
  <si>
    <t>中铁第五勘察设计院集团有限公司</t>
  </si>
  <si>
    <t>河北奋泰</t>
  </si>
  <si>
    <t>2021.3.10</t>
  </si>
  <si>
    <t>邢台市皇寺镇八方村</t>
  </si>
  <si>
    <t>李韩飞</t>
  </si>
  <si>
    <t>和邢一分部</t>
  </si>
  <si>
    <t>桥梁钢模板</t>
    <phoneticPr fontId="154" type="noConversion"/>
  </si>
  <si>
    <t>异形钢模板</t>
    <phoneticPr fontId="154" type="noConversion"/>
  </si>
  <si>
    <t>2米*8米弧形（主墩）</t>
    <phoneticPr fontId="154" type="noConversion"/>
  </si>
  <si>
    <t>徐水工地</t>
  </si>
  <si>
    <t>徐水项目部</t>
    <phoneticPr fontId="154" type="noConversion"/>
  </si>
  <si>
    <t>石家庄公司</t>
    <phoneticPr fontId="154" type="noConversion"/>
  </si>
  <si>
    <t>2米，异形（引桥墩柱）</t>
    <phoneticPr fontId="154" type="noConversion"/>
  </si>
  <si>
    <t>2米*1.5米（防撞护栏）</t>
    <phoneticPr fontId="154" type="noConversion"/>
  </si>
  <si>
    <t>闲置</t>
    <phoneticPr fontId="154" type="noConversion"/>
  </si>
  <si>
    <t>通桥 （2009）4201-Ⅰ</t>
  </si>
  <si>
    <t>2015.3</t>
  </si>
  <si>
    <t>跨307特大桥</t>
  </si>
  <si>
    <t>王尧</t>
  </si>
  <si>
    <t>石济代建</t>
    <phoneticPr fontId="154" type="noConversion"/>
  </si>
  <si>
    <t>45:1</t>
    <phoneticPr fontId="154" type="noConversion"/>
  </si>
  <si>
    <t>2015.7</t>
  </si>
  <si>
    <t>40+64+40m（主墩）</t>
    <phoneticPr fontId="154" type="noConversion"/>
  </si>
  <si>
    <t>石济客专桥通-Ⅱ-08</t>
  </si>
  <si>
    <t>40+64+40m（边墩）</t>
    <phoneticPr fontId="154" type="noConversion"/>
  </si>
  <si>
    <t>32+48+32m（主墩）</t>
    <phoneticPr fontId="154" type="noConversion"/>
  </si>
  <si>
    <t>石济客专桥通-Ⅱ-07</t>
  </si>
  <si>
    <t>32+48+32m（边墩）</t>
    <phoneticPr fontId="154" type="noConversion"/>
  </si>
  <si>
    <t>双线支墩</t>
    <phoneticPr fontId="154" type="noConversion"/>
  </si>
  <si>
    <t>通桥（2009）4201-Ⅰ</t>
  </si>
  <si>
    <t>2015.10</t>
  </si>
  <si>
    <t>45:1空变实</t>
    <phoneticPr fontId="154" type="noConversion"/>
  </si>
  <si>
    <t>石济客专桥通-Ⅱ-02</t>
  </si>
  <si>
    <t>2016.1</t>
  </si>
  <si>
    <t>墩身模板</t>
    <phoneticPr fontId="154" type="noConversion"/>
  </si>
  <si>
    <t>石济客专桥通-Ⅱ-09</t>
  </si>
  <si>
    <t>2016.2</t>
  </si>
  <si>
    <t>墩身模板+精轧</t>
    <phoneticPr fontId="154" type="noConversion"/>
  </si>
  <si>
    <t>2016.3</t>
  </si>
  <si>
    <t>模板</t>
    <phoneticPr fontId="154" type="noConversion"/>
  </si>
  <si>
    <t>2016.8</t>
  </si>
  <si>
    <t>定型模板</t>
    <phoneticPr fontId="154" type="noConversion"/>
  </si>
  <si>
    <t>墩身</t>
    <phoneticPr fontId="154" type="noConversion"/>
  </si>
  <si>
    <t>直墩</t>
    <phoneticPr fontId="154" type="noConversion"/>
  </si>
  <si>
    <t>跨309特大桥</t>
  </si>
  <si>
    <t>100m连续梁边墩</t>
    <phoneticPr fontId="154" type="noConversion"/>
  </si>
  <si>
    <t>石济客专桥通-Ⅱ-10</t>
  </si>
  <si>
    <t>跨310特大桥</t>
  </si>
  <si>
    <t>水沟模板底板</t>
    <phoneticPr fontId="154" type="noConversion"/>
  </si>
  <si>
    <t>50*55*8cm</t>
    <phoneticPr fontId="154" type="noConversion"/>
  </si>
  <si>
    <t>铁道第三勘察设计院集团有限公司</t>
  </si>
  <si>
    <t>水沟模板侧板</t>
    <phoneticPr fontId="154" type="noConversion"/>
  </si>
  <si>
    <t>50*80*8cm</t>
    <phoneticPr fontId="154" type="noConversion"/>
  </si>
  <si>
    <t>空心桥墩模板</t>
  </si>
  <si>
    <t>成都西南交通大学设计研究院有限公司</t>
  </si>
  <si>
    <t>冀南新区</t>
  </si>
  <si>
    <t>叶勇</t>
  </si>
  <si>
    <t>平面模板</t>
  </si>
  <si>
    <t>0.9*1.5</t>
  </si>
  <si>
    <t>1318-04-Ⅱ-125（主桥外侧防撞护栏）</t>
  </si>
  <si>
    <t>1318-04-Ⅲ-75（引桥外侧防撞护栏）</t>
  </si>
  <si>
    <t>墩身莫模板</t>
    <phoneticPr fontId="32" type="noConversion"/>
  </si>
  <si>
    <t>T</t>
    <phoneticPr fontId="32" type="noConversion"/>
  </si>
  <si>
    <t>使用</t>
    <phoneticPr fontId="154" type="noConversion"/>
  </si>
  <si>
    <t>工地</t>
    <phoneticPr fontId="154" type="noConversion"/>
  </si>
  <si>
    <t>周应林</t>
  </si>
  <si>
    <t>京唐</t>
    <phoneticPr fontId="154" type="noConversion"/>
  </si>
  <si>
    <t>2020.10.14</t>
  </si>
  <si>
    <t>使用</t>
    <phoneticPr fontId="32" type="noConversion"/>
  </si>
  <si>
    <t>2021.04.01</t>
    <phoneticPr fontId="32" type="noConversion"/>
  </si>
  <si>
    <t>2021.05.07</t>
    <phoneticPr fontId="32" type="noConversion"/>
  </si>
  <si>
    <t>2021.07.01</t>
    <phoneticPr fontId="32" type="noConversion"/>
  </si>
  <si>
    <t>2021.12.04</t>
  </si>
  <si>
    <t>护栏模板
1.5m</t>
  </si>
  <si>
    <t>1702-04-2-3-039</t>
  </si>
  <si>
    <t>防撞栏杆</t>
  </si>
  <si>
    <t>护栏模板
1.2m</t>
  </si>
  <si>
    <t>1702-04-3-D-007</t>
  </si>
  <si>
    <t>异形钢模</t>
  </si>
  <si>
    <t>连续梁边墩模板</t>
  </si>
  <si>
    <t>1702-04-3-232</t>
  </si>
  <si>
    <t>边墩</t>
  </si>
  <si>
    <t>1702-04-2-038</t>
  </si>
  <si>
    <t>定型模板</t>
  </si>
  <si>
    <t>直墩2*5.8m</t>
  </si>
  <si>
    <t>石济</t>
    <phoneticPr fontId="154" type="noConversion"/>
  </si>
  <si>
    <t>坡墩45:1</t>
  </si>
  <si>
    <t>空心墩3*8</t>
  </si>
  <si>
    <t>中国铁设</t>
  </si>
  <si>
    <t>60+100+60边墩</t>
  </si>
  <si>
    <t>石济客专桥通-Ⅲ-01</t>
  </si>
  <si>
    <t>40+64+40m（边墩）</t>
  </si>
  <si>
    <t>32+48+32m</t>
  </si>
  <si>
    <t>石济客专桥通-Ⅰ-02</t>
  </si>
  <si>
    <t>现浇梁倒角</t>
  </si>
  <si>
    <t>80+130+80</t>
  </si>
  <si>
    <t>滨州腾捷机械有限公司</t>
  </si>
  <si>
    <t>2018.5.20</t>
  </si>
  <si>
    <t>和邢项目部</t>
    <phoneticPr fontId="154" type="noConversion"/>
  </si>
  <si>
    <t>和邢</t>
    <phoneticPr fontId="154" type="noConversion"/>
  </si>
  <si>
    <t>连续梁桥墩模板</t>
  </si>
  <si>
    <t>临县大居特大桥</t>
  </si>
  <si>
    <t>史建伟</t>
  </si>
  <si>
    <t>临县北</t>
    <phoneticPr fontId="154" type="noConversion"/>
  </si>
  <si>
    <t>桥墩模板</t>
  </si>
  <si>
    <t>CFG桩帽模板</t>
  </si>
  <si>
    <t>商合杭阜杭施（桥）参-012</t>
  </si>
  <si>
    <t>安徽泰格</t>
  </si>
  <si>
    <t>安徽宣城郎溪县十字镇</t>
  </si>
  <si>
    <t>邓仕伦</t>
  </si>
  <si>
    <t>墩柱柱模1400*2000</t>
  </si>
  <si>
    <t>成都淦鑫钢模制造
有限公司</t>
  </si>
  <si>
    <t>1号制梁场</t>
  </si>
  <si>
    <t>刘朋</t>
  </si>
  <si>
    <t>宜彝高速公路6标项目部</t>
    <phoneticPr fontId="154" type="noConversion"/>
  </si>
  <si>
    <t>墩柱柱模1400*1000</t>
  </si>
  <si>
    <t>墩柱柱模1600*2000</t>
  </si>
  <si>
    <t>墩柱柱模1600*1000</t>
  </si>
  <si>
    <t>墩柱柱模2000*2000</t>
  </si>
  <si>
    <t>系梁A8</t>
  </si>
  <si>
    <t>宜彝高速公路6标项目部</t>
    <phoneticPr fontId="154" type="noConversion"/>
  </si>
  <si>
    <t>系梁A9</t>
  </si>
  <si>
    <t>收坡墩</t>
  </si>
  <si>
    <t>2.2*2.2</t>
  </si>
  <si>
    <t>贵州卓良模板有限
公司</t>
  </si>
  <si>
    <t>学堂湾大桥</t>
  </si>
  <si>
    <t>弓形系梁</t>
  </si>
  <si>
    <t>1.6*2</t>
  </si>
  <si>
    <t>1.8*2.4</t>
  </si>
  <si>
    <t>圆柱桩系梁</t>
  </si>
  <si>
    <t>1.8*1.2*1.6</t>
  </si>
  <si>
    <t>圆柱盖梁</t>
  </si>
  <si>
    <t>1.8*2.1</t>
  </si>
  <si>
    <t>圆柱模板
圆柱桩系梁</t>
  </si>
  <si>
    <t>1.7*2.667m</t>
  </si>
  <si>
    <t>2.2*3.383m</t>
  </si>
  <si>
    <t>重型梯笼</t>
  </si>
  <si>
    <t>3*2*2M</t>
  </si>
  <si>
    <t>安全爬梯带安全网</t>
  </si>
  <si>
    <t>圆柱施工平台</t>
  </si>
  <si>
    <t>重庆市超强钢结构制造有限公司</t>
  </si>
  <si>
    <t>石家庄铁路建
设有限公司</t>
  </si>
  <si>
    <t>挂网爬梯</t>
  </si>
  <si>
    <t>阜城恒鑫建筑器材有限公司</t>
  </si>
  <si>
    <t>1.5高*2宽</t>
  </si>
  <si>
    <t>桂花村大桥</t>
  </si>
  <si>
    <t>1.5高*1.8宽</t>
  </si>
  <si>
    <t>方柱盖梁</t>
  </si>
  <si>
    <t>2.3高*2.1*6宽</t>
  </si>
  <si>
    <t>圆柱中系梁</t>
  </si>
  <si>
    <t>2高*1.2*1.6宽</t>
  </si>
  <si>
    <t>1.4m</t>
  </si>
  <si>
    <t>25m箱梁模板</t>
  </si>
  <si>
    <t>1400*2000</t>
  </si>
  <si>
    <t>1400*1000</t>
  </si>
  <si>
    <t>1600*1000</t>
  </si>
  <si>
    <t>1600*2000</t>
  </si>
  <si>
    <t>宜彝高速公路6标一分部一工区</t>
  </si>
  <si>
    <t>收坡墩内模</t>
  </si>
  <si>
    <t>2200*2200</t>
  </si>
  <si>
    <t>茶叶湾大桥</t>
  </si>
  <si>
    <t>河北省武安市徘徊镇西河下村</t>
  </si>
  <si>
    <t>王崇</t>
  </si>
  <si>
    <t>河北太行钢铁集团专用铁路工程项目部</t>
  </si>
  <si>
    <t>压杠</t>
  </si>
  <si>
    <t>2020.2.19</t>
  </si>
  <si>
    <t>荣乌工地</t>
    <phoneticPr fontId="27" type="noConversion"/>
  </si>
  <si>
    <t>荣乌高速项目部</t>
    <phoneticPr fontId="27" type="noConversion"/>
  </si>
  <si>
    <t>箱梁端头钢模板</t>
  </si>
  <si>
    <t>箱梁液压不锈钢模板</t>
  </si>
  <si>
    <t>复合不锈钢模板</t>
  </si>
  <si>
    <t>2020.4.24</t>
  </si>
  <si>
    <t>1.3-2.2m</t>
  </si>
  <si>
    <t>2020.6.7</t>
  </si>
  <si>
    <t>液压复合不锈钢模板</t>
  </si>
  <si>
    <t>2020.6.3</t>
  </si>
  <si>
    <r>
      <t>2</t>
    </r>
    <r>
      <rPr>
        <sz val="10"/>
        <rFont val="宋体"/>
        <family val="3"/>
        <charset val="134"/>
      </rPr>
      <t>020.6.19</t>
    </r>
  </si>
  <si>
    <t>主墩钢模板</t>
  </si>
  <si>
    <t>134</t>
  </si>
  <si>
    <r>
      <t>2</t>
    </r>
    <r>
      <rPr>
        <sz val="10"/>
        <rFont val="宋体"/>
        <family val="3"/>
        <charset val="134"/>
      </rPr>
      <t>020.7.8</t>
    </r>
  </si>
  <si>
    <t>M15-4</t>
  </si>
  <si>
    <t>调整节</t>
  </si>
  <si>
    <t>复合不锈钢箱梁模板</t>
  </si>
  <si>
    <t>100</t>
  </si>
  <si>
    <t>2020.7.11</t>
  </si>
  <si>
    <t>复合不锈钢台座</t>
  </si>
  <si>
    <t>45</t>
  </si>
  <si>
    <r>
      <t>2</t>
    </r>
    <r>
      <rPr>
        <sz val="10"/>
        <rFont val="宋体"/>
        <family val="3"/>
        <charset val="134"/>
      </rPr>
      <t>020.7.14</t>
    </r>
  </si>
  <si>
    <t>2020.8.12</t>
    <phoneticPr fontId="27" type="noConversion"/>
  </si>
  <si>
    <t>梳齿板</t>
  </si>
  <si>
    <t>液压复合不锈钢模板30米箱梁</t>
  </si>
  <si>
    <t>1.6-1.8m</t>
  </si>
  <si>
    <t>2020.10</t>
    <phoneticPr fontId="27" type="noConversion"/>
  </si>
  <si>
    <t>景观护栏模板</t>
  </si>
  <si>
    <t>荣乌工地</t>
  </si>
  <si>
    <t>荣乌高速项目部</t>
  </si>
  <si>
    <t>2021.2</t>
  </si>
  <si>
    <t>箱梁</t>
  </si>
  <si>
    <t>成都淦鑫钢模制造有限公司</t>
  </si>
  <si>
    <t>空心墩内模</t>
  </si>
  <si>
    <t>盖系梁</t>
  </si>
  <si>
    <t>884734.51</t>
  </si>
  <si>
    <t>盖系梁模板</t>
  </si>
  <si>
    <t>墩模</t>
  </si>
  <si>
    <t>使用中</t>
  </si>
  <si>
    <t>重庆市众泽田五金塑胶制品有限公司</t>
  </si>
  <si>
    <t>隧道自行式仰拱栈桥</t>
  </si>
  <si>
    <t>成都锐龙机械制造有限公司</t>
  </si>
  <si>
    <t>直墩</t>
  </si>
  <si>
    <t>坡墩</t>
  </si>
  <si>
    <t>四川长锋建筑机械租赁有限公司</t>
  </si>
  <si>
    <t>2021.04</t>
  </si>
  <si>
    <t>空心墩</t>
  </si>
  <si>
    <t>2021.07</t>
  </si>
  <si>
    <t>资中县硕博建材经营部</t>
  </si>
  <si>
    <t>帽檐模板</t>
  </si>
  <si>
    <t>资阳市平辉商贸有限公司</t>
  </si>
  <si>
    <t>承台模板/直墩模板</t>
  </si>
  <si>
    <t>Q235，坡比45：1</t>
  </si>
  <si>
    <t>闲置</t>
    <phoneticPr fontId="154" type="noConversion"/>
  </si>
  <si>
    <t>2021.1.4</t>
  </si>
  <si>
    <t>张大勇</t>
  </si>
  <si>
    <t>敬业项目部</t>
  </si>
  <si>
    <t>Q235，坡比35：1</t>
  </si>
  <si>
    <t>2021.02.28</t>
  </si>
  <si>
    <t>简支箱梁模板（直线）</t>
  </si>
  <si>
    <t>简支箱梁模板（曲线）</t>
  </si>
  <si>
    <t>/</t>
    <phoneticPr fontId="154" type="noConversion"/>
  </si>
  <si>
    <t>连续梁主墩模板</t>
  </si>
  <si>
    <t>Q235，坡比50：1</t>
  </si>
  <si>
    <t>简支箱梁墩柱模板</t>
  </si>
  <si>
    <t>2021.03.25</t>
  </si>
  <si>
    <t>Q235，直线坡比35：1</t>
  </si>
  <si>
    <t>Q235；坡比35：1</t>
  </si>
  <si>
    <t>2021.08.29</t>
  </si>
  <si>
    <t>2m*9m*2.25m</t>
  </si>
  <si>
    <t>中铁二院工程集团有限公司</t>
  </si>
  <si>
    <t>北方重工</t>
  </si>
  <si>
    <t>2020.09.19</t>
  </si>
  <si>
    <t>桥梁工地</t>
  </si>
  <si>
    <t>齐伟强</t>
  </si>
  <si>
    <t>太原西北二环高速zh12标</t>
  </si>
  <si>
    <t>河北华建</t>
  </si>
  <si>
    <t>2020.10.13</t>
  </si>
  <si>
    <t>1.4m、1.6m、1.8m</t>
  </si>
  <si>
    <t>钢模板（水沟模板）</t>
  </si>
  <si>
    <t>12200*2010*1300</t>
  </si>
  <si>
    <t>文水四方</t>
  </si>
  <si>
    <t>2020.11.06</t>
  </si>
  <si>
    <t>钢模板（墩柱）</t>
  </si>
  <si>
    <t>12m*15.6m*9.1m</t>
  </si>
  <si>
    <t>2021.01.07</t>
  </si>
  <si>
    <t>钢模板（盖梁）</t>
  </si>
  <si>
    <t>φ1.6m/φ1.4m</t>
  </si>
  <si>
    <t>钢模板（箱梁）</t>
  </si>
  <si>
    <t>2021.05.18</t>
  </si>
  <si>
    <t>钢模板（T梁模板）</t>
  </si>
  <si>
    <t>北京中铁建</t>
  </si>
  <si>
    <t>2021.08.20</t>
  </si>
  <si>
    <t>挂篮</t>
    <phoneticPr fontId="154" type="noConversion"/>
  </si>
  <si>
    <t>2015.12</t>
  </si>
  <si>
    <t>石济代建</t>
    <phoneticPr fontId="154" type="noConversion"/>
  </si>
  <si>
    <t xml:space="preserve"> 墩身+挂篮模板</t>
  </si>
  <si>
    <t>定型模板</t>
    <phoneticPr fontId="154" type="noConversion"/>
  </si>
  <si>
    <t>40+60+40</t>
  </si>
  <si>
    <t>天津天津久安集团亨实钢结构有限公司久安</t>
  </si>
  <si>
    <t>2016.7.5</t>
  </si>
  <si>
    <t>和邢工地</t>
  </si>
  <si>
    <t>和邢</t>
    <phoneticPr fontId="154" type="noConversion"/>
  </si>
  <si>
    <t>0#块</t>
  </si>
  <si>
    <t>工地</t>
    <phoneticPr fontId="154" type="noConversion"/>
  </si>
  <si>
    <t>京唐项目部</t>
    <phoneticPr fontId="154" type="noConversion"/>
  </si>
  <si>
    <t>挂篮模板</t>
    <phoneticPr fontId="154" type="noConversion"/>
  </si>
  <si>
    <t>临县北</t>
    <phoneticPr fontId="154" type="noConversion"/>
  </si>
  <si>
    <t>移动模（支）架</t>
    <phoneticPr fontId="154" type="noConversion"/>
  </si>
  <si>
    <t>二</t>
    <phoneticPr fontId="154" type="noConversion"/>
  </si>
  <si>
    <t>型钢类</t>
    <phoneticPr fontId="154" type="noConversion"/>
  </si>
  <si>
    <t>型钢</t>
    <phoneticPr fontId="154" type="noConversion"/>
  </si>
  <si>
    <t>工槽角</t>
    <phoneticPr fontId="154" type="noConversion"/>
  </si>
  <si>
    <t>机械分公司</t>
    <phoneticPr fontId="154" type="noConversion"/>
  </si>
  <si>
    <t>和邢项目施工现场</t>
  </si>
  <si>
    <t>100mm</t>
  </si>
  <si>
    <t>200a</t>
  </si>
  <si>
    <t>徐水项目部</t>
    <phoneticPr fontId="154" type="noConversion"/>
  </si>
  <si>
    <t>徐水项目部</t>
  </si>
  <si>
    <t>c100</t>
  </si>
  <si>
    <t>待报废</t>
  </si>
  <si>
    <t>路桥项目部</t>
    <phoneticPr fontId="154" type="noConversion"/>
  </si>
  <si>
    <t>5*3*6000</t>
  </si>
  <si>
    <t>围档槽钢</t>
  </si>
  <si>
    <t>三角架</t>
  </si>
  <si>
    <t>待修</t>
    <phoneticPr fontId="154" type="noConversion"/>
  </si>
  <si>
    <t>工字钢连接板</t>
  </si>
  <si>
    <t>拉筋垫板</t>
  </si>
  <si>
    <t>100*100*16</t>
  </si>
  <si>
    <t>三扣扣板</t>
  </si>
  <si>
    <t>待报废</t>
    <phoneticPr fontId="154" type="noConversion"/>
  </si>
  <si>
    <t>五扣扣板</t>
  </si>
  <si>
    <t>u型卡子</t>
  </si>
  <si>
    <t>570mm</t>
  </si>
  <si>
    <t>760mm</t>
  </si>
  <si>
    <t>850mm</t>
  </si>
  <si>
    <t>860mm</t>
  </si>
  <si>
    <t>拉筋垫片</t>
  </si>
  <si>
    <t>100*100*10</t>
  </si>
  <si>
    <t>400*12m</t>
  </si>
  <si>
    <t>米</t>
    <phoneticPr fontId="154" type="noConversion"/>
  </si>
  <si>
    <t>中板</t>
  </si>
  <si>
    <t>2.25*10m*2cm国标</t>
  </si>
  <si>
    <t>2016.5</t>
  </si>
  <si>
    <t>1.51*6m*0.5cm国标</t>
  </si>
  <si>
    <t>20b（9m）国标</t>
  </si>
  <si>
    <t>28b（12m）国标</t>
  </si>
  <si>
    <t>16#（6m）国标</t>
  </si>
  <si>
    <t>10#（6m）国标</t>
  </si>
  <si>
    <t>36b（12m）国标</t>
  </si>
  <si>
    <t>40b（12m）国标</t>
  </si>
  <si>
    <t>螺旋钢管</t>
  </si>
  <si>
    <t>DN720*10</t>
  </si>
  <si>
    <t>630*10mm*7m</t>
  </si>
  <si>
    <t>2016.6</t>
  </si>
  <si>
    <t>630*10mm*6.9m</t>
  </si>
  <si>
    <t>630*10mm*12m</t>
  </si>
  <si>
    <t>圆法兰</t>
  </si>
  <si>
    <t>910*630*10，16个24mm孔</t>
  </si>
  <si>
    <t>2016.7</t>
  </si>
  <si>
    <t>圆法兰盘</t>
  </si>
  <si>
    <t>1000*720*10mm</t>
  </si>
  <si>
    <t>盲板</t>
  </si>
  <si>
    <t>径910，厚10mm</t>
  </si>
  <si>
    <t>法兰盘</t>
  </si>
  <si>
    <t>910*610*20mm</t>
  </si>
  <si>
    <t>方法兰</t>
  </si>
  <si>
    <t>730*730*20mm</t>
  </si>
  <si>
    <t>910*20</t>
  </si>
  <si>
    <t>910*630*20mm 16个24mm孔</t>
  </si>
  <si>
    <t>40B*12米 国标</t>
  </si>
  <si>
    <t>2016.9</t>
  </si>
  <si>
    <t>45B*12米 国标</t>
  </si>
  <si>
    <t>10#*9米 国标</t>
  </si>
  <si>
    <t>16#*9米 国标</t>
  </si>
  <si>
    <t>28b*12米 国标</t>
  </si>
  <si>
    <t>630*10</t>
  </si>
  <si>
    <t>400MM</t>
  </si>
  <si>
    <t>16#a</t>
  </si>
  <si>
    <t>石港1#加工厂</t>
  </si>
  <si>
    <t>张海丰</t>
  </si>
  <si>
    <t>石港项目部</t>
    <phoneticPr fontId="154" type="noConversion"/>
  </si>
  <si>
    <t>热轧200*100*7mm</t>
  </si>
  <si>
    <t>钢轨</t>
    <phoneticPr fontId="154" type="noConversion"/>
  </si>
  <si>
    <t>43kg/m</t>
    <phoneticPr fontId="154" type="noConversion"/>
  </si>
  <si>
    <t>50kg</t>
    <phoneticPr fontId="154" type="noConversion"/>
  </si>
  <si>
    <t>顶铁</t>
    <phoneticPr fontId="154" type="noConversion"/>
  </si>
  <si>
    <t>0.3米</t>
  </si>
  <si>
    <t>0.6米</t>
  </si>
  <si>
    <t>1.2米</t>
  </si>
  <si>
    <t>1998.6</t>
  </si>
  <si>
    <t>横梁</t>
    <phoneticPr fontId="154" type="noConversion"/>
  </si>
  <si>
    <t>中间梁</t>
  </si>
  <si>
    <t>大横梁</t>
  </si>
  <si>
    <t>4-10米</t>
  </si>
  <si>
    <t>三扣板</t>
  </si>
  <si>
    <t>五扣板</t>
  </si>
  <si>
    <t>楔板</t>
  </si>
  <si>
    <t>对</t>
  </si>
  <si>
    <t>校平卡</t>
  </si>
  <si>
    <t>…</t>
    <phoneticPr fontId="154" type="noConversion"/>
  </si>
  <si>
    <t>三</t>
    <phoneticPr fontId="154" type="noConversion"/>
  </si>
  <si>
    <t>支架类</t>
    <phoneticPr fontId="154" type="noConversion"/>
  </si>
  <si>
    <t>盘扣式脚手架</t>
    <phoneticPr fontId="154" type="noConversion"/>
  </si>
  <si>
    <t>贝雷梁</t>
    <phoneticPr fontId="154" type="noConversion"/>
  </si>
  <si>
    <t>贝雷片</t>
    <phoneticPr fontId="154" type="noConversion"/>
  </si>
  <si>
    <t>钢支撑</t>
    <phoneticPr fontId="154" type="noConversion"/>
  </si>
  <si>
    <t>钢板桩</t>
    <phoneticPr fontId="154" type="noConversion"/>
  </si>
  <si>
    <t>军便梁</t>
    <phoneticPr fontId="154" type="noConversion"/>
  </si>
  <si>
    <t>四</t>
    <phoneticPr fontId="154" type="noConversion"/>
  </si>
  <si>
    <t>台车类</t>
    <phoneticPr fontId="154" type="noConversion"/>
  </si>
  <si>
    <t>衬砌台车</t>
    <phoneticPr fontId="154" type="noConversion"/>
  </si>
  <si>
    <t>单线9m</t>
  </si>
  <si>
    <t>二衬模板台车</t>
    <phoneticPr fontId="154" type="noConversion"/>
  </si>
  <si>
    <t>9米</t>
    <phoneticPr fontId="154" type="noConversion"/>
  </si>
  <si>
    <t>台车堵头</t>
  </si>
  <si>
    <t>12.1米</t>
  </si>
  <si>
    <t>防水板台车</t>
  </si>
  <si>
    <t>挂布台车</t>
  </si>
  <si>
    <t>资中县嘉沐建材经营部</t>
  </si>
  <si>
    <t>养护简易台车</t>
  </si>
  <si>
    <t>风钻台车</t>
  </si>
  <si>
    <t>开挖台车</t>
  </si>
  <si>
    <t>养护台车</t>
  </si>
  <si>
    <t>戈阳县维东建材有限公司</t>
  </si>
  <si>
    <t>防水布台车</t>
  </si>
  <si>
    <t>内江高新技术产业开发区勇越金属制品经营部</t>
  </si>
  <si>
    <t>弋阳县易旺建材有限公司</t>
  </si>
  <si>
    <t>自动养护台车</t>
  </si>
  <si>
    <t>弋阳县塘瑞建材有限公司</t>
  </si>
  <si>
    <t>修补台车</t>
  </si>
  <si>
    <t>五新随装 12.1米液压自行式</t>
  </si>
  <si>
    <t>二衬台车模板</t>
  </si>
  <si>
    <t>兰考县荣辉建筑材料</t>
  </si>
  <si>
    <t>四川内江资中县</t>
  </si>
  <si>
    <t>韩猛</t>
  </si>
  <si>
    <t>钢模板（斜井二衬台车）</t>
  </si>
  <si>
    <t>12m*10.2m*8.8m</t>
  </si>
  <si>
    <t>阳曲县石沟村</t>
    <phoneticPr fontId="27" type="noConversion"/>
  </si>
  <si>
    <t>齐伟强</t>
    <phoneticPr fontId="27" type="noConversion"/>
  </si>
  <si>
    <t>太原西北二环高速zh12标</t>
    <phoneticPr fontId="27" type="noConversion"/>
  </si>
  <si>
    <t>钢模板（正洞二衬台车）</t>
  </si>
  <si>
    <t>隧道加宽段模板</t>
  </si>
  <si>
    <t>4线6米</t>
  </si>
  <si>
    <t>阳曲县石沟村</t>
  </si>
  <si>
    <t>凿岩台车</t>
    <phoneticPr fontId="154" type="noConversion"/>
  </si>
  <si>
    <t>其他作业台车</t>
    <phoneticPr fontId="154" type="noConversion"/>
  </si>
  <si>
    <t>隧道二衬定型钢模板</t>
  </si>
  <si>
    <t>隧道二衬模板</t>
  </si>
  <si>
    <t>五</t>
    <phoneticPr fontId="154" type="noConversion"/>
  </si>
  <si>
    <t>栈桥类</t>
    <phoneticPr fontId="154" type="noConversion"/>
  </si>
  <si>
    <t>仰拱栈桥</t>
    <phoneticPr fontId="154" type="noConversion"/>
  </si>
  <si>
    <t>普通液压栈桥</t>
  </si>
  <si>
    <t>小栈桥</t>
  </si>
  <si>
    <t>液压栈桥</t>
  </si>
  <si>
    <t>简易栈桥</t>
  </si>
  <si>
    <t>18米</t>
  </si>
  <si>
    <t>19米</t>
  </si>
  <si>
    <t>成都科利特隧道12.1</t>
  </si>
  <si>
    <t>水中栈桥</t>
    <phoneticPr fontId="154" type="noConversion"/>
  </si>
  <si>
    <t>六</t>
    <phoneticPr fontId="154" type="noConversion"/>
  </si>
  <si>
    <t>大临类</t>
    <phoneticPr fontId="154" type="noConversion"/>
  </si>
  <si>
    <t>装配式房屋</t>
    <phoneticPr fontId="154" type="noConversion"/>
  </si>
  <si>
    <t>集装箱房屋</t>
    <phoneticPr fontId="154" type="noConversion"/>
  </si>
  <si>
    <t>活动板房</t>
    <phoneticPr fontId="154" type="noConversion"/>
  </si>
  <si>
    <t>活动房屋</t>
    <phoneticPr fontId="154" type="noConversion"/>
  </si>
  <si>
    <t>残次</t>
  </si>
  <si>
    <t>六项基地再用</t>
  </si>
  <si>
    <t>彩钢活动房</t>
  </si>
  <si>
    <t>5.05m</t>
  </si>
  <si>
    <t>徐水项目部基地</t>
  </si>
  <si>
    <r>
      <t>5.05*13</t>
    </r>
    <r>
      <rPr>
        <sz val="9"/>
        <color indexed="8"/>
        <rFont val="宋体"/>
        <family val="3"/>
        <charset val="134"/>
      </rPr>
      <t>m</t>
    </r>
  </si>
  <si>
    <t xml:space="preserve">木板房 </t>
  </si>
  <si>
    <t>5m*13m</t>
  </si>
  <si>
    <t xml:space="preserve">木板房隔断 </t>
  </si>
  <si>
    <t>5m</t>
  </si>
  <si>
    <t>5m*9m</t>
  </si>
  <si>
    <t>裕华路基地再用</t>
  </si>
  <si>
    <t>二层</t>
  </si>
  <si>
    <t>集装箱房</t>
    <phoneticPr fontId="3" type="noConversion"/>
  </si>
  <si>
    <t>3米*6米*2.7米</t>
    <phoneticPr fontId="3" type="noConversion"/>
  </si>
  <si>
    <t>栋</t>
    <phoneticPr fontId="3" type="noConversion"/>
  </si>
  <si>
    <t>望都工地</t>
    <phoneticPr fontId="3" type="noConversion"/>
  </si>
  <si>
    <t>集装箱洗澡间</t>
    <phoneticPr fontId="3" type="noConversion"/>
  </si>
  <si>
    <t>2*2*2.4</t>
    <phoneticPr fontId="3" type="noConversion"/>
  </si>
  <si>
    <t>集装箱厕所</t>
    <phoneticPr fontId="3" type="noConversion"/>
  </si>
  <si>
    <t>两个蹲位</t>
    <phoneticPr fontId="3" type="noConversion"/>
  </si>
  <si>
    <t>良好</t>
    <phoneticPr fontId="154" type="noConversion"/>
  </si>
  <si>
    <t>肥乡</t>
  </si>
  <si>
    <t>广平</t>
  </si>
  <si>
    <t>岩棉</t>
  </si>
  <si>
    <t>2016.2.2</t>
  </si>
  <si>
    <t>普通</t>
  </si>
  <si>
    <t>河北诚建钢结构有限公司</t>
  </si>
  <si>
    <t>移动板房</t>
  </si>
  <si>
    <t>文安县宏达彩板钢构厂</t>
  </si>
  <si>
    <t>其它</t>
    <phoneticPr fontId="154" type="noConversion"/>
  </si>
  <si>
    <t>水泥仓</t>
  </si>
  <si>
    <t>200T</t>
  </si>
  <si>
    <t>京唐2#站</t>
  </si>
  <si>
    <t>石晓明</t>
  </si>
  <si>
    <t>混凝土公司</t>
    <phoneticPr fontId="154" type="noConversion"/>
  </si>
  <si>
    <t>荣乌拌和站</t>
  </si>
  <si>
    <t>太原拌和站</t>
  </si>
  <si>
    <t>管道加热器</t>
  </si>
  <si>
    <t>100KW</t>
  </si>
  <si>
    <t>石港拌和站</t>
  </si>
  <si>
    <t>控制柜</t>
  </si>
  <si>
    <t>水泵</t>
  </si>
  <si>
    <t>100kw</t>
  </si>
  <si>
    <t>150kw</t>
  </si>
  <si>
    <t>混凝土搅拌机组</t>
  </si>
  <si>
    <t>9HZS90F</t>
    <phoneticPr fontId="3" type="noConversion"/>
  </si>
  <si>
    <t>四川集英建筑工程有限公司</t>
  </si>
  <si>
    <t>旧混凝土罐</t>
  </si>
  <si>
    <t>9HZS90F</t>
  </si>
  <si>
    <t>新混凝土罐</t>
  </si>
  <si>
    <t>分仓布料机</t>
  </si>
  <si>
    <t>带膜注浆一体机</t>
  </si>
  <si>
    <t>3×2×2m</t>
  </si>
  <si>
    <t>2米×6米</t>
  </si>
  <si>
    <t>附着</t>
  </si>
  <si>
    <t>道</t>
  </si>
  <si>
    <t>装配式安全梯笼</t>
  </si>
  <si>
    <t>中间标准笼4m×2m×2m</t>
  </si>
  <si>
    <t>13000×4200×2400mm</t>
  </si>
  <si>
    <t>2×2×3m</t>
  </si>
  <si>
    <t>铜芯3*50+1*25</t>
  </si>
  <si>
    <t>微损</t>
    <phoneticPr fontId="154" type="noConversion"/>
  </si>
  <si>
    <t>项目部料库</t>
    <phoneticPr fontId="154" type="noConversion"/>
  </si>
  <si>
    <t>卷扬机</t>
  </si>
  <si>
    <t>YJV22 5*6</t>
  </si>
  <si>
    <t>石家庄库房</t>
  </si>
  <si>
    <t>YH1*50</t>
  </si>
  <si>
    <t>YJLV22 3*240+2*120</t>
  </si>
  <si>
    <t>2015.4</t>
  </si>
  <si>
    <t>门式钢管脚手架</t>
  </si>
  <si>
    <t>1.93*1.25*2m</t>
  </si>
  <si>
    <t>2015.6</t>
  </si>
  <si>
    <t>雷亚爬梯</t>
  </si>
  <si>
    <t>2.5*1.5*2m</t>
  </si>
  <si>
    <t>YJLV22 4*35+1</t>
  </si>
  <si>
    <t>倒链</t>
  </si>
  <si>
    <t>3t*3米</t>
  </si>
  <si>
    <t>2015.11</t>
  </si>
  <si>
    <t>20t</t>
  </si>
  <si>
    <t>5T</t>
  </si>
  <si>
    <t>10T</t>
  </si>
  <si>
    <t>5*10cm*4m 东北落叶松 下差不得超过8mm</t>
  </si>
  <si>
    <t>清水板</t>
  </si>
  <si>
    <t>1.22m*2.44m*1.2cm</t>
  </si>
  <si>
    <t>1.1cm*1.83m*0.915m</t>
  </si>
  <si>
    <t>1.22m*2.44m*1.5cm</t>
  </si>
  <si>
    <t>1.22m*2.44m*1.8cm</t>
  </si>
  <si>
    <t>10*15cm*4m 东北落叶松 下差不得超过8mm</t>
  </si>
  <si>
    <t>10*10cm*4m 东北落叶松 下差不得超过8mm</t>
  </si>
  <si>
    <t>1.22*2.44m*1.2cm</t>
  </si>
  <si>
    <t>10*10cm*4m 东北落叶松 下差在8mm以内</t>
  </si>
  <si>
    <t>10*15cm*4m 东北落叶松 下差在8mm以内</t>
  </si>
  <si>
    <t>915*1830*1.2cm</t>
  </si>
  <si>
    <t>特制围挡板</t>
  </si>
  <si>
    <t>2*1.5m （带0.5m的腿）</t>
  </si>
  <si>
    <t>海鸥栏杆模板</t>
  </si>
  <si>
    <t>YJLV22 3*50+2*25国标</t>
  </si>
  <si>
    <t>YJLV22 3*70+2*35国标</t>
  </si>
  <si>
    <t>配电箱尺寸：400*600*800*1.5mm</t>
  </si>
  <si>
    <t>双面，内含250A空开一个，160A漏电2个，
电表1个，200/5互感器3个。国标</t>
  </si>
  <si>
    <t>线鼻子</t>
  </si>
  <si>
    <t>150²国标</t>
  </si>
  <si>
    <t>70²国标</t>
  </si>
  <si>
    <t>50²国标</t>
  </si>
  <si>
    <t>35²国标</t>
  </si>
  <si>
    <t>25²国标</t>
  </si>
  <si>
    <t>YC 3*4 国标</t>
  </si>
  <si>
    <t>YJLV22 3*150+2*70国标</t>
  </si>
  <si>
    <t>双面，内含250A空开3个，电表1个,400/5互感器
3个。国标</t>
  </si>
  <si>
    <t>双面，内含250A空开一个，100A空开3个，
电表1个，200/5互感器3个。国标</t>
  </si>
  <si>
    <t>配电箱锁</t>
  </si>
  <si>
    <t>RVV 3*4国标</t>
  </si>
  <si>
    <t>RVV 2*4国标</t>
  </si>
  <si>
    <t>YC 50国标</t>
  </si>
  <si>
    <t>尺寸：300*500*600*1.5mm，内含63A漏电3个，
电表1个。国标</t>
  </si>
  <si>
    <t>尺寸：200*300*400*1.5mm，内含100A漏电1个。
国标</t>
  </si>
  <si>
    <t>YC 3*6。国标</t>
  </si>
  <si>
    <t>接地电阻测量仪</t>
  </si>
  <si>
    <t>单位：0.1Ω，1.0Ω，10Ω国标</t>
  </si>
  <si>
    <t>尺寸：400*600*800*1.5mm，双面，内含250A
空开一个，100A漏电3个，电表1个国标</t>
  </si>
  <si>
    <t>配电箱（国标）</t>
  </si>
  <si>
    <t>尺寸：400*600*800*1.5mm，双面，
内含250A漏电3个，电表1个，400/5互感器3个</t>
  </si>
  <si>
    <t>齿轮油</t>
  </si>
  <si>
    <t>长城牌</t>
  </si>
  <si>
    <t>升</t>
  </si>
  <si>
    <t>YC 3*16+1国标</t>
  </si>
  <si>
    <t>控制器</t>
  </si>
  <si>
    <t>KT14-25J-3国标</t>
  </si>
  <si>
    <t>电机接口</t>
  </si>
  <si>
    <t>15KW+护罩绝缘接线板国标</t>
  </si>
  <si>
    <t>YC 3*10+6国标</t>
  </si>
  <si>
    <t>灯泡灯口</t>
  </si>
  <si>
    <t>插排</t>
  </si>
  <si>
    <t>4孔</t>
  </si>
  <si>
    <t>RVV 2*2.5国标</t>
  </si>
  <si>
    <t>RVV 2*6国标</t>
  </si>
  <si>
    <t>电线杆拉线</t>
  </si>
  <si>
    <t>电表</t>
  </si>
  <si>
    <t>40A国标</t>
  </si>
  <si>
    <t>YC 5*6国标</t>
  </si>
  <si>
    <t>尺寸：400*500*600*1.5mm，双面国标</t>
  </si>
  <si>
    <t>绝缘胶带</t>
  </si>
  <si>
    <t>电缆预埋槽道</t>
  </si>
  <si>
    <t>EHMQ-31国标</t>
  </si>
  <si>
    <t>梁体A墙模板</t>
  </si>
  <si>
    <t>声屏障A墙配件</t>
  </si>
  <si>
    <t>梁体B墙模板</t>
  </si>
  <si>
    <t>挡砟墙接触网模板配件</t>
  </si>
  <si>
    <t>A墙接触网模板配件</t>
  </si>
  <si>
    <t>B墙接触网模板配件</t>
  </si>
  <si>
    <t>声屏障A墙接触网模板配件</t>
  </si>
  <si>
    <t>声屏障A墙模板配件</t>
  </si>
  <si>
    <t>泄水孔</t>
  </si>
  <si>
    <t>夹板</t>
  </si>
  <si>
    <t>梁体挡砟墙模板</t>
  </si>
  <si>
    <t>声屏障A墙模板</t>
  </si>
  <si>
    <t>1.2m*2.4m*15</t>
  </si>
  <si>
    <t>石家庄鹿泉区上庄镇台头村</t>
  </si>
  <si>
    <t>孙健</t>
  </si>
  <si>
    <t>石保集团鹿泉基地项目部</t>
    <phoneticPr fontId="154" type="noConversion"/>
  </si>
  <si>
    <t>4*8cm*4m</t>
  </si>
  <si>
    <t>项目部</t>
    <phoneticPr fontId="154" type="noConversion"/>
  </si>
  <si>
    <t>敬业项目部</t>
    <phoneticPr fontId="154" type="noConversion"/>
  </si>
  <si>
    <t>10*10cm*4m</t>
  </si>
  <si>
    <t>10cm*10cm*3m</t>
  </si>
  <si>
    <t>2T</t>
  </si>
  <si>
    <t>3T</t>
  </si>
  <si>
    <t>油压千斤顶</t>
  </si>
  <si>
    <t>QLY32 立式 32t</t>
  </si>
  <si>
    <t>螺旋千斤顶</t>
  </si>
  <si>
    <r>
      <rPr>
        <sz val="10"/>
        <color indexed="8"/>
        <rFont val="宋体"/>
        <family val="3"/>
        <charset val="134"/>
      </rPr>
      <t>3*120</t>
    </r>
    <r>
      <rPr>
        <b/>
        <sz val="11"/>
        <color rgb="FF000000"/>
        <rFont val="宋体"/>
        <family val="3"/>
        <charset val="134"/>
      </rPr>
      <t>㎡</t>
    </r>
    <r>
      <rPr>
        <b/>
        <sz val="11"/>
        <color rgb="FF000000"/>
        <rFont val="ˎ̥"/>
        <family val="1"/>
      </rPr>
      <t>+2</t>
    </r>
  </si>
  <si>
    <t>新乐项目</t>
    <phoneticPr fontId="154" type="noConversion"/>
  </si>
  <si>
    <r>
      <rPr>
        <sz val="10"/>
        <color indexed="8"/>
        <rFont val="宋体"/>
        <family val="3"/>
        <charset val="134"/>
      </rPr>
      <t>3*95</t>
    </r>
    <r>
      <rPr>
        <b/>
        <sz val="11"/>
        <color rgb="FF000000"/>
        <rFont val="宋体"/>
        <family val="3"/>
        <charset val="134"/>
      </rPr>
      <t>㎡</t>
    </r>
    <r>
      <rPr>
        <b/>
        <sz val="11"/>
        <color rgb="FF000000"/>
        <rFont val="ˎ̥"/>
        <family val="1"/>
      </rPr>
      <t>+2</t>
    </r>
  </si>
  <si>
    <t>30*25*8</t>
  </si>
  <si>
    <t>2016.3.10</t>
  </si>
  <si>
    <t>22.25*8.5*4</t>
  </si>
  <si>
    <t>4cm*9cm*4m</t>
  </si>
  <si>
    <t>石家庄地铁1号线</t>
    <phoneticPr fontId="154" type="noConversion"/>
  </si>
  <si>
    <t>1.3cm*1.22m*2.44m</t>
  </si>
  <si>
    <t>复合木模板</t>
  </si>
  <si>
    <t>板材</t>
  </si>
  <si>
    <t>支撑方木</t>
  </si>
  <si>
    <t>14mm厚</t>
  </si>
  <si>
    <t>建筑</t>
  </si>
  <si>
    <t>45*75*2000mm</t>
  </si>
  <si>
    <t>m3</t>
  </si>
  <si>
    <t>高23米</t>
  </si>
  <si>
    <t>13000</t>
  </si>
  <si>
    <t>高26米</t>
  </si>
  <si>
    <t>14611</t>
  </si>
  <si>
    <t>高30米</t>
  </si>
  <si>
    <t>16859</t>
  </si>
  <si>
    <t>高18米</t>
  </si>
  <si>
    <t>11050</t>
  </si>
  <si>
    <t>高14米</t>
  </si>
  <si>
    <t>8595</t>
  </si>
  <si>
    <t>3*16+1</t>
  </si>
  <si>
    <t>3*6+1</t>
  </si>
  <si>
    <t>3*95+1</t>
  </si>
  <si>
    <t>3*150+1</t>
  </si>
  <si>
    <t>水钻</t>
  </si>
  <si>
    <t>200V</t>
  </si>
  <si>
    <t>2寸</t>
  </si>
  <si>
    <t>6.4*2.2m</t>
  </si>
  <si>
    <t>2440×1220×12</t>
  </si>
  <si>
    <t>石家庄地铁2号线</t>
    <phoneticPr fontId="154" type="noConversion"/>
  </si>
  <si>
    <t>1830mm×915mm×12mm</t>
  </si>
  <si>
    <t>石家庄地铁1号线</t>
  </si>
  <si>
    <t>承台、方柱钢模板</t>
  </si>
  <si>
    <t>方柱2m×2m</t>
  </si>
  <si>
    <t>直径1.6m圆柱</t>
  </si>
  <si>
    <t>40×80mm×4米</t>
  </si>
  <si>
    <t>1200×2400×12</t>
  </si>
  <si>
    <t>1220×2440×15</t>
  </si>
  <si>
    <t>3000×450×20mm</t>
  </si>
  <si>
    <t>3000×600×20mm</t>
  </si>
  <si>
    <t>3000×500×20mm</t>
  </si>
  <si>
    <t>圆柱模板钢带</t>
  </si>
  <si>
    <t>Φ800</t>
  </si>
  <si>
    <t>Φ900</t>
  </si>
  <si>
    <t>/</t>
    <phoneticPr fontId="32" type="noConversion"/>
  </si>
  <si>
    <t>木垫板</t>
  </si>
  <si>
    <t>600×250×30mm</t>
  </si>
  <si>
    <t>YJV3*10+2*6</t>
  </si>
  <si>
    <t>280</t>
  </si>
  <si>
    <t>2020.5.28</t>
  </si>
  <si>
    <t>YJV3*16+2*10</t>
  </si>
  <si>
    <t>120</t>
  </si>
  <si>
    <t>YJV3*25+2*16</t>
  </si>
  <si>
    <t>62</t>
  </si>
  <si>
    <t>YJV3*35+2*16</t>
  </si>
  <si>
    <t>YJV3*70+1*35</t>
  </si>
  <si>
    <t>50</t>
  </si>
  <si>
    <t>YJV224*95+1*50</t>
  </si>
  <si>
    <t>70</t>
  </si>
  <si>
    <r>
      <t>填写说明：根据计划提报内容要求按周转材料分类填写，内容不足可补充，</t>
    </r>
    <r>
      <rPr>
        <b/>
        <sz val="12"/>
        <color rgb="FFFF0000"/>
        <rFont val="宋体"/>
        <family val="3"/>
        <charset val="134"/>
      </rPr>
      <t>材料名称统一</t>
    </r>
    <r>
      <rPr>
        <b/>
        <sz val="12"/>
        <color theme="1"/>
        <rFont val="宋体"/>
        <family val="3"/>
        <charset val="134"/>
      </rPr>
      <t>，</t>
    </r>
    <r>
      <rPr>
        <b/>
        <sz val="12"/>
        <color rgb="FFFF0000"/>
        <rFont val="宋体"/>
        <family val="3"/>
        <charset val="134"/>
      </rPr>
      <t>不同规格型号的周转材料填写要清晰（必填），有设计图号的（必填），存放地点要写详尽</t>
    </r>
    <r>
      <rPr>
        <sz val="12"/>
        <color theme="1"/>
        <rFont val="宋体"/>
        <family val="3"/>
        <charset val="134"/>
      </rPr>
      <t>。普通钢模（按照标准化图纸设计的桥墩、墩帽、承台、涵洞模板等）；异形钢模（连续梁主边墩、固定墩、门式墩、矩形墩、空心墩内外模、坡比墩、护栏模板、涵洞模板、桥面系各类模板、避车洞模板、洞门模板、0#块模板、现浇梁模板、6015（3015）标准建筑模板等）。墩柱模板：按照公路、普通铁路与高速铁路墩型分类，隧道衬砌台车:按照铁路单线、双线及公路分类。状况：是否良好等，使用情况：在用或闲置。</t>
    </r>
    <phoneticPr fontId="154" type="noConversion"/>
  </si>
  <si>
    <t>中铁六局集团( 广州公司   )公司周转材料信息管理台账</t>
  </si>
  <si>
    <t>铁路用墩柱钢模板</t>
  </si>
  <si>
    <t>双线，实心墩</t>
  </si>
  <si>
    <t>菏泽卓锐机械设备有限公司</t>
  </si>
  <si>
    <t>广东省梅州市兴宁市技工学校隔壁中国中铁</t>
  </si>
  <si>
    <t>成鑫</t>
  </si>
  <si>
    <t>中铁六局集团有限公司梅龙铁路(MLSG-3标)项目经理部</t>
  </si>
  <si>
    <t>中铁六局广州公司</t>
  </si>
  <si>
    <t>流水槽模板</t>
  </si>
  <si>
    <t>山东桥港重工机械有限公司</t>
  </si>
  <si>
    <t>仰拱和水沟钢模板</t>
  </si>
  <si>
    <t>3m*12.1m</t>
  </si>
  <si>
    <t>隧道渐变段模板</t>
  </si>
  <si>
    <t>12m,(12+2)mm不锈钢面板</t>
  </si>
  <si>
    <t>江苏九洲桥梁工程有限公司</t>
  </si>
  <si>
    <t>贝雷销子</t>
  </si>
  <si>
    <t>1.5*0.9m</t>
  </si>
  <si>
    <t>支撑螺栓</t>
  </si>
  <si>
    <t>φ1.5m*11m</t>
  </si>
  <si>
    <t>φ1.9m*1.5m，φ1.25m*1.5m，φ1.2m*0.5m</t>
  </si>
  <si>
    <t>中铁六局集团（建安）公司周转材料信息管理台账</t>
    <phoneticPr fontId="32" type="noConversion"/>
  </si>
  <si>
    <t>/</t>
    <phoneticPr fontId="32" type="noConversion"/>
  </si>
  <si>
    <t>内模(6*3.14)*2.1m    外模（7*3.14)*2m</t>
    <phoneticPr fontId="32" type="noConversion"/>
  </si>
  <si>
    <t>移动模架</t>
    <phoneticPr fontId="32" type="noConversion"/>
  </si>
  <si>
    <t>闲置</t>
    <phoneticPr fontId="32" type="noConversion"/>
  </si>
  <si>
    <t>北京市门头沟区永定镇新城大街</t>
    <phoneticPr fontId="32" type="noConversion"/>
  </si>
  <si>
    <t>江苏省徐州市鼓楼区</t>
    <phoneticPr fontId="32" type="noConversion"/>
  </si>
  <si>
    <t>韩  航</t>
    <phoneticPr fontId="32" type="noConversion"/>
  </si>
  <si>
    <t>韩  航</t>
    <phoneticPr fontId="32" type="noConversion"/>
  </si>
  <si>
    <t>立方米</t>
    <phoneticPr fontId="27" type="noConversion"/>
  </si>
  <si>
    <t>/</t>
    <phoneticPr fontId="27" type="noConversion"/>
  </si>
  <si>
    <t>/</t>
    <phoneticPr fontId="27" type="noConversion"/>
  </si>
  <si>
    <t>925*1830*14mm</t>
    <phoneticPr fontId="27" type="noConversion"/>
  </si>
  <si>
    <t>北京市顺义区李桥镇龙塘路与沿沙路交口樱花园工地</t>
    <phoneticPr fontId="3" type="noConversion"/>
  </si>
  <si>
    <t>殷佩林</t>
    <phoneticPr fontId="3" type="noConversion"/>
  </si>
  <si>
    <t>樱花园项目</t>
    <phoneticPr fontId="3" type="noConversion"/>
  </si>
  <si>
    <t>山西省晋中市榆次区龙城中央大道1-3b地块项目</t>
    <phoneticPr fontId="3" type="noConversion"/>
  </si>
  <si>
    <t>武秀忠</t>
    <phoneticPr fontId="3" type="noConversion"/>
  </si>
  <si>
    <t>建安公司市政项目部</t>
    <phoneticPr fontId="3" type="noConversion"/>
  </si>
  <si>
    <t>建安公司</t>
    <phoneticPr fontId="32" type="noConversion"/>
  </si>
  <si>
    <t>/</t>
    <phoneticPr fontId="32" type="noConversion"/>
  </si>
  <si>
    <t>2022.3.17</t>
    <phoneticPr fontId="32" type="noConversion"/>
  </si>
  <si>
    <t>/</t>
    <phoneticPr fontId="27" type="noConversion"/>
  </si>
  <si>
    <t>2022.3.25</t>
    <phoneticPr fontId="32" type="noConversion"/>
  </si>
  <si>
    <t>钢板</t>
    <phoneticPr fontId="32" type="noConversion"/>
  </si>
  <si>
    <t>闲置</t>
    <phoneticPr fontId="32" type="noConversion"/>
  </si>
  <si>
    <t>河南省安阳市汤阴县白营镇长虹路杨村中铁六局项目部工地</t>
    <phoneticPr fontId="32" type="noConversion"/>
  </si>
  <si>
    <t>王  景</t>
    <phoneticPr fontId="32" type="noConversion"/>
  </si>
  <si>
    <t>/</t>
    <phoneticPr fontId="32" type="noConversion"/>
  </si>
  <si>
    <t>安东兴</t>
    <phoneticPr fontId="32" type="noConversion"/>
  </si>
  <si>
    <t>钢板</t>
    <phoneticPr fontId="32" type="noConversion"/>
  </si>
  <si>
    <t>山西省晋中市榆次区动车所</t>
    <phoneticPr fontId="32" type="noConversion"/>
  </si>
  <si>
    <t>建安公司</t>
    <phoneticPr fontId="32" type="noConversion"/>
  </si>
  <si>
    <t>钢板</t>
    <phoneticPr fontId="27" type="noConversion"/>
  </si>
  <si>
    <t>（中厚板）20mm</t>
    <phoneticPr fontId="3" type="noConversion"/>
  </si>
  <si>
    <t>t</t>
    <phoneticPr fontId="27" type="noConversion"/>
  </si>
  <si>
    <t>北京中科辉腾科技有限公司</t>
    <phoneticPr fontId="27" type="noConversion"/>
  </si>
  <si>
    <t>悬挑架1</t>
    <phoneticPr fontId="27" type="noConversion"/>
  </si>
  <si>
    <r>
      <rPr>
        <sz val="10"/>
        <color theme="1"/>
        <rFont val="Tahoma"/>
        <family val="2"/>
      </rPr>
      <t>16#</t>
    </r>
    <r>
      <rPr>
        <sz val="10"/>
        <color theme="1"/>
        <rFont val="宋体"/>
        <family val="3"/>
        <charset val="134"/>
      </rPr>
      <t>工字钢、长度</t>
    </r>
    <r>
      <rPr>
        <sz val="10"/>
        <color theme="1"/>
        <rFont val="Tahoma"/>
        <family val="2"/>
      </rPr>
      <t>1</t>
    </r>
    <r>
      <rPr>
        <sz val="10"/>
        <color theme="1"/>
        <rFont val="宋体"/>
        <family val="3"/>
        <charset val="134"/>
      </rPr>
      <t>米</t>
    </r>
    <phoneticPr fontId="3" type="noConversion"/>
  </si>
  <si>
    <t>套</t>
    <phoneticPr fontId="27" type="noConversion"/>
  </si>
  <si>
    <t>北京西北旺项目</t>
    <phoneticPr fontId="27" type="noConversion"/>
  </si>
  <si>
    <t>徐州机器人调入</t>
    <phoneticPr fontId="32" type="noConversion"/>
  </si>
  <si>
    <t>悬挑架2</t>
    <phoneticPr fontId="27" type="noConversion"/>
  </si>
  <si>
    <r>
      <rPr>
        <sz val="10"/>
        <color theme="1"/>
        <rFont val="Tahoma"/>
        <family val="2"/>
      </rPr>
      <t>16#</t>
    </r>
    <r>
      <rPr>
        <sz val="10"/>
        <color theme="1"/>
        <rFont val="宋体"/>
        <family val="3"/>
        <charset val="134"/>
      </rPr>
      <t>工字钢、长度</t>
    </r>
    <r>
      <rPr>
        <sz val="10"/>
        <color theme="1"/>
        <rFont val="Tahoma"/>
        <family val="2"/>
      </rPr>
      <t>1.5</t>
    </r>
    <r>
      <rPr>
        <sz val="10"/>
        <color theme="1"/>
        <rFont val="宋体"/>
        <family val="3"/>
        <charset val="134"/>
      </rPr>
      <t>米</t>
    </r>
    <phoneticPr fontId="3" type="noConversion"/>
  </si>
  <si>
    <t>在用</t>
    <phoneticPr fontId="32" type="noConversion"/>
  </si>
  <si>
    <t>悬挑架3</t>
    <phoneticPr fontId="27" type="noConversion"/>
  </si>
  <si>
    <r>
      <rPr>
        <sz val="10"/>
        <color theme="1"/>
        <rFont val="Tahoma"/>
        <family val="2"/>
      </rPr>
      <t>HN250*125,changdu2.6</t>
    </r>
    <r>
      <rPr>
        <sz val="10"/>
        <color theme="1"/>
        <rFont val="宋体"/>
        <family val="3"/>
        <charset val="134"/>
      </rPr>
      <t>米</t>
    </r>
    <phoneticPr fontId="3" type="noConversion"/>
  </si>
  <si>
    <t>抱箍钢板</t>
    <phoneticPr fontId="27" type="noConversion"/>
  </si>
  <si>
    <t>372*100*20</t>
    <phoneticPr fontId="3" type="noConversion"/>
  </si>
  <si>
    <t>个</t>
    <phoneticPr fontId="27" type="noConversion"/>
  </si>
  <si>
    <t>工字钢</t>
    <phoneticPr fontId="27" type="noConversion"/>
  </si>
  <si>
    <t>10#</t>
    <phoneticPr fontId="3" type="noConversion"/>
  </si>
  <si>
    <t>米</t>
    <phoneticPr fontId="27" type="noConversion"/>
  </si>
  <si>
    <t>钢垫片</t>
    <phoneticPr fontId="27" type="noConversion"/>
  </si>
  <si>
    <r>
      <rPr>
        <sz val="10"/>
        <color theme="1"/>
        <rFont val="Tahoma"/>
        <family val="2"/>
      </rPr>
      <t>8*80*80</t>
    </r>
    <r>
      <rPr>
        <sz val="10"/>
        <color theme="1"/>
        <rFont val="宋体"/>
        <family val="3"/>
        <charset val="134"/>
      </rPr>
      <t>（</t>
    </r>
    <r>
      <rPr>
        <sz val="10"/>
        <color theme="1"/>
        <rFont val="Tahoma"/>
        <family val="2"/>
      </rPr>
      <t>R=12</t>
    </r>
    <r>
      <rPr>
        <sz val="10"/>
        <color theme="1"/>
        <rFont val="宋体"/>
        <family val="3"/>
        <charset val="134"/>
      </rPr>
      <t>）</t>
    </r>
    <phoneticPr fontId="3" type="noConversion"/>
  </si>
  <si>
    <t>抱箍螺杆</t>
    <phoneticPr fontId="27" type="noConversion"/>
  </si>
  <si>
    <r>
      <rPr>
        <sz val="10"/>
        <color theme="1"/>
        <rFont val="宋体"/>
        <family val="3"/>
        <charset val="134"/>
      </rPr>
      <t>螺栓</t>
    </r>
    <r>
      <rPr>
        <sz val="10"/>
        <color theme="1"/>
        <rFont val="Tahoma"/>
        <family val="2"/>
      </rPr>
      <t>M20*400</t>
    </r>
    <r>
      <rPr>
        <sz val="10"/>
        <color theme="1"/>
        <rFont val="宋体"/>
        <family val="3"/>
        <charset val="134"/>
      </rPr>
      <t>（</t>
    </r>
    <r>
      <rPr>
        <sz val="10"/>
        <color theme="1"/>
        <rFont val="Tahoma"/>
        <family val="2"/>
      </rPr>
      <t>8.8S</t>
    </r>
    <r>
      <rPr>
        <sz val="10"/>
        <color theme="1"/>
        <rFont val="宋体"/>
        <family val="3"/>
        <charset val="134"/>
      </rPr>
      <t>）</t>
    </r>
    <phoneticPr fontId="3" type="noConversion"/>
  </si>
  <si>
    <r>
      <rPr>
        <sz val="10"/>
        <color theme="1"/>
        <rFont val="宋体"/>
        <family val="3"/>
        <charset val="134"/>
      </rPr>
      <t>螺栓</t>
    </r>
    <r>
      <rPr>
        <sz val="10"/>
        <color theme="1"/>
        <rFont val="Tahoma"/>
        <family val="2"/>
      </rPr>
      <t>M20*500</t>
    </r>
    <r>
      <rPr>
        <sz val="10"/>
        <color theme="1"/>
        <rFont val="宋体"/>
        <family val="3"/>
        <charset val="134"/>
      </rPr>
      <t>（</t>
    </r>
    <r>
      <rPr>
        <sz val="10"/>
        <color theme="1"/>
        <rFont val="Tahoma"/>
        <family val="2"/>
      </rPr>
      <t>8.8S</t>
    </r>
    <r>
      <rPr>
        <sz val="10"/>
        <color theme="1"/>
        <rFont val="宋体"/>
        <family val="3"/>
        <charset val="134"/>
      </rPr>
      <t>）</t>
    </r>
    <phoneticPr fontId="3" type="noConversion"/>
  </si>
  <si>
    <t>个</t>
    <phoneticPr fontId="27" type="noConversion"/>
  </si>
  <si>
    <t>北京西北旺项目</t>
    <phoneticPr fontId="27" type="noConversion"/>
  </si>
  <si>
    <t>徐州机器人调入</t>
    <phoneticPr fontId="32" type="noConversion"/>
  </si>
  <si>
    <t>穿墙螺杆</t>
    <phoneticPr fontId="27" type="noConversion"/>
  </si>
  <si>
    <r>
      <rPr>
        <sz val="10"/>
        <color theme="1"/>
        <rFont val="宋体"/>
        <family val="3"/>
        <charset val="134"/>
      </rPr>
      <t>螺栓</t>
    </r>
    <r>
      <rPr>
        <sz val="10"/>
        <color theme="1"/>
        <rFont val="Tahoma"/>
        <family val="2"/>
      </rPr>
      <t>M20*450</t>
    </r>
    <r>
      <rPr>
        <sz val="10"/>
        <color theme="1"/>
        <rFont val="宋体"/>
        <family val="3"/>
        <charset val="134"/>
      </rPr>
      <t>（</t>
    </r>
    <r>
      <rPr>
        <sz val="10"/>
        <color theme="1"/>
        <rFont val="Tahoma"/>
        <family val="2"/>
      </rPr>
      <t>8.8S</t>
    </r>
    <r>
      <rPr>
        <sz val="10"/>
        <color theme="1"/>
        <rFont val="宋体"/>
        <family val="3"/>
        <charset val="134"/>
      </rPr>
      <t>）</t>
    </r>
    <phoneticPr fontId="3" type="noConversion"/>
  </si>
  <si>
    <t>蜗牛环</t>
    <phoneticPr fontId="27" type="noConversion"/>
  </si>
  <si>
    <t>钢筋托架</t>
    <phoneticPr fontId="27" type="noConversion"/>
  </si>
  <si>
    <t>6道</t>
    <phoneticPr fontId="3" type="noConversion"/>
  </si>
  <si>
    <t>套</t>
    <phoneticPr fontId="27" type="noConversion"/>
  </si>
  <si>
    <t>在用</t>
    <phoneticPr fontId="32" type="noConversion"/>
  </si>
  <si>
    <t>安阳京泰建筑有限责任公司</t>
    <phoneticPr fontId="27" type="noConversion"/>
  </si>
  <si>
    <t>安东兴</t>
    <phoneticPr fontId="32" type="noConversion"/>
  </si>
  <si>
    <t>盘扣式脚手架</t>
    <phoneticPr fontId="32" type="noConversion"/>
  </si>
  <si>
    <t>外脚手架钢管</t>
    <phoneticPr fontId="32" type="noConversion"/>
  </si>
  <si>
    <t>毛龙龙</t>
    <phoneticPr fontId="32" type="noConversion"/>
  </si>
  <si>
    <t>良好</t>
    <phoneticPr fontId="32" type="noConversion"/>
  </si>
  <si>
    <t>北京市昌平区马池口镇下念头村建安公司</t>
    <phoneticPr fontId="32" type="noConversion"/>
  </si>
  <si>
    <t>北京市顺义区李桥镇龙塘路与沿沙路交口樱花园工地</t>
    <phoneticPr fontId="3" type="noConversion"/>
  </si>
  <si>
    <t>殷佩林</t>
    <phoneticPr fontId="3" type="noConversion"/>
  </si>
  <si>
    <t>樱花园项目</t>
    <phoneticPr fontId="3" type="noConversion"/>
  </si>
  <si>
    <t>建安公司</t>
    <phoneticPr fontId="3" type="noConversion"/>
  </si>
  <si>
    <t>2021.6.19</t>
    <phoneticPr fontId="3" type="noConversion"/>
  </si>
  <si>
    <t>清远调入</t>
    <phoneticPr fontId="3" type="noConversion"/>
  </si>
  <si>
    <t>贝雷梁</t>
    <phoneticPr fontId="32" type="noConversion"/>
  </si>
  <si>
    <t>2021.10</t>
    <phoneticPr fontId="27" type="noConversion"/>
  </si>
  <si>
    <t>门头沟站货场铁路职工住房项目部</t>
    <phoneticPr fontId="27" type="noConversion"/>
  </si>
  <si>
    <t>2021.11</t>
    <phoneticPr fontId="27" type="noConversion"/>
  </si>
  <si>
    <t>2022.1.5</t>
    <phoneticPr fontId="32" type="noConversion"/>
  </si>
  <si>
    <t>盂县调入</t>
    <phoneticPr fontId="32" type="noConversion"/>
  </si>
  <si>
    <t>2022.1.5</t>
    <phoneticPr fontId="32" type="noConversion"/>
  </si>
  <si>
    <t>2022.3.20</t>
    <phoneticPr fontId="32" type="noConversion"/>
  </si>
  <si>
    <t>其他作业台车</t>
    <phoneticPr fontId="32" type="noConversion"/>
  </si>
  <si>
    <t>装配式房屋</t>
    <phoneticPr fontId="32" type="noConversion"/>
  </si>
  <si>
    <r>
      <t>洛阳地铁</t>
    </r>
    <r>
      <rPr>
        <sz val="10"/>
        <color theme="1"/>
        <rFont val="宋体"/>
        <family val="3"/>
        <charset val="134"/>
        <scheme val="major"/>
      </rPr>
      <t>2号线一期洛阳火车站、国花路站施工站点</t>
    </r>
    <phoneticPr fontId="32" type="noConversion"/>
  </si>
  <si>
    <t>武秀忠</t>
    <phoneticPr fontId="32" type="noConversion"/>
  </si>
  <si>
    <t>盂县调入</t>
    <phoneticPr fontId="32" type="noConversion"/>
  </si>
  <si>
    <t>集装箱房屋</t>
    <phoneticPr fontId="32" type="noConversion"/>
  </si>
  <si>
    <t xml:space="preserve">
标准3m*6m*2.92m</t>
    <phoneticPr fontId="32" type="noConversion"/>
  </si>
  <si>
    <t>江苏省连云港市海州区前关村</t>
    <phoneticPr fontId="32" type="noConversion"/>
  </si>
  <si>
    <t>（含隔墙）
标准3m*6m*2.92m</t>
    <phoneticPr fontId="32" type="noConversion"/>
  </si>
  <si>
    <t>（两连箱）
标准6m*6m*2.92m</t>
    <phoneticPr fontId="32" type="noConversion"/>
  </si>
  <si>
    <t>（楼梯）
标准3m*6m*2.92m</t>
    <phoneticPr fontId="32" type="noConversion"/>
  </si>
  <si>
    <t>（男女卫）
标准3m*6m*2.92m</t>
    <phoneticPr fontId="32" type="noConversion"/>
  </si>
  <si>
    <t>（走廊）
标准1.8m*6m*2.92m</t>
    <phoneticPr fontId="32" type="noConversion"/>
  </si>
  <si>
    <t>连云港樱桃谷项目部</t>
    <phoneticPr fontId="32" type="noConversion"/>
  </si>
  <si>
    <t>集装箱房屋</t>
    <phoneticPr fontId="32" type="noConversion"/>
  </si>
  <si>
    <t>3m*6m*2.92m</t>
    <phoneticPr fontId="32" type="noConversion"/>
  </si>
  <si>
    <t>洗漱间3m*6m*2.92m</t>
    <phoneticPr fontId="32" type="noConversion"/>
  </si>
  <si>
    <t>男女卫3m*6m*2.92m</t>
    <phoneticPr fontId="32" type="noConversion"/>
  </si>
  <si>
    <t>走廊1.8m*6m*2.92m</t>
    <phoneticPr fontId="32" type="noConversion"/>
  </si>
  <si>
    <t>集装箱房</t>
    <phoneticPr fontId="32" type="noConversion"/>
  </si>
  <si>
    <t>室外三层楼梯 四跑折返楼梯，方通扶手</t>
    <phoneticPr fontId="32" type="noConversion"/>
  </si>
  <si>
    <t>集装箱房</t>
    <phoneticPr fontId="32" type="noConversion"/>
  </si>
  <si>
    <t>外置走廊  宽度1米
花纹板走廊+方通护栏</t>
    <phoneticPr fontId="32" type="noConversion"/>
  </si>
  <si>
    <t>雨棚  宽度1.15米
50mm阻燃复合板+钢支架</t>
    <phoneticPr fontId="32" type="noConversion"/>
  </si>
  <si>
    <t>标准箱  3mx6.055mx2.92m</t>
    <phoneticPr fontId="32" type="noConversion"/>
  </si>
  <si>
    <t>男卫生间  3mx6.055mx2.92m</t>
    <phoneticPr fontId="32" type="noConversion"/>
  </si>
  <si>
    <t>男淋浴间  3mx6.055mx2.92m</t>
    <phoneticPr fontId="32" type="noConversion"/>
  </si>
  <si>
    <t>女卫生间  3mx6.055mx2.92m</t>
    <phoneticPr fontId="32" type="noConversion"/>
  </si>
  <si>
    <t>外置走廊1m宽</t>
    <phoneticPr fontId="32" type="noConversion"/>
  </si>
  <si>
    <t>北京市门头沟区车站街一号</t>
    <phoneticPr fontId="32" type="noConversion"/>
  </si>
  <si>
    <t>防砸棚  24.15*31.48m</t>
    <phoneticPr fontId="32" type="noConversion"/>
  </si>
  <si>
    <t>男女卫6055x3000x2920</t>
    <phoneticPr fontId="32" type="noConversion"/>
  </si>
  <si>
    <t>北京市昌平区马池口镇下念头村建安公司</t>
    <phoneticPr fontId="32" type="noConversion"/>
  </si>
  <si>
    <t>北京市门头沟区永定镇新城大街</t>
    <phoneticPr fontId="32" type="noConversion"/>
  </si>
  <si>
    <t>河北省张家口市崇礼区太子城村</t>
    <phoneticPr fontId="32" type="noConversion"/>
  </si>
  <si>
    <t>马继斌</t>
    <phoneticPr fontId="32" type="noConversion"/>
  </si>
  <si>
    <t>太子城高铁客运枢纽工程项目部</t>
    <phoneticPr fontId="32" type="noConversion"/>
  </si>
  <si>
    <t>北京市昌平卫生学校旁</t>
    <phoneticPr fontId="32" type="noConversion"/>
  </si>
  <si>
    <t>崔长江</t>
    <phoneticPr fontId="32" type="noConversion"/>
  </si>
  <si>
    <t>北京昌平项目部</t>
    <phoneticPr fontId="32" type="noConversion"/>
  </si>
  <si>
    <t>太子城项目调入</t>
    <phoneticPr fontId="32" type="noConversion"/>
  </si>
  <si>
    <t>韩  航</t>
    <phoneticPr fontId="32" type="noConversion"/>
  </si>
  <si>
    <t>北京市朝阳区双井街道百子湾路27号</t>
    <phoneticPr fontId="32" type="noConversion"/>
  </si>
  <si>
    <t>王鹏</t>
    <phoneticPr fontId="32" type="noConversion"/>
  </si>
  <si>
    <t>18888872006</t>
    <phoneticPr fontId="32" type="noConversion"/>
  </si>
  <si>
    <t>门头沟诺德彩园项目部</t>
    <phoneticPr fontId="32" type="noConversion"/>
  </si>
  <si>
    <t>丰台站改建工程项目部</t>
    <phoneticPr fontId="32" type="noConversion"/>
  </si>
  <si>
    <t>造甲街北里丰台站改工程</t>
    <phoneticPr fontId="32" type="noConversion"/>
  </si>
  <si>
    <t>内蒙古呼和浩特市回民区海拉尔西街回民区法院东100米</t>
    <phoneticPr fontId="32" type="noConversion"/>
  </si>
  <si>
    <t>广东省肇庆市鼎湖区桂城街道宝鼎路</t>
    <phoneticPr fontId="32" type="noConversion"/>
  </si>
  <si>
    <t>张   雄</t>
    <phoneticPr fontId="32" type="noConversion"/>
  </si>
  <si>
    <t>肇庆市鼎湖区人民法院审判法庭新建项目</t>
    <phoneticPr fontId="32" type="noConversion"/>
  </si>
  <si>
    <t>浙江省金华市婺城区罗店镇北山路1644号</t>
    <phoneticPr fontId="32" type="noConversion"/>
  </si>
  <si>
    <t>（男厕所）3*6*2.7m</t>
    <phoneticPr fontId="32" type="noConversion"/>
  </si>
  <si>
    <t>（男淋浴+女厕所）3*6*2.7m</t>
    <phoneticPr fontId="32" type="noConversion"/>
  </si>
  <si>
    <t>闸机箱  6055*2990*2896</t>
    <phoneticPr fontId="32" type="noConversion"/>
  </si>
  <si>
    <t>广东省河源市源城区原南镇江东新区</t>
    <phoneticPr fontId="32" type="noConversion"/>
  </si>
  <si>
    <t>刘士杰</t>
    <phoneticPr fontId="32" type="noConversion"/>
  </si>
  <si>
    <t>库房  3*6m</t>
    <phoneticPr fontId="32" type="noConversion"/>
  </si>
  <si>
    <t>2020.01</t>
    <phoneticPr fontId="32" type="noConversion"/>
  </si>
  <si>
    <t>标养室 3*6m</t>
    <phoneticPr fontId="32" type="noConversion"/>
  </si>
  <si>
    <t>卫生间  3*6m</t>
    <phoneticPr fontId="32" type="noConversion"/>
  </si>
  <si>
    <t>门卫  3*6m</t>
    <phoneticPr fontId="32" type="noConversion"/>
  </si>
  <si>
    <t>楼梯2420*1980mm</t>
    <phoneticPr fontId="32" type="noConversion"/>
  </si>
  <si>
    <t>闸机箱1800*3000*2780mm</t>
    <phoneticPr fontId="32" type="noConversion"/>
  </si>
  <si>
    <t>楼梯踏步</t>
    <phoneticPr fontId="32" type="noConversion"/>
  </si>
  <si>
    <t>楼梯1990*1900mm</t>
    <phoneticPr fontId="32" type="noConversion"/>
  </si>
  <si>
    <t>玻璃雨棚</t>
    <phoneticPr fontId="32" type="noConversion"/>
  </si>
  <si>
    <t>标准箱6055*2990*2896</t>
    <phoneticPr fontId="32" type="noConversion"/>
  </si>
  <si>
    <t>二连间6055*6000*2920</t>
    <phoneticPr fontId="32" type="noConversion"/>
  </si>
  <si>
    <t>二连间6055*6000*2896</t>
    <phoneticPr fontId="32" type="noConversion"/>
  </si>
  <si>
    <t>五连间6055*15000*2896</t>
    <phoneticPr fontId="32" type="noConversion"/>
  </si>
  <si>
    <t>加高六连箱6055*2990*5792</t>
    <phoneticPr fontId="32" type="noConversion"/>
  </si>
  <si>
    <t>茶水间集装箱6055*2990*2896</t>
    <phoneticPr fontId="32" type="noConversion"/>
  </si>
  <si>
    <t>标养室6055*2990*2896</t>
    <phoneticPr fontId="32" type="noConversion"/>
  </si>
  <si>
    <t>门卫室3000*3000*2780</t>
    <phoneticPr fontId="32" type="noConversion"/>
  </si>
  <si>
    <t>门岗亭1500*1200*2400</t>
    <phoneticPr fontId="32" type="noConversion"/>
  </si>
  <si>
    <t>女卫6055*2990*2920</t>
    <phoneticPr fontId="32" type="noConversion"/>
  </si>
  <si>
    <t>男卫6055*2990*2920</t>
    <phoneticPr fontId="32" type="noConversion"/>
  </si>
  <si>
    <t>男女卫6055*2990*2896</t>
    <phoneticPr fontId="32" type="noConversion"/>
  </si>
  <si>
    <t>男浴6055*2990*2920</t>
    <phoneticPr fontId="32" type="noConversion"/>
  </si>
  <si>
    <t>洗漱间6055*2990*2920</t>
    <phoneticPr fontId="32" type="noConversion"/>
  </si>
  <si>
    <t>低端箱卫生间6055*2990*2780</t>
    <phoneticPr fontId="32" type="noConversion"/>
  </si>
  <si>
    <t>移动厕所1100*1100*2350</t>
    <phoneticPr fontId="32" type="noConversion"/>
  </si>
  <si>
    <t>走廊箱5990*1800*2896</t>
    <phoneticPr fontId="32" type="noConversion"/>
  </si>
  <si>
    <t>走廊箱2990*1800*2896</t>
    <phoneticPr fontId="32" type="noConversion"/>
  </si>
  <si>
    <t>玻璃雨棚6000*1200</t>
    <phoneticPr fontId="32" type="noConversion"/>
  </si>
  <si>
    <t>玻璃幕墙 5+12A+5中空钢化玻璃
60系断桥铝框架</t>
    <phoneticPr fontId="32" type="noConversion"/>
  </si>
  <si>
    <t>肯德基门4800*2800</t>
    <phoneticPr fontId="32" type="noConversion"/>
  </si>
  <si>
    <t>电动门6055*2896</t>
    <phoneticPr fontId="32" type="noConversion"/>
  </si>
  <si>
    <t>不锈钢扶手1+2型</t>
    <phoneticPr fontId="32" type="noConversion"/>
  </si>
  <si>
    <t>良好</t>
    <phoneticPr fontId="3" type="noConversion"/>
  </si>
  <si>
    <t>在用</t>
    <phoneticPr fontId="3" type="noConversion"/>
  </si>
  <si>
    <t>北京市顺义区李桥镇龙塘路与沿沙路交口樱花园工地</t>
    <phoneticPr fontId="3" type="noConversion"/>
  </si>
  <si>
    <t>殷佩林</t>
    <phoneticPr fontId="3" type="noConversion"/>
  </si>
  <si>
    <t>樱花园项目</t>
    <phoneticPr fontId="3" type="noConversion"/>
  </si>
  <si>
    <t>建安公司</t>
    <phoneticPr fontId="3" type="noConversion"/>
  </si>
  <si>
    <t>移动厕所1.1*1.1*2.2m</t>
    <phoneticPr fontId="32" type="noConversion"/>
  </si>
  <si>
    <t>活动房屋</t>
    <phoneticPr fontId="32" type="noConversion"/>
  </si>
  <si>
    <t>河南省濮阳市华龙区西湖社区中铁六局项目部</t>
    <phoneticPr fontId="32" type="noConversion"/>
  </si>
  <si>
    <t>二层办公 3K*18K*6P</t>
    <phoneticPr fontId="32" type="noConversion"/>
  </si>
  <si>
    <t>毛龙龙</t>
    <phoneticPr fontId="32" type="noConversion"/>
  </si>
  <si>
    <t>厨房，餐厅,库房 3K*18K*3P</t>
    <phoneticPr fontId="32" type="noConversion"/>
  </si>
  <si>
    <t>水泥库房 3K*3K*3P</t>
    <phoneticPr fontId="32" type="noConversion"/>
  </si>
  <si>
    <t>会议室 3K*7K*4P</t>
    <phoneticPr fontId="32" type="noConversion"/>
  </si>
  <si>
    <t>办公防砸棚7200*32920</t>
    <phoneticPr fontId="32" type="noConversion"/>
  </si>
  <si>
    <t>防风架/</t>
    <phoneticPr fontId="32" type="noConversion"/>
  </si>
  <si>
    <t>河南平顶山市郏县东城街道</t>
    <phoneticPr fontId="32" type="noConversion"/>
  </si>
  <si>
    <t>钢结构彩钢房</t>
    <phoneticPr fontId="32" type="noConversion"/>
  </si>
  <si>
    <t>太子城</t>
    <phoneticPr fontId="27" type="noConversion"/>
  </si>
  <si>
    <t>厕所 3K*11K*3P</t>
    <phoneticPr fontId="32" type="noConversion"/>
  </si>
  <si>
    <t>厨房4K*13K*4P</t>
    <phoneticPr fontId="32" type="noConversion"/>
  </si>
  <si>
    <t>会议室防砸棚 12000*7000</t>
    <phoneticPr fontId="32" type="noConversion"/>
  </si>
  <si>
    <t>会议室、厨房雨棚1200*2400*2</t>
    <phoneticPr fontId="32" type="noConversion"/>
  </si>
  <si>
    <t>沈阳阅香湖项目</t>
    <phoneticPr fontId="32" type="noConversion"/>
  </si>
  <si>
    <t>建安公司市政项目部</t>
    <phoneticPr fontId="32" type="noConversion"/>
  </si>
  <si>
    <t>河南省郑州市登封太和路与玉带路交叉口东北角</t>
    <phoneticPr fontId="32" type="noConversion"/>
  </si>
  <si>
    <t>山东省菏泽市成武县永昌路与北环路交叉口中铁六局项目部</t>
    <phoneticPr fontId="32" type="noConversion"/>
  </si>
  <si>
    <t>办公楼玻璃幕墙</t>
    <phoneticPr fontId="32" type="noConversion"/>
  </si>
  <si>
    <t>门卫</t>
    <phoneticPr fontId="32" type="noConversion"/>
  </si>
  <si>
    <t>无</t>
    <phoneticPr fontId="32" type="noConversion"/>
  </si>
  <si>
    <t>江苏省徐州市鼓楼区卡特彼勒配套园中铁六局项目部</t>
    <phoneticPr fontId="32" type="noConversion"/>
  </si>
  <si>
    <t>岳田田</t>
    <phoneticPr fontId="32" type="noConversion"/>
  </si>
  <si>
    <t>仙居项目部</t>
    <phoneticPr fontId="32" type="noConversion"/>
  </si>
  <si>
    <t>广州市华鑫钢结构</t>
    <phoneticPr fontId="32" type="noConversion"/>
  </si>
  <si>
    <t>吊顶 7K*22K*6P</t>
    <phoneticPr fontId="32" type="noConversion"/>
  </si>
  <si>
    <t>楼梯 4.5m*3.64m</t>
    <phoneticPr fontId="32" type="noConversion"/>
  </si>
  <si>
    <t>闲置</t>
    <phoneticPr fontId="32" type="noConversion"/>
  </si>
  <si>
    <t>2019.12</t>
    <phoneticPr fontId="32" type="noConversion"/>
  </si>
  <si>
    <t>电梯井口防护</t>
    <phoneticPr fontId="32" type="noConversion"/>
  </si>
  <si>
    <t>2022.3.16</t>
    <phoneticPr fontId="27" type="noConversion"/>
  </si>
  <si>
    <t>2022.3.16</t>
    <phoneticPr fontId="32" type="noConversion"/>
  </si>
  <si>
    <t>2022.3.15</t>
    <phoneticPr fontId="32" type="noConversion"/>
  </si>
  <si>
    <t>2020.12</t>
    <phoneticPr fontId="32" type="noConversion"/>
  </si>
  <si>
    <t>爬架网片</t>
    <phoneticPr fontId="32" type="noConversion"/>
  </si>
  <si>
    <t>2019.01</t>
    <phoneticPr fontId="32" type="noConversion"/>
  </si>
  <si>
    <t>一般</t>
    <phoneticPr fontId="32" type="noConversion"/>
  </si>
  <si>
    <t>连云港樱桃谷项目部</t>
    <phoneticPr fontId="32" type="noConversion"/>
  </si>
  <si>
    <t>1.8*1.5m</t>
    <phoneticPr fontId="32" type="noConversion"/>
  </si>
  <si>
    <t>施工电梯门</t>
    <phoneticPr fontId="32" type="noConversion"/>
  </si>
  <si>
    <t>/</t>
    <phoneticPr fontId="27" type="noConversion"/>
  </si>
  <si>
    <t>良好</t>
    <phoneticPr fontId="32" type="noConversion"/>
  </si>
  <si>
    <r>
      <t xml:space="preserve"> </t>
    </r>
    <r>
      <rPr>
        <sz val="11"/>
        <color theme="1"/>
        <rFont val="宋体"/>
        <family val="3"/>
        <charset val="134"/>
        <scheme val="minor"/>
      </rPr>
      <t xml:space="preserve">                                                                                                             </t>
    </r>
    <phoneticPr fontId="32" type="noConversion"/>
  </si>
  <si>
    <t>中铁六局集团(丰桥)公司周转材料信息管理台账</t>
  </si>
  <si>
    <t>2022/3/</t>
  </si>
  <si>
    <t>丰桥公司</t>
  </si>
  <si>
    <t>产业化构件模台</t>
  </si>
  <si>
    <t>2.6*6.5</t>
  </si>
  <si>
    <t>北京隆华鑫盛商贸有限公司</t>
  </si>
  <si>
    <t>京丰谷分公司</t>
  </si>
  <si>
    <t>李林宝</t>
  </si>
  <si>
    <t>3.5*6.5</t>
  </si>
  <si>
    <t>楼梯模具</t>
  </si>
  <si>
    <t>槽钢框架</t>
  </si>
  <si>
    <t>4m*2.5m</t>
  </si>
  <si>
    <t>3m*2.5m</t>
  </si>
  <si>
    <t>3.5m*9m</t>
  </si>
  <si>
    <t>灰斗</t>
  </si>
  <si>
    <t>酒店项目叠合板模具</t>
  </si>
  <si>
    <t>天津禹诚机械设备有限公司</t>
  </si>
  <si>
    <t>酒店项目梁柱模具</t>
  </si>
  <si>
    <t>楼梯板模具（洋房）</t>
  </si>
  <si>
    <t>天津易鸿装配式建筑科技研发有限公司</t>
  </si>
  <si>
    <t>楼梯板模具（中航）</t>
  </si>
  <si>
    <t>济南联合众为建筑科技有限公司</t>
  </si>
  <si>
    <t>线盒工装铁片（中航）</t>
  </si>
  <si>
    <t>叠合板模具（门头沟）</t>
  </si>
  <si>
    <t>楼梯模具（门头沟）</t>
  </si>
  <si>
    <t>内墙板模具（门头沟）</t>
  </si>
  <si>
    <t>预制梁模具（门头沟）</t>
  </si>
  <si>
    <t>预制柱模具（门头沟）</t>
  </si>
  <si>
    <t>构件模台</t>
  </si>
  <si>
    <t>叠合板模具（菜园街）</t>
  </si>
  <si>
    <t>阳台板（菜园街）</t>
  </si>
  <si>
    <t>空调板（菜园街）</t>
  </si>
  <si>
    <t>楼梯（菜园街）</t>
  </si>
  <si>
    <t>墙板模具（通州新城）</t>
  </si>
  <si>
    <t>河北腾雄科技有限公司</t>
  </si>
  <si>
    <t>叠合板模具（通州新城）</t>
  </si>
  <si>
    <t>楼梯模具（延庆康庄）</t>
  </si>
  <si>
    <t>阳台板模具（延庆康庄）</t>
  </si>
  <si>
    <t>墙板模具（延庆康庄）</t>
  </si>
  <si>
    <t>空调板模具（延庆康庄）</t>
  </si>
  <si>
    <t>叠合板模具（延庆康庄）</t>
  </si>
  <si>
    <t>PCF板模具（延庆康庄）</t>
  </si>
  <si>
    <t>墙板运输工装</t>
  </si>
  <si>
    <t>角钢加固件</t>
  </si>
  <si>
    <t>墙板存储架</t>
  </si>
  <si>
    <t>轨模起拱胎</t>
  </si>
  <si>
    <t>轨模</t>
  </si>
  <si>
    <t>停用</t>
  </si>
  <si>
    <t>没有图纸，能利用</t>
  </si>
  <si>
    <t>北京分公司东侧10T</t>
  </si>
  <si>
    <t>李涛涛</t>
  </si>
  <si>
    <t>北京分公司</t>
  </si>
  <si>
    <t>岔枕壳体压制胎</t>
  </si>
  <si>
    <t>岔枕</t>
  </si>
  <si>
    <t>北京分公司结构厂房</t>
  </si>
  <si>
    <t>CIIIA轨枕壳体模具</t>
  </si>
  <si>
    <t>CIIIA</t>
  </si>
  <si>
    <t>折弯机</t>
  </si>
  <si>
    <t>金属制品*墩身模板</t>
  </si>
  <si>
    <t>方形墩帽</t>
  </si>
  <si>
    <t>S-Ⅱ-26b</t>
  </si>
  <si>
    <t>江苏省交通规格化设计院股份有限公司</t>
  </si>
  <si>
    <t>无锡豪威金属构件有限公司</t>
  </si>
  <si>
    <t>无锡黄石大桥</t>
  </si>
  <si>
    <t>李旭阳</t>
  </si>
  <si>
    <t>丰桥公司黄石项目部</t>
  </si>
  <si>
    <t>花瓶墩帽</t>
  </si>
  <si>
    <t>S-Ⅱ-35b</t>
  </si>
  <si>
    <t>2m*2m墩身</t>
  </si>
  <si>
    <t>S-Ⅱ-44b</t>
  </si>
  <si>
    <t>2.5m*2.5m墩身</t>
  </si>
  <si>
    <t>S-Ⅱ-48b</t>
  </si>
  <si>
    <t>S-Ⅱ-37b</t>
  </si>
  <si>
    <t>南通奥宇机械有限公司</t>
  </si>
  <si>
    <t>墩身及系梁</t>
  </si>
  <si>
    <t>S-Ⅱ-52b</t>
  </si>
  <si>
    <t>2000mm*150mm*5mm</t>
  </si>
  <si>
    <t>金塘铺轨基地/综合保税区基地</t>
  </si>
  <si>
    <t>张志远</t>
  </si>
  <si>
    <t>金华线路项目部</t>
  </si>
  <si>
    <t>2000mm*350mm*5mm</t>
  </si>
  <si>
    <t>挡土板模板</t>
  </si>
  <si>
    <t>2109-32米</t>
  </si>
  <si>
    <t>通桥（2012）2109</t>
  </si>
  <si>
    <t>通海大众异型钢模板有限公司</t>
  </si>
  <si>
    <t>2020年</t>
  </si>
  <si>
    <t>丰桥公司云南项目部丽江梁场</t>
  </si>
  <si>
    <t>李国立</t>
  </si>
  <si>
    <t>丰桥公司云南项目部</t>
  </si>
  <si>
    <t>2109-24米</t>
  </si>
  <si>
    <r>
      <t>通桥（2012）2109-</t>
    </r>
    <r>
      <rPr>
        <sz val="10"/>
        <rFont val="宋体"/>
        <family val="3"/>
        <charset val="134"/>
      </rPr>
      <t>Ⅱ</t>
    </r>
  </si>
  <si>
    <t>四川东泉机械设备制造有限公司</t>
  </si>
  <si>
    <t>2019年</t>
  </si>
  <si>
    <t>2101-32米</t>
  </si>
  <si>
    <t>通桥(2012)2101</t>
  </si>
  <si>
    <t>通桥（2012）2109-I</t>
  </si>
  <si>
    <t>2018年6月，云南项目部从北京分公司调拨2套模板到香格里拉制梁场，北京分公司仅提供了对账单，未提供模板原值与现值。对账单上显示为人工费、机械费、材料费。此费用为北京分公司改造修理模板费用，没办法摊销入账。导致现在表格数据无法统计。</t>
  </si>
  <si>
    <t>丰桥公司云南项目部香格里拉制梁场</t>
  </si>
  <si>
    <t>32米</t>
  </si>
  <si>
    <t>32m</t>
  </si>
  <si>
    <t>通桥2012-2101-32m边梁</t>
  </si>
  <si>
    <t>和邢铁路</t>
  </si>
  <si>
    <t>中铁六局集团丰桥桥梁有限公司北京分公司</t>
  </si>
  <si>
    <t>河北省邢台市信都区107国道白马河大桥北向西300米</t>
  </si>
  <si>
    <t>刘龙飞</t>
  </si>
  <si>
    <t>丰桥公司邢台分公司</t>
  </si>
  <si>
    <t>通桥2017-2101-32m</t>
  </si>
  <si>
    <t>敬业铁路</t>
  </si>
  <si>
    <t>(2012)2109-24M边梁</t>
  </si>
  <si>
    <t>差</t>
  </si>
  <si>
    <t>混凝土机械分公司</t>
  </si>
  <si>
    <t>自制</t>
  </si>
  <si>
    <t>石家庄项目部（原混凝土机械分公司）</t>
  </si>
  <si>
    <t>2101-24M边</t>
  </si>
  <si>
    <t>2101-24M中</t>
  </si>
  <si>
    <t>（2012）32M2101</t>
  </si>
  <si>
    <t>（2012改2017）32M2101</t>
  </si>
  <si>
    <t>(2012)2101-16M边梁</t>
  </si>
  <si>
    <t>(2012)2101-32M边梁</t>
  </si>
  <si>
    <t>(2012）2109-32M边梁</t>
  </si>
  <si>
    <t>(2005改2012)2101-32M中梁</t>
  </si>
  <si>
    <t>(2012)2109-32M边梁</t>
  </si>
  <si>
    <t>2101-32M底模</t>
  </si>
  <si>
    <t xml:space="preserve"> (2012)2101-24米中梁</t>
  </si>
  <si>
    <t>密云北京分公司内存放</t>
  </si>
  <si>
    <t>田腾飞</t>
  </si>
  <si>
    <t>2101-32m（含端模、侧模）</t>
  </si>
  <si>
    <t>北京分公司自制</t>
  </si>
  <si>
    <t>廊坊永清</t>
  </si>
  <si>
    <t>2101-32m（底模）</t>
  </si>
  <si>
    <t>2109-32m（含端模、侧模）</t>
  </si>
  <si>
    <t>2101-24m（含端模、侧模）</t>
  </si>
  <si>
    <t>2101-32m非标梁模板（含端模、侧模）</t>
  </si>
  <si>
    <t>2101-32m非标梁模板（底模）</t>
  </si>
  <si>
    <t>T梁模型</t>
  </si>
  <si>
    <t>32米2101（2017）</t>
  </si>
  <si>
    <t>32米2109（2012）</t>
  </si>
  <si>
    <t>丰桥公司北京分公司</t>
  </si>
  <si>
    <t>香格里拉项目部</t>
  </si>
  <si>
    <t>密云自制</t>
  </si>
  <si>
    <t>永清分公司</t>
  </si>
  <si>
    <t>丰桥公司永清分公司</t>
  </si>
  <si>
    <t>2109-32m（底模）</t>
  </si>
  <si>
    <t>2101-24m（底模）</t>
  </si>
  <si>
    <t>2101-20m（含端模、侧模）</t>
  </si>
  <si>
    <t>24米边模</t>
  </si>
  <si>
    <t>箱梁钢模型外模型</t>
  </si>
  <si>
    <t>32M</t>
  </si>
  <si>
    <t>通桥32M(2016)2322A</t>
  </si>
  <si>
    <t>广东省梅州市五华县华城镇</t>
  </si>
  <si>
    <t>王勇</t>
  </si>
  <si>
    <t>梅龙铁路五华项目部</t>
  </si>
  <si>
    <t>箱梁钢模型内模型</t>
  </si>
  <si>
    <t>箱梁钢模型底模型</t>
  </si>
  <si>
    <t>箱梁钢模型端模型</t>
  </si>
  <si>
    <t>箱梁钢模型内模</t>
  </si>
  <si>
    <t>箱梁钢模型外模</t>
  </si>
  <si>
    <t>中铁五新</t>
  </si>
  <si>
    <t>箱梁钢模型端模</t>
  </si>
  <si>
    <t>箱梁钢模型底模</t>
  </si>
  <si>
    <t>通桥（2016）2229A</t>
  </si>
  <si>
    <t>常州国丰机械有限公司</t>
  </si>
  <si>
    <t>国丰</t>
  </si>
  <si>
    <t>沧县罗庄子制梁场</t>
  </si>
  <si>
    <t>王燕华</t>
  </si>
  <si>
    <t>沧州北分公司</t>
  </si>
  <si>
    <t>通桥（2016）2229</t>
  </si>
  <si>
    <t>湖南中铁五新钢模有限责任公司</t>
  </si>
  <si>
    <t>通桥32M（2016）2322A</t>
  </si>
  <si>
    <t>通桥（2016）2322A</t>
  </si>
  <si>
    <t>安徽省宣城市宣州区黄渡乡安莲村中铁六局宣城分公司</t>
  </si>
  <si>
    <t>逯季斌</t>
  </si>
  <si>
    <t>中铁六局集团丰桥桥梁有限公司宣城分公司</t>
  </si>
  <si>
    <t>箱梁钢模型侧模</t>
  </si>
  <si>
    <t>河南三跃</t>
  </si>
  <si>
    <t>通桥24M（2016）2322A</t>
  </si>
  <si>
    <t>通桥32M（2016）2311-Ⅰ</t>
  </si>
  <si>
    <t>通桥（2016）2311-I</t>
  </si>
  <si>
    <t>3.84</t>
  </si>
  <si>
    <t>3.85</t>
  </si>
  <si>
    <t>3.86</t>
  </si>
  <si>
    <t>通桥32M/24M（2016）2311-Ⅰ</t>
  </si>
  <si>
    <t>通桥（2016）2311-I/II</t>
  </si>
  <si>
    <t>3.87</t>
  </si>
  <si>
    <t>箱梁内模</t>
  </si>
  <si>
    <t>通桥(2016)2322A-32m</t>
  </si>
  <si>
    <t>北京东风世景模板有限公司</t>
  </si>
  <si>
    <t>福井梁场</t>
  </si>
  <si>
    <t>王跃刚</t>
  </si>
  <si>
    <t>漳州分公司</t>
  </si>
  <si>
    <t>3.88</t>
  </si>
  <si>
    <t>箱梁端模</t>
  </si>
  <si>
    <t>3.89</t>
  </si>
  <si>
    <t>箱梁外模</t>
  </si>
  <si>
    <t>3.90</t>
  </si>
  <si>
    <t>3.91</t>
  </si>
  <si>
    <t>3.92</t>
  </si>
  <si>
    <t>3.93</t>
  </si>
  <si>
    <t>3.94</t>
  </si>
  <si>
    <t>3.95</t>
  </si>
  <si>
    <t>3.96</t>
  </si>
  <si>
    <t>3.97</t>
  </si>
  <si>
    <t>3.98</t>
  </si>
  <si>
    <t>3.99</t>
  </si>
  <si>
    <t>单线箱梁外模</t>
  </si>
  <si>
    <t>32米通桥（2014）2131</t>
  </si>
  <si>
    <t>山东淄博环宇桥梁模板有限公司</t>
  </si>
  <si>
    <t>3.100</t>
  </si>
  <si>
    <t>单线箱梁内模</t>
  </si>
  <si>
    <t>3.101</t>
  </si>
  <si>
    <t>单线箱梁端模</t>
  </si>
  <si>
    <t>3.102</t>
  </si>
  <si>
    <t>24米通桥（2014）2131</t>
  </si>
  <si>
    <t>3.103</t>
  </si>
  <si>
    <t>32m箱梁钢模型内模</t>
  </si>
  <si>
    <t>湖南五新</t>
  </si>
  <si>
    <t>制梁台座</t>
  </si>
  <si>
    <t>赵阳</t>
  </si>
  <si>
    <t>资中分公司</t>
  </si>
  <si>
    <t>3.104</t>
  </si>
  <si>
    <t>32m箱梁钢模型外模</t>
  </si>
  <si>
    <t>3.105</t>
  </si>
  <si>
    <t>32m箱梁钢模型端模</t>
  </si>
  <si>
    <t>3.106</t>
  </si>
  <si>
    <t>3.107</t>
  </si>
  <si>
    <t>3.108</t>
  </si>
  <si>
    <t>3.109</t>
  </si>
  <si>
    <t>3.110</t>
  </si>
  <si>
    <t>3.111</t>
  </si>
  <si>
    <t>24m箱梁钢模型外模</t>
  </si>
  <si>
    <t>3.112</t>
  </si>
  <si>
    <t>24m箱梁钢模型内模</t>
  </si>
  <si>
    <t>3.113</t>
  </si>
  <si>
    <t>3.114</t>
  </si>
  <si>
    <t>24m箱梁钢模型端模</t>
  </si>
  <si>
    <t>3.115</t>
  </si>
  <si>
    <t>箱梁底模</t>
  </si>
  <si>
    <t>2229型32/24m共用</t>
  </si>
  <si>
    <t>通桥（2016）2229-I</t>
  </si>
  <si>
    <t>3.116</t>
  </si>
  <si>
    <t>3.117</t>
  </si>
  <si>
    <t>内模配件</t>
  </si>
  <si>
    <t>通桥[2016]2229-I/II</t>
  </si>
  <si>
    <t>内模自走形装置</t>
  </si>
  <si>
    <t>3.118</t>
  </si>
  <si>
    <t>四川资中</t>
  </si>
  <si>
    <t>3.119</t>
  </si>
  <si>
    <t>2229-Ⅰ双线（32兼24米）</t>
  </si>
  <si>
    <t>3.120</t>
  </si>
  <si>
    <t>2229-Ⅰ双线32M</t>
  </si>
  <si>
    <t>3.121</t>
  </si>
  <si>
    <t>2229-II双线24米</t>
  </si>
  <si>
    <t>3.122</t>
  </si>
  <si>
    <t>2229-II双线24米（一个侧包端）</t>
  </si>
  <si>
    <t>2229-I双线32M</t>
  </si>
  <si>
    <t>3.123</t>
  </si>
  <si>
    <t>3.124</t>
  </si>
  <si>
    <t>2322A-I 32M</t>
  </si>
  <si>
    <t>河南三跃模板工程有限公司</t>
  </si>
  <si>
    <t>安徽省宣城市</t>
  </si>
  <si>
    <t>宣绩分公司</t>
  </si>
  <si>
    <t>3.125</t>
  </si>
  <si>
    <t>2322A-I 24M</t>
  </si>
  <si>
    <t>3.126</t>
  </si>
  <si>
    <t>2322A-II-32M</t>
  </si>
  <si>
    <t>3.127</t>
  </si>
  <si>
    <t>箱梁侧模</t>
  </si>
  <si>
    <t>3.128</t>
  </si>
  <si>
    <t>通桥（2016）2322A-II-I</t>
  </si>
  <si>
    <t>成自-资中分公司</t>
  </si>
  <si>
    <t>3.129</t>
  </si>
  <si>
    <t>津兴桥通-||-04；坡比45:1，顶帽顶截面5.5m*3m，顶帽顶截面4.5m*2.3m，高2.5m</t>
  </si>
  <si>
    <t>津兴桥通-||-04</t>
  </si>
  <si>
    <t>文水县壮志钢模板有限公司</t>
  </si>
  <si>
    <t>3.130</t>
  </si>
  <si>
    <t>转向架</t>
  </si>
  <si>
    <t>DL1型</t>
  </si>
  <si>
    <t>邢台</t>
  </si>
  <si>
    <t>简易模架</t>
  </si>
  <si>
    <t>苗成</t>
  </si>
  <si>
    <t>TYMC</t>
  </si>
  <si>
    <t>废旧积压</t>
  </si>
  <si>
    <t>中铁科工集团有限公司中铁机械装备研究设计院（成都）有限公司与中铁二院工程集团有限公司科学技术研究院</t>
  </si>
  <si>
    <t>石家庄南基地东院</t>
  </si>
  <si>
    <t>新型复合塑料模板</t>
  </si>
  <si>
    <t>武钢集团有限公司</t>
  </si>
  <si>
    <t>中铁六局集团丰桥桥梁有限公司梅龙铁路五华项目部</t>
  </si>
  <si>
    <t>钢轨(鱼尾板）</t>
  </si>
  <si>
    <t>‘2019/10/1</t>
  </si>
  <si>
    <t>丰桥公司福厦制梁场</t>
  </si>
  <si>
    <t>P60/12.5M</t>
  </si>
  <si>
    <t>P50/12.5M</t>
  </si>
  <si>
    <t>P50/8.1M</t>
  </si>
  <si>
    <t>43型</t>
  </si>
  <si>
    <t>现场制梁区</t>
  </si>
  <si>
    <t>黑色金属冶炼压延品*再用轨</t>
  </si>
  <si>
    <t>P60-12.5m</t>
  </si>
  <si>
    <t>南平县金信铁料</t>
  </si>
  <si>
    <t>沧北</t>
  </si>
  <si>
    <t>王燕花</t>
  </si>
  <si>
    <r>
      <t xml:space="preserve">    </t>
    </r>
    <r>
      <rPr>
        <sz val="10"/>
        <rFont val="宋体"/>
        <family val="3"/>
        <charset val="134"/>
      </rPr>
      <t>螺栓（鱼尾板配套）</t>
    </r>
  </si>
  <si>
    <t>钢支墩</t>
  </si>
  <si>
    <t>400mm-650mm</t>
  </si>
  <si>
    <t>轨距拉杆</t>
  </si>
  <si>
    <t>绝缘</t>
  </si>
  <si>
    <t>4.3</t>
  </si>
  <si>
    <t>双头顶托</t>
  </si>
  <si>
    <t>1400mm-2100mm</t>
  </si>
  <si>
    <t>4.4</t>
  </si>
  <si>
    <t>800mm-1300mm</t>
  </si>
  <si>
    <t>综合保税区基地</t>
  </si>
  <si>
    <t>4.5</t>
  </si>
  <si>
    <t>轨排支撑架</t>
  </si>
  <si>
    <t>6cm*6cm*6mm</t>
  </si>
  <si>
    <t>4.6</t>
  </si>
  <si>
    <t>走行轨</t>
  </si>
  <si>
    <t>4.7</t>
  </si>
  <si>
    <t>料斗（含振动器）</t>
  </si>
  <si>
    <t>津兴箱房</t>
  </si>
  <si>
    <t>6055*3000*2896</t>
  </si>
  <si>
    <t>津兴项目部</t>
  </si>
  <si>
    <t>娄晶晶</t>
  </si>
  <si>
    <t>不含税金额</t>
  </si>
  <si>
    <t>福厦箱房</t>
  </si>
  <si>
    <t>方道钉</t>
  </si>
  <si>
    <t>16mm*16mm*165m</t>
  </si>
  <si>
    <t>宁津县津东铁路器材厂</t>
  </si>
  <si>
    <t>经管中心</t>
  </si>
  <si>
    <t>谢月凯</t>
  </si>
  <si>
    <t>朔黄项目部</t>
  </si>
  <si>
    <t>1250mm*220mm*160mm</t>
  </si>
  <si>
    <t>电机</t>
  </si>
  <si>
    <t>ZD151-4(13kw)</t>
  </si>
  <si>
    <t>河南省利超起重配件销售有限公司</t>
  </si>
  <si>
    <t>2020</t>
  </si>
  <si>
    <t>内蒙古赤峰市</t>
  </si>
  <si>
    <t>ZDY121-4(0.8kw)</t>
  </si>
  <si>
    <t>YDE100L1-4(kw)</t>
  </si>
  <si>
    <t>16吨变速箱</t>
  </si>
  <si>
    <t>16T</t>
  </si>
  <si>
    <t>16吨电动葫芦总承</t>
  </si>
  <si>
    <t>CD1</t>
  </si>
  <si>
    <t>16吨驱动装置</t>
  </si>
  <si>
    <t>LDAC1</t>
  </si>
  <si>
    <t>3吨电动葫芦外壳</t>
  </si>
  <si>
    <t>电缆卷筒</t>
  </si>
  <si>
    <t>5*10+3*2.5</t>
  </si>
  <si>
    <t>静载门架</t>
  </si>
  <si>
    <t>操作柜</t>
  </si>
  <si>
    <t>制管孔（90*25*18）</t>
  </si>
  <si>
    <t>制管孔（80*25*18）</t>
  </si>
  <si>
    <t>制管孔（70*25*18）</t>
  </si>
  <si>
    <t>开封铁塔橡胶（集团）有限公司桥梁制品分公司</t>
  </si>
  <si>
    <t>胶管</t>
  </si>
  <si>
    <t>钢筋笼吊具</t>
  </si>
  <si>
    <t>101980</t>
  </si>
  <si>
    <t>静载试验架子</t>
  </si>
  <si>
    <t>橡胶垫（存梁区)</t>
  </si>
  <si>
    <t>φ1300*12*5</t>
  </si>
  <si>
    <t>φ630*8*28</t>
  </si>
  <si>
    <t>φ300*6</t>
  </si>
  <si>
    <t>整平分条装置</t>
  </si>
  <si>
    <t>ZP0.5-2.-1300</t>
  </si>
  <si>
    <t>RPC盖板生产工装</t>
  </si>
  <si>
    <t>RPC活性粉末混凝土专用</t>
  </si>
  <si>
    <t>北京分公司构件厂房</t>
  </si>
  <si>
    <t>高频振动机</t>
  </si>
  <si>
    <t>1.5kw</t>
  </si>
  <si>
    <t>燕尾条（三角）</t>
  </si>
  <si>
    <t>捆</t>
  </si>
  <si>
    <t>上拉条</t>
  </si>
  <si>
    <t>楔子</t>
  </si>
  <si>
    <t>元宝垫钣轴</t>
  </si>
  <si>
    <t>抽拔橡胶管</t>
  </si>
  <si>
    <t>φ80*18m</t>
  </si>
  <si>
    <t>φ90*18m</t>
  </si>
  <si>
    <t>φ70*18m</t>
  </si>
  <si>
    <t>橡胶垫板</t>
  </si>
  <si>
    <t>500*500*50</t>
  </si>
  <si>
    <t>T梁橡胶管</t>
  </si>
  <si>
    <t>φ90，18米</t>
  </si>
  <si>
    <t>φ70，18米</t>
  </si>
  <si>
    <t>箱梁橡胶管</t>
  </si>
  <si>
    <t>2020.03.17</t>
  </si>
  <si>
    <t>中铁第四勘探设计院集团有限公司</t>
  </si>
  <si>
    <t>中铁六局集团丰桥桥梁有限公司赣深铁路和平项目部</t>
  </si>
  <si>
    <t>500*500</t>
  </si>
  <si>
    <t>差（部分报废）</t>
  </si>
  <si>
    <t>Ф70mm</t>
  </si>
  <si>
    <t>差（报废）</t>
  </si>
  <si>
    <t>Ф80mm</t>
  </si>
  <si>
    <t>Ф90mm</t>
  </si>
  <si>
    <r>
      <t xml:space="preserve">    </t>
    </r>
    <r>
      <rPr>
        <sz val="10"/>
        <rFont val="宋体"/>
        <family val="3"/>
        <charset val="134"/>
      </rPr>
      <t>反力架</t>
    </r>
  </si>
  <si>
    <r>
      <t xml:space="preserve">    </t>
    </r>
    <r>
      <rPr>
        <sz val="10"/>
        <rFont val="宋体"/>
        <family val="3"/>
        <charset val="134"/>
      </rPr>
      <t>下灰斗</t>
    </r>
  </si>
  <si>
    <r>
      <t xml:space="preserve">    </t>
    </r>
    <r>
      <rPr>
        <sz val="10"/>
        <rFont val="宋体"/>
        <family val="3"/>
        <charset val="134"/>
      </rPr>
      <t>狗头吊具</t>
    </r>
  </si>
  <si>
    <t xml:space="preserve">    抽拔管（70）</t>
  </si>
  <si>
    <t xml:space="preserve">    抽拔管（80）</t>
  </si>
  <si>
    <t xml:space="preserve">    抽拔管（90）</t>
  </si>
  <si>
    <t xml:space="preserve">    降温冷却系统</t>
  </si>
  <si>
    <t xml:space="preserve">    自动箱式压滤机</t>
  </si>
  <si>
    <t xml:space="preserve">    智能真空压浆机</t>
  </si>
  <si>
    <t xml:space="preserve">    千斤顶-300T</t>
  </si>
  <si>
    <t>300T</t>
  </si>
  <si>
    <t xml:space="preserve">    千斤顶-200T</t>
  </si>
  <si>
    <t xml:space="preserve">    静载千斤顶-200T</t>
  </si>
  <si>
    <t xml:space="preserve">    电动油泵-55</t>
  </si>
  <si>
    <t xml:space="preserve">    电动油泵-60</t>
  </si>
  <si>
    <t xml:space="preserve">    电动油泵-80</t>
  </si>
  <si>
    <t xml:space="preserve">    高频振动柜（ZKF-30)</t>
  </si>
  <si>
    <t>ZKF-30</t>
  </si>
  <si>
    <r>
      <t>填写说明：根据计划提报内容要求按周转材料分类填写，内容不足可补充，</t>
    </r>
    <r>
      <rPr>
        <b/>
        <sz val="12"/>
        <rFont val="宋体"/>
        <family val="3"/>
        <charset val="134"/>
      </rPr>
      <t>材料名称统一，不同规格型号的周转材料填写要清晰（必填），有设计图号的（必填），存放地点要写详尽</t>
    </r>
    <r>
      <rPr>
        <sz val="12"/>
        <rFont val="宋体"/>
        <family val="3"/>
        <charset val="134"/>
      </rPr>
      <t>。普通钢模（按照标准化图纸设计的桥墩、墩帽、承台、涵洞模板等）；异形钢模（连续梁主边墩、固定墩、门式墩、矩形墩、空心墩内外模、坡比墩、护栏模板、涵洞模板、桥面系各类模板、避车洞模板、洞门模板、0#块模板、现浇梁模板、6015（3015）标准建筑模板等）。墩柱模板：按照公路、普通铁路与高速铁路墩型分类，隧道衬砌台车:按照铁路单线、双线及公路分类。状况：是否良好等，使用情况：在用或闲置。</t>
    </r>
  </si>
  <si>
    <t>3000*1700</t>
  </si>
  <si>
    <t>4+4</t>
  </si>
  <si>
    <t>赤峰创烨金属制造有限公司</t>
  </si>
  <si>
    <t>一工区施工现场</t>
  </si>
  <si>
    <t>800*1700</t>
  </si>
  <si>
    <t>696*1151</t>
  </si>
  <si>
    <t>1350*1760</t>
  </si>
  <si>
    <t>4+2</t>
  </si>
  <si>
    <t>626*1760</t>
  </si>
  <si>
    <t>1585*5000</t>
  </si>
  <si>
    <t>1585*3355</t>
  </si>
  <si>
    <t>1585*2900</t>
  </si>
  <si>
    <t>实心直体墩模板</t>
  </si>
  <si>
    <t>r=0.9m；2m高/节</t>
  </si>
  <si>
    <t>节</t>
  </si>
  <si>
    <t>r=0.9m；1m高/节</t>
  </si>
  <si>
    <t>r=0.9m；0.5m高/节</t>
  </si>
  <si>
    <t>L=6m；2m高/节</t>
  </si>
  <si>
    <t>L=6m；1m高/节</t>
  </si>
  <si>
    <t>L=6m；0.5m高/节</t>
  </si>
  <si>
    <t>2m高（2.7m）</t>
  </si>
  <si>
    <t>实心变截面墩模板21.5m</t>
  </si>
  <si>
    <t>2m高/节</t>
  </si>
  <si>
    <t>1m高/节</t>
  </si>
  <si>
    <t>0.5m高/节</t>
  </si>
  <si>
    <t>2m高（2.8m）</t>
  </si>
  <si>
    <t>空心变截面墩两套模板，33m一套，31m一套</t>
  </si>
  <si>
    <t>L=4.4m；2m高/节</t>
  </si>
  <si>
    <t>L=4.4m；1m高/节</t>
  </si>
  <si>
    <t>L=4.4m；0.5m高/节</t>
  </si>
  <si>
    <t>1.5m高/节</t>
  </si>
  <si>
    <t>L=4.4m；1.5m高/节</t>
  </si>
  <si>
    <t>连续梁实心直体墩模板</t>
  </si>
  <si>
    <t>r=1.25m；2m高/节</t>
  </si>
  <si>
    <t>r=1.25m；1m高/节</t>
  </si>
  <si>
    <t>r=1.25m；0.5m高/节</t>
  </si>
  <si>
    <t>L=5.3m；2m高/节</t>
  </si>
  <si>
    <t>L=5.3m；1m高/节</t>
  </si>
  <si>
    <t>L=5.3m；0.5m高/节</t>
  </si>
  <si>
    <t>不等跨墩帽高2.9m、2.5m</t>
  </si>
  <si>
    <t>r=1.7m；2m高/节</t>
  </si>
  <si>
    <t>r=1.7m；1m高/节</t>
  </si>
  <si>
    <t>r=1.7m；0.5m高/节</t>
  </si>
  <si>
    <t>L=4.2m；2m高/节</t>
  </si>
  <si>
    <t>L=4.2m；1m高/节</t>
  </si>
  <si>
    <t>L=4.2m；0.5m高/节</t>
  </si>
  <si>
    <t>实心变截面墩模板</t>
  </si>
  <si>
    <t>L=1.5m；0.5m高/节</t>
  </si>
  <si>
    <t>实心墩顶帽7.8*1.8/10.4*2.8</t>
  </si>
  <si>
    <t>2.0m高（2.8m）</t>
  </si>
  <si>
    <t>二工区施工现场</t>
  </si>
  <si>
    <t>2m高（2.5m）</t>
  </si>
  <si>
    <t>矮边墙24.2m</t>
  </si>
  <si>
    <t>仰拱端头模板</t>
  </si>
  <si>
    <t>仰拱腹模模板24.2m</t>
  </si>
  <si>
    <t>三工区施工现场</t>
  </si>
  <si>
    <t>r=0.8m；2m高/节</t>
  </si>
  <si>
    <t>L=2.4m；2m高/节</t>
  </si>
  <si>
    <t>中铁六局集团(交通)公司周转材料信息管理台账</t>
    <phoneticPr fontId="154" type="noConversion"/>
  </si>
  <si>
    <t>交通公司</t>
    <phoneticPr fontId="154" type="noConversion"/>
  </si>
  <si>
    <t>H型钢桩</t>
  </si>
  <si>
    <t>热轧 Q235 20b 200mm×102mm×9mm</t>
  </si>
  <si>
    <t>老旧</t>
  </si>
  <si>
    <t>郑州调拨</t>
  </si>
  <si>
    <t>北京13号线</t>
  </si>
  <si>
    <t>张佳伟</t>
  </si>
  <si>
    <t>北京13号线项目部</t>
  </si>
  <si>
    <t xml:space="preserve">H型钢 </t>
  </si>
  <si>
    <t>150×150×12m</t>
  </si>
  <si>
    <t>完好</t>
  </si>
  <si>
    <t>北京同德永益商贸有限公司</t>
  </si>
  <si>
    <t>150×150</t>
  </si>
  <si>
    <t>北京京师伟业钢材有限公司</t>
  </si>
  <si>
    <t>150*150</t>
  </si>
  <si>
    <t>镀锌护栏管20*2</t>
  </si>
  <si>
    <t>中铁工程设计咨询集团有限公司</t>
    <phoneticPr fontId="32" type="noConversion"/>
  </si>
  <si>
    <t>兰州2号线</t>
    <phoneticPr fontId="3" type="noConversion"/>
  </si>
  <si>
    <t>黄振</t>
    <phoneticPr fontId="154" type="noConversion"/>
  </si>
  <si>
    <t>15117016400</t>
    <phoneticPr fontId="154" type="noConversion"/>
  </si>
  <si>
    <t>中铁六局兰州轨道2号线一期2-TJ-5标项目部</t>
    <phoneticPr fontId="154" type="noConversion"/>
  </si>
  <si>
    <t>管箍20</t>
  </si>
  <si>
    <t>20MM镀锌护栏管</t>
  </si>
  <si>
    <t>护栏管管箍</t>
  </si>
  <si>
    <t>镀锌管</t>
  </si>
  <si>
    <t>镀锌管（热）</t>
  </si>
  <si>
    <t>100*4.0</t>
  </si>
  <si>
    <t>镀锌管</t>
    <phoneticPr fontId="154" type="noConversion"/>
  </si>
  <si>
    <t>100*4</t>
  </si>
  <si>
    <t>清水管6m</t>
    <phoneticPr fontId="3" type="noConversion"/>
  </si>
  <si>
    <t>根</t>
    <phoneticPr fontId="3" type="noConversion"/>
  </si>
  <si>
    <t>污水管6m</t>
    <phoneticPr fontId="3" type="noConversion"/>
  </si>
  <si>
    <t>镀锌管6m</t>
    <phoneticPr fontId="3" type="noConversion"/>
  </si>
  <si>
    <t>旧</t>
    <phoneticPr fontId="3" type="noConversion"/>
  </si>
  <si>
    <t>40a</t>
  </si>
  <si>
    <t>辽宁省沈阳市大东区望花屯站沈阳项目</t>
  </si>
  <si>
    <t>宣泽鹏</t>
  </si>
  <si>
    <t>沈阳项目</t>
  </si>
  <si>
    <t>P43/12.5米/根</t>
  </si>
  <si>
    <t>河北巨浪建筑工程有限公司</t>
  </si>
  <si>
    <t>43# 6.25m</t>
    <phoneticPr fontId="3" type="noConversion"/>
  </si>
  <si>
    <t>根</t>
    <phoneticPr fontId="154" type="noConversion"/>
  </si>
  <si>
    <t>吨</t>
    <phoneticPr fontId="154" type="noConversion"/>
  </si>
  <si>
    <t>6m</t>
    <phoneticPr fontId="3" type="noConversion"/>
  </si>
  <si>
    <t>吨</t>
    <phoneticPr fontId="3" type="noConversion"/>
  </si>
  <si>
    <r>
      <t>中铁六局兰州轨道2号线一期2-TJ-6标项目部</t>
    </r>
    <r>
      <rPr>
        <sz val="10"/>
        <color rgb="FFFF0000"/>
        <rFont val="宋体"/>
        <family val="3"/>
        <charset val="134"/>
      </rPr>
      <t/>
    </r>
  </si>
  <si>
    <t>武汉地铁16号线05标项目部</t>
  </si>
  <si>
    <t>湖北省武汉市汉阳区沌口路42号滚装码头五号库沌老工区</t>
  </si>
  <si>
    <t>张春辉</t>
  </si>
  <si>
    <t>从郑巩调拨</t>
  </si>
  <si>
    <t>郑州市轨道交通10号线06标项目部</t>
  </si>
  <si>
    <t>张志强</t>
  </si>
  <si>
    <t>郑州市轨道交通10号线一期土建施工06标</t>
  </si>
  <si>
    <t>P43*6m</t>
  </si>
  <si>
    <t>长沙项目部</t>
  </si>
  <si>
    <t>罗向前</t>
  </si>
  <si>
    <t>贵阳轨道交通3号线一期工程土建十四标段</t>
  </si>
  <si>
    <t>轨枕</t>
  </si>
  <si>
    <t>P43*3m</t>
  </si>
  <si>
    <t>交通公司</t>
  </si>
  <si>
    <t>武汉项目部</t>
  </si>
  <si>
    <r>
      <rPr>
        <sz val="10"/>
        <rFont val="宋体"/>
        <family val="3"/>
        <charset val="134"/>
      </rPr>
      <t>43</t>
    </r>
    <r>
      <rPr>
        <sz val="10"/>
        <color rgb="FF333333"/>
        <rFont val="宋体"/>
        <family val="3"/>
        <charset val="134"/>
      </rPr>
      <t>型</t>
    </r>
  </si>
  <si>
    <t>深圳14号线调拨</t>
  </si>
  <si>
    <t>广东省深圳市龙岗区布吉宝冠路与盛宝路交叉口7号井</t>
  </si>
  <si>
    <t>王丹</t>
  </si>
  <si>
    <t>深圳管廊</t>
  </si>
  <si>
    <t>广东省深圳市龙岗区红棉路平安桥下10号井</t>
  </si>
  <si>
    <t>6×3m</t>
  </si>
  <si>
    <t>文安县拓源钢结构有限公司</t>
  </si>
  <si>
    <t>高碑店市金阔商贸有限公司</t>
  </si>
  <si>
    <t>门厅箱5990*1800*2896</t>
  </si>
  <si>
    <t>河北丰圣钢结构工程有限公司</t>
  </si>
  <si>
    <t>大厅箱6055*2990*2*2896</t>
  </si>
  <si>
    <t>大走廊箱5990*1800*2896</t>
  </si>
  <si>
    <t>小走廊箱2990*1800*2896</t>
  </si>
  <si>
    <t>大楼梯箱5990*3020*2896</t>
  </si>
  <si>
    <t>大楼梯箱内置楼梯三层一拖二楼梯</t>
  </si>
  <si>
    <t>小楼梯箱内置楼梯三层楼梯</t>
  </si>
  <si>
    <t>小楼梯箱6055*2990*2896</t>
  </si>
  <si>
    <t>女卫生间5990*3020*2896</t>
  </si>
  <si>
    <t>男卫生间5990*3020*2896</t>
  </si>
  <si>
    <t>洗漱间6055*2990*2896</t>
  </si>
  <si>
    <t>男浴室6055*2990*2896</t>
  </si>
  <si>
    <t>女卫浴5990*2990*2896</t>
  </si>
  <si>
    <t>3*8</t>
  </si>
  <si>
    <t>6*5 监控室</t>
  </si>
  <si>
    <t>3*6 卫生间</t>
  </si>
  <si>
    <t>3*6 项目部三楼</t>
  </si>
  <si>
    <t>3*6 带走廊</t>
  </si>
  <si>
    <t>6m×6m×2.9m</t>
  </si>
  <si>
    <t>2层</t>
    <phoneticPr fontId="154" type="noConversion"/>
  </si>
  <si>
    <t>福建省迪胜工程材料有限公司</t>
    <phoneticPr fontId="3" type="noConversion"/>
  </si>
  <si>
    <t>榆中鑫翔龙彩钢厂</t>
    <phoneticPr fontId="154" type="noConversion"/>
  </si>
  <si>
    <t>2020.7.</t>
    <phoneticPr fontId="154" type="noConversion"/>
  </si>
  <si>
    <t>3米×6米</t>
  </si>
  <si>
    <t>较差</t>
  </si>
</sst>
</file>

<file path=xl/styles.xml><?xml version="1.0" encoding="utf-8"?>
<styleSheet xmlns="http://schemas.openxmlformats.org/spreadsheetml/2006/main">
  <numFmts count="25">
    <numFmt numFmtId="41" formatCode="_ * #,##0_ ;_ * \-#,##0_ ;_ * &quot;-&quot;_ ;_ @_ "/>
    <numFmt numFmtId="43" formatCode="_ * #,##0.00_ ;_ * \-#,##0.00_ ;_ * &quot;-&quot;??_ ;_ @_ "/>
    <numFmt numFmtId="176" formatCode="0.00_);[Red]\(0.00\)"/>
    <numFmt numFmtId="177" formatCode="0.00_ "/>
    <numFmt numFmtId="178" formatCode="yyyy/m/d;@"/>
    <numFmt numFmtId="179" formatCode="yyyy&quot;年&quot;m&quot;月&quot;;@"/>
    <numFmt numFmtId="180" formatCode="yyyy&quot;.&quot;m&quot;.&quot;d"/>
    <numFmt numFmtId="181" formatCode="0.000"/>
    <numFmt numFmtId="182" formatCode="0.000_);[Red]\(0.000\)"/>
    <numFmt numFmtId="183" formatCode="0.000_ "/>
    <numFmt numFmtId="184" formatCode="yyyy&quot;年&quot;m&quot;月&quot;d&quot;日&quot;;@"/>
    <numFmt numFmtId="185" formatCode="0_ "/>
    <numFmt numFmtId="186" formatCode="_([$€-2]* #,##0.00_);_([$€-2]* \(#,##0.00\);_([$€-2]* &quot;-&quot;??_)"/>
    <numFmt numFmtId="187" formatCode="0.0_ "/>
    <numFmt numFmtId="188" formatCode="0.0"/>
    <numFmt numFmtId="189" formatCode="0.0000_ "/>
    <numFmt numFmtId="190" formatCode="#,##0.00_ "/>
    <numFmt numFmtId="191" formatCode="0.00_);\(0.00\)"/>
    <numFmt numFmtId="192" formatCode="0_);[Red]\(0\)"/>
    <numFmt numFmtId="193" formatCode="0.00;\-0.00;#"/>
    <numFmt numFmtId="194" formatCode="0.00;[Red]0.00"/>
    <numFmt numFmtId="195" formatCode="0.00_ ;[Red]\-0.00_ "/>
    <numFmt numFmtId="196" formatCode="#,##0.0"/>
    <numFmt numFmtId="197" formatCode="#,##0_ "/>
    <numFmt numFmtId="198" formatCode="0_);\(0\)"/>
  </numFmts>
  <fonts count="172">
    <font>
      <sz val="11"/>
      <color theme="1"/>
      <name val="宋体"/>
      <family val="2"/>
      <charset val="134"/>
      <scheme val="minor"/>
    </font>
    <font>
      <sz val="9"/>
      <name val="宋体"/>
      <family val="2"/>
      <charset val="134"/>
      <scheme val="minor"/>
    </font>
    <font>
      <sz val="11"/>
      <color theme="1"/>
      <name val="宋体"/>
      <family val="2"/>
      <charset val="134"/>
      <scheme val="minor"/>
    </font>
    <font>
      <sz val="9"/>
      <name val="宋体"/>
      <family val="3"/>
      <charset val="134"/>
    </font>
    <font>
      <sz val="11"/>
      <name val="宋体"/>
      <family val="3"/>
      <charset val="134"/>
    </font>
    <font>
      <sz val="22"/>
      <name val="宋体"/>
      <family val="3"/>
      <charset val="134"/>
    </font>
    <font>
      <sz val="14"/>
      <name val="宋体"/>
      <family val="3"/>
      <charset val="134"/>
    </font>
    <font>
      <sz val="10"/>
      <name val="宋体"/>
      <family val="3"/>
      <charset val="134"/>
    </font>
    <font>
      <b/>
      <sz val="10"/>
      <name val="宋体"/>
      <family val="3"/>
      <charset val="134"/>
    </font>
    <font>
      <sz val="10"/>
      <color rgb="FF000000"/>
      <name val="宋体"/>
      <family val="3"/>
      <charset val="134"/>
    </font>
    <font>
      <sz val="10"/>
      <color rgb="FFFF0000"/>
      <name val="宋体"/>
      <family val="3"/>
      <charset val="134"/>
    </font>
    <font>
      <sz val="12"/>
      <name val="宋体"/>
      <family val="3"/>
      <charset val="134"/>
    </font>
    <font>
      <sz val="10"/>
      <name val="宋体"/>
      <family val="3"/>
      <charset val="134"/>
      <scheme val="minor"/>
    </font>
    <font>
      <sz val="10"/>
      <color rgb="FF000000"/>
      <name val="SimSun"/>
      <charset val="134"/>
    </font>
    <font>
      <sz val="10"/>
      <color rgb="FF000000"/>
      <name val="仿宋_GB2312"/>
      <family val="3"/>
      <charset val="134"/>
    </font>
    <font>
      <sz val="10"/>
      <color rgb="FF000000"/>
      <name val="Tahoma"/>
      <family val="2"/>
    </font>
    <font>
      <sz val="10"/>
      <name val="Tahoma"/>
      <family val="2"/>
    </font>
    <font>
      <sz val="10"/>
      <name val="仿宋_GB2312"/>
      <family val="3"/>
      <charset val="134"/>
    </font>
    <font>
      <sz val="10"/>
      <name val="微软雅黑"/>
      <family val="2"/>
      <charset val="134"/>
    </font>
    <font>
      <sz val="12"/>
      <color rgb="FF000000"/>
      <name val="宋体"/>
      <family val="3"/>
      <charset val="134"/>
    </font>
    <font>
      <sz val="12"/>
      <color rgb="FFFF0000"/>
      <name val="宋体"/>
      <family val="3"/>
      <charset val="134"/>
    </font>
    <font>
      <b/>
      <sz val="12"/>
      <color rgb="FFFF0000"/>
      <name val="宋体"/>
      <family val="3"/>
      <charset val="134"/>
    </font>
    <font>
      <b/>
      <sz val="12"/>
      <color rgb="FFFF0000"/>
      <name val="Arial"/>
      <family val="2"/>
    </font>
    <font>
      <b/>
      <sz val="12"/>
      <color rgb="FFFF0000"/>
      <name val="Tahoma"/>
      <family val="2"/>
    </font>
    <font>
      <sz val="11"/>
      <name val="Tahoma"/>
      <family val="2"/>
    </font>
    <font>
      <sz val="12"/>
      <name val="宋体"/>
      <family val="3"/>
      <charset val="134"/>
    </font>
    <font>
      <sz val="9"/>
      <name val="仿宋_GB2312"/>
      <family val="3"/>
      <charset val="134"/>
    </font>
    <font>
      <sz val="9"/>
      <name val="Tahoma"/>
      <family val="2"/>
    </font>
    <font>
      <sz val="11"/>
      <color theme="1"/>
      <name val="宋体"/>
      <family val="3"/>
      <charset val="134"/>
      <scheme val="minor"/>
    </font>
    <font>
      <sz val="22"/>
      <name val="宋体"/>
      <family val="3"/>
      <charset val="134"/>
      <scheme val="minor"/>
    </font>
    <font>
      <sz val="14"/>
      <name val="宋体"/>
      <family val="3"/>
      <charset val="134"/>
      <scheme val="minor"/>
    </font>
    <font>
      <sz val="10"/>
      <name val="宋体"/>
      <family val="3"/>
      <charset val="134"/>
      <scheme val="minor"/>
    </font>
    <font>
      <sz val="9"/>
      <name val="宋体"/>
      <family val="3"/>
      <charset val="134"/>
      <scheme val="minor"/>
    </font>
    <font>
      <b/>
      <sz val="10"/>
      <name val="黑体"/>
      <family val="3"/>
      <charset val="134"/>
    </font>
    <font>
      <b/>
      <sz val="10"/>
      <name val="宋体"/>
      <family val="3"/>
      <charset val="134"/>
      <scheme val="minor"/>
    </font>
    <font>
      <sz val="10"/>
      <color indexed="8"/>
      <name val="宋体"/>
      <family val="3"/>
      <charset val="134"/>
      <scheme val="minor"/>
    </font>
    <font>
      <b/>
      <sz val="10"/>
      <name val="Arial"/>
      <family val="2"/>
    </font>
    <font>
      <sz val="10"/>
      <color theme="1"/>
      <name val="宋体"/>
      <family val="3"/>
      <charset val="134"/>
      <scheme val="minor"/>
    </font>
    <font>
      <sz val="10"/>
      <color rgb="FF000000"/>
      <name val="宋体"/>
      <family val="3"/>
      <charset val="134"/>
      <scheme val="minor"/>
    </font>
    <font>
      <sz val="9"/>
      <name val="宋体"/>
      <family val="3"/>
      <charset val="134"/>
    </font>
    <font>
      <sz val="9"/>
      <color theme="1"/>
      <name val="宋体"/>
      <family val="3"/>
      <charset val="134"/>
      <scheme val="minor"/>
    </font>
    <font>
      <sz val="9"/>
      <color rgb="FF000000"/>
      <name val="宋体"/>
      <family val="3"/>
      <charset val="134"/>
    </font>
    <font>
      <sz val="9"/>
      <color indexed="8"/>
      <name val="宋体"/>
      <family val="3"/>
      <charset val="134"/>
    </font>
    <font>
      <sz val="10"/>
      <name val="宋体"/>
      <family val="3"/>
      <charset val="134"/>
    </font>
    <font>
      <sz val="10"/>
      <color theme="1"/>
      <name val="宋体"/>
      <family val="3"/>
      <charset val="134"/>
    </font>
    <font>
      <sz val="10"/>
      <color rgb="FF000000"/>
      <name val="Arial Unicode MS"/>
      <family val="2"/>
      <charset val="134"/>
    </font>
    <font>
      <sz val="10"/>
      <color indexed="63"/>
      <name val="宋体"/>
      <family val="3"/>
      <charset val="134"/>
      <scheme val="major"/>
    </font>
    <font>
      <sz val="10"/>
      <color indexed="8"/>
      <name val="宋体"/>
      <family val="3"/>
      <charset val="134"/>
    </font>
    <font>
      <sz val="11"/>
      <color indexed="8"/>
      <name val="宋体"/>
      <family val="3"/>
      <charset val="134"/>
    </font>
    <font>
      <sz val="9"/>
      <color theme="1"/>
      <name val="宋体"/>
      <family val="3"/>
      <charset val="134"/>
    </font>
    <font>
      <sz val="8"/>
      <name val="宋体"/>
      <family val="3"/>
      <charset val="134"/>
    </font>
    <font>
      <sz val="10"/>
      <color rgb="FF000000"/>
      <name val="宋体"/>
      <family val="3"/>
      <charset val="134"/>
    </font>
    <font>
      <sz val="8"/>
      <color indexed="8"/>
      <name val="宋体"/>
      <family val="3"/>
      <charset val="134"/>
    </font>
    <font>
      <sz val="8.5"/>
      <color theme="1"/>
      <name val="宋体"/>
      <family val="3"/>
      <charset val="134"/>
    </font>
    <font>
      <sz val="8.5"/>
      <color theme="1"/>
      <name val="Tahoma"/>
      <family val="2"/>
    </font>
    <font>
      <sz val="8.5"/>
      <color indexed="8"/>
      <name val="宋体"/>
      <family val="3"/>
      <charset val="134"/>
      <scheme val="major"/>
    </font>
    <font>
      <sz val="8.5"/>
      <color theme="1"/>
      <name val="宋体"/>
      <family val="3"/>
      <charset val="134"/>
      <scheme val="major"/>
    </font>
    <font>
      <sz val="8.5"/>
      <color rgb="FF333333"/>
      <name val="宋体"/>
      <family val="3"/>
      <charset val="134"/>
      <scheme val="major"/>
    </font>
    <font>
      <sz val="9"/>
      <color rgb="FF333333"/>
      <name val="宋体"/>
      <family val="3"/>
      <charset val="134"/>
    </font>
    <font>
      <sz val="8"/>
      <color theme="1"/>
      <name val="宋体"/>
      <family val="3"/>
      <charset val="134"/>
    </font>
    <font>
      <sz val="8"/>
      <color rgb="FF333333"/>
      <name val="宋体 "/>
      <charset val="134"/>
    </font>
    <font>
      <sz val="11"/>
      <color theme="1"/>
      <name val="Tahoma"/>
      <family val="2"/>
    </font>
    <font>
      <sz val="11"/>
      <color theme="1"/>
      <name val="宋体"/>
      <family val="3"/>
      <charset val="134"/>
    </font>
    <font>
      <sz val="10"/>
      <name val="仿宋_GB2312"/>
      <family val="3"/>
      <charset val="134"/>
    </font>
    <font>
      <sz val="10"/>
      <color indexed="63"/>
      <name val="宋体"/>
      <family val="3"/>
      <charset val="134"/>
      <scheme val="minor"/>
    </font>
    <font>
      <sz val="10"/>
      <color indexed="63"/>
      <name val="宋体"/>
      <family val="3"/>
      <charset val="134"/>
    </font>
    <font>
      <sz val="12"/>
      <name val="仿宋_GB2312"/>
      <family val="3"/>
      <charset val="134"/>
    </font>
    <font>
      <sz val="9"/>
      <color rgb="FF002060"/>
      <name val="宋体"/>
      <family val="3"/>
      <charset val="134"/>
      <scheme val="minor"/>
    </font>
    <font>
      <sz val="10"/>
      <color rgb="FF002060"/>
      <name val="宋体"/>
      <family val="3"/>
      <charset val="134"/>
      <scheme val="minor"/>
    </font>
    <font>
      <sz val="10"/>
      <name val="宋体"/>
      <family val="3"/>
      <charset val="134"/>
      <scheme val="major"/>
    </font>
    <font>
      <sz val="10"/>
      <color theme="1"/>
      <name val="Tahoma"/>
      <family val="2"/>
    </font>
    <font>
      <sz val="10"/>
      <name val="Helv"/>
      <family val="2"/>
    </font>
    <font>
      <sz val="11"/>
      <name val="宋体"/>
      <family val="3"/>
      <charset val="134"/>
      <scheme val="minor"/>
    </font>
    <font>
      <sz val="10"/>
      <color theme="1"/>
      <name val="黑体"/>
      <family val="3"/>
      <charset val="134"/>
    </font>
    <font>
      <b/>
      <sz val="10"/>
      <color theme="1"/>
      <name val="宋体"/>
      <family val="3"/>
      <charset val="134"/>
      <scheme val="minor"/>
    </font>
    <font>
      <b/>
      <sz val="10"/>
      <color theme="1"/>
      <name val="黑体"/>
      <family val="3"/>
      <charset val="134"/>
    </font>
    <font>
      <sz val="11"/>
      <name val="宋体"/>
      <family val="3"/>
      <charset val="134"/>
    </font>
    <font>
      <sz val="10"/>
      <color theme="1"/>
      <name val="宋体"/>
      <family val="3"/>
      <charset val="134"/>
      <scheme val="major"/>
    </font>
    <font>
      <sz val="8"/>
      <color indexed="8"/>
      <name val="黑体"/>
      <family val="3"/>
      <charset val="134"/>
    </font>
    <font>
      <sz val="8.5"/>
      <color indexed="8"/>
      <name val="宋体"/>
      <family val="3"/>
      <charset val="134"/>
      <scheme val="minor"/>
    </font>
    <font>
      <sz val="8"/>
      <name val="黑体"/>
      <family val="3"/>
      <charset val="134"/>
    </font>
    <font>
      <sz val="8.5"/>
      <name val="宋体"/>
      <family val="3"/>
      <charset val="134"/>
      <scheme val="minor"/>
    </font>
    <font>
      <sz val="9"/>
      <color indexed="8"/>
      <name val="宋体"/>
      <family val="3"/>
      <charset val="134"/>
      <scheme val="minor"/>
    </font>
    <font>
      <sz val="9"/>
      <color theme="1"/>
      <name val="Tahoma"/>
      <family val="2"/>
    </font>
    <font>
      <sz val="10.5"/>
      <name val="宋体"/>
      <family val="3"/>
      <charset val="134"/>
    </font>
    <font>
      <b/>
      <sz val="10"/>
      <color theme="1"/>
      <name val="Tahoma"/>
      <family val="2"/>
    </font>
    <font>
      <sz val="10"/>
      <color indexed="8"/>
      <name val="黑体"/>
      <family val="3"/>
      <charset val="134"/>
    </font>
    <font>
      <sz val="10"/>
      <color rgb="FF333333"/>
      <name val="宋体"/>
      <family val="3"/>
      <charset val="134"/>
      <scheme val="major"/>
    </font>
    <font>
      <sz val="10"/>
      <name val="黑体"/>
      <family val="3"/>
      <charset val="134"/>
    </font>
    <font>
      <sz val="9"/>
      <color rgb="FF333333"/>
      <name val="Helvetica"/>
    </font>
    <font>
      <sz val="9"/>
      <color indexed="63"/>
      <name val="宋体"/>
      <family val="3"/>
      <charset val="134"/>
    </font>
    <font>
      <sz val="10"/>
      <color rgb="FF333333"/>
      <name val="宋体"/>
      <family val="3"/>
      <charset val="134"/>
    </font>
    <font>
      <sz val="8"/>
      <color theme="1"/>
      <name val="Arial Unicode MS"/>
      <family val="2"/>
      <charset val="134"/>
    </font>
    <font>
      <sz val="10"/>
      <color indexed="8"/>
      <name val="仿宋_GB2312"/>
      <family val="3"/>
      <charset val="134"/>
    </font>
    <font>
      <sz val="8"/>
      <color rgb="FF000000"/>
      <name val="宋体"/>
      <family val="3"/>
      <charset val="134"/>
    </font>
    <font>
      <sz val="8"/>
      <name val="宋体"/>
      <family val="3"/>
      <charset val="134"/>
      <scheme val="major"/>
    </font>
    <font>
      <vertAlign val="superscript"/>
      <sz val="10"/>
      <name val="宋体"/>
      <family val="3"/>
      <charset val="134"/>
    </font>
    <font>
      <b/>
      <sz val="10"/>
      <color theme="1"/>
      <name val="宋体"/>
      <family val="3"/>
      <charset val="134"/>
    </font>
    <font>
      <sz val="10"/>
      <color rgb="FF333333"/>
      <name val="宋体 "/>
      <charset val="134"/>
    </font>
    <font>
      <sz val="9"/>
      <name val="黑体"/>
      <family val="3"/>
      <charset val="134"/>
    </font>
    <font>
      <sz val="8.5"/>
      <name val="宋体"/>
      <family val="3"/>
      <charset val="134"/>
      <scheme val="major"/>
    </font>
    <font>
      <sz val="10"/>
      <color theme="1"/>
      <name val="Microsoft JhengHei UI Light"/>
      <family val="1"/>
    </font>
    <font>
      <sz val="12"/>
      <color theme="1"/>
      <name val="宋体"/>
      <family val="3"/>
      <charset val="134"/>
    </font>
    <font>
      <b/>
      <sz val="12"/>
      <color theme="1"/>
      <name val="宋体"/>
      <family val="3"/>
      <charset val="134"/>
    </font>
    <font>
      <b/>
      <sz val="9"/>
      <name val="宋体"/>
      <family val="3"/>
      <charset val="134"/>
    </font>
    <font>
      <sz val="16"/>
      <name val="Tahoma"/>
      <family val="2"/>
    </font>
    <font>
      <sz val="10"/>
      <name val="Times New Roman"/>
      <family val="1"/>
    </font>
    <font>
      <sz val="10"/>
      <color rgb="FF000000"/>
      <name val="宋体"/>
      <family val="3"/>
      <charset val="134"/>
      <scheme val="major"/>
    </font>
    <font>
      <sz val="10"/>
      <color theme="1"/>
      <name val="Arial Unicode MS"/>
      <family val="2"/>
      <charset val="134"/>
    </font>
    <font>
      <sz val="11"/>
      <color indexed="20"/>
      <name val="宋体"/>
      <family val="3"/>
      <charset val="134"/>
    </font>
    <font>
      <sz val="10"/>
      <name val="Arial Unicode MS"/>
      <family val="2"/>
      <charset val="134"/>
    </font>
    <font>
      <sz val="6"/>
      <name val="宋体"/>
      <family val="3"/>
      <charset val="134"/>
    </font>
    <font>
      <sz val="12"/>
      <name val="宋体"/>
      <family val="3"/>
      <charset val="134"/>
      <scheme val="minor"/>
    </font>
    <font>
      <sz val="12"/>
      <name val="Times New Roman"/>
      <family val="1"/>
    </font>
    <font>
      <sz val="10"/>
      <color rgb="FFFF0000"/>
      <name val="宋体"/>
      <family val="3"/>
      <charset val="134"/>
    </font>
    <font>
      <sz val="10"/>
      <color rgb="FFFF0000"/>
      <name val="宋体"/>
      <family val="3"/>
      <charset val="134"/>
      <scheme val="minor"/>
    </font>
    <font>
      <b/>
      <sz val="10"/>
      <name val="宋体"/>
      <family val="3"/>
      <charset val="134"/>
    </font>
    <font>
      <sz val="9"/>
      <color theme="1"/>
      <name val="Arial Unicode MS"/>
      <family val="2"/>
      <charset val="134"/>
    </font>
    <font>
      <sz val="11"/>
      <color rgb="FF000000"/>
      <name val="宋体"/>
      <family val="3"/>
      <charset val="134"/>
      <scheme val="minor"/>
    </font>
    <font>
      <b/>
      <sz val="10"/>
      <name val="宋体"/>
      <family val="3"/>
      <charset val="134"/>
      <scheme val="major"/>
    </font>
    <font>
      <b/>
      <sz val="12"/>
      <name val="宋体"/>
      <family val="3"/>
      <charset val="134"/>
    </font>
    <font>
      <sz val="20"/>
      <color theme="1"/>
      <name val="宋体"/>
      <family val="3"/>
      <charset val="134"/>
      <scheme val="major"/>
    </font>
    <font>
      <sz val="20"/>
      <name val="宋体"/>
      <family val="3"/>
      <charset val="134"/>
      <scheme val="major"/>
    </font>
    <font>
      <sz val="8"/>
      <name val="Tahoma"/>
      <family val="2"/>
    </font>
    <font>
      <sz val="8"/>
      <name val="宋体"/>
      <family val="3"/>
      <charset val="134"/>
      <scheme val="minor"/>
    </font>
    <font>
      <b/>
      <vertAlign val="superscript"/>
      <sz val="10"/>
      <color theme="1"/>
      <name val="宋体"/>
      <family val="3"/>
      <charset val="134"/>
      <scheme val="minor"/>
    </font>
    <font>
      <sz val="10"/>
      <color indexed="8"/>
      <name val="宋体"/>
      <family val="3"/>
      <charset val="134"/>
      <scheme val="major"/>
    </font>
    <font>
      <sz val="8"/>
      <name val="Arial"/>
      <family val="2"/>
    </font>
    <font>
      <sz val="10"/>
      <color indexed="0"/>
      <name val="宋体"/>
      <family val="3"/>
      <charset val="134"/>
      <scheme val="major"/>
    </font>
    <font>
      <sz val="10"/>
      <color rgb="FFFF0000"/>
      <name val="宋体"/>
      <family val="3"/>
      <charset val="134"/>
      <scheme val="major"/>
    </font>
    <font>
      <vertAlign val="superscript"/>
      <sz val="8"/>
      <name val="宋体"/>
      <family val="3"/>
      <charset val="134"/>
    </font>
    <font>
      <b/>
      <vertAlign val="superscript"/>
      <sz val="10"/>
      <name val="宋体"/>
      <family val="3"/>
      <charset val="134"/>
      <scheme val="minor"/>
    </font>
    <font>
      <b/>
      <vertAlign val="superscript"/>
      <sz val="10"/>
      <color rgb="FF000000"/>
      <name val="宋体"/>
      <family val="3"/>
      <charset val="134"/>
      <scheme val="minor"/>
    </font>
    <font>
      <sz val="11"/>
      <color rgb="FFFF0000"/>
      <name val="宋体"/>
      <family val="3"/>
      <charset val="134"/>
      <scheme val="minor"/>
    </font>
    <font>
      <vertAlign val="superscript"/>
      <sz val="9"/>
      <name val="宋体"/>
      <family val="3"/>
      <charset val="134"/>
    </font>
    <font>
      <b/>
      <sz val="10"/>
      <color theme="1"/>
      <name val="宋体"/>
      <family val="3"/>
      <charset val="134"/>
      <scheme val="major"/>
    </font>
    <font>
      <sz val="10"/>
      <color rgb="FFC00000"/>
      <name val="宋体"/>
      <family val="3"/>
      <charset val="134"/>
      <scheme val="major"/>
    </font>
    <font>
      <sz val="10"/>
      <color rgb="FFC00000"/>
      <name val="宋体"/>
      <family val="3"/>
      <charset val="134"/>
    </font>
    <font>
      <sz val="11"/>
      <color rgb="FFC00000"/>
      <name val="宋体"/>
      <family val="3"/>
      <charset val="134"/>
      <scheme val="minor"/>
    </font>
    <font>
      <sz val="10"/>
      <color indexed="0"/>
      <name val="宋体"/>
      <family val="3"/>
      <charset val="134"/>
      <scheme val="minor"/>
    </font>
    <font>
      <sz val="9"/>
      <color indexed="8"/>
      <name val="新宋体"/>
      <family val="3"/>
      <charset val="134"/>
    </font>
    <font>
      <sz val="10"/>
      <color indexed="0"/>
      <name val="宋体"/>
      <family val="3"/>
      <charset val="134"/>
    </font>
    <font>
      <sz val="10"/>
      <name val="新宋体"/>
      <family val="3"/>
      <charset val="134"/>
    </font>
    <font>
      <sz val="10"/>
      <color rgb="FF000000"/>
      <name val="Times New Roman"/>
      <family val="1"/>
    </font>
    <font>
      <sz val="10"/>
      <name val="仿宋"/>
      <family val="3"/>
      <charset val="134"/>
    </font>
    <font>
      <sz val="11"/>
      <color theme="1"/>
      <name val="Times New Roman"/>
      <family val="1"/>
    </font>
    <font>
      <b/>
      <sz val="10"/>
      <color rgb="FFFF0000"/>
      <name val="宋体"/>
      <family val="3"/>
      <charset val="134"/>
      <scheme val="major"/>
    </font>
    <font>
      <sz val="16"/>
      <name val="宋体"/>
      <family val="3"/>
      <charset val="134"/>
      <scheme val="major"/>
    </font>
    <font>
      <sz val="16"/>
      <color theme="1"/>
      <name val="宋体"/>
      <family val="3"/>
      <charset val="134"/>
      <scheme val="major"/>
    </font>
    <font>
      <sz val="11"/>
      <color rgb="FF000000"/>
      <name val="宋体"/>
      <family val="3"/>
      <charset val="134"/>
    </font>
    <font>
      <sz val="10"/>
      <color rgb="FF000000"/>
      <name val="Calibri"/>
      <family val="2"/>
    </font>
    <font>
      <sz val="12"/>
      <color theme="1"/>
      <name val="宋体"/>
      <family val="3"/>
      <charset val="134"/>
      <scheme val="minor"/>
    </font>
    <font>
      <sz val="10.5"/>
      <color rgb="FF000000"/>
      <name val="宋体"/>
      <family val="3"/>
      <charset val="134"/>
    </font>
    <font>
      <sz val="12"/>
      <color indexed="8"/>
      <name val="仿宋_GB2312"/>
      <family val="3"/>
      <charset val="134"/>
    </font>
    <font>
      <sz val="9"/>
      <name val="Tahoma"/>
      <family val="2"/>
      <charset val="134"/>
    </font>
    <font>
      <sz val="16"/>
      <name val="Tahoma"/>
      <family val="2"/>
      <charset val="134"/>
    </font>
    <font>
      <sz val="11"/>
      <name val="Tahoma"/>
      <family val="2"/>
      <charset val="134"/>
    </font>
    <font>
      <sz val="10"/>
      <color rgb="FF000000"/>
      <name val="Arial Unicode MS"/>
      <family val="2"/>
    </font>
    <font>
      <sz val="10"/>
      <color theme="1"/>
      <name val="Tahoma"/>
      <family val="2"/>
      <charset val="134"/>
    </font>
    <font>
      <sz val="9"/>
      <color indexed="8"/>
      <name val="仿宋_GB2312"/>
      <family val="3"/>
      <charset val="134"/>
    </font>
    <font>
      <sz val="11"/>
      <color theme="1"/>
      <name val="Tahoma"/>
      <family val="2"/>
      <charset val="134"/>
    </font>
    <font>
      <sz val="11"/>
      <color indexed="8"/>
      <name val="宋体"/>
      <family val="3"/>
      <charset val="134"/>
      <scheme val="minor"/>
    </font>
    <font>
      <sz val="12"/>
      <color rgb="FF000000"/>
      <name val="宋体"/>
      <family val="3"/>
      <charset val="134"/>
      <scheme val="minor"/>
    </font>
    <font>
      <sz val="11"/>
      <color theme="1" tint="4.9989318521683403E-2"/>
      <name val="宋体"/>
      <family val="3"/>
      <charset val="134"/>
    </font>
    <font>
      <sz val="8"/>
      <color theme="1"/>
      <name val="宋体"/>
      <family val="3"/>
      <charset val="134"/>
      <scheme val="minor"/>
    </font>
    <font>
      <b/>
      <sz val="11"/>
      <color rgb="FF000000"/>
      <name val="宋体"/>
      <family val="3"/>
      <charset val="134"/>
    </font>
    <font>
      <b/>
      <sz val="11"/>
      <color rgb="FF000000"/>
      <name val="ˎ̥"/>
      <family val="1"/>
    </font>
    <font>
      <sz val="6"/>
      <name val="宋体"/>
      <family val="3"/>
      <charset val="134"/>
      <scheme val="minor"/>
    </font>
    <font>
      <sz val="11"/>
      <color indexed="8"/>
      <name val="Arial"/>
      <family val="2"/>
    </font>
    <font>
      <sz val="10"/>
      <name val="Arial"/>
      <family val="2"/>
    </font>
    <font>
      <sz val="8"/>
      <name val="MS Sans Serif"/>
      <family val="2"/>
    </font>
    <font>
      <sz val="13"/>
      <color theme="1"/>
      <name val="宋体"/>
      <family val="3"/>
      <charset val="134"/>
      <scheme val="minor"/>
    </font>
  </fonts>
  <fills count="9">
    <fill>
      <patternFill patternType="none"/>
    </fill>
    <fill>
      <patternFill patternType="gray125"/>
    </fill>
    <fill>
      <patternFill patternType="solid">
        <fgColor theme="4" tint="0.59999389629810485"/>
        <bgColor indexed="65"/>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indexed="45"/>
        <bgColor indexed="64"/>
      </patternFill>
    </fill>
    <fill>
      <patternFill patternType="solid">
        <fgColor rgb="FFFFFFFF"/>
        <bgColor rgb="FF000000"/>
      </patternFill>
    </fill>
  </fills>
  <borders count="47">
    <border>
      <left/>
      <right/>
      <top/>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rgb="FF000000"/>
      </left>
      <right/>
      <top style="thin">
        <color rgb="FF000000"/>
      </top>
      <bottom/>
      <diagonal/>
    </border>
    <border>
      <left style="thin">
        <color rgb="FF800080"/>
      </left>
      <right style="thin">
        <color rgb="FF800080"/>
      </right>
      <top style="thin">
        <color rgb="FF800080"/>
      </top>
      <bottom style="thin">
        <color rgb="FF800080"/>
      </bottom>
      <diagonal/>
    </border>
    <border>
      <left style="thin">
        <color rgb="FF800080"/>
      </left>
      <right/>
      <top style="thin">
        <color rgb="FF800080"/>
      </top>
      <bottom style="thin">
        <color rgb="FF80008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auto="1"/>
      </left>
      <right/>
      <top style="thin">
        <color auto="1"/>
      </top>
      <bottom style="thin">
        <color auto="1"/>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auto="1"/>
      </top>
      <bottom/>
      <diagonal/>
    </border>
    <border>
      <left style="thin">
        <color rgb="FF800080"/>
      </left>
      <right style="thin">
        <color rgb="FF800080"/>
      </right>
      <top style="thin">
        <color rgb="FF800080"/>
      </top>
      <bottom/>
      <diagonal/>
    </border>
    <border>
      <left/>
      <right/>
      <top style="thin">
        <color rgb="FF000000"/>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indexed="8"/>
      </left>
      <right style="thin">
        <color indexed="8"/>
      </right>
      <top style="thin">
        <color auto="1"/>
      </top>
      <bottom/>
      <diagonal/>
    </border>
    <border>
      <left style="thin">
        <color indexed="8"/>
      </left>
      <right style="thin">
        <color indexed="8"/>
      </right>
      <top style="thin">
        <color indexed="8"/>
      </top>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style="thin">
        <color auto="1"/>
      </left>
      <right/>
      <top style="thin">
        <color auto="1"/>
      </top>
      <bottom/>
      <diagonal/>
    </border>
    <border>
      <left style="thin">
        <color indexed="8"/>
      </left>
      <right style="thin">
        <color indexed="8"/>
      </right>
      <top style="thin">
        <color indexed="8"/>
      </top>
      <bottom style="thin">
        <color indexed="8"/>
      </bottom>
      <diagonal/>
    </border>
    <border>
      <left style="thin">
        <color indexed="0"/>
      </left>
      <right style="thin">
        <color indexed="0"/>
      </right>
      <top style="thin">
        <color indexed="0"/>
      </top>
      <bottom style="thin">
        <color indexed="0"/>
      </bottom>
      <diagonal/>
    </border>
    <border>
      <left/>
      <right style="thin">
        <color auto="1"/>
      </right>
      <top style="thin">
        <color auto="1"/>
      </top>
      <bottom style="thin">
        <color auto="1"/>
      </bottom>
      <diagonal/>
    </border>
    <border>
      <left/>
      <right style="thin">
        <color auto="1"/>
      </right>
      <top style="thin">
        <color auto="1"/>
      </top>
      <bottom/>
      <diagonal/>
    </border>
    <border>
      <left style="thin">
        <color rgb="FF000000"/>
      </left>
      <right/>
      <top/>
      <bottom style="thin">
        <color rgb="FF000000"/>
      </bottom>
      <diagonal/>
    </border>
    <border>
      <left/>
      <right/>
      <top style="thin">
        <color auto="1"/>
      </top>
      <bottom/>
      <diagonal/>
    </border>
    <border>
      <left style="thin">
        <color indexed="0"/>
      </left>
      <right/>
      <top style="thin">
        <color indexed="0"/>
      </top>
      <bottom/>
      <diagonal/>
    </border>
    <border>
      <left style="thin">
        <color indexed="8"/>
      </left>
      <right style="thin">
        <color indexed="8"/>
      </right>
      <top/>
      <bottom style="thin">
        <color indexed="8"/>
      </bottom>
      <diagonal/>
    </border>
    <border>
      <left style="thin">
        <color indexed="0"/>
      </left>
      <right style="thin">
        <color indexed="0"/>
      </right>
      <top/>
      <bottom style="thin">
        <color indexed="0"/>
      </bottom>
      <diagonal/>
    </border>
    <border>
      <left style="thin">
        <color indexed="8"/>
      </left>
      <right/>
      <top style="thin">
        <color indexed="8"/>
      </top>
      <bottom style="thin">
        <color indexed="8"/>
      </bottom>
      <diagonal/>
    </border>
    <border>
      <left/>
      <right style="thin">
        <color auto="1"/>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8"/>
      </bottom>
      <diagonal/>
    </border>
    <border>
      <left/>
      <right style="thin">
        <color indexed="8"/>
      </right>
      <top/>
      <bottom/>
      <diagonal/>
    </border>
    <border>
      <left/>
      <right/>
      <top/>
      <bottom style="thin">
        <color indexed="8"/>
      </bottom>
      <diagonal/>
    </border>
    <border>
      <left/>
      <right style="thin">
        <color auto="1"/>
      </right>
      <top/>
      <bottom style="thin">
        <color auto="1"/>
      </bottom>
      <diagonal/>
    </border>
  </borders>
  <cellStyleXfs count="81">
    <xf numFmtId="0" fontId="0" fillId="0" borderId="0">
      <alignment vertical="center"/>
    </xf>
    <xf numFmtId="0" fontId="2" fillId="2" borderId="0" applyNumberFormat="0" applyBorder="0" applyAlignment="0" applyProtection="0">
      <alignment vertical="center"/>
    </xf>
    <xf numFmtId="179" fontId="11" fillId="0" borderId="0">
      <alignment vertical="center"/>
    </xf>
    <xf numFmtId="0" fontId="28" fillId="0" borderId="0"/>
    <xf numFmtId="0" fontId="25" fillId="0" borderId="0">
      <alignment vertical="top"/>
    </xf>
    <xf numFmtId="0" fontId="25" fillId="0" borderId="0"/>
    <xf numFmtId="0" fontId="36" fillId="0" borderId="0">
      <alignment vertical="top"/>
    </xf>
    <xf numFmtId="0" fontId="25" fillId="0" borderId="0">
      <alignment vertical="center"/>
    </xf>
    <xf numFmtId="0" fontId="28" fillId="0" borderId="0"/>
    <xf numFmtId="0" fontId="25" fillId="0" borderId="0"/>
    <xf numFmtId="0" fontId="28" fillId="0" borderId="0"/>
    <xf numFmtId="0" fontId="48" fillId="0" borderId="0">
      <alignment vertical="center"/>
    </xf>
    <xf numFmtId="0" fontId="25" fillId="0" borderId="0">
      <alignment vertical="center"/>
    </xf>
    <xf numFmtId="0" fontId="71" fillId="0" borderId="0"/>
    <xf numFmtId="0" fontId="28" fillId="0" borderId="0"/>
    <xf numFmtId="0" fontId="25" fillId="0" borderId="0">
      <alignment vertical="center"/>
    </xf>
    <xf numFmtId="0" fontId="48" fillId="0" borderId="0">
      <alignment vertical="center"/>
    </xf>
    <xf numFmtId="0" fontId="28" fillId="0" borderId="0"/>
    <xf numFmtId="43" fontId="48" fillId="0" borderId="0" applyFont="0" applyFill="0" applyBorder="0" applyAlignment="0" applyProtection="0">
      <alignment vertical="center"/>
    </xf>
    <xf numFmtId="0" fontId="25" fillId="0" borderId="0">
      <alignment vertical="center"/>
    </xf>
    <xf numFmtId="0" fontId="25" fillId="0" borderId="0">
      <alignment vertical="top"/>
    </xf>
    <xf numFmtId="0" fontId="25" fillId="0" borderId="0">
      <alignment vertical="top"/>
    </xf>
    <xf numFmtId="176" fontId="48" fillId="0" borderId="0" applyProtection="0">
      <alignment vertical="center"/>
    </xf>
    <xf numFmtId="0" fontId="28" fillId="0" borderId="0">
      <alignment vertical="center"/>
    </xf>
    <xf numFmtId="0" fontId="28" fillId="0" borderId="0">
      <alignment vertical="center"/>
    </xf>
    <xf numFmtId="176" fontId="48" fillId="5" borderId="0" applyNumberFormat="0" applyBorder="0" applyAlignment="0" applyProtection="0">
      <alignment vertical="center"/>
    </xf>
    <xf numFmtId="176" fontId="109" fillId="7" borderId="0" applyNumberFormat="0" applyBorder="0" applyAlignment="0" applyProtection="0">
      <alignment vertical="center"/>
    </xf>
    <xf numFmtId="176" fontId="25" fillId="0" borderId="0">
      <alignment vertical="center"/>
    </xf>
    <xf numFmtId="176"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176" fontId="28" fillId="0" borderId="0">
      <alignment vertical="center"/>
    </xf>
    <xf numFmtId="176" fontId="61" fillId="0" borderId="0"/>
    <xf numFmtId="0" fontId="28" fillId="0" borderId="0"/>
    <xf numFmtId="0" fontId="36" fillId="0" borderId="0">
      <alignment vertical="top"/>
    </xf>
    <xf numFmtId="0" fontId="25" fillId="0" borderId="0">
      <alignment vertical="center"/>
    </xf>
    <xf numFmtId="0" fontId="25" fillId="0" borderId="0">
      <alignment vertical="center"/>
    </xf>
    <xf numFmtId="0" fontId="28" fillId="0" borderId="0">
      <alignment vertical="center"/>
    </xf>
    <xf numFmtId="0" fontId="25" fillId="0" borderId="0"/>
    <xf numFmtId="0" fontId="61" fillId="0" borderId="0"/>
    <xf numFmtId="0" fontId="25" fillId="0" borderId="0">
      <alignment vertical="center"/>
    </xf>
    <xf numFmtId="0" fontId="28" fillId="0" borderId="0"/>
    <xf numFmtId="0" fontId="25" fillId="0" borderId="0">
      <alignment vertical="center"/>
    </xf>
    <xf numFmtId="0" fontId="28" fillId="0" borderId="0">
      <alignment vertical="center"/>
    </xf>
    <xf numFmtId="0" fontId="25" fillId="0" borderId="0">
      <alignment vertical="top"/>
    </xf>
    <xf numFmtId="0" fontId="25" fillId="0" borderId="0">
      <alignment vertical="top"/>
    </xf>
    <xf numFmtId="0" fontId="61" fillId="0" borderId="0"/>
    <xf numFmtId="0" fontId="25" fillId="0" borderId="0">
      <alignment vertical="top"/>
    </xf>
    <xf numFmtId="43" fontId="61" fillId="0" borderId="0" applyFont="0" applyFill="0" applyBorder="0" applyAlignment="0" applyProtection="0">
      <alignment vertical="center"/>
    </xf>
    <xf numFmtId="0" fontId="25" fillId="0" borderId="0"/>
    <xf numFmtId="0" fontId="48" fillId="0" borderId="0">
      <alignment vertical="center"/>
    </xf>
    <xf numFmtId="0" fontId="28" fillId="0" borderId="0"/>
    <xf numFmtId="0" fontId="140" fillId="0" borderId="5" applyNumberFormat="0" applyFill="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11" fillId="0" borderId="0"/>
    <xf numFmtId="0" fontId="160" fillId="0" borderId="0"/>
    <xf numFmtId="0" fontId="11" fillId="0" borderId="0"/>
    <xf numFmtId="0" fontId="149" fillId="0" borderId="0" applyFill="0">
      <alignment vertical="center"/>
    </xf>
    <xf numFmtId="0" fontId="11" fillId="0" borderId="0"/>
    <xf numFmtId="0" fontId="48" fillId="0" borderId="0">
      <alignment vertical="center"/>
    </xf>
    <xf numFmtId="0" fontId="160" fillId="0" borderId="0"/>
    <xf numFmtId="0" fontId="11" fillId="0" borderId="0">
      <alignment vertical="center"/>
    </xf>
    <xf numFmtId="0" fontId="48" fillId="0" borderId="0">
      <alignment vertical="center"/>
    </xf>
    <xf numFmtId="0" fontId="61" fillId="0" borderId="0"/>
    <xf numFmtId="0" fontId="11" fillId="0" borderId="0">
      <alignment vertical="center"/>
    </xf>
    <xf numFmtId="0" fontId="28" fillId="0" borderId="0">
      <alignment vertical="center"/>
    </xf>
    <xf numFmtId="43" fontId="28" fillId="0" borderId="0" applyFont="0" applyFill="0" applyBorder="0" applyAlignment="0" applyProtection="0">
      <alignment vertical="center"/>
    </xf>
    <xf numFmtId="43" fontId="11" fillId="0" borderId="0" applyFont="0" applyFill="0" applyBorder="0" applyAlignment="0" applyProtection="0">
      <alignment vertical="center"/>
    </xf>
    <xf numFmtId="43" fontId="28" fillId="0" borderId="0" applyFont="0" applyFill="0" applyBorder="0" applyAlignment="0" applyProtection="0">
      <alignment vertical="center"/>
    </xf>
    <xf numFmtId="0" fontId="168" fillId="0" borderId="0"/>
    <xf numFmtId="179" fontId="170" fillId="0" borderId="0" applyAlignment="0">
      <alignment vertical="top" wrapText="1"/>
      <protection locked="0"/>
    </xf>
    <xf numFmtId="0" fontId="11" fillId="0" borderId="0">
      <alignment vertical="top"/>
    </xf>
    <xf numFmtId="0" fontId="28" fillId="0" borderId="0">
      <alignment vertical="center"/>
    </xf>
    <xf numFmtId="0" fontId="11" fillId="0" borderId="0"/>
    <xf numFmtId="0" fontId="11" fillId="0" borderId="0" applyBorder="0">
      <alignment vertical="center"/>
    </xf>
    <xf numFmtId="0" fontId="11" fillId="0" borderId="0">
      <alignment vertical="center"/>
    </xf>
  </cellStyleXfs>
  <cellXfs count="2159">
    <xf numFmtId="0" fontId="0" fillId="0" borderId="0" xfId="0">
      <alignment vertical="center"/>
    </xf>
    <xf numFmtId="0" fontId="3" fillId="0" borderId="0" xfId="0" applyNumberFormat="1" applyFont="1" applyFill="1" applyAlignment="1">
      <alignment horizontal="left" vertical="center"/>
    </xf>
    <xf numFmtId="0" fontId="3" fillId="0" borderId="0" xfId="0" applyNumberFormat="1" applyFont="1" applyFill="1">
      <alignment vertical="center"/>
    </xf>
    <xf numFmtId="176" fontId="3" fillId="0" borderId="0" xfId="0" applyNumberFormat="1" applyFont="1" applyFill="1">
      <alignment vertical="center"/>
    </xf>
    <xf numFmtId="177" fontId="3" fillId="0" borderId="0" xfId="0" applyNumberFormat="1" applyFont="1" applyFill="1">
      <alignment vertical="center"/>
    </xf>
    <xf numFmtId="177" fontId="3" fillId="0" borderId="0" xfId="0" applyNumberFormat="1" applyFont="1" applyFill="1" applyAlignment="1"/>
    <xf numFmtId="0" fontId="3" fillId="0" borderId="0" xfId="0" applyNumberFormat="1" applyFont="1" applyFill="1" applyAlignment="1">
      <alignment horizontal="center" vertical="center"/>
    </xf>
    <xf numFmtId="0" fontId="4" fillId="0" borderId="0" xfId="0" applyNumberFormat="1" applyFont="1" applyFill="1" applyAlignment="1"/>
    <xf numFmtId="0" fontId="0" fillId="0" borderId="0" xfId="0" applyFont="1" applyFill="1">
      <alignment vertical="center"/>
    </xf>
    <xf numFmtId="176" fontId="7" fillId="0" borderId="3" xfId="0" applyNumberFormat="1" applyFont="1" applyFill="1" applyBorder="1" applyAlignment="1">
      <alignment horizontal="center" vertical="center" wrapText="1"/>
    </xf>
    <xf numFmtId="0" fontId="7" fillId="0" borderId="3" xfId="0" applyNumberFormat="1" applyFont="1" applyFill="1" applyBorder="1" applyAlignment="1">
      <alignment horizontal="center" vertical="center"/>
    </xf>
    <xf numFmtId="0" fontId="7" fillId="0" borderId="3" xfId="0" applyNumberFormat="1" applyFont="1" applyFill="1" applyBorder="1" applyAlignment="1">
      <alignment horizontal="center" vertical="center" wrapText="1"/>
    </xf>
    <xf numFmtId="177" fontId="7" fillId="0" borderId="3" xfId="0" applyNumberFormat="1" applyFont="1" applyFill="1" applyBorder="1" applyAlignment="1">
      <alignment horizontal="center" vertical="center" wrapText="1"/>
    </xf>
    <xf numFmtId="0" fontId="7" fillId="3" borderId="3" xfId="0" applyNumberFormat="1" applyFont="1" applyFill="1" applyBorder="1" applyAlignment="1">
      <alignment horizontal="center" vertical="center" wrapText="1"/>
    </xf>
    <xf numFmtId="0" fontId="0" fillId="0" borderId="0" xfId="0" applyFont="1">
      <alignment vertical="center"/>
    </xf>
    <xf numFmtId="0" fontId="8" fillId="0" borderId="3" xfId="0" applyNumberFormat="1" applyFont="1" applyFill="1" applyBorder="1" applyAlignment="1">
      <alignment horizontal="center" vertical="center" wrapText="1"/>
    </xf>
    <xf numFmtId="14" fontId="7" fillId="0" borderId="3" xfId="0" applyNumberFormat="1" applyFont="1" applyFill="1" applyBorder="1" applyAlignment="1">
      <alignment horizontal="center" vertical="center" wrapText="1"/>
    </xf>
    <xf numFmtId="0" fontId="9" fillId="0" borderId="3" xfId="0" applyNumberFormat="1" applyFont="1" applyFill="1" applyBorder="1" applyAlignment="1">
      <alignment horizontal="center" vertical="center" wrapText="1"/>
    </xf>
    <xf numFmtId="0" fontId="10" fillId="0" borderId="3"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xf>
    <xf numFmtId="177" fontId="7" fillId="0" borderId="3" xfId="0" applyNumberFormat="1" applyFont="1" applyFill="1" applyBorder="1" applyAlignment="1">
      <alignment horizontal="center" vertical="center"/>
    </xf>
    <xf numFmtId="178" fontId="7" fillId="0" borderId="3" xfId="0" applyNumberFormat="1" applyFont="1" applyFill="1" applyBorder="1" applyAlignment="1">
      <alignment horizontal="center" vertical="center"/>
    </xf>
    <xf numFmtId="0" fontId="12" fillId="0" borderId="5" xfId="2" applyNumberFormat="1" applyFont="1" applyFill="1" applyBorder="1" applyAlignment="1" applyProtection="1">
      <alignment horizontal="center" vertical="center" wrapText="1"/>
      <protection locked="0"/>
    </xf>
    <xf numFmtId="179" fontId="7" fillId="0" borderId="3" xfId="0" applyNumberFormat="1" applyFont="1" applyFill="1" applyBorder="1" applyAlignment="1">
      <alignment horizontal="center" vertical="center" wrapText="1"/>
    </xf>
    <xf numFmtId="57" fontId="7" fillId="0" borderId="3" xfId="0" applyNumberFormat="1" applyFont="1" applyFill="1" applyBorder="1" applyAlignment="1">
      <alignment horizontal="center" vertical="center" wrapText="1"/>
    </xf>
    <xf numFmtId="0" fontId="7" fillId="0" borderId="6" xfId="0" applyNumberFormat="1" applyFont="1" applyFill="1" applyBorder="1" applyAlignment="1">
      <alignment horizontal="center" vertical="center" wrapText="1"/>
    </xf>
    <xf numFmtId="0" fontId="9" fillId="0" borderId="3" xfId="0" applyNumberFormat="1" applyFont="1" applyFill="1" applyBorder="1" applyAlignment="1">
      <alignment horizontal="center" vertical="center"/>
    </xf>
    <xf numFmtId="180" fontId="7" fillId="0" borderId="3" xfId="0" applyNumberFormat="1" applyFont="1" applyFill="1" applyBorder="1" applyAlignment="1">
      <alignment horizontal="center" vertical="center"/>
    </xf>
    <xf numFmtId="0" fontId="7" fillId="0" borderId="7" xfId="0" applyNumberFormat="1" applyFont="1" applyFill="1" applyBorder="1" applyAlignment="1">
      <alignment horizontal="center" vertical="center"/>
    </xf>
    <xf numFmtId="0" fontId="7" fillId="0" borderId="8" xfId="0" applyNumberFormat="1" applyFont="1" applyFill="1" applyBorder="1" applyAlignment="1">
      <alignment horizontal="center" vertical="center" wrapText="1"/>
    </xf>
    <xf numFmtId="177" fontId="9" fillId="0" borderId="3" xfId="0" applyNumberFormat="1" applyFont="1" applyFill="1" applyBorder="1" applyAlignment="1">
      <alignment horizontal="center" vertical="center"/>
    </xf>
    <xf numFmtId="177" fontId="10" fillId="0" borderId="3" xfId="0" applyNumberFormat="1" applyFont="1" applyFill="1" applyBorder="1" applyAlignment="1">
      <alignment horizontal="center" vertical="center"/>
    </xf>
    <xf numFmtId="14" fontId="7" fillId="0" borderId="3" xfId="0" applyNumberFormat="1" applyFont="1" applyFill="1" applyBorder="1" applyAlignment="1">
      <alignment horizontal="center" vertical="center"/>
    </xf>
    <xf numFmtId="0" fontId="10" fillId="0" borderId="3" xfId="0" applyNumberFormat="1" applyFont="1" applyFill="1" applyBorder="1" applyAlignment="1">
      <alignment horizontal="center" vertical="center"/>
    </xf>
    <xf numFmtId="177" fontId="7" fillId="0" borderId="3" xfId="0" applyNumberFormat="1" applyFont="1" applyFill="1" applyBorder="1" applyAlignment="1">
      <alignment vertical="center" wrapText="1"/>
    </xf>
    <xf numFmtId="181" fontId="7" fillId="0" borderId="3" xfId="0" applyNumberFormat="1" applyFont="1" applyFill="1" applyBorder="1" applyAlignment="1">
      <alignment horizontal="center" vertical="center" wrapText="1"/>
    </xf>
    <xf numFmtId="49" fontId="7" fillId="0" borderId="3" xfId="0" applyNumberFormat="1" applyFont="1" applyFill="1" applyBorder="1" applyAlignment="1">
      <alignment horizontal="center" vertical="center" wrapText="1"/>
    </xf>
    <xf numFmtId="0" fontId="7" fillId="0" borderId="6" xfId="0" applyNumberFormat="1" applyFont="1" applyFill="1" applyBorder="1" applyAlignment="1">
      <alignment horizontal="center" vertical="center"/>
    </xf>
    <xf numFmtId="0" fontId="7" fillId="0" borderId="9"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xf>
    <xf numFmtId="177" fontId="7" fillId="0" borderId="10" xfId="0" applyNumberFormat="1" applyFont="1" applyFill="1" applyBorder="1" applyAlignment="1">
      <alignment horizontal="center" vertical="center" wrapText="1"/>
    </xf>
    <xf numFmtId="179" fontId="7" fillId="0" borderId="3" xfId="0" applyNumberFormat="1" applyFont="1" applyFill="1" applyBorder="1" applyAlignment="1">
      <alignment horizontal="center" vertical="center"/>
    </xf>
    <xf numFmtId="0" fontId="7" fillId="0" borderId="8" xfId="0" applyNumberFormat="1" applyFont="1" applyFill="1" applyBorder="1" applyAlignment="1">
      <alignment horizontal="center" vertical="center"/>
    </xf>
    <xf numFmtId="0" fontId="7" fillId="0" borderId="5" xfId="0" applyNumberFormat="1" applyFont="1" applyFill="1" applyBorder="1" applyAlignment="1">
      <alignment horizontal="center" vertical="center"/>
    </xf>
    <xf numFmtId="0" fontId="7" fillId="0" borderId="11" xfId="0" applyNumberFormat="1" applyFont="1" applyFill="1" applyBorder="1" applyAlignment="1">
      <alignment horizontal="center" vertical="center"/>
    </xf>
    <xf numFmtId="177" fontId="12" fillId="0" borderId="5" xfId="2" applyNumberFormat="1" applyFont="1" applyFill="1" applyBorder="1" applyAlignment="1" applyProtection="1">
      <alignment horizontal="center" vertical="center" wrapText="1"/>
      <protection locked="0"/>
    </xf>
    <xf numFmtId="177" fontId="12" fillId="0" borderId="5" xfId="0" applyNumberFormat="1" applyFont="1" applyFill="1" applyBorder="1" applyAlignment="1" applyProtection="1">
      <alignment horizontal="center" vertical="center" wrapText="1"/>
      <protection locked="0"/>
    </xf>
    <xf numFmtId="49" fontId="12" fillId="0" borderId="5" xfId="2" applyNumberFormat="1" applyFont="1" applyFill="1" applyBorder="1" applyAlignment="1" applyProtection="1">
      <alignment horizontal="center" vertical="center" wrapText="1"/>
      <protection locked="0"/>
    </xf>
    <xf numFmtId="57" fontId="7" fillId="0" borderId="3"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0" fontId="13" fillId="0" borderId="3" xfId="0" applyNumberFormat="1" applyFont="1" applyFill="1" applyBorder="1" applyAlignment="1">
      <alignment horizontal="center" vertical="center" wrapText="1"/>
    </xf>
    <xf numFmtId="177" fontId="3" fillId="0" borderId="3" xfId="0" applyNumberFormat="1" applyFont="1" applyFill="1" applyBorder="1" applyAlignment="1">
      <alignment horizontal="center" vertical="center" wrapText="1"/>
    </xf>
    <xf numFmtId="14" fontId="14" fillId="0" borderId="3" xfId="0" applyNumberFormat="1" applyFont="1" applyFill="1" applyBorder="1" applyAlignment="1">
      <alignment horizontal="center" vertical="center"/>
    </xf>
    <xf numFmtId="0" fontId="15" fillId="0" borderId="3" xfId="0" applyNumberFormat="1" applyFont="1" applyFill="1" applyBorder="1" applyAlignment="1">
      <alignment horizontal="center" vertical="center" wrapText="1"/>
    </xf>
    <xf numFmtId="0" fontId="16" fillId="0" borderId="3" xfId="0" applyNumberFormat="1" applyFont="1" applyFill="1" applyBorder="1" applyAlignment="1">
      <alignment horizontal="center" vertical="center" wrapText="1"/>
    </xf>
    <xf numFmtId="180" fontId="9" fillId="0" borderId="3" xfId="0" applyNumberFormat="1" applyFont="1" applyFill="1" applyBorder="1" applyAlignment="1">
      <alignment horizontal="center" vertical="center"/>
    </xf>
    <xf numFmtId="0" fontId="9" fillId="0" borderId="9" xfId="0" applyNumberFormat="1" applyFont="1" applyFill="1" applyBorder="1" applyAlignment="1">
      <alignment horizontal="center" vertical="center" wrapText="1"/>
    </xf>
    <xf numFmtId="0" fontId="9" fillId="0" borderId="12" xfId="0" applyNumberFormat="1" applyFont="1" applyFill="1" applyBorder="1" applyAlignment="1">
      <alignment horizontal="center" vertical="center" wrapText="1"/>
    </xf>
    <xf numFmtId="0" fontId="9" fillId="0" borderId="13" xfId="0" applyNumberFormat="1" applyFont="1" applyFill="1" applyBorder="1" applyAlignment="1">
      <alignment horizontal="center" vertical="center" wrapText="1"/>
    </xf>
    <xf numFmtId="49" fontId="9" fillId="0" borderId="3" xfId="0" applyNumberFormat="1" applyFont="1" applyFill="1" applyBorder="1" applyAlignment="1">
      <alignment horizontal="center" vertical="center"/>
    </xf>
    <xf numFmtId="0" fontId="7" fillId="0" borderId="3" xfId="0" applyNumberFormat="1" applyFont="1" applyFill="1" applyBorder="1" applyAlignment="1">
      <alignment horizontal="center" wrapText="1"/>
    </xf>
    <xf numFmtId="176" fontId="7" fillId="0" borderId="9" xfId="0" applyNumberFormat="1" applyFont="1" applyFill="1" applyBorder="1" applyAlignment="1">
      <alignment horizontal="center" vertical="center" wrapText="1"/>
    </xf>
    <xf numFmtId="177" fontId="7" fillId="0" borderId="9" xfId="0" applyNumberFormat="1" applyFont="1" applyFill="1" applyBorder="1" applyAlignment="1">
      <alignment horizontal="center" vertical="center" wrapText="1"/>
    </xf>
    <xf numFmtId="0" fontId="8" fillId="0" borderId="14" xfId="0" applyNumberFormat="1" applyFont="1" applyFill="1" applyBorder="1" applyAlignment="1">
      <alignment horizontal="center" vertical="center" wrapText="1"/>
    </xf>
    <xf numFmtId="0" fontId="7" fillId="0" borderId="15" xfId="0" applyNumberFormat="1" applyFont="1" applyFill="1" applyBorder="1" applyAlignment="1">
      <alignment horizontal="center" vertical="center" wrapText="1"/>
    </xf>
    <xf numFmtId="49" fontId="12" fillId="0" borderId="15" xfId="2" applyNumberFormat="1" applyFont="1" applyFill="1" applyBorder="1" applyAlignment="1" applyProtection="1">
      <alignment horizontal="center" vertical="center" wrapText="1"/>
      <protection locked="0"/>
    </xf>
    <xf numFmtId="0" fontId="7" fillId="0" borderId="5" xfId="0" applyNumberFormat="1" applyFont="1" applyFill="1" applyBorder="1" applyAlignment="1">
      <alignment horizontal="center" vertical="center" wrapText="1"/>
    </xf>
    <xf numFmtId="177" fontId="7" fillId="0" borderId="5" xfId="0" applyNumberFormat="1" applyFont="1" applyFill="1" applyBorder="1" applyAlignment="1">
      <alignment horizontal="center" vertical="center" wrapText="1"/>
    </xf>
    <xf numFmtId="0" fontId="8" fillId="0" borderId="4"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176" fontId="7" fillId="0" borderId="4" xfId="0" applyNumberFormat="1" applyFont="1" applyFill="1" applyBorder="1" applyAlignment="1">
      <alignment horizontal="center" vertical="center" wrapText="1"/>
    </xf>
    <xf numFmtId="177" fontId="7" fillId="0" borderId="4" xfId="0" applyNumberFormat="1" applyFont="1" applyFill="1" applyBorder="1" applyAlignment="1">
      <alignment horizontal="center" vertical="center" wrapText="1"/>
    </xf>
    <xf numFmtId="176" fontId="7" fillId="0" borderId="15" xfId="0" applyNumberFormat="1" applyFont="1" applyFill="1" applyBorder="1" applyAlignment="1">
      <alignment horizontal="center" vertical="center" wrapText="1"/>
    </xf>
    <xf numFmtId="0" fontId="7" fillId="0" borderId="16" xfId="0" applyNumberFormat="1" applyFont="1" applyFill="1" applyBorder="1" applyAlignment="1">
      <alignment horizontal="center" vertical="center" wrapText="1"/>
    </xf>
    <xf numFmtId="0" fontId="7" fillId="0" borderId="9" xfId="0" applyNumberFormat="1" applyFont="1" applyFill="1" applyBorder="1" applyAlignment="1">
      <alignment horizontal="center" vertical="center"/>
    </xf>
    <xf numFmtId="0" fontId="7" fillId="0" borderId="16" xfId="0" applyNumberFormat="1" applyFont="1" applyFill="1" applyBorder="1" applyAlignment="1">
      <alignment horizontal="center" vertical="center"/>
    </xf>
    <xf numFmtId="177" fontId="7" fillId="0" borderId="9" xfId="0" applyNumberFormat="1" applyFont="1" applyFill="1" applyBorder="1" applyAlignment="1">
      <alignment horizontal="center" vertical="center"/>
    </xf>
    <xf numFmtId="180" fontId="7" fillId="0" borderId="9" xfId="0" applyNumberFormat="1" applyFont="1" applyFill="1" applyBorder="1" applyAlignment="1">
      <alignment horizontal="center" vertical="center"/>
    </xf>
    <xf numFmtId="176" fontId="7" fillId="0" borderId="3" xfId="0" applyNumberFormat="1" applyFont="1" applyFill="1" applyBorder="1" applyAlignment="1">
      <alignment horizontal="center" wrapText="1"/>
    </xf>
    <xf numFmtId="0" fontId="3" fillId="0" borderId="3"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xf>
    <xf numFmtId="0" fontId="3" fillId="0" borderId="4"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7" fillId="0" borderId="7" xfId="0" applyNumberFormat="1" applyFont="1" applyFill="1" applyBorder="1" applyAlignment="1">
      <alignment horizontal="center" vertical="center" wrapText="1"/>
    </xf>
    <xf numFmtId="176" fontId="16" fillId="0" borderId="3" xfId="0" applyNumberFormat="1" applyFont="1" applyFill="1" applyBorder="1" applyAlignment="1">
      <alignment horizontal="center" vertical="center" wrapText="1"/>
    </xf>
    <xf numFmtId="14" fontId="9" fillId="0" borderId="3" xfId="0" applyNumberFormat="1" applyFont="1" applyFill="1" applyBorder="1" applyAlignment="1">
      <alignment horizontal="center" vertical="center"/>
    </xf>
    <xf numFmtId="0" fontId="17" fillId="0" borderId="3" xfId="0" applyNumberFormat="1" applyFont="1" applyFill="1" applyBorder="1" applyAlignment="1">
      <alignment horizontal="center" vertical="center"/>
    </xf>
    <xf numFmtId="180" fontId="9" fillId="0" borderId="3" xfId="0" applyNumberFormat="1" applyFont="1" applyFill="1" applyBorder="1" applyAlignment="1">
      <alignment horizontal="center" vertical="center" wrapText="1"/>
    </xf>
    <xf numFmtId="0" fontId="18" fillId="0" borderId="0" xfId="0" applyNumberFormat="1" applyFont="1" applyFill="1" applyBorder="1" applyAlignment="1">
      <alignment vertical="center"/>
    </xf>
    <xf numFmtId="177" fontId="7" fillId="0" borderId="3" xfId="0" applyNumberFormat="1" applyFont="1" applyFill="1" applyBorder="1" applyAlignment="1">
      <alignment horizontal="center" wrapText="1"/>
    </xf>
    <xf numFmtId="176" fontId="13" fillId="0" borderId="3" xfId="0" applyNumberFormat="1" applyFont="1" applyFill="1" applyBorder="1" applyAlignment="1">
      <alignment horizontal="center" vertical="center" wrapText="1"/>
    </xf>
    <xf numFmtId="0" fontId="24" fillId="0" borderId="0" xfId="0" applyNumberFormat="1" applyFont="1" applyFill="1" applyAlignment="1">
      <alignment vertical="top" wrapText="1"/>
    </xf>
    <xf numFmtId="177" fontId="24" fillId="0" borderId="0" xfId="0" applyNumberFormat="1" applyFont="1" applyFill="1" applyAlignment="1">
      <alignment vertical="top" wrapText="1"/>
    </xf>
    <xf numFmtId="177" fontId="24" fillId="0" borderId="0" xfId="0" applyNumberFormat="1" applyFont="1" applyFill="1" applyAlignment="1"/>
    <xf numFmtId="0" fontId="24" fillId="0" borderId="0" xfId="0" applyNumberFormat="1" applyFont="1" applyFill="1" applyAlignment="1"/>
    <xf numFmtId="177" fontId="0" fillId="0" borderId="0" xfId="0" applyNumberFormat="1" applyFont="1" applyFill="1">
      <alignment vertical="center"/>
    </xf>
    <xf numFmtId="0" fontId="26" fillId="0" borderId="0" xfId="2" applyNumberFormat="1" applyFont="1" applyFill="1" applyAlignment="1">
      <alignment horizontal="left" vertical="center"/>
    </xf>
    <xf numFmtId="0" fontId="26" fillId="0" borderId="0" xfId="2" applyNumberFormat="1" applyFont="1">
      <alignment vertical="center"/>
    </xf>
    <xf numFmtId="0" fontId="26" fillId="0" borderId="0" xfId="0" applyFont="1" applyFill="1" applyAlignment="1"/>
    <xf numFmtId="0" fontId="26" fillId="0" borderId="0" xfId="2" applyNumberFormat="1" applyFont="1" applyAlignment="1">
      <alignment horizontal="center" vertical="center"/>
    </xf>
    <xf numFmtId="0" fontId="27" fillId="0" borderId="0" xfId="0" applyFont="1" applyFill="1" applyAlignment="1">
      <alignment horizontal="center" vertical="center"/>
    </xf>
    <xf numFmtId="0" fontId="24" fillId="0" borderId="0" xfId="0" applyFont="1" applyFill="1" applyAlignment="1"/>
    <xf numFmtId="0" fontId="31" fillId="0" borderId="5" xfId="2" applyNumberFormat="1" applyFont="1" applyFill="1" applyBorder="1" applyAlignment="1">
      <alignment horizontal="center" vertical="center" wrapText="1"/>
    </xf>
    <xf numFmtId="0" fontId="31" fillId="0" borderId="5" xfId="0" applyFont="1" applyFill="1" applyBorder="1" applyAlignment="1">
      <alignment horizontal="center" vertical="center" wrapText="1"/>
    </xf>
    <xf numFmtId="0" fontId="33" fillId="0" borderId="5" xfId="2" applyNumberFormat="1" applyFont="1" applyFill="1" applyBorder="1" applyAlignment="1">
      <alignment horizontal="center" vertical="center" wrapText="1"/>
    </xf>
    <xf numFmtId="0" fontId="31" fillId="0" borderId="20" xfId="2" applyNumberFormat="1" applyFont="1" applyFill="1" applyBorder="1" applyAlignment="1">
      <alignment horizontal="center" vertical="center" wrapText="1"/>
    </xf>
    <xf numFmtId="0" fontId="31" fillId="0" borderId="11" xfId="2" applyNumberFormat="1" applyFont="1" applyFill="1" applyBorder="1" applyAlignment="1">
      <alignment horizontal="center" vertical="center" wrapText="1"/>
    </xf>
    <xf numFmtId="0" fontId="34" fillId="0" borderId="5" xfId="2" applyNumberFormat="1" applyFont="1" applyFill="1" applyBorder="1" applyAlignment="1">
      <alignment horizontal="center" vertical="center" wrapText="1"/>
    </xf>
    <xf numFmtId="49" fontId="31" fillId="0" borderId="5" xfId="2" applyNumberFormat="1" applyFont="1" applyFill="1" applyBorder="1" applyAlignment="1">
      <alignment horizontal="center" vertical="center" wrapText="1"/>
    </xf>
    <xf numFmtId="176" fontId="31" fillId="4" borderId="5" xfId="4" applyNumberFormat="1" applyFont="1" applyFill="1" applyBorder="1" applyAlignment="1">
      <alignment horizontal="center" vertical="center" wrapText="1"/>
    </xf>
    <xf numFmtId="182" fontId="35" fillId="4" borderId="15" xfId="5" applyNumberFormat="1" applyFont="1" applyFill="1" applyBorder="1" applyAlignment="1">
      <alignment horizontal="center" vertical="center" wrapText="1"/>
    </xf>
    <xf numFmtId="176" fontId="31" fillId="4" borderId="21" xfId="6" applyNumberFormat="1" applyFont="1" applyFill="1" applyBorder="1" applyAlignment="1">
      <alignment horizontal="center" vertical="center" wrapText="1"/>
    </xf>
    <xf numFmtId="0" fontId="31" fillId="0" borderId="5" xfId="0" applyFont="1" applyFill="1" applyBorder="1" applyAlignment="1">
      <alignment wrapText="1"/>
    </xf>
    <xf numFmtId="177" fontId="31" fillId="0" borderId="5" xfId="2" applyNumberFormat="1" applyFont="1" applyFill="1" applyBorder="1" applyAlignment="1">
      <alignment horizontal="center" vertical="center" wrapText="1"/>
    </xf>
    <xf numFmtId="177" fontId="31" fillId="0" borderId="5" xfId="2" applyNumberFormat="1" applyFont="1" applyFill="1" applyBorder="1" applyAlignment="1">
      <alignment horizontal="center" vertical="center"/>
    </xf>
    <xf numFmtId="57" fontId="31" fillId="4" borderId="22" xfId="6" applyNumberFormat="1" applyFont="1" applyFill="1" applyBorder="1" applyAlignment="1">
      <alignment horizontal="center" vertical="center" wrapText="1"/>
    </xf>
    <xf numFmtId="176" fontId="31" fillId="4" borderId="22" xfId="6" applyNumberFormat="1" applyFont="1" applyFill="1" applyBorder="1" applyAlignment="1">
      <alignment horizontal="center" vertical="center" wrapText="1"/>
    </xf>
    <xf numFmtId="49" fontId="31" fillId="0" borderId="5" xfId="2" applyNumberFormat="1" applyFont="1" applyFill="1" applyBorder="1" applyAlignment="1">
      <alignment horizontal="center" vertical="center"/>
    </xf>
    <xf numFmtId="176" fontId="31" fillId="4" borderId="5" xfId="4" applyNumberFormat="1" applyFont="1" applyFill="1" applyBorder="1" applyAlignment="1">
      <alignment horizontal="center" vertical="center"/>
    </xf>
    <xf numFmtId="182" fontId="31" fillId="4" borderId="15" xfId="5" applyNumberFormat="1" applyFont="1" applyFill="1" applyBorder="1" applyAlignment="1">
      <alignment horizontal="center" vertical="center"/>
    </xf>
    <xf numFmtId="176" fontId="31" fillId="4" borderId="21" xfId="6" applyNumberFormat="1" applyFont="1" applyFill="1" applyBorder="1" applyAlignment="1">
      <alignment horizontal="center" vertical="center"/>
    </xf>
    <xf numFmtId="0" fontId="31" fillId="0" borderId="5" xfId="0" applyFont="1" applyFill="1" applyBorder="1" applyAlignment="1"/>
    <xf numFmtId="57" fontId="31" fillId="4" borderId="5" xfId="7" applyNumberFormat="1" applyFont="1" applyFill="1" applyBorder="1" applyAlignment="1">
      <alignment horizontal="center" vertical="center" wrapText="1"/>
    </xf>
    <xf numFmtId="0" fontId="31" fillId="0" borderId="5" xfId="2" applyNumberFormat="1" applyFont="1" applyFill="1" applyBorder="1" applyAlignment="1">
      <alignment horizontal="center" vertical="center"/>
    </xf>
    <xf numFmtId="0" fontId="31" fillId="4" borderId="15" xfId="6" applyFont="1" applyFill="1" applyBorder="1" applyAlignment="1">
      <alignment horizontal="center" vertical="center" wrapText="1"/>
    </xf>
    <xf numFmtId="0" fontId="31" fillId="0" borderId="5" xfId="0" applyFont="1" applyFill="1" applyBorder="1" applyAlignment="1">
      <alignment horizontal="center" vertical="center"/>
    </xf>
    <xf numFmtId="182" fontId="37" fillId="4" borderId="15" xfId="8" applyNumberFormat="1" applyFont="1" applyFill="1" applyBorder="1" applyAlignment="1">
      <alignment horizontal="center" vertical="center"/>
    </xf>
    <xf numFmtId="179" fontId="38" fillId="4" borderId="5" xfId="8" applyNumberFormat="1" applyFont="1" applyFill="1" applyBorder="1" applyAlignment="1">
      <alignment horizontal="center" vertical="center" wrapText="1"/>
    </xf>
    <xf numFmtId="176" fontId="39" fillId="4" borderId="5" xfId="4" applyNumberFormat="1" applyFont="1" applyFill="1" applyBorder="1" applyAlignment="1">
      <alignment horizontal="center" vertical="center"/>
    </xf>
    <xf numFmtId="182" fontId="40" fillId="4" borderId="15" xfId="8" applyNumberFormat="1" applyFont="1" applyFill="1" applyBorder="1" applyAlignment="1">
      <alignment horizontal="center" vertical="center"/>
    </xf>
    <xf numFmtId="176" fontId="39" fillId="4" borderId="21" xfId="6" applyNumberFormat="1" applyFont="1" applyFill="1" applyBorder="1" applyAlignment="1">
      <alignment horizontal="center" vertical="center"/>
    </xf>
    <xf numFmtId="0" fontId="24" fillId="0" borderId="5" xfId="0" applyFont="1" applyFill="1" applyBorder="1" applyAlignment="1"/>
    <xf numFmtId="177" fontId="41" fillId="4" borderId="5" xfId="8" applyNumberFormat="1" applyFont="1" applyFill="1" applyBorder="1" applyAlignment="1">
      <alignment horizontal="center" vertical="center" wrapText="1"/>
    </xf>
    <xf numFmtId="179" fontId="41" fillId="4" borderId="5" xfId="8" applyNumberFormat="1" applyFont="1" applyFill="1" applyBorder="1" applyAlignment="1">
      <alignment horizontal="center" vertical="center" wrapText="1"/>
    </xf>
    <xf numFmtId="176" fontId="42" fillId="0" borderId="15" xfId="9" applyNumberFormat="1" applyFont="1" applyFill="1" applyBorder="1" applyAlignment="1" applyProtection="1">
      <alignment horizontal="center" vertical="center" wrapText="1"/>
      <protection locked="0"/>
    </xf>
    <xf numFmtId="183" fontId="37" fillId="4" borderId="5" xfId="0" applyNumberFormat="1" applyFont="1" applyFill="1" applyBorder="1" applyAlignment="1">
      <alignment horizontal="center" vertical="center"/>
    </xf>
    <xf numFmtId="177" fontId="37" fillId="4" borderId="5" xfId="0" applyNumberFormat="1" applyFont="1" applyFill="1" applyBorder="1" applyAlignment="1">
      <alignment horizontal="center" vertical="center"/>
    </xf>
    <xf numFmtId="176" fontId="42" fillId="0" borderId="5" xfId="9" applyNumberFormat="1" applyFont="1" applyFill="1" applyBorder="1" applyAlignment="1" applyProtection="1">
      <alignment horizontal="center" vertical="center" wrapText="1"/>
      <protection locked="0"/>
    </xf>
    <xf numFmtId="182" fontId="39" fillId="0" borderId="15" xfId="5" applyNumberFormat="1" applyFont="1" applyFill="1" applyBorder="1" applyAlignment="1" applyProtection="1">
      <alignment horizontal="center" vertical="center" wrapText="1"/>
      <protection locked="0"/>
    </xf>
    <xf numFmtId="177" fontId="31" fillId="0" borderId="15" xfId="2" applyNumberFormat="1" applyFont="1" applyFill="1" applyBorder="1" applyAlignment="1">
      <alignment horizontal="center" vertical="center"/>
    </xf>
    <xf numFmtId="0" fontId="37" fillId="0" borderId="5" xfId="0" applyFont="1" applyFill="1" applyBorder="1" applyAlignment="1">
      <alignment horizontal="center" vertical="center" wrapText="1"/>
    </xf>
    <xf numFmtId="177" fontId="43" fillId="0" borderId="5" xfId="0" applyNumberFormat="1" applyFont="1" applyFill="1" applyBorder="1" applyAlignment="1">
      <alignment horizontal="center" vertical="center" wrapText="1"/>
    </xf>
    <xf numFmtId="57" fontId="37" fillId="0" borderId="5" xfId="0" applyNumberFormat="1" applyFont="1" applyFill="1" applyBorder="1" applyAlignment="1">
      <alignment horizontal="center" vertical="center" wrapText="1"/>
    </xf>
    <xf numFmtId="0" fontId="37" fillId="4" borderId="5" xfId="0" applyFont="1" applyFill="1" applyBorder="1" applyAlignment="1">
      <alignment horizontal="center" vertical="center" wrapText="1"/>
    </xf>
    <xf numFmtId="0" fontId="44" fillId="4" borderId="5" xfId="0" applyFont="1" applyFill="1" applyBorder="1" applyAlignment="1">
      <alignment horizontal="center" vertical="center" wrapText="1"/>
    </xf>
    <xf numFmtId="177" fontId="44" fillId="4" borderId="5" xfId="0" applyNumberFormat="1" applyFont="1" applyFill="1" applyBorder="1" applyAlignment="1">
      <alignment horizontal="center" vertical="center" wrapText="1"/>
    </xf>
    <xf numFmtId="57" fontId="35" fillId="4" borderId="5" xfId="6" applyNumberFormat="1" applyFont="1" applyFill="1" applyBorder="1" applyAlignment="1">
      <alignment horizontal="center" vertical="center" wrapText="1"/>
    </xf>
    <xf numFmtId="0" fontId="37" fillId="0" borderId="5" xfId="0" applyFont="1" applyFill="1" applyBorder="1" applyAlignment="1">
      <alignment horizontal="center" vertical="center"/>
    </xf>
    <xf numFmtId="177" fontId="31" fillId="0" borderId="5" xfId="0" applyNumberFormat="1" applyFont="1" applyFill="1" applyBorder="1" applyAlignment="1">
      <alignment horizontal="center" vertical="center" wrapText="1"/>
    </xf>
    <xf numFmtId="0" fontId="31" fillId="0" borderId="5" xfId="0" applyNumberFormat="1" applyFont="1" applyFill="1" applyBorder="1" applyAlignment="1">
      <alignment horizontal="center" vertical="center" wrapText="1"/>
    </xf>
    <xf numFmtId="0" fontId="43" fillId="0" borderId="5" xfId="0" applyFont="1" applyFill="1" applyBorder="1" applyAlignment="1">
      <alignment horizontal="center" vertical="center"/>
    </xf>
    <xf numFmtId="0" fontId="45"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0" fontId="37" fillId="0" borderId="15" xfId="0" applyFont="1" applyFill="1" applyBorder="1" applyAlignment="1">
      <alignment horizontal="center" vertical="center" wrapText="1"/>
    </xf>
    <xf numFmtId="177" fontId="43" fillId="0" borderId="5" xfId="0" applyNumberFormat="1" applyFont="1" applyFill="1" applyBorder="1" applyAlignment="1">
      <alignment horizontal="center" vertical="center"/>
    </xf>
    <xf numFmtId="49" fontId="44" fillId="0" borderId="5" xfId="0" applyNumberFormat="1" applyFont="1" applyFill="1" applyBorder="1" applyAlignment="1">
      <alignment horizontal="center" vertical="center"/>
    </xf>
    <xf numFmtId="0" fontId="46" fillId="0" borderId="15" xfId="0" applyFont="1" applyFill="1" applyBorder="1" applyAlignment="1">
      <alignment horizontal="center" vertical="center" wrapText="1"/>
    </xf>
    <xf numFmtId="0" fontId="46" fillId="0" borderId="15" xfId="0" applyNumberFormat="1" applyFont="1" applyFill="1" applyBorder="1" applyAlignment="1">
      <alignment horizontal="center" vertical="center" wrapText="1"/>
    </xf>
    <xf numFmtId="0" fontId="43" fillId="0" borderId="5" xfId="0" applyNumberFormat="1" applyFont="1" applyFill="1" applyBorder="1" applyAlignment="1">
      <alignment horizontal="center" vertical="center"/>
    </xf>
    <xf numFmtId="0" fontId="46" fillId="0" borderId="5" xfId="0" applyNumberFormat="1" applyFont="1" applyFill="1" applyBorder="1" applyAlignment="1">
      <alignment horizontal="center" vertical="center" wrapText="1"/>
    </xf>
    <xf numFmtId="0" fontId="35" fillId="0" borderId="5" xfId="6" applyFont="1" applyFill="1" applyBorder="1" applyAlignment="1">
      <alignment horizontal="center" vertical="center" wrapText="1"/>
    </xf>
    <xf numFmtId="0" fontId="31" fillId="0" borderId="20" xfId="0" applyFont="1" applyFill="1" applyBorder="1" applyAlignment="1">
      <alignment horizontal="center" vertical="center"/>
    </xf>
    <xf numFmtId="0" fontId="31" fillId="0" borderId="5" xfId="10" applyFont="1" applyFill="1" applyBorder="1" applyAlignment="1">
      <alignment horizontal="center" vertical="center" wrapText="1"/>
    </xf>
    <xf numFmtId="0" fontId="31" fillId="0" borderId="5" xfId="10" applyFont="1" applyFill="1" applyBorder="1" applyAlignment="1">
      <alignment horizontal="center" vertical="center"/>
    </xf>
    <xf numFmtId="177" fontId="31" fillId="0" borderId="5" xfId="10" applyNumberFormat="1" applyFont="1" applyFill="1" applyBorder="1" applyAlignment="1">
      <alignment horizontal="center" vertical="center"/>
    </xf>
    <xf numFmtId="0" fontId="47" fillId="0" borderId="5" xfId="0" applyFont="1" applyFill="1" applyBorder="1" applyAlignment="1">
      <alignment horizontal="center" vertical="center"/>
    </xf>
    <xf numFmtId="0" fontId="35" fillId="0" borderId="5" xfId="11" applyFont="1" applyBorder="1" applyAlignment="1">
      <alignment horizontal="center" vertical="center"/>
    </xf>
    <xf numFmtId="0" fontId="35" fillId="0" borderId="5" xfId="6" applyFont="1" applyBorder="1" applyAlignment="1">
      <alignment horizontal="center" vertical="center"/>
    </xf>
    <xf numFmtId="0" fontId="44" fillId="0" borderId="5" xfId="0" applyFont="1" applyFill="1" applyBorder="1" applyAlignment="1">
      <alignment horizontal="center" vertical="center"/>
    </xf>
    <xf numFmtId="177" fontId="31" fillId="0" borderId="11" xfId="0" applyNumberFormat="1" applyFont="1" applyFill="1" applyBorder="1" applyAlignment="1">
      <alignment horizontal="center" vertical="center"/>
    </xf>
    <xf numFmtId="183" fontId="49" fillId="0" borderId="5" xfId="0" applyNumberFormat="1" applyFont="1" applyFill="1" applyBorder="1" applyAlignment="1">
      <alignment horizontal="center" vertical="center" wrapText="1"/>
    </xf>
    <xf numFmtId="176" fontId="39" fillId="0" borderId="5" xfId="4" applyNumberFormat="1" applyFont="1" applyFill="1" applyBorder="1" applyAlignment="1" applyProtection="1">
      <alignment horizontal="center" vertical="center" wrapText="1"/>
      <protection locked="0"/>
    </xf>
    <xf numFmtId="0" fontId="43" fillId="0" borderId="5" xfId="2" applyNumberFormat="1" applyFont="1" applyFill="1" applyBorder="1" applyAlignment="1">
      <alignment horizontal="center" vertical="center" wrapText="1"/>
    </xf>
    <xf numFmtId="0" fontId="43" fillId="0" borderId="5" xfId="2" applyNumberFormat="1" applyFont="1" applyFill="1" applyBorder="1" applyAlignment="1">
      <alignment horizontal="center" vertical="center"/>
    </xf>
    <xf numFmtId="0" fontId="44" fillId="0" borderId="5" xfId="0" applyFont="1" applyFill="1" applyBorder="1" applyAlignment="1">
      <alignment horizontal="center" vertical="center" wrapText="1"/>
    </xf>
    <xf numFmtId="177" fontId="43" fillId="0" borderId="5" xfId="2" applyNumberFormat="1" applyFont="1" applyFill="1" applyBorder="1" applyAlignment="1">
      <alignment horizontal="center" vertical="center" wrapText="1"/>
    </xf>
    <xf numFmtId="49" fontId="43" fillId="0" borderId="5" xfId="2" applyNumberFormat="1" applyFont="1" applyFill="1" applyBorder="1" applyAlignment="1">
      <alignment horizontal="center" vertical="center" wrapText="1"/>
    </xf>
    <xf numFmtId="0" fontId="50" fillId="4" borderId="5" xfId="0" applyFont="1" applyFill="1" applyBorder="1" applyAlignment="1">
      <alignment horizontal="center"/>
    </xf>
    <xf numFmtId="177" fontId="50" fillId="4" borderId="5" xfId="0" applyNumberFormat="1" applyFont="1" applyFill="1" applyBorder="1" applyAlignment="1">
      <alignment horizontal="center"/>
    </xf>
    <xf numFmtId="179" fontId="31" fillId="0" borderId="5" xfId="2" applyNumberFormat="1" applyFont="1" applyFill="1" applyBorder="1" applyAlignment="1">
      <alignment horizontal="center" vertical="center" wrapText="1"/>
    </xf>
    <xf numFmtId="0" fontId="50" fillId="4" borderId="5" xfId="0" applyFont="1" applyFill="1" applyBorder="1" applyAlignment="1">
      <alignment horizontal="center" vertical="center"/>
    </xf>
    <xf numFmtId="0" fontId="50" fillId="4" borderId="20" xfId="0" applyFont="1" applyFill="1" applyBorder="1" applyAlignment="1">
      <alignment horizontal="center" vertical="center"/>
    </xf>
    <xf numFmtId="177" fontId="31" fillId="0" borderId="20" xfId="2" applyNumberFormat="1" applyFont="1" applyFill="1" applyBorder="1" applyAlignment="1">
      <alignment horizontal="center" vertical="center" wrapText="1"/>
    </xf>
    <xf numFmtId="177" fontId="31" fillId="0" borderId="20" xfId="0" applyNumberFormat="1" applyFont="1" applyFill="1" applyBorder="1" applyAlignment="1">
      <alignment horizontal="center" vertical="center" wrapText="1"/>
    </xf>
    <xf numFmtId="179" fontId="31" fillId="0" borderId="20" xfId="2" applyNumberFormat="1" applyFont="1" applyFill="1" applyBorder="1" applyAlignment="1">
      <alignment horizontal="center" vertical="center" wrapText="1"/>
    </xf>
    <xf numFmtId="0" fontId="31" fillId="0" borderId="20" xfId="2" applyNumberFormat="1" applyFont="1" applyFill="1" applyBorder="1" applyAlignment="1">
      <alignment horizontal="center" vertical="center"/>
    </xf>
    <xf numFmtId="0" fontId="31" fillId="0" borderId="25" xfId="2" applyNumberFormat="1" applyFont="1" applyFill="1" applyBorder="1" applyAlignment="1">
      <alignment horizontal="center" vertical="center" wrapText="1"/>
    </xf>
    <xf numFmtId="177" fontId="51" fillId="0" borderId="5" xfId="0" applyNumberFormat="1" applyFont="1" applyFill="1" applyBorder="1" applyAlignment="1">
      <alignment horizontal="center" vertical="center" wrapText="1"/>
    </xf>
    <xf numFmtId="49" fontId="39" fillId="0" borderId="5" xfId="4" applyNumberFormat="1" applyFont="1" applyFill="1" applyBorder="1" applyAlignment="1" applyProtection="1">
      <alignment horizontal="center" vertical="center" wrapText="1"/>
      <protection locked="0"/>
    </xf>
    <xf numFmtId="176" fontId="39" fillId="0" borderId="11" xfId="4" applyNumberFormat="1" applyFont="1" applyFill="1" applyBorder="1" applyAlignment="1" applyProtection="1">
      <alignment horizontal="center" vertical="center" wrapText="1"/>
      <protection locked="0"/>
    </xf>
    <xf numFmtId="0" fontId="52" fillId="4" borderId="5" xfId="0" applyFont="1" applyFill="1" applyBorder="1" applyAlignment="1">
      <alignment horizontal="center" vertical="center" wrapText="1"/>
    </xf>
    <xf numFmtId="0" fontId="43" fillId="4" borderId="5" xfId="2" applyNumberFormat="1" applyFont="1" applyFill="1" applyBorder="1" applyAlignment="1">
      <alignment horizontal="center" vertical="center" wrapText="1"/>
    </xf>
    <xf numFmtId="0" fontId="39" fillId="0" borderId="27" xfId="0" applyFont="1" applyFill="1" applyBorder="1" applyAlignment="1" applyProtection="1">
      <alignment horizontal="center" vertical="center" wrapText="1"/>
    </xf>
    <xf numFmtId="176" fontId="50" fillId="4" borderId="5" xfId="0" applyNumberFormat="1" applyFont="1" applyFill="1" applyBorder="1" applyAlignment="1" applyProtection="1">
      <alignment horizontal="center" vertical="center" wrapText="1"/>
      <protection locked="0"/>
    </xf>
    <xf numFmtId="0" fontId="53" fillId="0" borderId="5" xfId="0" applyFont="1" applyFill="1" applyBorder="1" applyAlignment="1">
      <alignment horizontal="center" vertical="center"/>
    </xf>
    <xf numFmtId="0" fontId="43" fillId="4" borderId="5" xfId="2" applyNumberFormat="1" applyFont="1" applyFill="1" applyBorder="1" applyAlignment="1">
      <alignment horizontal="center" vertical="center"/>
    </xf>
    <xf numFmtId="0" fontId="43" fillId="4" borderId="5" xfId="0" applyFont="1" applyFill="1" applyBorder="1" applyAlignment="1">
      <alignment horizontal="center" vertical="center" wrapText="1"/>
    </xf>
    <xf numFmtId="0" fontId="31" fillId="4" borderId="5" xfId="2" applyNumberFormat="1" applyFont="1" applyFill="1" applyBorder="1" applyAlignment="1">
      <alignment horizontal="center" vertical="center" wrapText="1"/>
    </xf>
    <xf numFmtId="0" fontId="53" fillId="4" borderId="5" xfId="0" applyFont="1" applyFill="1" applyBorder="1" applyAlignment="1">
      <alignment horizontal="center" vertical="center" wrapText="1" shrinkToFit="1"/>
    </xf>
    <xf numFmtId="0" fontId="54" fillId="0" borderId="5" xfId="0" applyNumberFormat="1" applyFont="1" applyFill="1" applyBorder="1" applyAlignment="1">
      <alignment horizontal="center" vertical="center"/>
    </xf>
    <xf numFmtId="0" fontId="53" fillId="0" borderId="5" xfId="0" applyFont="1" applyFill="1" applyBorder="1" applyAlignment="1">
      <alignment horizontal="center" vertical="center" wrapText="1" shrinkToFit="1"/>
    </xf>
    <xf numFmtId="0" fontId="43" fillId="4" borderId="5" xfId="0" applyFont="1" applyFill="1" applyBorder="1" applyAlignment="1">
      <alignment horizontal="center" vertical="center"/>
    </xf>
    <xf numFmtId="0" fontId="55" fillId="4" borderId="5" xfId="0" applyFont="1" applyFill="1" applyBorder="1" applyAlignment="1">
      <alignment horizontal="center" vertical="center" wrapText="1"/>
    </xf>
    <xf numFmtId="0" fontId="56" fillId="4" borderId="5" xfId="0" applyFont="1" applyFill="1" applyBorder="1" applyAlignment="1">
      <alignment horizontal="center" vertical="center"/>
    </xf>
    <xf numFmtId="0" fontId="57" fillId="4" borderId="5" xfId="0" applyFont="1" applyFill="1" applyBorder="1" applyAlignment="1">
      <alignment horizontal="center" vertical="center" wrapText="1"/>
    </xf>
    <xf numFmtId="0" fontId="58" fillId="4" borderId="5" xfId="0" applyFont="1" applyFill="1" applyBorder="1" applyAlignment="1">
      <alignment horizontal="center" vertical="center" wrapText="1"/>
    </xf>
    <xf numFmtId="0" fontId="56" fillId="4" borderId="5" xfId="0" applyNumberFormat="1" applyFont="1" applyFill="1" applyBorder="1" applyAlignment="1">
      <alignment horizontal="center" vertical="center"/>
    </xf>
    <xf numFmtId="0" fontId="59" fillId="4" borderId="5" xfId="0" applyFont="1" applyFill="1" applyBorder="1" applyAlignment="1">
      <alignment horizontal="center" vertical="center"/>
    </xf>
    <xf numFmtId="0" fontId="60" fillId="4" borderId="5" xfId="0" applyFont="1" applyFill="1" applyBorder="1" applyAlignment="1">
      <alignment horizontal="center" vertical="center" wrapText="1"/>
    </xf>
    <xf numFmtId="0" fontId="61" fillId="4" borderId="5" xfId="0" applyFont="1" applyFill="1" applyBorder="1" applyAlignment="1">
      <alignment horizontal="center" vertical="center"/>
    </xf>
    <xf numFmtId="0" fontId="42" fillId="4" borderId="5" xfId="0" applyFont="1" applyFill="1" applyBorder="1" applyAlignment="1">
      <alignment horizontal="center" vertical="center" wrapText="1"/>
    </xf>
    <xf numFmtId="0" fontId="39" fillId="0" borderId="5" xfId="0" applyFont="1" applyFill="1" applyBorder="1" applyAlignment="1" applyProtection="1">
      <alignment horizontal="center" vertical="center" wrapText="1"/>
    </xf>
    <xf numFmtId="0" fontId="39" fillId="4" borderId="5" xfId="2" applyNumberFormat="1" applyFont="1" applyFill="1" applyBorder="1" applyAlignment="1">
      <alignment horizontal="center" vertical="center" wrapText="1"/>
    </xf>
    <xf numFmtId="176" fontId="39" fillId="4" borderId="5" xfId="0" applyNumberFormat="1" applyFont="1" applyFill="1" applyBorder="1" applyAlignment="1" applyProtection="1">
      <alignment horizontal="center" vertical="center" wrapText="1"/>
      <protection locked="0"/>
    </xf>
    <xf numFmtId="0" fontId="49" fillId="0" borderId="5" xfId="0" applyFont="1" applyFill="1" applyBorder="1" applyAlignment="1">
      <alignment horizontal="center" vertical="center"/>
    </xf>
    <xf numFmtId="0" fontId="39" fillId="4" borderId="5" xfId="2" applyNumberFormat="1" applyFont="1" applyFill="1" applyBorder="1" applyAlignment="1">
      <alignment horizontal="center" vertical="center"/>
    </xf>
    <xf numFmtId="0" fontId="39" fillId="4" borderId="5" xfId="0" applyFont="1" applyFill="1" applyBorder="1" applyAlignment="1">
      <alignment horizontal="center" vertical="center"/>
    </xf>
    <xf numFmtId="0" fontId="49" fillId="4" borderId="5" xfId="0" applyFont="1" applyFill="1" applyBorder="1" applyAlignment="1">
      <alignment horizontal="center" vertical="center" wrapText="1" shrinkToFit="1"/>
    </xf>
    <xf numFmtId="0" fontId="49" fillId="0" borderId="5" xfId="0" applyNumberFormat="1" applyFont="1" applyFill="1" applyBorder="1" applyAlignment="1">
      <alignment horizontal="center" vertical="center"/>
    </xf>
    <xf numFmtId="0" fontId="32" fillId="4" borderId="5" xfId="2" applyNumberFormat="1" applyFont="1" applyFill="1" applyBorder="1" applyAlignment="1">
      <alignment horizontal="center" vertical="center" wrapText="1"/>
    </xf>
    <xf numFmtId="0" fontId="32" fillId="4" borderId="5" xfId="2" applyNumberFormat="1" applyFont="1" applyFill="1" applyBorder="1" applyAlignment="1">
      <alignment horizontal="center" vertical="center"/>
    </xf>
    <xf numFmtId="0" fontId="32" fillId="0" borderId="5" xfId="2" applyNumberFormat="1" applyFont="1" applyFill="1" applyBorder="1" applyAlignment="1">
      <alignment horizontal="center" vertical="center" wrapText="1"/>
    </xf>
    <xf numFmtId="0" fontId="43" fillId="0" borderId="5" xfId="0" applyFont="1" applyFill="1" applyBorder="1" applyAlignment="1">
      <alignment horizontal="center" vertical="center" wrapText="1"/>
    </xf>
    <xf numFmtId="0" fontId="43" fillId="4" borderId="5" xfId="0" applyFont="1" applyFill="1" applyBorder="1" applyAlignment="1">
      <alignment horizontal="center" vertical="center" wrapText="1" shrinkToFit="1"/>
    </xf>
    <xf numFmtId="0" fontId="43" fillId="0" borderId="5" xfId="0" applyFont="1" applyFill="1" applyBorder="1" applyAlignment="1">
      <alignment horizontal="center" vertical="center" wrapText="1" shrinkToFit="1"/>
    </xf>
    <xf numFmtId="0" fontId="43" fillId="0" borderId="28" xfId="0" applyFont="1" applyFill="1" applyBorder="1" applyAlignment="1" applyProtection="1">
      <alignment horizontal="center" vertical="center" wrapText="1"/>
    </xf>
    <xf numFmtId="176" fontId="43" fillId="4" borderId="5" xfId="0" applyNumberFormat="1" applyFont="1" applyFill="1" applyBorder="1" applyAlignment="1" applyProtection="1">
      <alignment horizontal="center" vertical="center" wrapText="1"/>
      <protection locked="0"/>
    </xf>
    <xf numFmtId="0" fontId="44" fillId="0" borderId="15" xfId="0" applyFont="1" applyFill="1" applyBorder="1" applyAlignment="1">
      <alignment vertical="center" wrapText="1"/>
    </xf>
    <xf numFmtId="0" fontId="53" fillId="0" borderId="11" xfId="0" applyFont="1" applyFill="1" applyBorder="1" applyAlignment="1">
      <alignment horizontal="center" vertical="center" wrapText="1" shrinkToFit="1"/>
    </xf>
    <xf numFmtId="0" fontId="31" fillId="4" borderId="20" xfId="2" applyNumberFormat="1" applyFont="1" applyFill="1" applyBorder="1" applyAlignment="1">
      <alignment horizontal="center" vertical="center" wrapText="1"/>
    </xf>
    <xf numFmtId="0" fontId="24" fillId="4" borderId="5" xfId="0" applyFont="1" applyFill="1" applyBorder="1" applyAlignment="1"/>
    <xf numFmtId="176" fontId="42" fillId="4" borderId="5" xfId="9" applyNumberFormat="1" applyFont="1" applyFill="1" applyBorder="1" applyAlignment="1" applyProtection="1">
      <alignment horizontal="center" vertical="center" wrapText="1"/>
      <protection locked="0"/>
    </xf>
    <xf numFmtId="0" fontId="31" fillId="4" borderId="5" xfId="2" applyNumberFormat="1" applyFont="1" applyFill="1" applyBorder="1" applyAlignment="1">
      <alignment horizontal="center" vertical="center"/>
    </xf>
    <xf numFmtId="0" fontId="31" fillId="4" borderId="11" xfId="2" applyNumberFormat="1" applyFont="1" applyFill="1" applyBorder="1" applyAlignment="1">
      <alignment horizontal="center" vertical="center" wrapText="1"/>
    </xf>
    <xf numFmtId="0" fontId="31" fillId="4" borderId="5" xfId="0" applyFont="1" applyFill="1" applyBorder="1" applyAlignment="1">
      <alignment horizontal="center" vertical="center"/>
    </xf>
    <xf numFmtId="0" fontId="39" fillId="0" borderId="5" xfId="0" applyFont="1" applyBorder="1" applyAlignment="1">
      <alignment horizontal="center" vertical="center" wrapText="1"/>
    </xf>
    <xf numFmtId="0" fontId="39" fillId="0" borderId="5" xfId="0" applyFont="1" applyBorder="1" applyAlignment="1">
      <alignment horizontal="center" vertical="center"/>
    </xf>
    <xf numFmtId="177" fontId="39" fillId="0" borderId="5" xfId="0" applyNumberFormat="1" applyFont="1" applyBorder="1" applyAlignment="1">
      <alignment horizontal="center" vertical="center"/>
    </xf>
    <xf numFmtId="0" fontId="62" fillId="0" borderId="5" xfId="0" applyFont="1" applyFill="1" applyBorder="1" applyAlignment="1">
      <alignment horizontal="center" vertical="center"/>
    </xf>
    <xf numFmtId="57" fontId="31" fillId="0" borderId="5" xfId="2" applyNumberFormat="1" applyFont="1" applyFill="1" applyBorder="1" applyAlignment="1">
      <alignment horizontal="center" vertical="center" wrapText="1"/>
    </xf>
    <xf numFmtId="0" fontId="47" fillId="0" borderId="5" xfId="6" applyFont="1" applyBorder="1" applyAlignment="1">
      <alignment horizontal="center" vertical="center" wrapText="1"/>
    </xf>
    <xf numFmtId="0" fontId="34" fillId="0" borderId="5" xfId="2" applyNumberFormat="1" applyFont="1" applyFill="1" applyBorder="1" applyAlignment="1">
      <alignment horizontal="center" vertical="center"/>
    </xf>
    <xf numFmtId="0" fontId="43" fillId="0" borderId="5" xfId="0" applyNumberFormat="1" applyFont="1" applyFill="1" applyBorder="1" applyAlignment="1">
      <alignment horizontal="center" vertical="center" wrapText="1"/>
    </xf>
    <xf numFmtId="0" fontId="63" fillId="0" borderId="5" xfId="6" applyFont="1" applyFill="1" applyBorder="1" applyAlignment="1">
      <alignment horizontal="center" vertical="center" wrapText="1"/>
    </xf>
    <xf numFmtId="0" fontId="63" fillId="0" borderId="5" xfId="6" applyFont="1" applyFill="1" applyBorder="1" applyAlignment="1">
      <alignment horizontal="center" vertical="center"/>
    </xf>
    <xf numFmtId="0" fontId="31" fillId="0" borderId="5" xfId="6" applyFont="1" applyFill="1" applyBorder="1" applyAlignment="1">
      <alignment horizontal="center" vertical="center" wrapText="1"/>
    </xf>
    <xf numFmtId="0" fontId="31" fillId="0" borderId="20" xfId="6" applyFont="1" applyFill="1" applyBorder="1" applyAlignment="1">
      <alignment horizontal="center" vertical="center" wrapText="1"/>
    </xf>
    <xf numFmtId="0" fontId="63" fillId="0" borderId="20" xfId="6" applyFont="1" applyFill="1" applyBorder="1" applyAlignment="1">
      <alignment horizontal="center" vertical="center" wrapText="1"/>
    </xf>
    <xf numFmtId="0" fontId="31" fillId="0" borderId="5" xfId="6" applyFont="1" applyFill="1" applyBorder="1" applyAlignment="1">
      <alignment vertical="center"/>
    </xf>
    <xf numFmtId="0" fontId="64" fillId="0" borderId="5" xfId="10" applyFont="1" applyFill="1" applyBorder="1" applyAlignment="1">
      <alignment horizontal="center" vertical="center"/>
    </xf>
    <xf numFmtId="0" fontId="37" fillId="0" borderId="0" xfId="0" applyFont="1" applyFill="1" applyAlignment="1">
      <alignment horizontal="center" vertical="center"/>
    </xf>
    <xf numFmtId="0" fontId="35" fillId="0" borderId="5" xfId="10" applyFont="1" applyFill="1" applyBorder="1" applyAlignment="1">
      <alignment horizontal="center" vertical="center"/>
    </xf>
    <xf numFmtId="49" fontId="35" fillId="0" borderId="15" xfId="10" applyNumberFormat="1" applyFont="1" applyFill="1" applyBorder="1" applyAlignment="1">
      <alignment horizontal="center" vertical="center"/>
    </xf>
    <xf numFmtId="0" fontId="31" fillId="0" borderId="29" xfId="0" applyFont="1" applyFill="1" applyBorder="1" applyAlignment="1">
      <alignment horizontal="center" vertical="center"/>
    </xf>
    <xf numFmtId="0" fontId="65" fillId="0" borderId="5" xfId="10" applyFont="1" applyFill="1" applyBorder="1" applyAlignment="1">
      <alignment horizontal="center" vertical="center"/>
    </xf>
    <xf numFmtId="0" fontId="47" fillId="0" borderId="5" xfId="10" applyFont="1" applyFill="1" applyBorder="1" applyAlignment="1">
      <alignment horizontal="center" vertical="center"/>
    </xf>
    <xf numFmtId="177" fontId="31" fillId="0" borderId="15" xfId="0" applyNumberFormat="1" applyFont="1" applyFill="1" applyBorder="1" applyAlignment="1">
      <alignment horizontal="center" vertical="center" wrapText="1"/>
    </xf>
    <xf numFmtId="49" fontId="47" fillId="0" borderId="15" xfId="10" applyNumberFormat="1" applyFont="1" applyFill="1" applyBorder="1" applyAlignment="1">
      <alignment horizontal="center" vertical="center"/>
    </xf>
    <xf numFmtId="0" fontId="49" fillId="0" borderId="0" xfId="0" applyFont="1" applyFill="1" applyAlignment="1">
      <alignment horizontal="center" vertical="center"/>
    </xf>
    <xf numFmtId="0" fontId="31" fillId="0" borderId="23" xfId="2" applyNumberFormat="1" applyFont="1" applyFill="1" applyBorder="1" applyAlignment="1">
      <alignment horizontal="center" vertical="center" wrapText="1"/>
    </xf>
    <xf numFmtId="0" fontId="35" fillId="0" borderId="23" xfId="10" applyFont="1" applyFill="1" applyBorder="1" applyAlignment="1">
      <alignment horizontal="center" vertical="center"/>
    </xf>
    <xf numFmtId="0" fontId="35" fillId="0" borderId="24" xfId="10" applyFont="1" applyFill="1" applyBorder="1" applyAlignment="1">
      <alignment horizontal="center" vertical="center" wrapText="1"/>
    </xf>
    <xf numFmtId="177" fontId="47" fillId="0" borderId="5" xfId="6" applyNumberFormat="1" applyFont="1" applyFill="1" applyBorder="1" applyAlignment="1">
      <alignment horizontal="center" vertical="center" wrapText="1"/>
    </xf>
    <xf numFmtId="2" fontId="35" fillId="0" borderId="5" xfId="10" applyNumberFormat="1" applyFont="1" applyFill="1" applyBorder="1" applyAlignment="1">
      <alignment horizontal="center" vertical="center"/>
    </xf>
    <xf numFmtId="0" fontId="35" fillId="0" borderId="5" xfId="0" applyFont="1" applyFill="1" applyBorder="1" applyAlignment="1">
      <alignment horizontal="center" vertical="center"/>
    </xf>
    <xf numFmtId="0" fontId="47" fillId="0" borderId="29" xfId="0" applyFont="1" applyFill="1" applyBorder="1" applyAlignment="1">
      <alignment horizontal="center" vertical="center"/>
    </xf>
    <xf numFmtId="176" fontId="43" fillId="0" borderId="5" xfId="0" applyNumberFormat="1" applyFont="1" applyFill="1" applyBorder="1" applyAlignment="1">
      <alignment horizontal="center" vertical="center"/>
    </xf>
    <xf numFmtId="2" fontId="43" fillId="0" borderId="29" xfId="0" applyNumberFormat="1" applyFont="1" applyFill="1" applyBorder="1" applyAlignment="1">
      <alignment horizontal="center" vertical="center"/>
    </xf>
    <xf numFmtId="2" fontId="44" fillId="0" borderId="5" xfId="0" applyNumberFormat="1" applyFont="1" applyFill="1" applyBorder="1" applyAlignment="1">
      <alignment horizontal="center" vertical="center" wrapText="1"/>
    </xf>
    <xf numFmtId="0" fontId="44" fillId="0" borderId="11" xfId="0" applyFont="1" applyFill="1" applyBorder="1" applyAlignment="1">
      <alignment horizontal="center" vertical="center" wrapText="1"/>
    </xf>
    <xf numFmtId="2" fontId="44" fillId="0" borderId="29" xfId="0" applyNumberFormat="1" applyFont="1" applyFill="1" applyBorder="1" applyAlignment="1">
      <alignment horizontal="center" vertical="center" wrapText="1"/>
    </xf>
    <xf numFmtId="176" fontId="43" fillId="0" borderId="15" xfId="0" applyNumberFormat="1" applyFont="1" applyFill="1" applyBorder="1" applyAlignment="1">
      <alignment horizontal="center" vertical="center"/>
    </xf>
    <xf numFmtId="177" fontId="66" fillId="0" borderId="5" xfId="0" applyNumberFormat="1" applyFont="1" applyFill="1" applyBorder="1" applyAlignment="1">
      <alignment horizontal="center" vertical="center" wrapText="1"/>
    </xf>
    <xf numFmtId="2" fontId="44" fillId="4" borderId="5" xfId="0" applyNumberFormat="1" applyFont="1" applyFill="1" applyBorder="1" applyAlignment="1">
      <alignment horizontal="center" vertical="center" wrapText="1"/>
    </xf>
    <xf numFmtId="0" fontId="43" fillId="4" borderId="15" xfId="0" applyFont="1" applyFill="1" applyBorder="1" applyAlignment="1">
      <alignment horizontal="center" vertical="center"/>
    </xf>
    <xf numFmtId="0" fontId="44" fillId="4" borderId="11" xfId="0" applyFont="1" applyFill="1" applyBorder="1" applyAlignment="1">
      <alignment horizontal="center" vertical="center" wrapText="1"/>
    </xf>
    <xf numFmtId="0" fontId="44" fillId="0" borderId="23" xfId="0" applyFont="1" applyFill="1" applyBorder="1" applyAlignment="1">
      <alignment horizontal="center" vertical="center" wrapText="1"/>
    </xf>
    <xf numFmtId="177" fontId="44" fillId="0" borderId="5" xfId="0" applyNumberFormat="1" applyFont="1" applyFill="1" applyBorder="1" applyAlignment="1">
      <alignment horizontal="center" vertical="center" wrapText="1"/>
    </xf>
    <xf numFmtId="177" fontId="43" fillId="0" borderId="30" xfId="0" applyNumberFormat="1" applyFont="1" applyFill="1" applyBorder="1" applyAlignment="1">
      <alignment horizontal="center" vertical="center"/>
    </xf>
    <xf numFmtId="0" fontId="44" fillId="0" borderId="20" xfId="0" applyFont="1" applyFill="1" applyBorder="1" applyAlignment="1">
      <alignment horizontal="center" vertical="center" wrapText="1"/>
    </xf>
    <xf numFmtId="177" fontId="47" fillId="0" borderId="29" xfId="0" applyNumberFormat="1" applyFont="1" applyFill="1" applyBorder="1" applyAlignment="1">
      <alignment horizontal="center" vertical="center"/>
    </xf>
    <xf numFmtId="0" fontId="31" fillId="0" borderId="15" xfId="0" applyFont="1" applyFill="1" applyBorder="1" applyAlignment="1">
      <alignment horizontal="center" vertical="center" wrapText="1"/>
    </xf>
    <xf numFmtId="0" fontId="67" fillId="4" borderId="5" xfId="0" applyFont="1" applyFill="1" applyBorder="1" applyAlignment="1">
      <alignment horizontal="center" vertical="center" shrinkToFit="1"/>
    </xf>
    <xf numFmtId="0" fontId="67" fillId="4" borderId="5" xfId="0" applyFont="1" applyFill="1" applyBorder="1" applyAlignment="1">
      <alignment horizontal="center" vertical="center"/>
    </xf>
    <xf numFmtId="0" fontId="68" fillId="0" borderId="5" xfId="12" applyNumberFormat="1" applyFont="1" applyFill="1" applyBorder="1" applyAlignment="1">
      <alignment vertical="center" wrapText="1"/>
    </xf>
    <xf numFmtId="31" fontId="31" fillId="0" borderId="5" xfId="2" applyNumberFormat="1" applyFont="1" applyFill="1" applyBorder="1" applyAlignment="1">
      <alignment horizontal="center" vertical="center" wrapText="1"/>
    </xf>
    <xf numFmtId="0" fontId="31" fillId="0" borderId="15" xfId="2" applyNumberFormat="1" applyFont="1" applyFill="1" applyBorder="1" applyAlignment="1">
      <alignment horizontal="center" vertical="center"/>
    </xf>
    <xf numFmtId="0" fontId="44" fillId="0" borderId="5" xfId="0" applyFont="1" applyFill="1" applyBorder="1" applyAlignment="1">
      <alignment horizontal="center" vertical="center" shrinkToFit="1"/>
    </xf>
    <xf numFmtId="0" fontId="44" fillId="4" borderId="5" xfId="0" applyNumberFormat="1" applyFont="1" applyFill="1" applyBorder="1" applyAlignment="1">
      <alignment horizontal="center" vertical="center" wrapText="1"/>
    </xf>
    <xf numFmtId="0" fontId="37" fillId="4" borderId="5" xfId="0" applyNumberFormat="1" applyFont="1" applyFill="1" applyBorder="1" applyAlignment="1">
      <alignment horizontal="center" vertical="center" wrapText="1"/>
    </xf>
    <xf numFmtId="0" fontId="37" fillId="0" borderId="5" xfId="0" applyNumberFormat="1" applyFont="1" applyFill="1" applyBorder="1" applyAlignment="1">
      <alignment horizontal="center" vertical="center" wrapText="1"/>
    </xf>
    <xf numFmtId="0" fontId="35" fillId="0" borderId="5" xfId="0" applyNumberFormat="1" applyFont="1" applyFill="1" applyBorder="1" applyAlignment="1">
      <alignment horizontal="center" vertical="center"/>
    </xf>
    <xf numFmtId="0" fontId="35" fillId="0" borderId="5" xfId="6" applyNumberFormat="1" applyFont="1" applyFill="1" applyBorder="1" applyAlignment="1">
      <alignment horizontal="center" vertical="center" wrapText="1"/>
    </xf>
    <xf numFmtId="177" fontId="35" fillId="0" borderId="5" xfId="0" applyNumberFormat="1" applyFont="1" applyFill="1" applyBorder="1" applyAlignment="1">
      <alignment horizontal="center" vertical="center"/>
    </xf>
    <xf numFmtId="177" fontId="69" fillId="0" borderId="5" xfId="0" applyNumberFormat="1" applyFont="1" applyFill="1" applyBorder="1" applyAlignment="1">
      <alignment horizontal="center" vertical="center" wrapText="1"/>
    </xf>
    <xf numFmtId="0" fontId="70" fillId="0" borderId="5" xfId="0" applyFont="1" applyFill="1" applyBorder="1" applyAlignment="1">
      <alignment horizontal="center" vertical="center" wrapText="1"/>
    </xf>
    <xf numFmtId="0" fontId="44" fillId="0" borderId="5" xfId="0" applyNumberFormat="1" applyFont="1" applyFill="1" applyBorder="1" applyAlignment="1">
      <alignment horizontal="center" vertical="center" wrapText="1"/>
    </xf>
    <xf numFmtId="0" fontId="70" fillId="0" borderId="5" xfId="0" applyNumberFormat="1" applyFont="1" applyFill="1" applyBorder="1" applyAlignment="1">
      <alignment horizontal="center" vertical="center" wrapText="1"/>
    </xf>
    <xf numFmtId="177" fontId="31" fillId="0" borderId="5" xfId="13" applyNumberFormat="1" applyFont="1" applyFill="1" applyBorder="1" applyAlignment="1">
      <alignment horizontal="center" vertical="center" shrinkToFit="1"/>
    </xf>
    <xf numFmtId="0" fontId="62" fillId="0" borderId="5" xfId="0" applyFont="1" applyFill="1" applyBorder="1" applyAlignment="1">
      <alignment horizontal="center" vertical="center" wrapText="1"/>
    </xf>
    <xf numFmtId="0" fontId="50" fillId="4" borderId="5" xfId="0" applyFont="1" applyFill="1" applyBorder="1" applyAlignment="1">
      <alignment horizontal="center" vertical="center" wrapText="1"/>
    </xf>
    <xf numFmtId="0" fontId="50" fillId="4" borderId="5" xfId="0" applyNumberFormat="1" applyFont="1" applyFill="1" applyBorder="1" applyAlignment="1">
      <alignment horizontal="center" vertical="center" wrapText="1"/>
    </xf>
    <xf numFmtId="0" fontId="62" fillId="0" borderId="5" xfId="0" applyNumberFormat="1" applyFont="1" applyFill="1" applyBorder="1" applyAlignment="1">
      <alignment horizontal="center" vertical="center" wrapText="1"/>
    </xf>
    <xf numFmtId="57" fontId="31" fillId="0" borderId="20" xfId="2" applyNumberFormat="1" applyFont="1" applyFill="1" applyBorder="1" applyAlignment="1">
      <alignment horizontal="center" vertical="center" wrapText="1"/>
    </xf>
    <xf numFmtId="0" fontId="37" fillId="0" borderId="11" xfId="0" applyNumberFormat="1" applyFont="1" applyFill="1" applyBorder="1" applyAlignment="1">
      <alignment horizontal="center" vertical="center" wrapText="1"/>
    </xf>
    <xf numFmtId="0" fontId="31" fillId="0" borderId="5" xfId="0" applyNumberFormat="1" applyFont="1" applyFill="1" applyBorder="1" applyAlignment="1">
      <alignment horizontal="center" vertical="center"/>
    </xf>
    <xf numFmtId="0" fontId="43" fillId="0" borderId="11" xfId="0" applyFont="1" applyFill="1" applyBorder="1" applyAlignment="1">
      <alignment horizontal="center" vertical="center"/>
    </xf>
    <xf numFmtId="0" fontId="0" fillId="0" borderId="5" xfId="0" applyFill="1" applyBorder="1" applyAlignment="1">
      <alignment horizontal="center" vertical="center"/>
    </xf>
    <xf numFmtId="0" fontId="72" fillId="0" borderId="5" xfId="0" applyNumberFormat="1" applyFont="1" applyFill="1" applyBorder="1" applyAlignment="1">
      <alignment horizontal="center" vertical="center" wrapText="1"/>
    </xf>
    <xf numFmtId="0" fontId="72" fillId="0" borderId="5" xfId="2" applyNumberFormat="1" applyFont="1" applyFill="1" applyBorder="1" applyAlignment="1">
      <alignment horizontal="center" vertical="center" wrapText="1"/>
    </xf>
    <xf numFmtId="0" fontId="72" fillId="0" borderId="11" xfId="2" applyNumberFormat="1" applyFont="1" applyFill="1" applyBorder="1" applyAlignment="1">
      <alignment horizontal="center" vertical="center" wrapText="1"/>
    </xf>
    <xf numFmtId="4" fontId="31" fillId="4" borderId="5" xfId="2" applyNumberFormat="1" applyFont="1" applyFill="1" applyBorder="1" applyAlignment="1">
      <alignment horizontal="center" vertical="center" wrapText="1"/>
    </xf>
    <xf numFmtId="0" fontId="0" fillId="0" borderId="5" xfId="0" applyBorder="1" applyAlignment="1">
      <alignment horizontal="center" vertical="center"/>
    </xf>
    <xf numFmtId="0" fontId="50" fillId="0" borderId="5" xfId="0" applyNumberFormat="1" applyFont="1" applyFill="1" applyBorder="1" applyAlignment="1">
      <alignment horizontal="center" vertical="center" wrapText="1"/>
    </xf>
    <xf numFmtId="0" fontId="63" fillId="0" borderId="5" xfId="6" applyFont="1" applyFill="1" applyBorder="1" applyAlignment="1">
      <alignment vertical="center"/>
    </xf>
    <xf numFmtId="0" fontId="49" fillId="0" borderId="20" xfId="0" applyFont="1" applyFill="1" applyBorder="1" applyAlignment="1">
      <alignment horizontal="center" vertical="center"/>
    </xf>
    <xf numFmtId="0" fontId="47" fillId="0" borderId="20" xfId="10" applyFont="1" applyFill="1" applyBorder="1" applyAlignment="1">
      <alignment horizontal="center" vertical="center"/>
    </xf>
    <xf numFmtId="0" fontId="0" fillId="0" borderId="0" xfId="0" applyFill="1">
      <alignment vertical="center"/>
    </xf>
    <xf numFmtId="0" fontId="24" fillId="0" borderId="0" xfId="0" applyFont="1" applyFill="1" applyAlignment="1">
      <alignment horizontal="center"/>
    </xf>
    <xf numFmtId="49" fontId="34" fillId="0" borderId="5" xfId="2" applyNumberFormat="1" applyFont="1" applyFill="1" applyBorder="1" applyAlignment="1">
      <alignment horizontal="center" vertical="center"/>
    </xf>
    <xf numFmtId="177" fontId="34" fillId="0" borderId="5" xfId="2" applyNumberFormat="1" applyFont="1" applyFill="1" applyBorder="1" applyAlignment="1">
      <alignment horizontal="center" vertical="center"/>
    </xf>
    <xf numFmtId="177" fontId="50" fillId="4" borderId="5" xfId="0" applyNumberFormat="1" applyFont="1" applyFill="1" applyBorder="1" applyAlignment="1">
      <alignment horizontal="center" vertical="center"/>
    </xf>
    <xf numFmtId="0" fontId="50" fillId="4" borderId="5" xfId="0" applyNumberFormat="1" applyFont="1" applyFill="1" applyBorder="1" applyAlignment="1">
      <alignment horizontal="center" vertical="center"/>
    </xf>
    <xf numFmtId="0" fontId="31" fillId="0" borderId="15" xfId="2" applyNumberFormat="1" applyFont="1" applyFill="1" applyBorder="1" applyAlignment="1">
      <alignment horizontal="center" vertical="center" wrapText="1"/>
    </xf>
    <xf numFmtId="0" fontId="37" fillId="0" borderId="20" xfId="0" applyFont="1" applyFill="1" applyBorder="1" applyAlignment="1">
      <alignment horizontal="center" vertical="center" wrapText="1"/>
    </xf>
    <xf numFmtId="0" fontId="37" fillId="0" borderId="23" xfId="0" applyFont="1" applyFill="1" applyBorder="1" applyAlignment="1">
      <alignment horizontal="center" vertical="center" wrapText="1"/>
    </xf>
    <xf numFmtId="184" fontId="31" fillId="0" borderId="5" xfId="2" applyNumberFormat="1" applyFont="1" applyFill="1" applyBorder="1" applyAlignment="1">
      <alignment horizontal="center" vertical="center" wrapText="1"/>
    </xf>
    <xf numFmtId="0" fontId="73" fillId="0" borderId="5" xfId="0" applyFont="1" applyFill="1" applyBorder="1" applyAlignment="1">
      <alignment horizontal="center" vertical="center"/>
    </xf>
    <xf numFmtId="0" fontId="74" fillId="0" borderId="5" xfId="0" applyFont="1" applyFill="1" applyBorder="1" applyAlignment="1">
      <alignment horizontal="center" vertical="center"/>
    </xf>
    <xf numFmtId="0" fontId="61" fillId="0" borderId="5" xfId="0" applyFont="1" applyFill="1" applyBorder="1" applyAlignment="1">
      <alignment horizontal="center" vertical="center"/>
    </xf>
    <xf numFmtId="0" fontId="75" fillId="0" borderId="5" xfId="0" applyFont="1" applyFill="1" applyBorder="1" applyAlignment="1">
      <alignment horizontal="center" vertical="center"/>
    </xf>
    <xf numFmtId="49" fontId="73" fillId="0" borderId="5" xfId="0" applyNumberFormat="1" applyFont="1" applyFill="1" applyBorder="1" applyAlignment="1">
      <alignment horizontal="center" vertical="center"/>
    </xf>
    <xf numFmtId="176" fontId="31" fillId="4" borderId="5" xfId="14" applyNumberFormat="1" applyFont="1" applyFill="1" applyBorder="1" applyAlignment="1">
      <alignment horizontal="center" vertical="center" wrapText="1"/>
    </xf>
    <xf numFmtId="182" fontId="31" fillId="4" borderId="5" xfId="5" applyNumberFormat="1" applyFont="1" applyFill="1" applyBorder="1" applyAlignment="1">
      <alignment horizontal="center" vertical="center" wrapText="1"/>
    </xf>
    <xf numFmtId="176" fontId="31" fillId="4" borderId="5" xfId="6" applyNumberFormat="1" applyFont="1" applyFill="1" applyBorder="1" applyAlignment="1">
      <alignment horizontal="center" vertical="center"/>
    </xf>
    <xf numFmtId="176" fontId="35" fillId="4" borderId="11" xfId="5" applyNumberFormat="1" applyFont="1" applyFill="1" applyBorder="1" applyAlignment="1">
      <alignment horizontal="center" vertical="center"/>
    </xf>
    <xf numFmtId="176" fontId="35" fillId="4" borderId="5" xfId="5" applyNumberFormat="1" applyFont="1" applyFill="1" applyBorder="1" applyAlignment="1">
      <alignment horizontal="center" vertical="center"/>
    </xf>
    <xf numFmtId="0" fontId="37" fillId="0" borderId="5" xfId="0" applyFont="1" applyFill="1" applyBorder="1" applyAlignment="1"/>
    <xf numFmtId="176" fontId="31" fillId="4" borderId="20" xfId="6" applyNumberFormat="1" applyFont="1" applyFill="1" applyBorder="1" applyAlignment="1">
      <alignment horizontal="center" vertical="center"/>
    </xf>
    <xf numFmtId="176" fontId="76" fillId="0" borderId="5" xfId="0" applyNumberFormat="1" applyFont="1" applyFill="1" applyBorder="1" applyAlignment="1">
      <alignment horizontal="center" vertical="center"/>
    </xf>
    <xf numFmtId="0" fontId="35" fillId="0" borderId="5" xfId="0" applyFont="1" applyFill="1" applyBorder="1" applyAlignment="1">
      <alignment horizontal="center" vertical="center" wrapText="1"/>
    </xf>
    <xf numFmtId="0" fontId="31" fillId="0" borderId="5" xfId="6" applyFont="1" applyFill="1" applyBorder="1" applyAlignment="1">
      <alignment horizontal="center" vertical="center"/>
    </xf>
    <xf numFmtId="49" fontId="31" fillId="5" borderId="5" xfId="2" applyNumberFormat="1" applyFont="1" applyFill="1" applyBorder="1" applyAlignment="1">
      <alignment horizontal="center" vertical="center" wrapText="1"/>
    </xf>
    <xf numFmtId="177" fontId="37" fillId="0" borderId="5" xfId="0" applyNumberFormat="1" applyFont="1" applyFill="1" applyBorder="1" applyAlignment="1">
      <alignment horizontal="center" vertical="center"/>
    </xf>
    <xf numFmtId="177" fontId="31" fillId="0" borderId="5" xfId="0" applyNumberFormat="1" applyFont="1" applyFill="1" applyBorder="1" applyAlignment="1">
      <alignment horizontal="center" vertical="center"/>
    </xf>
    <xf numFmtId="49" fontId="31" fillId="0" borderId="5" xfId="6" applyNumberFormat="1" applyFont="1" applyFill="1" applyBorder="1" applyAlignment="1">
      <alignment horizontal="center" vertical="center" wrapText="1"/>
    </xf>
    <xf numFmtId="177" fontId="37" fillId="4" borderId="5" xfId="2" applyNumberFormat="1" applyFont="1" applyFill="1" applyBorder="1" applyAlignment="1">
      <alignment horizontal="center" vertical="center" wrapText="1"/>
    </xf>
    <xf numFmtId="49" fontId="31" fillId="5" borderId="5" xfId="0" applyNumberFormat="1" applyFont="1" applyFill="1" applyBorder="1" applyAlignment="1">
      <alignment horizontal="center" vertical="center" wrapText="1"/>
    </xf>
    <xf numFmtId="0" fontId="31" fillId="0" borderId="5" xfId="6" applyFont="1" applyBorder="1" applyAlignment="1">
      <alignment horizontal="center" vertical="center" wrapText="1"/>
    </xf>
    <xf numFmtId="177" fontId="31" fillId="0" borderId="5" xfId="6" applyNumberFormat="1" applyFont="1" applyFill="1" applyBorder="1" applyAlignment="1">
      <alignment horizontal="center" vertical="center" wrapText="1"/>
    </xf>
    <xf numFmtId="0" fontId="31" fillId="0" borderId="5" xfId="0" applyNumberFormat="1" applyFont="1" applyFill="1" applyBorder="1" applyAlignment="1" applyProtection="1">
      <alignment horizontal="center" vertical="center" wrapText="1"/>
    </xf>
    <xf numFmtId="0" fontId="70" fillId="0" borderId="5" xfId="0" applyFont="1" applyFill="1" applyBorder="1" applyAlignment="1">
      <alignment horizontal="center" vertical="center"/>
    </xf>
    <xf numFmtId="0" fontId="44" fillId="0" borderId="15" xfId="0" applyFont="1" applyFill="1" applyBorder="1" applyAlignment="1">
      <alignment horizontal="center" vertical="center"/>
    </xf>
    <xf numFmtId="181" fontId="58" fillId="0" borderId="5" xfId="0" applyNumberFormat="1" applyFont="1" applyFill="1" applyBorder="1" applyAlignment="1">
      <alignment horizontal="center" vertical="center" wrapText="1"/>
    </xf>
    <xf numFmtId="0" fontId="49" fillId="0" borderId="5" xfId="0" applyFont="1" applyFill="1" applyBorder="1" applyAlignment="1">
      <alignment horizontal="center" vertical="center" wrapText="1" shrinkToFit="1"/>
    </xf>
    <xf numFmtId="0" fontId="39" fillId="0" borderId="5" xfId="0" applyNumberFormat="1" applyFont="1" applyFill="1" applyBorder="1" applyAlignment="1">
      <alignment horizontal="center" vertical="center"/>
    </xf>
    <xf numFmtId="0" fontId="37" fillId="0" borderId="5" xfId="0" applyNumberFormat="1" applyFont="1" applyFill="1" applyBorder="1" applyAlignment="1">
      <alignment horizontal="center" vertical="center"/>
    </xf>
    <xf numFmtId="0" fontId="31" fillId="0" borderId="5" xfId="10" applyNumberFormat="1" applyFont="1" applyFill="1" applyBorder="1" applyAlignment="1">
      <alignment horizontal="center" vertical="center"/>
    </xf>
    <xf numFmtId="0" fontId="61" fillId="0" borderId="5" xfId="0" applyNumberFormat="1" applyFont="1" applyFill="1" applyBorder="1" applyAlignment="1">
      <alignment horizontal="center" vertical="center"/>
    </xf>
    <xf numFmtId="2" fontId="58" fillId="0" borderId="5" xfId="0" applyNumberFormat="1" applyFont="1" applyFill="1" applyBorder="1" applyAlignment="1">
      <alignment horizontal="center" vertical="center" wrapText="1"/>
    </xf>
    <xf numFmtId="0" fontId="77" fillId="0" borderId="5" xfId="0" applyFont="1" applyFill="1" applyBorder="1" applyAlignment="1">
      <alignment horizontal="center" vertical="center"/>
    </xf>
    <xf numFmtId="0" fontId="42" fillId="0" borderId="5" xfId="0" applyFont="1" applyFill="1" applyBorder="1" applyAlignment="1">
      <alignment horizontal="center" vertical="center" wrapText="1"/>
    </xf>
    <xf numFmtId="177" fontId="39" fillId="0" borderId="5" xfId="0" applyNumberFormat="1" applyFont="1" applyFill="1" applyBorder="1" applyAlignment="1">
      <alignment horizontal="center" vertical="center" wrapText="1"/>
    </xf>
    <xf numFmtId="0" fontId="39" fillId="0" borderId="5" xfId="0" applyFont="1" applyFill="1" applyBorder="1" applyAlignment="1">
      <alignment horizontal="center" vertical="center" wrapText="1"/>
    </xf>
    <xf numFmtId="0" fontId="49" fillId="0" borderId="5" xfId="0" applyFont="1" applyFill="1" applyBorder="1" applyAlignment="1">
      <alignment horizontal="center" vertical="center" wrapText="1"/>
    </xf>
    <xf numFmtId="0" fontId="49" fillId="4" borderId="5" xfId="0" applyFont="1" applyFill="1" applyBorder="1" applyAlignment="1">
      <alignment horizontal="center" vertical="center"/>
    </xf>
    <xf numFmtId="183" fontId="39" fillId="4" borderId="5" xfId="15" applyNumberFormat="1" applyFont="1" applyFill="1" applyBorder="1" applyAlignment="1">
      <alignment horizontal="center" vertical="center" wrapText="1"/>
    </xf>
    <xf numFmtId="0" fontId="42" fillId="0" borderId="5" xfId="16" applyFont="1" applyFill="1" applyBorder="1" applyAlignment="1">
      <alignment horizontal="center" vertical="center" wrapText="1"/>
    </xf>
    <xf numFmtId="0" fontId="49" fillId="4" borderId="5" xfId="0" applyNumberFormat="1" applyFont="1" applyFill="1" applyBorder="1" applyAlignment="1">
      <alignment horizontal="center" vertical="center"/>
    </xf>
    <xf numFmtId="0" fontId="39" fillId="4" borderId="5" xfId="0" applyNumberFormat="1" applyFont="1" applyFill="1" applyBorder="1" applyAlignment="1">
      <alignment horizontal="center" vertical="center" wrapText="1"/>
    </xf>
    <xf numFmtId="177" fontId="58" fillId="4" borderId="5" xfId="0" applyNumberFormat="1" applyFont="1" applyFill="1" applyBorder="1" applyAlignment="1">
      <alignment horizontal="center" vertical="center" wrapText="1"/>
    </xf>
    <xf numFmtId="0" fontId="77" fillId="0" borderId="5" xfId="0" applyNumberFormat="1" applyFont="1" applyFill="1" applyBorder="1" applyAlignment="1">
      <alignment horizontal="center" vertical="center"/>
    </xf>
    <xf numFmtId="0" fontId="39" fillId="4" borderId="5" xfId="0" applyNumberFormat="1" applyFont="1" applyFill="1" applyBorder="1" applyAlignment="1">
      <alignment horizontal="center" vertical="center"/>
    </xf>
    <xf numFmtId="0" fontId="78" fillId="4" borderId="5" xfId="0" applyFont="1" applyFill="1" applyBorder="1" applyAlignment="1">
      <alignment horizontal="center" vertical="center" wrapText="1"/>
    </xf>
    <xf numFmtId="0" fontId="79" fillId="4" borderId="5" xfId="0" applyFont="1" applyFill="1" applyBorder="1" applyAlignment="1">
      <alignment horizontal="center" vertical="center" wrapText="1"/>
    </xf>
    <xf numFmtId="0" fontId="80" fillId="0" borderId="5" xfId="0" applyFont="1" applyFill="1" applyBorder="1" applyAlignment="1">
      <alignment horizontal="center" vertical="center" wrapText="1"/>
    </xf>
    <xf numFmtId="0" fontId="54" fillId="4" borderId="5" xfId="0" applyFont="1" applyFill="1" applyBorder="1" applyAlignment="1">
      <alignment horizontal="center" vertical="center"/>
    </xf>
    <xf numFmtId="0" fontId="53" fillId="4" borderId="5" xfId="0" applyFont="1" applyFill="1" applyBorder="1" applyAlignment="1">
      <alignment horizontal="center" vertical="center"/>
    </xf>
    <xf numFmtId="177" fontId="81" fillId="0" borderId="5" xfId="0" applyNumberFormat="1" applyFont="1" applyFill="1" applyBorder="1" applyAlignment="1">
      <alignment horizontal="center" vertical="center" wrapText="1"/>
    </xf>
    <xf numFmtId="0" fontId="54" fillId="0" borderId="5" xfId="0" applyFont="1" applyFill="1" applyBorder="1" applyAlignment="1">
      <alignment horizontal="center" vertical="center"/>
    </xf>
    <xf numFmtId="0" fontId="54" fillId="4" borderId="5" xfId="0" applyNumberFormat="1" applyFont="1" applyFill="1" applyBorder="1" applyAlignment="1">
      <alignment horizontal="center" vertical="center"/>
    </xf>
    <xf numFmtId="0" fontId="78" fillId="4" borderId="20" xfId="0" applyNumberFormat="1" applyFont="1" applyFill="1" applyBorder="1" applyAlignment="1">
      <alignment horizontal="center" vertical="center" wrapText="1"/>
    </xf>
    <xf numFmtId="0" fontId="79" fillId="4" borderId="5" xfId="0" applyNumberFormat="1" applyFont="1" applyFill="1" applyBorder="1" applyAlignment="1">
      <alignment horizontal="center" vertical="center" wrapText="1"/>
    </xf>
    <xf numFmtId="0" fontId="80" fillId="0" borderId="20" xfId="0" applyNumberFormat="1" applyFont="1" applyFill="1" applyBorder="1" applyAlignment="1">
      <alignment horizontal="center" vertical="center" wrapText="1"/>
    </xf>
    <xf numFmtId="0" fontId="53" fillId="4" borderId="5" xfId="0" applyNumberFormat="1" applyFont="1" applyFill="1" applyBorder="1" applyAlignment="1">
      <alignment horizontal="center" vertical="center"/>
    </xf>
    <xf numFmtId="0" fontId="53" fillId="4" borderId="5" xfId="0" applyNumberFormat="1" applyFont="1" applyFill="1" applyBorder="1" applyAlignment="1">
      <alignment horizontal="center" vertical="center" wrapText="1" shrinkToFit="1"/>
    </xf>
    <xf numFmtId="0" fontId="81" fillId="0" borderId="5" xfId="0" applyNumberFormat="1" applyFont="1" applyFill="1" applyBorder="1" applyAlignment="1">
      <alignment horizontal="center" vertical="center" wrapText="1"/>
    </xf>
    <xf numFmtId="0" fontId="39" fillId="0" borderId="20" xfId="0" applyNumberFormat="1" applyFont="1" applyFill="1" applyBorder="1" applyAlignment="1">
      <alignment horizontal="center" vertical="center" wrapText="1"/>
    </xf>
    <xf numFmtId="0" fontId="39" fillId="0" borderId="20" xfId="0" applyNumberFormat="1" applyFont="1" applyFill="1" applyBorder="1" applyAlignment="1">
      <alignment horizontal="center" vertical="center"/>
    </xf>
    <xf numFmtId="0" fontId="82" fillId="0" borderId="5" xfId="0" applyNumberFormat="1" applyFont="1" applyFill="1" applyBorder="1" applyAlignment="1">
      <alignment horizontal="center" vertical="center"/>
    </xf>
    <xf numFmtId="0" fontId="49" fillId="0" borderId="5" xfId="0" applyNumberFormat="1" applyFont="1" applyFill="1" applyBorder="1" applyAlignment="1">
      <alignment horizontal="center" vertical="center" wrapText="1"/>
    </xf>
    <xf numFmtId="0" fontId="83" fillId="0" borderId="5" xfId="0" applyNumberFormat="1" applyFont="1" applyFill="1" applyBorder="1" applyAlignment="1">
      <alignment horizontal="center" vertical="center"/>
    </xf>
    <xf numFmtId="0" fontId="39" fillId="4" borderId="5" xfId="0" applyFont="1" applyFill="1" applyBorder="1" applyAlignment="1">
      <alignment horizontal="center" vertical="center" wrapText="1"/>
    </xf>
    <xf numFmtId="0" fontId="39" fillId="4" borderId="5" xfId="0" applyFont="1" applyFill="1" applyBorder="1" applyAlignment="1">
      <alignment horizontal="center" vertical="center" wrapText="1" shrinkToFit="1"/>
    </xf>
    <xf numFmtId="0" fontId="39" fillId="0" borderId="20" xfId="0" applyFont="1" applyFill="1" applyBorder="1" applyAlignment="1">
      <alignment horizontal="center" vertical="center"/>
    </xf>
    <xf numFmtId="0" fontId="42" fillId="0" borderId="27" xfId="0" applyFont="1" applyFill="1" applyBorder="1" applyAlignment="1" applyProtection="1">
      <alignment horizontal="center" vertical="center" wrapText="1"/>
    </xf>
    <xf numFmtId="177" fontId="44" fillId="0" borderId="5" xfId="0" applyNumberFormat="1" applyFont="1" applyFill="1" applyBorder="1" applyAlignment="1">
      <alignment horizontal="center" vertical="center"/>
    </xf>
    <xf numFmtId="0" fontId="43" fillId="0" borderId="20" xfId="0" applyFont="1" applyFill="1" applyBorder="1" applyAlignment="1">
      <alignment horizontal="center" vertical="center" wrapText="1"/>
    </xf>
    <xf numFmtId="0" fontId="43" fillId="0" borderId="20" xfId="0" applyFont="1" applyFill="1" applyBorder="1" applyAlignment="1">
      <alignment horizontal="center" vertical="center"/>
    </xf>
    <xf numFmtId="0" fontId="51" fillId="0" borderId="5" xfId="0" applyFont="1" applyFill="1" applyBorder="1" applyAlignment="1">
      <alignment horizontal="center" vertical="center"/>
    </xf>
    <xf numFmtId="177" fontId="47" fillId="0" borderId="5" xfId="0" applyNumberFormat="1" applyFont="1" applyFill="1" applyBorder="1" applyAlignment="1">
      <alignment horizontal="center" vertical="center"/>
    </xf>
    <xf numFmtId="0" fontId="37" fillId="0" borderId="20" xfId="0" applyNumberFormat="1" applyFont="1" applyFill="1" applyBorder="1" applyAlignment="1">
      <alignment horizontal="center" vertical="center"/>
    </xf>
    <xf numFmtId="0" fontId="37" fillId="0" borderId="15" xfId="0" applyNumberFormat="1" applyFont="1" applyFill="1" applyBorder="1" applyAlignment="1">
      <alignment horizontal="center" vertical="center"/>
    </xf>
    <xf numFmtId="0" fontId="37" fillId="0" borderId="11" xfId="0" applyNumberFormat="1" applyFont="1" applyFill="1" applyBorder="1" applyAlignment="1">
      <alignment horizontal="center" vertical="center"/>
    </xf>
    <xf numFmtId="0" fontId="47" fillId="0" borderId="5" xfId="6" applyFont="1" applyFill="1" applyBorder="1" applyAlignment="1">
      <alignment horizontal="center" vertical="center" wrapText="1"/>
    </xf>
    <xf numFmtId="177" fontId="84" fillId="0" borderId="5" xfId="0" applyNumberFormat="1" applyFont="1" applyFill="1" applyBorder="1" applyAlignment="1">
      <alignment horizontal="center" vertical="center"/>
    </xf>
    <xf numFmtId="0" fontId="44" fillId="0" borderId="5" xfId="0" applyNumberFormat="1" applyFont="1" applyFill="1" applyBorder="1" applyAlignment="1">
      <alignment horizontal="center" vertical="center"/>
    </xf>
    <xf numFmtId="0" fontId="70" fillId="0" borderId="5" xfId="0" applyNumberFormat="1" applyFont="1" applyFill="1" applyBorder="1" applyAlignment="1">
      <alignment horizontal="center" vertical="center"/>
    </xf>
    <xf numFmtId="0" fontId="47" fillId="0" borderId="5" xfId="6" applyNumberFormat="1" applyFont="1" applyFill="1" applyBorder="1" applyAlignment="1">
      <alignment horizontal="center" vertical="center" wrapText="1"/>
    </xf>
    <xf numFmtId="0" fontId="44" fillId="0" borderId="20" xfId="0" applyNumberFormat="1" applyFont="1" applyFill="1" applyBorder="1" applyAlignment="1">
      <alignment horizontal="center" vertical="center" wrapText="1"/>
    </xf>
    <xf numFmtId="0" fontId="70" fillId="0" borderId="20" xfId="0" applyNumberFormat="1" applyFont="1" applyFill="1" applyBorder="1" applyAlignment="1">
      <alignment horizontal="center" vertical="center" wrapText="1"/>
    </xf>
    <xf numFmtId="0" fontId="49" fillId="0" borderId="25" xfId="2" applyNumberFormat="1" applyFont="1" applyFill="1" applyBorder="1" applyAlignment="1">
      <alignment horizontal="center" vertical="center" wrapText="1"/>
    </xf>
    <xf numFmtId="0" fontId="31" fillId="0" borderId="20" xfId="0" applyNumberFormat="1" applyFont="1" applyFill="1" applyBorder="1" applyAlignment="1">
      <alignment horizontal="center" vertical="center"/>
    </xf>
    <xf numFmtId="0" fontId="85" fillId="0" borderId="5" xfId="0" applyFont="1" applyFill="1" applyBorder="1" applyAlignment="1">
      <alignment horizontal="center" vertical="center"/>
    </xf>
    <xf numFmtId="0" fontId="35" fillId="0" borderId="5" xfId="0" applyFont="1" applyFill="1" applyBorder="1" applyAlignment="1">
      <alignment horizontal="center"/>
    </xf>
    <xf numFmtId="0" fontId="37" fillId="0" borderId="11" xfId="0" applyFont="1" applyFill="1" applyBorder="1" applyAlignment="1">
      <alignment horizontal="center" vertical="center"/>
    </xf>
    <xf numFmtId="0" fontId="31" fillId="0" borderId="5" xfId="17" applyFont="1" applyFill="1" applyBorder="1" applyAlignment="1">
      <alignment horizontal="center" vertical="center" wrapText="1"/>
    </xf>
    <xf numFmtId="0" fontId="84" fillId="0" borderId="5" xfId="0" applyFont="1" applyFill="1" applyBorder="1" applyAlignment="1">
      <alignment horizontal="center" vertical="center" wrapText="1"/>
    </xf>
    <xf numFmtId="0" fontId="44" fillId="0" borderId="15"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77" fillId="4" borderId="5" xfId="0" applyFont="1" applyFill="1" applyBorder="1" applyAlignment="1">
      <alignment horizontal="center" vertical="center"/>
    </xf>
    <xf numFmtId="0" fontId="86" fillId="4" borderId="5" xfId="0" applyFont="1" applyFill="1" applyBorder="1" applyAlignment="1">
      <alignment horizontal="center" vertical="center" wrapText="1"/>
    </xf>
    <xf numFmtId="0" fontId="87" fillId="4" borderId="5" xfId="0" applyFont="1" applyFill="1" applyBorder="1" applyAlignment="1">
      <alignment horizontal="center" vertical="center" wrapText="1"/>
    </xf>
    <xf numFmtId="176" fontId="88" fillId="0" borderId="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77" fillId="4" borderId="5" xfId="0" applyFont="1" applyFill="1" applyBorder="1" applyAlignment="1">
      <alignment horizontal="center" vertical="center" wrapText="1" shrinkToFit="1"/>
    </xf>
    <xf numFmtId="0" fontId="77" fillId="4" borderId="5" xfId="0" applyNumberFormat="1" applyFont="1" applyFill="1" applyBorder="1" applyAlignment="1">
      <alignment horizontal="center" vertical="center" wrapText="1"/>
    </xf>
    <xf numFmtId="0" fontId="77" fillId="4" borderId="5" xfId="0" applyNumberFormat="1" applyFont="1" applyFill="1" applyBorder="1" applyAlignment="1">
      <alignment horizontal="center" vertical="center"/>
    </xf>
    <xf numFmtId="0" fontId="86" fillId="4" borderId="5" xfId="0" applyNumberFormat="1" applyFont="1" applyFill="1" applyBorder="1" applyAlignment="1">
      <alignment horizontal="center" vertical="center" wrapText="1"/>
    </xf>
    <xf numFmtId="0" fontId="87" fillId="4" borderId="5" xfId="0" applyNumberFormat="1" applyFont="1" applyFill="1" applyBorder="1" applyAlignment="1">
      <alignment horizontal="center" vertical="center" wrapText="1"/>
    </xf>
    <xf numFmtId="0" fontId="77" fillId="4" borderId="20" xfId="0" applyNumberFormat="1" applyFont="1" applyFill="1" applyBorder="1" applyAlignment="1">
      <alignment horizontal="center" vertical="center" wrapText="1" shrinkToFit="1"/>
    </xf>
    <xf numFmtId="177" fontId="86" fillId="4" borderId="5" xfId="0" applyNumberFormat="1" applyFont="1" applyFill="1" applyBorder="1" applyAlignment="1">
      <alignment horizontal="center" vertical="center" wrapText="1"/>
    </xf>
    <xf numFmtId="177" fontId="88" fillId="0" borderId="5" xfId="0" applyNumberFormat="1" applyFont="1" applyFill="1" applyBorder="1" applyAlignment="1" applyProtection="1">
      <alignment horizontal="center" vertical="center" wrapText="1"/>
      <protection locked="0"/>
    </xf>
    <xf numFmtId="177" fontId="39" fillId="4" borderId="5" xfId="0" applyNumberFormat="1" applyFont="1" applyFill="1" applyBorder="1" applyAlignment="1">
      <alignment horizontal="center" vertical="center"/>
    </xf>
    <xf numFmtId="179" fontId="77" fillId="4" borderId="5" xfId="0" applyNumberFormat="1" applyFont="1" applyFill="1" applyBorder="1" applyAlignment="1">
      <alignment horizontal="center" vertical="center"/>
    </xf>
    <xf numFmtId="0" fontId="51" fillId="0" borderId="5" xfId="0" applyFont="1" applyFill="1" applyBorder="1" applyAlignment="1" applyProtection="1">
      <alignment horizontal="center" vertical="center" wrapText="1"/>
      <protection locked="0"/>
    </xf>
    <xf numFmtId="177" fontId="43" fillId="0" borderId="5" xfId="12" applyNumberFormat="1" applyFont="1" applyFill="1" applyBorder="1" applyAlignment="1">
      <alignment horizontal="center" vertical="center" wrapText="1"/>
    </xf>
    <xf numFmtId="185" fontId="44" fillId="0" borderId="5" xfId="0" applyNumberFormat="1" applyFont="1" applyFill="1" applyBorder="1" applyAlignment="1">
      <alignment horizontal="center" vertical="center"/>
    </xf>
    <xf numFmtId="185" fontId="43" fillId="0" borderId="5" xfId="0" applyNumberFormat="1" applyFont="1" applyFill="1" applyBorder="1" applyAlignment="1">
      <alignment horizontal="center" vertical="center"/>
    </xf>
    <xf numFmtId="57" fontId="44" fillId="0" borderId="5" xfId="0" applyNumberFormat="1" applyFont="1" applyFill="1" applyBorder="1" applyAlignment="1">
      <alignment horizontal="center" vertical="center"/>
    </xf>
    <xf numFmtId="0" fontId="43" fillId="0" borderId="11" xfId="2" applyNumberFormat="1" applyFont="1" applyFill="1" applyBorder="1" applyAlignment="1">
      <alignment horizontal="center" vertical="center" wrapText="1"/>
    </xf>
    <xf numFmtId="49" fontId="31" fillId="0" borderId="5" xfId="2" applyNumberFormat="1" applyFont="1" applyFill="1" applyBorder="1" applyAlignment="1">
      <alignment horizontal="center"/>
    </xf>
    <xf numFmtId="49" fontId="70" fillId="0" borderId="5" xfId="0" applyNumberFormat="1" applyFont="1" applyFill="1" applyBorder="1" applyAlignment="1">
      <alignment horizontal="center" vertical="center"/>
    </xf>
    <xf numFmtId="0" fontId="31" fillId="0" borderId="5" xfId="2" applyNumberFormat="1" applyFont="1" applyFill="1" applyBorder="1" applyAlignment="1">
      <alignment horizontal="center"/>
    </xf>
    <xf numFmtId="0" fontId="35" fillId="0" borderId="5" xfId="0" applyNumberFormat="1" applyFont="1" applyFill="1" applyBorder="1" applyAlignment="1">
      <alignment horizontal="center" vertical="center" wrapText="1"/>
    </xf>
    <xf numFmtId="0" fontId="62" fillId="0" borderId="5" xfId="0" applyNumberFormat="1" applyFont="1" applyFill="1" applyBorder="1" applyAlignment="1">
      <alignment horizontal="center" vertical="center"/>
    </xf>
    <xf numFmtId="177" fontId="70" fillId="0" borderId="5" xfId="0" applyNumberFormat="1" applyFont="1" applyFill="1" applyBorder="1" applyAlignment="1">
      <alignment horizontal="center" vertical="center"/>
    </xf>
    <xf numFmtId="0" fontId="35" fillId="0" borderId="5" xfId="2" applyNumberFormat="1" applyFont="1" applyFill="1" applyBorder="1" applyAlignment="1">
      <alignment horizontal="center" vertical="center" wrapText="1"/>
    </xf>
    <xf numFmtId="177" fontId="31" fillId="0" borderId="5" xfId="18" applyNumberFormat="1" applyFont="1" applyFill="1" applyBorder="1" applyAlignment="1">
      <alignment horizontal="center" vertical="center"/>
    </xf>
    <xf numFmtId="176" fontId="88" fillId="4" borderId="5" xfId="0" applyNumberFormat="1" applyFont="1" applyFill="1" applyBorder="1" applyAlignment="1" applyProtection="1">
      <alignment horizontal="center" vertical="center" wrapText="1"/>
      <protection locked="0"/>
    </xf>
    <xf numFmtId="0" fontId="39" fillId="0" borderId="5" xfId="0" applyFont="1" applyFill="1" applyBorder="1" applyAlignment="1">
      <alignment horizontal="center" vertical="center"/>
    </xf>
    <xf numFmtId="43" fontId="37" fillId="4" borderId="5" xfId="0" applyNumberFormat="1" applyFont="1" applyFill="1" applyBorder="1" applyAlignment="1">
      <alignment horizontal="center" vertical="center"/>
    </xf>
    <xf numFmtId="0" fontId="83" fillId="0" borderId="5" xfId="0" applyFont="1" applyFill="1" applyBorder="1" applyAlignment="1">
      <alignment horizontal="center" vertical="center" wrapText="1"/>
    </xf>
    <xf numFmtId="0" fontId="61" fillId="0" borderId="5" xfId="0" applyNumberFormat="1" applyFont="1" applyFill="1" applyBorder="1" applyAlignment="1">
      <alignment horizontal="center" vertical="center" wrapText="1"/>
    </xf>
    <xf numFmtId="0" fontId="83" fillId="0" borderId="5" xfId="0" applyNumberFormat="1" applyFont="1" applyFill="1" applyBorder="1" applyAlignment="1">
      <alignment horizontal="center" vertical="center" wrapText="1"/>
    </xf>
    <xf numFmtId="0" fontId="61" fillId="0" borderId="5" xfId="0" applyFont="1" applyFill="1" applyBorder="1" applyAlignment="1">
      <alignment horizontal="center" vertical="center" wrapText="1"/>
    </xf>
    <xf numFmtId="57" fontId="35" fillId="0" borderId="5" xfId="6" applyNumberFormat="1" applyFont="1" applyFill="1" applyBorder="1" applyAlignment="1">
      <alignment horizontal="center" vertical="center" wrapText="1"/>
    </xf>
    <xf numFmtId="0" fontId="44" fillId="4" borderId="5" xfId="0" applyFont="1" applyFill="1" applyBorder="1" applyAlignment="1">
      <alignment horizontal="center" vertical="center"/>
    </xf>
    <xf numFmtId="0" fontId="70" fillId="4" borderId="5" xfId="0" applyFont="1" applyFill="1" applyBorder="1" applyAlignment="1">
      <alignment horizontal="center" vertical="center"/>
    </xf>
    <xf numFmtId="0" fontId="44" fillId="4" borderId="5" xfId="0" applyFont="1" applyFill="1" applyBorder="1" applyAlignment="1">
      <alignment horizontal="center" vertical="center" wrapText="1" shrinkToFit="1"/>
    </xf>
    <xf numFmtId="0" fontId="83" fillId="4" borderId="5" xfId="0" applyNumberFormat="1" applyFont="1" applyFill="1" applyBorder="1" applyAlignment="1">
      <alignment horizontal="center" vertical="center"/>
    </xf>
    <xf numFmtId="0" fontId="59" fillId="4" borderId="5" xfId="0" applyFont="1" applyFill="1" applyBorder="1" applyAlignment="1">
      <alignment horizontal="center" vertical="center" wrapText="1" shrinkToFit="1"/>
    </xf>
    <xf numFmtId="0" fontId="35" fillId="4" borderId="5" xfId="0" applyFont="1" applyFill="1" applyBorder="1" applyAlignment="1">
      <alignment horizontal="center" vertical="center" wrapText="1"/>
    </xf>
    <xf numFmtId="0" fontId="35" fillId="4" borderId="5" xfId="0" applyNumberFormat="1" applyFont="1" applyFill="1" applyBorder="1" applyAlignment="1">
      <alignment horizontal="center" vertical="center" wrapText="1"/>
    </xf>
    <xf numFmtId="0" fontId="70" fillId="4" borderId="5" xfId="0" applyNumberFormat="1" applyFont="1" applyFill="1" applyBorder="1" applyAlignment="1">
      <alignment horizontal="center" vertical="center"/>
    </xf>
    <xf numFmtId="0" fontId="44" fillId="4" borderId="5" xfId="0" applyNumberFormat="1" applyFont="1" applyFill="1" applyBorder="1" applyAlignment="1">
      <alignment horizontal="center" vertical="center"/>
    </xf>
    <xf numFmtId="0" fontId="44" fillId="4" borderId="5" xfId="0" applyNumberFormat="1" applyFont="1" applyFill="1" applyBorder="1" applyAlignment="1">
      <alignment horizontal="center" vertical="center" wrapText="1" shrinkToFit="1"/>
    </xf>
    <xf numFmtId="176" fontId="35" fillId="4" borderId="5" xfId="0" applyNumberFormat="1" applyFont="1" applyFill="1" applyBorder="1" applyAlignment="1">
      <alignment horizontal="center" vertical="center" wrapText="1"/>
    </xf>
    <xf numFmtId="0" fontId="58" fillId="6" borderId="5" xfId="0" applyFont="1" applyFill="1" applyBorder="1" applyAlignment="1">
      <alignment horizontal="center" vertical="center" wrapText="1"/>
    </xf>
    <xf numFmtId="177" fontId="82" fillId="0" borderId="5" xfId="0" applyNumberFormat="1" applyFont="1" applyFill="1" applyBorder="1" applyAlignment="1">
      <alignment horizontal="center" vertical="center"/>
    </xf>
    <xf numFmtId="0" fontId="83" fillId="0" borderId="5" xfId="0" applyFont="1" applyFill="1" applyBorder="1" applyAlignment="1">
      <alignment horizontal="center" vertical="center"/>
    </xf>
    <xf numFmtId="0" fontId="89" fillId="6" borderId="15" xfId="0" applyFont="1" applyFill="1" applyBorder="1" applyAlignment="1">
      <alignment horizontal="center" vertical="center" wrapText="1"/>
    </xf>
    <xf numFmtId="177" fontId="39" fillId="0" borderId="5" xfId="0" applyNumberFormat="1" applyFont="1" applyFill="1" applyBorder="1" applyAlignment="1">
      <alignment horizontal="center"/>
    </xf>
    <xf numFmtId="177" fontId="39" fillId="0" borderId="5" xfId="0" applyNumberFormat="1" applyFont="1" applyFill="1" applyBorder="1" applyAlignment="1">
      <alignment horizontal="center" vertical="center"/>
    </xf>
    <xf numFmtId="0" fontId="58" fillId="6" borderId="5" xfId="0" applyNumberFormat="1" applyFont="1" applyFill="1" applyBorder="1" applyAlignment="1">
      <alignment horizontal="center" vertical="center" wrapText="1"/>
    </xf>
    <xf numFmtId="0" fontId="89" fillId="6" borderId="15" xfId="0" applyNumberFormat="1" applyFont="1" applyFill="1" applyBorder="1" applyAlignment="1">
      <alignment horizontal="center" vertical="center" wrapText="1"/>
    </xf>
    <xf numFmtId="0" fontId="40" fillId="0" borderId="11" xfId="0" applyNumberFormat="1" applyFont="1" applyBorder="1" applyAlignment="1">
      <alignment horizontal="center" vertical="center" wrapText="1"/>
    </xf>
    <xf numFmtId="4" fontId="39" fillId="0" borderId="5" xfId="0" applyNumberFormat="1" applyFont="1" applyFill="1" applyBorder="1" applyAlignment="1">
      <alignment horizontal="center" vertical="center"/>
    </xf>
    <xf numFmtId="0" fontId="37" fillId="0" borderId="5" xfId="0" applyFont="1" applyFill="1" applyBorder="1" applyAlignment="1">
      <alignment vertical="center"/>
    </xf>
    <xf numFmtId="0" fontId="73" fillId="4" borderId="5" xfId="0" applyFont="1" applyFill="1" applyBorder="1" applyAlignment="1">
      <alignment horizontal="center" vertical="center"/>
    </xf>
    <xf numFmtId="0" fontId="72" fillId="0" borderId="5" xfId="0" applyFont="1" applyFill="1" applyBorder="1" applyAlignment="1">
      <alignment horizontal="center" vertical="center"/>
    </xf>
    <xf numFmtId="177" fontId="43" fillId="4" borderId="5" xfId="0" applyNumberFormat="1" applyFont="1" applyFill="1" applyBorder="1" applyAlignment="1">
      <alignment horizontal="center" vertical="center"/>
    </xf>
    <xf numFmtId="179" fontId="44" fillId="0" borderId="5" xfId="0" applyNumberFormat="1" applyFont="1" applyFill="1" applyBorder="1" applyAlignment="1">
      <alignment horizontal="center" vertical="center"/>
    </xf>
    <xf numFmtId="0" fontId="61" fillId="0" borderId="0" xfId="0" applyFont="1" applyFill="1" applyAlignment="1">
      <alignment horizontal="center" vertical="center"/>
    </xf>
    <xf numFmtId="177" fontId="50" fillId="0" borderId="5" xfId="0" applyNumberFormat="1" applyFont="1" applyFill="1" applyBorder="1" applyAlignment="1">
      <alignment horizontal="center" vertical="center"/>
    </xf>
    <xf numFmtId="0" fontId="44" fillId="0" borderId="20" xfId="0" applyFont="1" applyFill="1" applyBorder="1" applyAlignment="1">
      <alignment horizontal="center" vertical="center"/>
    </xf>
    <xf numFmtId="177" fontId="44" fillId="0" borderId="20" xfId="0" applyNumberFormat="1" applyFont="1" applyFill="1" applyBorder="1" applyAlignment="1">
      <alignment horizontal="center" vertical="center"/>
    </xf>
    <xf numFmtId="179" fontId="44" fillId="0" borderId="20" xfId="0" applyNumberFormat="1" applyFont="1" applyFill="1" applyBorder="1" applyAlignment="1">
      <alignment horizontal="center" vertical="center"/>
    </xf>
    <xf numFmtId="0" fontId="47" fillId="0" borderId="5" xfId="0" applyFont="1" applyFill="1" applyBorder="1" applyAlignment="1">
      <alignment horizontal="center" vertical="center" wrapText="1"/>
    </xf>
    <xf numFmtId="0" fontId="47" fillId="4" borderId="5" xfId="0" applyFont="1" applyFill="1" applyBorder="1" applyAlignment="1">
      <alignment horizontal="center" vertical="center" wrapText="1"/>
    </xf>
    <xf numFmtId="0" fontId="43" fillId="0" borderId="27" xfId="0" applyFont="1" applyFill="1" applyBorder="1" applyAlignment="1" applyProtection="1">
      <alignment horizontal="center" vertical="center" wrapText="1"/>
    </xf>
    <xf numFmtId="0" fontId="91" fillId="4" borderId="5" xfId="0" applyFont="1" applyFill="1" applyBorder="1" applyAlignment="1">
      <alignment horizontal="center" vertical="center" wrapText="1"/>
    </xf>
    <xf numFmtId="176" fontId="43" fillId="0" borderId="5" xfId="0" applyNumberFormat="1" applyFont="1" applyFill="1" applyBorder="1" applyAlignment="1" applyProtection="1">
      <alignment horizontal="center" vertical="center" wrapText="1"/>
      <protection locked="0"/>
    </xf>
    <xf numFmtId="57" fontId="35" fillId="4" borderId="5" xfId="6" applyNumberFormat="1" applyFont="1" applyFill="1" applyBorder="1" applyAlignment="1">
      <alignment horizontal="center" vertical="center"/>
    </xf>
    <xf numFmtId="0" fontId="92" fillId="0" borderId="5" xfId="0" applyFont="1" applyFill="1" applyBorder="1" applyAlignment="1">
      <alignment horizontal="center" vertical="center" wrapText="1"/>
    </xf>
    <xf numFmtId="0" fontId="89" fillId="6" borderId="5" xfId="0" applyFont="1" applyFill="1" applyBorder="1" applyAlignment="1">
      <alignment vertical="center" wrapText="1"/>
    </xf>
    <xf numFmtId="0" fontId="93" fillId="0" borderId="5" xfId="6" applyFont="1" applyBorder="1" applyAlignment="1">
      <alignment horizontal="center" vertical="center" wrapText="1"/>
    </xf>
    <xf numFmtId="177" fontId="82" fillId="0" borderId="5" xfId="0" applyNumberFormat="1" applyFont="1" applyFill="1" applyBorder="1" applyAlignment="1">
      <alignment horizontal="right" vertical="center"/>
    </xf>
    <xf numFmtId="0" fontId="93" fillId="0" borderId="5" xfId="6" applyFont="1" applyBorder="1" applyAlignment="1">
      <alignment horizontal="center" vertical="center"/>
    </xf>
    <xf numFmtId="183" fontId="82" fillId="0" borderId="5" xfId="0" applyNumberFormat="1" applyFont="1" applyFill="1" applyBorder="1" applyAlignment="1">
      <alignment horizontal="center" vertical="center"/>
    </xf>
    <xf numFmtId="177" fontId="62" fillId="0" borderId="5" xfId="0" applyNumberFormat="1" applyFont="1" applyFill="1" applyBorder="1" applyAlignment="1">
      <alignment horizontal="center" vertical="center"/>
    </xf>
    <xf numFmtId="184" fontId="49" fillId="0" borderId="5" xfId="0" applyNumberFormat="1" applyFont="1" applyFill="1" applyBorder="1" applyAlignment="1">
      <alignment horizontal="center" vertical="center"/>
    </xf>
    <xf numFmtId="0" fontId="0" fillId="0" borderId="0" xfId="0" applyNumberFormat="1">
      <alignment vertical="center"/>
    </xf>
    <xf numFmtId="57" fontId="35" fillId="0" borderId="5" xfId="6" applyNumberFormat="1" applyFont="1" applyFill="1" applyBorder="1" applyAlignment="1">
      <alignment horizontal="center" vertical="center"/>
    </xf>
    <xf numFmtId="0" fontId="91" fillId="0" borderId="5" xfId="0" applyFont="1" applyFill="1" applyBorder="1" applyAlignment="1">
      <alignment horizontal="center" vertical="center" wrapText="1"/>
    </xf>
    <xf numFmtId="177" fontId="43" fillId="0" borderId="20" xfId="0" applyNumberFormat="1" applyFont="1" applyFill="1" applyBorder="1" applyAlignment="1">
      <alignment horizontal="center" vertical="center" wrapText="1"/>
    </xf>
    <xf numFmtId="177" fontId="94" fillId="0" borderId="5" xfId="0" applyNumberFormat="1" applyFont="1" applyFill="1" applyBorder="1" applyAlignment="1">
      <alignment horizontal="center" vertical="center" wrapText="1"/>
    </xf>
    <xf numFmtId="0" fontId="44" fillId="0" borderId="0" xfId="0" applyFont="1" applyFill="1" applyAlignment="1">
      <alignment horizontal="center" vertical="center"/>
    </xf>
    <xf numFmtId="0" fontId="70" fillId="0" borderId="11" xfId="0" applyNumberFormat="1" applyFont="1" applyFill="1" applyBorder="1" applyAlignment="1">
      <alignment horizontal="center" vertical="center"/>
    </xf>
    <xf numFmtId="0" fontId="70" fillId="0" borderId="19" xfId="0" applyNumberFormat="1" applyFont="1" applyFill="1" applyBorder="1" applyAlignment="1">
      <alignment horizontal="center" vertical="center"/>
    </xf>
    <xf numFmtId="0" fontId="44" fillId="0" borderId="0" xfId="0" applyNumberFormat="1" applyFont="1" applyFill="1" applyAlignment="1">
      <alignment horizontal="center" vertical="center"/>
    </xf>
    <xf numFmtId="0" fontId="64" fillId="0" borderId="5" xfId="0" applyFont="1" applyFill="1" applyBorder="1" applyAlignment="1">
      <alignment horizontal="center" vertical="center" wrapText="1"/>
    </xf>
    <xf numFmtId="0" fontId="0" fillId="0" borderId="18" xfId="0" applyFill="1" applyBorder="1" applyAlignment="1"/>
    <xf numFmtId="0" fontId="95" fillId="0" borderId="29" xfId="12" applyNumberFormat="1" applyFont="1" applyFill="1" applyBorder="1" applyAlignment="1">
      <alignment horizontal="center" vertical="center" wrapText="1"/>
    </xf>
    <xf numFmtId="0" fontId="95" fillId="0" borderId="5" xfId="0" applyNumberFormat="1" applyFont="1" applyFill="1" applyBorder="1" applyAlignment="1">
      <alignment horizontal="center" vertical="center" wrapText="1"/>
    </xf>
    <xf numFmtId="0" fontId="95" fillId="0" borderId="5" xfId="12" applyFont="1" applyFill="1" applyBorder="1" applyAlignment="1">
      <alignment horizontal="center" vertical="center" wrapText="1"/>
    </xf>
    <xf numFmtId="0" fontId="0" fillId="0" borderId="19" xfId="0" applyFill="1" applyBorder="1" applyAlignment="1"/>
    <xf numFmtId="0" fontId="65" fillId="0" borderId="5" xfId="10" applyFont="1" applyFill="1" applyBorder="1" applyAlignment="1">
      <alignment horizontal="center" vertical="center" wrapText="1"/>
    </xf>
    <xf numFmtId="177" fontId="65" fillId="0" borderId="5" xfId="10" applyNumberFormat="1" applyFont="1" applyFill="1" applyBorder="1" applyAlignment="1">
      <alignment horizontal="center" vertical="center"/>
    </xf>
    <xf numFmtId="0" fontId="50" fillId="0" borderId="5" xfId="0" applyFont="1" applyFill="1" applyBorder="1" applyAlignment="1">
      <alignment horizontal="center" vertical="center"/>
    </xf>
    <xf numFmtId="0" fontId="45" fillId="4" borderId="5" xfId="0" applyFont="1" applyFill="1" applyBorder="1" applyAlignment="1">
      <alignment horizontal="center" vertical="center" wrapText="1"/>
    </xf>
    <xf numFmtId="0" fontId="46" fillId="4" borderId="5" xfId="0" applyFont="1" applyFill="1" applyBorder="1" applyAlignment="1">
      <alignment horizontal="center" vertical="center" wrapText="1"/>
    </xf>
    <xf numFmtId="0" fontId="37" fillId="4" borderId="26" xfId="0" applyFont="1" applyFill="1" applyBorder="1" applyAlignment="1">
      <alignment horizontal="center" vertical="center" wrapText="1"/>
    </xf>
    <xf numFmtId="49" fontId="44" fillId="0" borderId="29" xfId="0" applyNumberFormat="1" applyFont="1" applyFill="1" applyBorder="1" applyAlignment="1">
      <alignment horizontal="center" vertical="center"/>
    </xf>
    <xf numFmtId="0" fontId="91" fillId="0" borderId="5" xfId="0" applyNumberFormat="1" applyFont="1" applyFill="1" applyBorder="1" applyAlignment="1">
      <alignment horizontal="center" vertical="center" wrapText="1"/>
    </xf>
    <xf numFmtId="0" fontId="44" fillId="0" borderId="5" xfId="2" applyNumberFormat="1" applyFont="1" applyFill="1" applyBorder="1" applyAlignment="1">
      <alignment horizontal="center" vertical="center" wrapText="1"/>
    </xf>
    <xf numFmtId="0" fontId="51" fillId="0" borderId="5" xfId="0" applyNumberFormat="1" applyFont="1" applyFill="1" applyBorder="1" applyAlignment="1" applyProtection="1">
      <alignment horizontal="center" vertical="center" wrapText="1"/>
      <protection locked="0"/>
    </xf>
    <xf numFmtId="0" fontId="51" fillId="0" borderId="3" xfId="0" applyFont="1" applyFill="1" applyBorder="1" applyAlignment="1">
      <alignment horizontal="center" vertical="center"/>
    </xf>
    <xf numFmtId="0" fontId="51" fillId="0" borderId="3" xfId="0" applyFont="1" applyFill="1" applyBorder="1" applyAlignment="1">
      <alignment horizontal="center" vertical="center" wrapText="1"/>
    </xf>
    <xf numFmtId="177" fontId="39" fillId="0" borderId="5" xfId="19" applyNumberFormat="1" applyFont="1" applyFill="1" applyBorder="1" applyAlignment="1" applyProtection="1">
      <alignment horizontal="center" vertical="center" wrapText="1"/>
      <protection locked="0"/>
    </xf>
    <xf numFmtId="177" fontId="39" fillId="0" borderId="5" xfId="20" applyNumberFormat="1" applyFont="1" applyFill="1" applyBorder="1" applyAlignment="1">
      <alignment horizontal="center" vertical="center" wrapText="1"/>
    </xf>
    <xf numFmtId="177" fontId="39" fillId="0" borderId="5" xfId="21" applyNumberFormat="1" applyFont="1" applyFill="1" applyBorder="1" applyAlignment="1">
      <alignment horizontal="center" vertical="center"/>
    </xf>
    <xf numFmtId="0" fontId="0" fillId="0" borderId="5" xfId="0" applyFill="1" applyBorder="1" applyAlignment="1"/>
    <xf numFmtId="0" fontId="37" fillId="0" borderId="5" xfId="10" applyFont="1" applyFill="1" applyBorder="1" applyAlignment="1">
      <alignment horizontal="center" vertical="center" wrapText="1"/>
    </xf>
    <xf numFmtId="0" fontId="64" fillId="0" borderId="5" xfId="10" applyFont="1" applyFill="1" applyBorder="1" applyAlignment="1">
      <alignment horizontal="center" vertical="center" wrapText="1"/>
    </xf>
    <xf numFmtId="0" fontId="35" fillId="0" borderId="5" xfId="10" applyFont="1" applyFill="1" applyBorder="1" applyAlignment="1">
      <alignment horizontal="center" vertical="center" wrapText="1"/>
    </xf>
    <xf numFmtId="177" fontId="35" fillId="0" borderId="5" xfId="10" applyNumberFormat="1" applyFont="1" applyFill="1" applyBorder="1" applyAlignment="1">
      <alignment horizontal="center" vertical="center"/>
    </xf>
    <xf numFmtId="1" fontId="35" fillId="0" borderId="5" xfId="10" applyNumberFormat="1" applyFont="1" applyFill="1" applyBorder="1" applyAlignment="1">
      <alignment horizontal="center" vertical="center"/>
    </xf>
    <xf numFmtId="2" fontId="47" fillId="0" borderId="5" xfId="10" applyNumberFormat="1" applyFont="1" applyFill="1" applyBorder="1" applyAlignment="1">
      <alignment horizontal="center" vertical="center"/>
    </xf>
    <xf numFmtId="177" fontId="43" fillId="0" borderId="5" xfId="0" applyNumberFormat="1" applyFont="1" applyFill="1" applyBorder="1" applyAlignment="1">
      <alignment horizontal="center" vertical="center" wrapText="1" shrinkToFit="1"/>
    </xf>
    <xf numFmtId="0" fontId="24" fillId="0" borderId="5" xfId="0" applyFont="1" applyFill="1" applyBorder="1" applyAlignment="1">
      <alignment horizontal="center" vertical="center"/>
    </xf>
    <xf numFmtId="0" fontId="83" fillId="0" borderId="15" xfId="0" applyFont="1" applyFill="1" applyBorder="1" applyAlignment="1">
      <alignment horizontal="center" vertical="center" wrapText="1"/>
    </xf>
    <xf numFmtId="0" fontId="47" fillId="0" borderId="15" xfId="10" applyFont="1" applyFill="1" applyBorder="1" applyAlignment="1">
      <alignment horizontal="center" vertical="center"/>
    </xf>
    <xf numFmtId="0" fontId="65" fillId="4" borderId="5" xfId="10" applyFont="1" applyFill="1" applyBorder="1" applyAlignment="1">
      <alignment horizontal="center" vertical="center"/>
    </xf>
    <xf numFmtId="0" fontId="47" fillId="4" borderId="5" xfId="10" applyFont="1" applyFill="1" applyBorder="1" applyAlignment="1">
      <alignment horizontal="center" vertical="center"/>
    </xf>
    <xf numFmtId="2" fontId="47" fillId="4" borderId="5" xfId="10" applyNumberFormat="1" applyFont="1" applyFill="1" applyBorder="1" applyAlignment="1">
      <alignment horizontal="center" vertical="center"/>
    </xf>
    <xf numFmtId="177" fontId="47" fillId="4" borderId="5" xfId="10" applyNumberFormat="1" applyFont="1" applyFill="1" applyBorder="1" applyAlignment="1">
      <alignment horizontal="center" vertical="center"/>
    </xf>
    <xf numFmtId="49" fontId="37" fillId="0" borderId="5" xfId="0" applyNumberFormat="1" applyFont="1" applyFill="1" applyBorder="1" applyAlignment="1">
      <alignment horizontal="center" vertical="center" wrapText="1"/>
    </xf>
    <xf numFmtId="0" fontId="16" fillId="0" borderId="5" xfId="0" applyFont="1" applyFill="1" applyBorder="1" applyAlignment="1">
      <alignment horizontal="center" vertical="center"/>
    </xf>
    <xf numFmtId="0" fontId="43" fillId="0" borderId="15" xfId="0" applyFont="1" applyFill="1" applyBorder="1" applyAlignment="1">
      <alignment horizontal="center" vertical="center"/>
    </xf>
    <xf numFmtId="0" fontId="70" fillId="0" borderId="15" xfId="0" applyFont="1" applyFill="1" applyBorder="1" applyAlignment="1">
      <alignment horizontal="center" vertical="center"/>
    </xf>
    <xf numFmtId="0" fontId="93" fillId="0" borderId="15" xfId="6" applyFont="1" applyBorder="1" applyAlignment="1">
      <alignment horizontal="center" vertical="center" wrapText="1"/>
    </xf>
    <xf numFmtId="57" fontId="70" fillId="0" borderId="5" xfId="0" applyNumberFormat="1" applyFont="1" applyFill="1" applyBorder="1" applyAlignment="1">
      <alignment horizontal="center" vertical="center"/>
    </xf>
    <xf numFmtId="0" fontId="51" fillId="0" borderId="15" xfId="0" applyNumberFormat="1" applyFont="1" applyFill="1" applyBorder="1" applyAlignment="1" applyProtection="1">
      <alignment horizontal="center" vertical="center" wrapText="1"/>
      <protection locked="0"/>
    </xf>
    <xf numFmtId="0" fontId="43" fillId="0" borderId="15" xfId="12" applyNumberFormat="1" applyFont="1" applyFill="1" applyBorder="1" applyAlignment="1">
      <alignment horizontal="center" vertical="center" wrapText="1"/>
    </xf>
    <xf numFmtId="177" fontId="70" fillId="0" borderId="15" xfId="0" applyNumberFormat="1" applyFont="1" applyFill="1" applyBorder="1" applyAlignment="1">
      <alignment horizontal="center" vertical="center"/>
    </xf>
    <xf numFmtId="0" fontId="62" fillId="0" borderId="15" xfId="0" applyNumberFormat="1" applyFont="1" applyFill="1" applyBorder="1" applyAlignment="1">
      <alignment horizontal="center" vertical="center"/>
    </xf>
    <xf numFmtId="0" fontId="61" fillId="0" borderId="15" xfId="0" applyNumberFormat="1" applyFont="1" applyFill="1" applyBorder="1" applyAlignment="1">
      <alignment horizontal="center" vertical="center"/>
    </xf>
    <xf numFmtId="0" fontId="44" fillId="0" borderId="15" xfId="0" applyNumberFormat="1" applyFont="1" applyFill="1" applyBorder="1" applyAlignment="1">
      <alignment horizontal="center" vertical="center" wrapText="1"/>
    </xf>
    <xf numFmtId="177" fontId="44" fillId="0" borderId="15" xfId="0" applyNumberFormat="1" applyFont="1" applyFill="1" applyBorder="1" applyAlignment="1">
      <alignment horizontal="center" vertical="center"/>
    </xf>
    <xf numFmtId="177" fontId="43" fillId="0" borderId="15" xfId="0" applyNumberFormat="1" applyFont="1" applyFill="1" applyBorder="1" applyAlignment="1">
      <alignment horizontal="center" vertical="center"/>
    </xf>
    <xf numFmtId="179" fontId="70" fillId="0" borderId="5" xfId="0" applyNumberFormat="1" applyFont="1" applyFill="1" applyBorder="1" applyAlignment="1">
      <alignment horizontal="center" vertical="center"/>
    </xf>
    <xf numFmtId="0" fontId="47" fillId="0" borderId="15" xfId="6" applyNumberFormat="1" applyFont="1" applyBorder="1" applyAlignment="1">
      <alignment horizontal="center" vertical="center" wrapText="1"/>
    </xf>
    <xf numFmtId="0" fontId="31" fillId="0" borderId="26" xfId="2" applyNumberFormat="1" applyFont="1" applyFill="1" applyBorder="1" applyAlignment="1">
      <alignment horizontal="center" vertical="center" wrapText="1"/>
    </xf>
    <xf numFmtId="0" fontId="70" fillId="0" borderId="15" xfId="0" applyNumberFormat="1" applyFont="1" applyFill="1" applyBorder="1" applyAlignment="1">
      <alignment horizontal="center" vertical="center"/>
    </xf>
    <xf numFmtId="0" fontId="70" fillId="0" borderId="15" xfId="0" applyNumberFormat="1" applyFont="1" applyFill="1" applyBorder="1" applyAlignment="1">
      <alignment horizontal="center" vertical="center" wrapText="1"/>
    </xf>
    <xf numFmtId="49" fontId="97" fillId="0" borderId="15" xfId="0" applyNumberFormat="1" applyFont="1" applyFill="1" applyBorder="1" applyAlignment="1">
      <alignment horizontal="center" vertical="center"/>
    </xf>
    <xf numFmtId="0" fontId="97" fillId="0" borderId="15" xfId="0" applyFont="1" applyFill="1" applyBorder="1" applyAlignment="1">
      <alignment horizontal="center" vertical="center"/>
    </xf>
    <xf numFmtId="0" fontId="37" fillId="0" borderId="15" xfId="0" applyFont="1" applyFill="1" applyBorder="1" applyAlignment="1">
      <alignment horizontal="center" vertical="center"/>
    </xf>
    <xf numFmtId="0" fontId="61" fillId="0" borderId="15" xfId="0" applyFont="1" applyFill="1" applyBorder="1" applyAlignment="1">
      <alignment horizontal="center" vertical="center"/>
    </xf>
    <xf numFmtId="0" fontId="0" fillId="0" borderId="15" xfId="0" applyFont="1" applyFill="1" applyBorder="1" applyAlignment="1">
      <alignment horizontal="center" vertical="center"/>
    </xf>
    <xf numFmtId="0" fontId="62" fillId="0" borderId="15" xfId="0" applyFont="1" applyFill="1" applyBorder="1" applyAlignment="1">
      <alignment horizontal="center" vertical="center"/>
    </xf>
    <xf numFmtId="0" fontId="31" fillId="0" borderId="15" xfId="0" applyFont="1" applyFill="1" applyBorder="1" applyAlignment="1">
      <alignment horizontal="center" vertical="center"/>
    </xf>
    <xf numFmtId="49" fontId="44" fillId="0" borderId="15" xfId="0" applyNumberFormat="1" applyFont="1" applyFill="1" applyBorder="1" applyAlignment="1">
      <alignment horizontal="center" vertical="center"/>
    </xf>
    <xf numFmtId="0" fontId="57" fillId="0" borderId="5" xfId="0" applyFont="1" applyFill="1" applyBorder="1" applyAlignment="1">
      <alignment horizontal="center" vertical="center" wrapText="1"/>
    </xf>
    <xf numFmtId="0" fontId="56" fillId="4" borderId="5" xfId="0" applyFont="1" applyFill="1" applyBorder="1" applyAlignment="1">
      <alignment horizontal="center" vertical="center" wrapText="1" shrinkToFit="1"/>
    </xf>
    <xf numFmtId="0" fontId="98" fillId="0" borderId="5" xfId="0" applyFont="1" applyFill="1" applyBorder="1" applyAlignment="1">
      <alignment horizontal="center" vertical="center" wrapText="1"/>
    </xf>
    <xf numFmtId="0" fontId="57" fillId="4" borderId="5" xfId="0" applyNumberFormat="1" applyFont="1" applyFill="1" applyBorder="1" applyAlignment="1">
      <alignment horizontal="center" vertical="center" wrapText="1"/>
    </xf>
    <xf numFmtId="176" fontId="57" fillId="4" borderId="15" xfId="0" applyNumberFormat="1" applyFont="1" applyFill="1" applyBorder="1" applyAlignment="1">
      <alignment horizontal="center" vertical="center" wrapText="1"/>
    </xf>
    <xf numFmtId="176" fontId="99" fillId="0" borderId="5" xfId="0" applyNumberFormat="1" applyFont="1" applyFill="1" applyBorder="1" applyAlignment="1" applyProtection="1">
      <alignment horizontal="center" vertical="center" wrapText="1"/>
      <protection locked="0"/>
    </xf>
    <xf numFmtId="0" fontId="56" fillId="4" borderId="5" xfId="0" applyNumberFormat="1" applyFont="1" applyFill="1" applyBorder="1" applyAlignment="1">
      <alignment horizontal="center" vertical="center" wrapText="1" shrinkToFit="1"/>
    </xf>
    <xf numFmtId="176" fontId="100" fillId="4" borderId="15" xfId="0" applyNumberFormat="1" applyFont="1" applyFill="1" applyBorder="1" applyAlignment="1" applyProtection="1">
      <alignment horizontal="center" vertical="center" wrapText="1"/>
      <protection locked="0"/>
    </xf>
    <xf numFmtId="176" fontId="100" fillId="0" borderId="15" xfId="0" applyNumberFormat="1" applyFont="1" applyFill="1" applyBorder="1" applyAlignment="1" applyProtection="1">
      <alignment horizontal="center" vertical="center" wrapText="1"/>
      <protection locked="0"/>
    </xf>
    <xf numFmtId="0" fontId="56" fillId="0" borderId="5" xfId="0" applyFont="1" applyFill="1" applyBorder="1" applyAlignment="1">
      <alignment horizontal="center" vertical="center"/>
    </xf>
    <xf numFmtId="176" fontId="100" fillId="4" borderId="5" xfId="0" applyNumberFormat="1" applyFont="1" applyFill="1" applyBorder="1" applyAlignment="1" applyProtection="1">
      <alignment horizontal="center" vertical="center" wrapText="1"/>
      <protection locked="0"/>
    </xf>
    <xf numFmtId="176" fontId="80" fillId="0" borderId="5" xfId="0" applyNumberFormat="1" applyFont="1" applyFill="1" applyBorder="1" applyAlignment="1" applyProtection="1">
      <alignment horizontal="center" vertical="center" wrapText="1"/>
      <protection locked="0"/>
    </xf>
    <xf numFmtId="0" fontId="59" fillId="4" borderId="11" xfId="0" applyFont="1" applyFill="1" applyBorder="1" applyAlignment="1">
      <alignment horizontal="center" vertical="center"/>
    </xf>
    <xf numFmtId="0" fontId="44" fillId="0" borderId="11" xfId="0" applyFont="1" applyFill="1" applyBorder="1" applyAlignment="1">
      <alignment horizontal="center" vertical="center"/>
    </xf>
    <xf numFmtId="0" fontId="0" fillId="0" borderId="0" xfId="0" applyBorder="1">
      <alignment vertical="center"/>
    </xf>
    <xf numFmtId="0" fontId="0" fillId="0" borderId="29" xfId="0" applyBorder="1">
      <alignment vertical="center"/>
    </xf>
    <xf numFmtId="0" fontId="0" fillId="0" borderId="5" xfId="0" applyBorder="1">
      <alignment vertical="center"/>
    </xf>
    <xf numFmtId="0" fontId="101" fillId="0" borderId="5" xfId="0" applyFont="1" applyFill="1" applyBorder="1" applyAlignment="1">
      <alignment horizontal="center" vertical="center" wrapText="1"/>
    </xf>
    <xf numFmtId="177" fontId="101" fillId="0" borderId="5" xfId="0" applyNumberFormat="1" applyFont="1" applyFill="1" applyBorder="1" applyAlignment="1">
      <alignment horizontal="center" vertical="center" wrapText="1"/>
    </xf>
    <xf numFmtId="0" fontId="101" fillId="0" borderId="5" xfId="0" applyFont="1" applyFill="1" applyBorder="1" applyAlignment="1">
      <alignment horizontal="center" vertical="center"/>
    </xf>
    <xf numFmtId="0" fontId="44" fillId="0" borderId="0" xfId="0" applyFont="1" applyFill="1" applyBorder="1" applyAlignment="1">
      <alignment horizontal="center" vertical="center"/>
    </xf>
    <xf numFmtId="0" fontId="43" fillId="0" borderId="15" xfId="0" applyNumberFormat="1" applyFont="1" applyFill="1" applyBorder="1" applyAlignment="1">
      <alignment horizontal="center" vertical="center" wrapText="1"/>
    </xf>
    <xf numFmtId="0" fontId="50" fillId="0" borderId="15" xfId="0" applyNumberFormat="1" applyFont="1" applyFill="1" applyBorder="1" applyAlignment="1">
      <alignment horizontal="center" vertical="center" wrapText="1"/>
    </xf>
    <xf numFmtId="0" fontId="101" fillId="0" borderId="15" xfId="0" applyFont="1" applyFill="1" applyBorder="1" applyAlignment="1">
      <alignment horizontal="center" vertical="center" wrapText="1"/>
    </xf>
    <xf numFmtId="0" fontId="63" fillId="0" borderId="23" xfId="6" applyFont="1" applyFill="1" applyBorder="1" applyAlignment="1">
      <alignment horizontal="center" vertical="center" wrapText="1"/>
    </xf>
    <xf numFmtId="0" fontId="63" fillId="0" borderId="15" xfId="6" applyFont="1" applyFill="1" applyBorder="1" applyAlignment="1">
      <alignment vertical="center"/>
    </xf>
    <xf numFmtId="0" fontId="63" fillId="0" borderId="15" xfId="6" applyFont="1" applyFill="1" applyBorder="1" applyAlignment="1">
      <alignment horizontal="center" vertical="center" wrapText="1"/>
    </xf>
    <xf numFmtId="0" fontId="43" fillId="0" borderId="5" xfId="12" applyFont="1" applyBorder="1" applyAlignment="1">
      <alignment horizontal="center" vertical="center" wrapText="1"/>
    </xf>
    <xf numFmtId="57" fontId="47" fillId="0" borderId="5" xfId="6" applyNumberFormat="1" applyFont="1" applyBorder="1" applyAlignment="1">
      <alignment horizontal="center" vertical="center"/>
    </xf>
    <xf numFmtId="0" fontId="84" fillId="0" borderId="5" xfId="0" applyFont="1" applyFill="1" applyBorder="1" applyAlignment="1">
      <alignment horizontal="center" vertical="center"/>
    </xf>
    <xf numFmtId="0" fontId="41" fillId="0" borderId="5" xfId="0" applyFont="1" applyFill="1" applyBorder="1" applyAlignment="1" applyProtection="1">
      <alignment horizontal="center" vertical="center" wrapText="1"/>
      <protection locked="0"/>
    </xf>
    <xf numFmtId="0" fontId="39" fillId="0" borderId="5" xfId="12" applyFont="1" applyFill="1" applyBorder="1" applyAlignment="1">
      <alignment horizontal="center" vertical="center" wrapText="1"/>
    </xf>
    <xf numFmtId="0" fontId="41" fillId="0" borderId="29" xfId="0" applyFont="1" applyFill="1" applyBorder="1" applyAlignment="1">
      <alignment horizontal="center" vertical="center" wrapText="1"/>
    </xf>
    <xf numFmtId="0" fontId="41" fillId="0" borderId="5" xfId="0" applyFont="1" applyFill="1" applyBorder="1" applyAlignment="1">
      <alignment horizontal="center" vertical="center" wrapText="1"/>
    </xf>
    <xf numFmtId="186" fontId="26" fillId="0" borderId="0" xfId="2" applyNumberFormat="1" applyFont="1" applyFill="1">
      <alignment vertical="center"/>
    </xf>
    <xf numFmtId="0" fontId="26" fillId="0" borderId="0" xfId="2" applyNumberFormat="1" applyFont="1" applyFill="1">
      <alignment vertical="center"/>
    </xf>
    <xf numFmtId="0" fontId="26" fillId="0" borderId="0" xfId="0" applyNumberFormat="1" applyFont="1" applyFill="1" applyAlignment="1"/>
    <xf numFmtId="186" fontId="26" fillId="0" borderId="0" xfId="2" applyNumberFormat="1" applyFont="1" applyFill="1" applyAlignment="1">
      <alignment horizontal="center" vertical="center"/>
    </xf>
    <xf numFmtId="186" fontId="27" fillId="0" borderId="0" xfId="0" applyNumberFormat="1" applyFont="1" applyFill="1" applyAlignment="1">
      <alignment horizontal="center" vertical="center"/>
    </xf>
    <xf numFmtId="186" fontId="24" fillId="0" borderId="0" xfId="0" applyNumberFormat="1" applyFont="1" applyFill="1" applyAlignment="1"/>
    <xf numFmtId="186" fontId="105" fillId="0" borderId="0" xfId="0" applyNumberFormat="1" applyFont="1" applyFill="1" applyAlignment="1"/>
    <xf numFmtId="186" fontId="31" fillId="0" borderId="5" xfId="2" applyNumberFormat="1" applyFont="1" applyFill="1" applyBorder="1" applyAlignment="1">
      <alignment horizontal="center" vertical="center"/>
    </xf>
    <xf numFmtId="186" fontId="31" fillId="0" borderId="5" xfId="2" applyNumberFormat="1" applyFont="1" applyFill="1" applyBorder="1" applyAlignment="1">
      <alignment horizontal="center" vertical="center" wrapText="1"/>
    </xf>
    <xf numFmtId="186" fontId="31" fillId="0" borderId="5" xfId="0" applyNumberFormat="1" applyFont="1" applyFill="1" applyBorder="1" applyAlignment="1">
      <alignment horizontal="center" vertical="center" wrapText="1"/>
    </xf>
    <xf numFmtId="0" fontId="33" fillId="0" borderId="5" xfId="2" applyNumberFormat="1" applyFont="1" applyFill="1" applyBorder="1" applyAlignment="1">
      <alignment horizontal="center" vertical="center"/>
    </xf>
    <xf numFmtId="186" fontId="33" fillId="0" borderId="5" xfId="2" applyNumberFormat="1" applyFont="1" applyFill="1" applyBorder="1" applyAlignment="1">
      <alignment horizontal="center" vertical="center" wrapText="1"/>
    </xf>
    <xf numFmtId="186" fontId="31" fillId="0" borderId="5" xfId="0" applyNumberFormat="1" applyFont="1" applyFill="1" applyBorder="1" applyAlignment="1">
      <alignment horizontal="center" vertical="center"/>
    </xf>
    <xf numFmtId="0" fontId="106" fillId="0" borderId="5" xfId="2" applyNumberFormat="1" applyFont="1" applyFill="1" applyBorder="1" applyAlignment="1">
      <alignment horizontal="center" vertical="center"/>
    </xf>
    <xf numFmtId="49" fontId="43" fillId="0" borderId="5" xfId="22" applyNumberFormat="1" applyFont="1" applyFill="1" applyBorder="1" applyAlignment="1">
      <alignment horizontal="center" vertical="center" wrapText="1"/>
    </xf>
    <xf numFmtId="1" fontId="43" fillId="0" borderId="5" xfId="0" applyNumberFormat="1" applyFont="1" applyFill="1" applyBorder="1" applyAlignment="1">
      <alignment horizontal="center" vertical="center"/>
    </xf>
    <xf numFmtId="186" fontId="24" fillId="0" borderId="5" xfId="0" applyNumberFormat="1" applyFont="1" applyFill="1" applyBorder="1" applyAlignment="1">
      <alignment horizontal="center" vertical="center"/>
    </xf>
    <xf numFmtId="0" fontId="31" fillId="0" borderId="5" xfId="23" applyFont="1" applyFill="1" applyBorder="1" applyAlignment="1">
      <alignment horizontal="center" vertical="center"/>
    </xf>
    <xf numFmtId="187" fontId="31" fillId="0" borderId="5" xfId="23" applyNumberFormat="1" applyFont="1" applyFill="1" applyBorder="1" applyAlignment="1">
      <alignment horizontal="center" vertical="center"/>
    </xf>
    <xf numFmtId="1" fontId="31" fillId="0" borderId="5" xfId="0" applyNumberFormat="1" applyFont="1" applyFill="1" applyBorder="1" applyAlignment="1">
      <alignment horizontal="center" vertical="center"/>
    </xf>
    <xf numFmtId="0" fontId="31" fillId="0" borderId="5" xfId="24" applyFont="1" applyFill="1" applyBorder="1" applyAlignment="1">
      <alignment horizontal="center" vertical="center"/>
    </xf>
    <xf numFmtId="0" fontId="31" fillId="0" borderId="5" xfId="22" applyNumberFormat="1" applyFont="1" applyFill="1" applyBorder="1" applyAlignment="1">
      <alignment horizontal="center" vertical="center" wrapText="1"/>
    </xf>
    <xf numFmtId="186" fontId="72" fillId="0" borderId="0" xfId="0" applyNumberFormat="1" applyFont="1" applyFill="1" applyAlignment="1"/>
    <xf numFmtId="1" fontId="43" fillId="0" borderId="20" xfId="0" applyNumberFormat="1" applyFont="1" applyFill="1" applyBorder="1" applyAlignment="1">
      <alignment horizontal="center" vertical="center"/>
    </xf>
    <xf numFmtId="186" fontId="76" fillId="0" borderId="5" xfId="0" applyNumberFormat="1" applyFont="1" applyFill="1" applyBorder="1" applyAlignment="1">
      <alignment horizontal="center" vertical="center"/>
    </xf>
    <xf numFmtId="49" fontId="43" fillId="0" borderId="15" xfId="22" applyNumberFormat="1" applyFont="1" applyFill="1" applyBorder="1" applyAlignment="1">
      <alignment horizontal="center" vertical="center" wrapText="1"/>
    </xf>
    <xf numFmtId="1" fontId="43" fillId="4" borderId="5" xfId="0" applyNumberFormat="1" applyFont="1" applyFill="1" applyBorder="1" applyAlignment="1">
      <alignment horizontal="center" vertical="center"/>
    </xf>
    <xf numFmtId="0" fontId="43" fillId="4" borderId="5" xfId="0" applyNumberFormat="1" applyFont="1" applyFill="1" applyBorder="1" applyAlignment="1">
      <alignment horizontal="center" vertical="center"/>
    </xf>
    <xf numFmtId="186" fontId="24" fillId="4" borderId="5" xfId="0" applyNumberFormat="1" applyFont="1" applyFill="1" applyBorder="1" applyAlignment="1">
      <alignment horizontal="center" vertical="center"/>
    </xf>
    <xf numFmtId="49" fontId="43" fillId="4" borderId="15" xfId="22" applyNumberFormat="1" applyFont="1" applyFill="1" applyBorder="1" applyAlignment="1">
      <alignment horizontal="center" vertical="center" wrapText="1"/>
    </xf>
    <xf numFmtId="186" fontId="76" fillId="4" borderId="5" xfId="0" applyNumberFormat="1" applyFont="1" applyFill="1" applyBorder="1" applyAlignment="1">
      <alignment horizontal="center" vertical="center"/>
    </xf>
    <xf numFmtId="186" fontId="24" fillId="4" borderId="0" xfId="0" applyNumberFormat="1" applyFont="1" applyFill="1" applyAlignment="1"/>
    <xf numFmtId="1" fontId="43" fillId="0" borderId="5" xfId="0" applyNumberFormat="1" applyFont="1" applyFill="1" applyBorder="1" applyAlignment="1">
      <alignment horizontal="center" vertical="center" wrapText="1"/>
    </xf>
    <xf numFmtId="0" fontId="39" fillId="0" borderId="5" xfId="0" applyNumberFormat="1" applyFont="1" applyFill="1" applyBorder="1" applyAlignment="1">
      <alignment horizontal="center" vertical="center" wrapText="1"/>
    </xf>
    <xf numFmtId="186" fontId="69" fillId="0" borderId="5" xfId="0" applyNumberFormat="1" applyFont="1" applyFill="1" applyBorder="1" applyAlignment="1">
      <alignment horizontal="center" vertical="center"/>
    </xf>
    <xf numFmtId="0" fontId="69" fillId="0" borderId="5" xfId="0" applyNumberFormat="1" applyFont="1" applyFill="1" applyBorder="1" applyAlignment="1">
      <alignment horizontal="center" vertical="center"/>
    </xf>
    <xf numFmtId="0" fontId="69" fillId="0" borderId="5" xfId="0" applyNumberFormat="1" applyFont="1" applyFill="1" applyBorder="1" applyAlignment="1">
      <alignment horizontal="center" vertical="center" wrapText="1"/>
    </xf>
    <xf numFmtId="186" fontId="69" fillId="0" borderId="5" xfId="0" applyNumberFormat="1" applyFont="1" applyFill="1" applyBorder="1" applyAlignment="1">
      <alignment horizontal="center" vertical="center" wrapText="1"/>
    </xf>
    <xf numFmtId="0" fontId="69" fillId="0" borderId="5" xfId="0" applyNumberFormat="1" applyFont="1" applyFill="1" applyBorder="1" applyAlignment="1">
      <alignment horizontal="right" vertical="center" wrapText="1"/>
    </xf>
    <xf numFmtId="0" fontId="69" fillId="0" borderId="5" xfId="0" applyNumberFormat="1" applyFont="1" applyFill="1" applyBorder="1" applyAlignment="1">
      <alignment horizontal="right" vertical="center"/>
    </xf>
    <xf numFmtId="177" fontId="45" fillId="0" borderId="3" xfId="0" applyNumberFormat="1" applyFont="1" applyFill="1" applyBorder="1" applyAlignment="1">
      <alignment horizontal="center" vertical="center" wrapText="1"/>
    </xf>
    <xf numFmtId="177" fontId="45" fillId="0" borderId="5" xfId="0" applyNumberFormat="1" applyFont="1" applyFill="1" applyBorder="1" applyAlignment="1">
      <alignment horizontal="center" vertical="center" wrapText="1"/>
    </xf>
    <xf numFmtId="0" fontId="107" fillId="0" borderId="5" xfId="0" applyNumberFormat="1" applyFont="1" applyFill="1" applyBorder="1" applyAlignment="1">
      <alignment horizontal="center" vertical="center" wrapText="1"/>
    </xf>
    <xf numFmtId="1" fontId="69" fillId="0" borderId="5" xfId="0" applyNumberFormat="1" applyFont="1" applyFill="1" applyBorder="1" applyAlignment="1">
      <alignment horizontal="center" vertical="center"/>
    </xf>
    <xf numFmtId="177" fontId="69" fillId="0" borderId="5" xfId="0" applyNumberFormat="1" applyFont="1" applyFill="1" applyBorder="1" applyAlignment="1">
      <alignment horizontal="center" vertical="center" shrinkToFit="1"/>
    </xf>
    <xf numFmtId="177" fontId="69" fillId="0" borderId="5" xfId="0" applyNumberFormat="1" applyFont="1" applyFill="1" applyBorder="1" applyAlignment="1">
      <alignment horizontal="center" vertical="center"/>
    </xf>
    <xf numFmtId="0" fontId="69" fillId="0" borderId="5" xfId="0" applyNumberFormat="1" applyFont="1" applyFill="1" applyBorder="1" applyAlignment="1">
      <alignment horizontal="center" vertical="center" shrinkToFit="1"/>
    </xf>
    <xf numFmtId="0" fontId="69" fillId="0" borderId="5" xfId="23" applyFont="1" applyFill="1" applyBorder="1" applyAlignment="1">
      <alignment horizontal="center" vertical="center"/>
    </xf>
    <xf numFmtId="187" fontId="69" fillId="0" borderId="5" xfId="23" applyNumberFormat="1" applyFont="1" applyFill="1" applyBorder="1" applyAlignment="1">
      <alignment horizontal="center" vertical="center"/>
    </xf>
    <xf numFmtId="0" fontId="69" fillId="0" borderId="5" xfId="24" applyFont="1" applyFill="1" applyBorder="1" applyAlignment="1">
      <alignment horizontal="center" vertical="center"/>
    </xf>
    <xf numFmtId="0" fontId="69" fillId="0" borderId="5" xfId="22" applyNumberFormat="1" applyFont="1" applyFill="1" applyBorder="1" applyAlignment="1">
      <alignment horizontal="center" vertical="center" wrapText="1"/>
    </xf>
    <xf numFmtId="186" fontId="43" fillId="0" borderId="5" xfId="0" applyNumberFormat="1" applyFont="1" applyFill="1" applyBorder="1" applyAlignment="1">
      <alignment horizontal="center" vertical="center"/>
    </xf>
    <xf numFmtId="186" fontId="16" fillId="0" borderId="5" xfId="0" applyNumberFormat="1" applyFont="1" applyFill="1" applyBorder="1" applyAlignment="1">
      <alignment horizontal="center" vertical="center"/>
    </xf>
    <xf numFmtId="0" fontId="24" fillId="0" borderId="5" xfId="0" applyNumberFormat="1" applyFont="1" applyFill="1" applyBorder="1" applyAlignment="1">
      <alignment horizontal="center" vertical="center"/>
    </xf>
    <xf numFmtId="186" fontId="24" fillId="0" borderId="0" xfId="0" applyNumberFormat="1" applyFont="1" applyFill="1" applyAlignment="1">
      <alignment horizontal="center" vertical="center"/>
    </xf>
    <xf numFmtId="0" fontId="45" fillId="0" borderId="3" xfId="0" applyNumberFormat="1" applyFont="1" applyFill="1" applyBorder="1" applyAlignment="1">
      <alignment horizontal="right" vertical="center" wrapText="1"/>
    </xf>
    <xf numFmtId="0" fontId="45" fillId="0" borderId="3" xfId="0" applyNumberFormat="1" applyFont="1" applyFill="1" applyBorder="1" applyAlignment="1">
      <alignment horizontal="center" vertical="center" wrapText="1"/>
    </xf>
    <xf numFmtId="0" fontId="108" fillId="0" borderId="3" xfId="0" applyNumberFormat="1" applyFont="1" applyFill="1" applyBorder="1" applyAlignment="1">
      <alignment horizontal="center" vertical="center" wrapText="1"/>
    </xf>
    <xf numFmtId="0" fontId="28" fillId="0" borderId="0" xfId="0" applyNumberFormat="1" applyFont="1" applyFill="1" applyAlignment="1">
      <alignment vertical="center"/>
    </xf>
    <xf numFmtId="0" fontId="108" fillId="0" borderId="5" xfId="0" applyNumberFormat="1" applyFont="1" applyFill="1" applyBorder="1" applyAlignment="1">
      <alignment horizontal="center" vertical="center" wrapText="1"/>
    </xf>
    <xf numFmtId="0" fontId="45" fillId="0" borderId="5" xfId="0" applyNumberFormat="1" applyFont="1" applyFill="1" applyBorder="1" applyAlignment="1">
      <alignment horizontal="center" vertical="center" wrapText="1"/>
    </xf>
    <xf numFmtId="0" fontId="45" fillId="0" borderId="5" xfId="0" applyNumberFormat="1" applyFont="1" applyFill="1" applyBorder="1" applyAlignment="1">
      <alignment horizontal="right" vertical="center" wrapText="1"/>
    </xf>
    <xf numFmtId="188" fontId="43" fillId="0" borderId="5" xfId="0" applyNumberFormat="1" applyFont="1" applyFill="1" applyBorder="1" applyAlignment="1">
      <alignment horizontal="center" vertical="center"/>
    </xf>
    <xf numFmtId="0" fontId="24" fillId="0" borderId="0" xfId="0" applyNumberFormat="1" applyFont="1" applyFill="1" applyAlignment="1">
      <alignment horizontal="center"/>
    </xf>
    <xf numFmtId="177" fontId="69" fillId="0" borderId="5" xfId="24" applyNumberFormat="1" applyFont="1" applyFill="1" applyBorder="1" applyAlignment="1">
      <alignment horizontal="center" vertical="center"/>
    </xf>
    <xf numFmtId="177" fontId="69" fillId="0" borderId="5" xfId="22" applyNumberFormat="1" applyFont="1" applyFill="1" applyBorder="1" applyAlignment="1">
      <alignment horizontal="center" vertical="center" wrapText="1"/>
    </xf>
    <xf numFmtId="186" fontId="43" fillId="0" borderId="5" xfId="25" applyNumberFormat="1" applyFont="1" applyFill="1" applyBorder="1" applyAlignment="1" applyProtection="1">
      <alignment horizontal="center" vertical="center" wrapText="1"/>
    </xf>
    <xf numFmtId="186" fontId="43" fillId="0" borderId="5" xfId="25" applyNumberFormat="1" applyFont="1" applyFill="1" applyBorder="1" applyAlignment="1" applyProtection="1">
      <alignment horizontal="center" vertical="center"/>
    </xf>
    <xf numFmtId="0" fontId="43" fillId="0" borderId="5" xfId="25" applyNumberFormat="1" applyFont="1" applyFill="1" applyBorder="1" applyAlignment="1" applyProtection="1">
      <alignment horizontal="center" vertical="center" wrapText="1"/>
    </xf>
    <xf numFmtId="186" fontId="76" fillId="0" borderId="0" xfId="26" applyNumberFormat="1" applyFont="1" applyFill="1" applyAlignment="1" applyProtection="1">
      <alignment vertical="top"/>
      <protection locked="0"/>
    </xf>
    <xf numFmtId="177" fontId="43" fillId="0" borderId="5" xfId="25" applyNumberFormat="1" applyFont="1" applyFill="1" applyBorder="1" applyAlignment="1" applyProtection="1">
      <alignment horizontal="center" vertical="center" wrapText="1"/>
    </xf>
    <xf numFmtId="185" fontId="43" fillId="0" borderId="5" xfId="25" applyNumberFormat="1" applyFont="1" applyFill="1" applyBorder="1" applyAlignment="1" applyProtection="1">
      <alignment horizontal="center" vertical="center" wrapText="1"/>
    </xf>
    <xf numFmtId="0" fontId="69" fillId="0" borderId="29" xfId="0" applyNumberFormat="1" applyFont="1" applyFill="1" applyBorder="1" applyAlignment="1">
      <alignment horizontal="center" vertical="center"/>
    </xf>
    <xf numFmtId="0" fontId="69" fillId="0" borderId="20" xfId="0" applyNumberFormat="1" applyFont="1" applyFill="1" applyBorder="1" applyAlignment="1">
      <alignment horizontal="center" vertical="center"/>
    </xf>
    <xf numFmtId="181" fontId="43" fillId="0" borderId="5" xfId="8" applyNumberFormat="1" applyFont="1" applyFill="1" applyBorder="1" applyAlignment="1">
      <alignment horizontal="center" vertical="center" wrapText="1"/>
    </xf>
    <xf numFmtId="0" fontId="39" fillId="0" borderId="5" xfId="8" applyNumberFormat="1" applyFont="1" applyFill="1" applyBorder="1" applyAlignment="1">
      <alignment horizontal="center" vertical="center" wrapText="1"/>
    </xf>
    <xf numFmtId="0" fontId="28" fillId="0" borderId="5" xfId="0" applyNumberFormat="1" applyFont="1" applyFill="1" applyBorder="1" applyAlignment="1">
      <alignment vertical="center"/>
    </xf>
    <xf numFmtId="0" fontId="110" fillId="0" borderId="3" xfId="0" applyNumberFormat="1" applyFont="1" applyFill="1" applyBorder="1" applyAlignment="1">
      <alignment horizontal="center" vertical="center" wrapText="1"/>
    </xf>
    <xf numFmtId="186" fontId="111" fillId="0" borderId="5" xfId="0" applyNumberFormat="1" applyFont="1" applyFill="1" applyBorder="1" applyAlignment="1">
      <alignment horizontal="center" vertical="center"/>
    </xf>
    <xf numFmtId="0" fontId="28" fillId="0" borderId="5" xfId="0" applyNumberFormat="1" applyFont="1" applyFill="1" applyBorder="1" applyAlignment="1">
      <alignment horizontal="center" vertical="center"/>
    </xf>
    <xf numFmtId="0" fontId="88" fillId="0" borderId="5" xfId="0" applyNumberFormat="1" applyFont="1" applyFill="1" applyBorder="1" applyAlignment="1">
      <alignment horizontal="center" vertical="center"/>
    </xf>
    <xf numFmtId="186" fontId="33" fillId="0" borderId="5" xfId="0" applyNumberFormat="1" applyFont="1" applyFill="1" applyBorder="1" applyAlignment="1">
      <alignment horizontal="center" vertical="center"/>
    </xf>
    <xf numFmtId="186" fontId="88" fillId="0" borderId="5" xfId="0" applyNumberFormat="1" applyFont="1" applyFill="1" applyBorder="1" applyAlignment="1">
      <alignment horizontal="center" vertical="center"/>
    </xf>
    <xf numFmtId="49" fontId="112" fillId="0" borderId="5" xfId="0" applyNumberFormat="1" applyFont="1" applyFill="1" applyBorder="1" applyAlignment="1" applyProtection="1">
      <alignment horizontal="center" vertical="center"/>
      <protection locked="0"/>
    </xf>
    <xf numFmtId="0" fontId="113" fillId="0" borderId="5" xfId="0" applyNumberFormat="1" applyFont="1" applyFill="1" applyBorder="1" applyAlignment="1">
      <alignment horizontal="center" vertical="center" wrapText="1"/>
    </xf>
    <xf numFmtId="0" fontId="106" fillId="0" borderId="5" xfId="0" applyNumberFormat="1" applyFont="1" applyFill="1" applyBorder="1" applyAlignment="1">
      <alignment horizontal="center" vertical="center" wrapText="1"/>
    </xf>
    <xf numFmtId="0" fontId="43" fillId="0" borderId="5" xfId="0" applyNumberFormat="1" applyFont="1" applyFill="1" applyBorder="1" applyAlignment="1" applyProtection="1">
      <alignment horizontal="center" vertical="center"/>
      <protection locked="0"/>
    </xf>
    <xf numFmtId="1" fontId="114" fillId="0" borderId="5" xfId="0" applyNumberFormat="1" applyFont="1" applyFill="1" applyBorder="1" applyAlignment="1">
      <alignment horizontal="center" vertical="center"/>
    </xf>
    <xf numFmtId="0" fontId="114" fillId="0" borderId="5" xfId="0" applyNumberFormat="1" applyFont="1" applyFill="1" applyBorder="1" applyAlignment="1">
      <alignment horizontal="center" vertical="center"/>
    </xf>
    <xf numFmtId="186" fontId="115" fillId="0" borderId="5" xfId="2" applyNumberFormat="1" applyFont="1" applyFill="1" applyBorder="1" applyAlignment="1">
      <alignment horizontal="center" vertical="center" wrapText="1"/>
    </xf>
    <xf numFmtId="186" fontId="39" fillId="0" borderId="5" xfId="0" applyNumberFormat="1" applyFont="1" applyFill="1" applyBorder="1" applyAlignment="1">
      <alignment horizontal="center" vertical="center" wrapText="1"/>
    </xf>
    <xf numFmtId="9" fontId="84" fillId="0" borderId="5" xfId="27" applyNumberFormat="1" applyFont="1" applyFill="1" applyBorder="1" applyAlignment="1">
      <alignment horizontal="center" vertical="center"/>
    </xf>
    <xf numFmtId="0" fontId="33" fillId="0" borderId="5" xfId="0" applyNumberFormat="1" applyFont="1" applyFill="1" applyBorder="1" applyAlignment="1">
      <alignment horizontal="center" vertical="center"/>
    </xf>
    <xf numFmtId="186" fontId="116" fillId="0" borderId="5" xfId="0" applyNumberFormat="1" applyFont="1" applyFill="1" applyBorder="1" applyAlignment="1">
      <alignment horizontal="center" vertical="center"/>
    </xf>
    <xf numFmtId="186" fontId="0" fillId="0" borderId="0" xfId="0" applyNumberFormat="1" applyFill="1" applyAlignment="1"/>
    <xf numFmtId="189" fontId="69" fillId="0" borderId="5" xfId="0" applyNumberFormat="1" applyFont="1" applyFill="1" applyBorder="1" applyAlignment="1">
      <alignment horizontal="center" vertical="center"/>
    </xf>
    <xf numFmtId="186" fontId="72" fillId="0" borderId="5" xfId="0" applyNumberFormat="1" applyFont="1" applyFill="1" applyBorder="1" applyAlignment="1">
      <alignment horizontal="center" vertical="center"/>
    </xf>
    <xf numFmtId="0" fontId="51" fillId="0" borderId="3" xfId="0" applyNumberFormat="1" applyFont="1" applyFill="1" applyBorder="1" applyAlignment="1">
      <alignment horizontal="center" vertical="center" wrapText="1"/>
    </xf>
    <xf numFmtId="185" fontId="45" fillId="0" borderId="4" xfId="0" applyNumberFormat="1" applyFont="1" applyFill="1" applyBorder="1" applyAlignment="1">
      <alignment horizontal="center" vertical="center" wrapText="1"/>
    </xf>
    <xf numFmtId="177" fontId="24" fillId="0" borderId="5" xfId="0" applyNumberFormat="1" applyFont="1" applyFill="1" applyBorder="1" applyAlignment="1">
      <alignment horizontal="center" vertical="center"/>
    </xf>
    <xf numFmtId="0" fontId="16" fillId="0" borderId="5" xfId="0" applyNumberFormat="1" applyFont="1" applyFill="1" applyBorder="1" applyAlignment="1">
      <alignment horizontal="center" vertical="center"/>
    </xf>
    <xf numFmtId="0" fontId="43" fillId="0" borderId="5" xfId="0" quotePrefix="1" applyNumberFormat="1" applyFont="1" applyFill="1" applyBorder="1" applyAlignment="1">
      <alignment horizontal="center" vertical="center"/>
    </xf>
    <xf numFmtId="1" fontId="76" fillId="0" borderId="5" xfId="0" applyNumberFormat="1" applyFont="1" applyFill="1" applyBorder="1" applyAlignment="1">
      <alignment horizontal="center" vertical="center" wrapText="1"/>
    </xf>
    <xf numFmtId="0" fontId="116" fillId="0" borderId="5" xfId="0" applyNumberFormat="1" applyFont="1" applyFill="1" applyBorder="1" applyAlignment="1">
      <alignment horizontal="center" vertical="center"/>
    </xf>
    <xf numFmtId="190" fontId="69" fillId="0" borderId="5" xfId="0" applyNumberFormat="1" applyFont="1" applyFill="1" applyBorder="1" applyAlignment="1">
      <alignment horizontal="center" vertical="center"/>
    </xf>
    <xf numFmtId="49" fontId="43" fillId="0" borderId="5" xfId="0" applyNumberFormat="1" applyFont="1" applyFill="1" applyBorder="1" applyAlignment="1">
      <alignment horizontal="center" vertical="center"/>
    </xf>
    <xf numFmtId="1" fontId="43" fillId="0" borderId="5" xfId="11" applyNumberFormat="1" applyFont="1" applyFill="1" applyBorder="1" applyAlignment="1">
      <alignment horizontal="center" vertical="center"/>
    </xf>
    <xf numFmtId="0" fontId="43" fillId="0" borderId="5" xfId="11" applyNumberFormat="1" applyFont="1" applyFill="1" applyBorder="1" applyAlignment="1">
      <alignment horizontal="center" vertical="center"/>
    </xf>
    <xf numFmtId="186" fontId="43" fillId="0" borderId="5" xfId="28" applyNumberFormat="1" applyFont="1" applyFill="1" applyBorder="1" applyAlignment="1">
      <alignment horizontal="center" vertical="center"/>
    </xf>
    <xf numFmtId="0" fontId="43" fillId="0" borderId="5" xfId="28" applyNumberFormat="1" applyFont="1" applyFill="1" applyBorder="1" applyAlignment="1">
      <alignment horizontal="center" vertical="center"/>
    </xf>
    <xf numFmtId="0" fontId="37" fillId="0" borderId="5" xfId="29" applyFont="1" applyFill="1" applyBorder="1" applyAlignment="1">
      <alignment horizontal="center" vertical="center"/>
    </xf>
    <xf numFmtId="187" fontId="37" fillId="0" borderId="5" xfId="29" applyNumberFormat="1" applyFont="1" applyFill="1" applyBorder="1" applyAlignment="1">
      <alignment horizontal="center" vertical="center"/>
    </xf>
    <xf numFmtId="0" fontId="37" fillId="0" borderId="5" xfId="30" applyFont="1" applyFill="1" applyBorder="1" applyAlignment="1">
      <alignment horizontal="center" vertical="center"/>
    </xf>
    <xf numFmtId="0" fontId="43" fillId="0" borderId="5" xfId="22" applyNumberFormat="1" applyFont="1" applyFill="1" applyBorder="1" applyAlignment="1">
      <alignment horizontal="center" vertical="center" wrapText="1"/>
    </xf>
    <xf numFmtId="0" fontId="37" fillId="0" borderId="5" xfId="31" applyFont="1" applyFill="1" applyBorder="1" applyAlignment="1">
      <alignment horizontal="center" vertical="center"/>
    </xf>
    <xf numFmtId="0" fontId="37" fillId="0" borderId="5" xfId="32" applyFont="1" applyFill="1" applyBorder="1" applyAlignment="1">
      <alignment horizontal="center" vertical="center"/>
    </xf>
    <xf numFmtId="1" fontId="116" fillId="0" borderId="5" xfId="0" applyNumberFormat="1" applyFont="1" applyFill="1" applyBorder="1" applyAlignment="1">
      <alignment horizontal="center" vertical="center"/>
    </xf>
    <xf numFmtId="49" fontId="69" fillId="0" borderId="5" xfId="0" applyNumberFormat="1" applyFont="1" applyFill="1" applyBorder="1" applyAlignment="1" applyProtection="1">
      <alignment horizontal="center" vertical="center"/>
      <protection locked="0"/>
    </xf>
    <xf numFmtId="0" fontId="69" fillId="0" borderId="5" xfId="0" applyNumberFormat="1" applyFont="1" applyFill="1" applyBorder="1" applyAlignment="1" applyProtection="1">
      <alignment horizontal="center" vertical="center"/>
      <protection locked="0"/>
    </xf>
    <xf numFmtId="186" fontId="72" fillId="0" borderId="5" xfId="0" quotePrefix="1" applyNumberFormat="1" applyFont="1" applyFill="1" applyBorder="1" applyAlignment="1">
      <alignment horizontal="center" vertical="center"/>
    </xf>
    <xf numFmtId="49" fontId="31" fillId="0" borderId="5" xfId="22" applyNumberFormat="1" applyFont="1" applyFill="1" applyBorder="1" applyAlignment="1">
      <alignment horizontal="center" vertical="center" wrapText="1"/>
    </xf>
    <xf numFmtId="186" fontId="69" fillId="0" borderId="5" xfId="27" applyNumberFormat="1" applyFont="1" applyFill="1" applyBorder="1" applyAlignment="1">
      <alignment horizontal="center" vertical="center"/>
    </xf>
    <xf numFmtId="0" fontId="110" fillId="0" borderId="5" xfId="0" applyNumberFormat="1" applyFont="1" applyFill="1" applyBorder="1" applyAlignment="1">
      <alignment horizontal="right" vertical="center" wrapText="1"/>
    </xf>
    <xf numFmtId="186" fontId="24" fillId="0" borderId="5" xfId="0" quotePrefix="1" applyNumberFormat="1" applyFont="1" applyFill="1" applyBorder="1" applyAlignment="1">
      <alignment horizontal="center" vertical="center"/>
    </xf>
    <xf numFmtId="0" fontId="72" fillId="0" borderId="5" xfId="0" applyNumberFormat="1" applyFont="1" applyFill="1" applyBorder="1" applyAlignment="1">
      <alignment vertical="center"/>
    </xf>
    <xf numFmtId="2" fontId="39" fillId="0" borderId="5" xfId="0" applyNumberFormat="1" applyFont="1" applyFill="1" applyBorder="1" applyAlignment="1">
      <alignment horizontal="center" vertical="center" wrapText="1"/>
    </xf>
    <xf numFmtId="0" fontId="117" fillId="4" borderId="3" xfId="0" applyNumberFormat="1" applyFont="1" applyFill="1" applyBorder="1" applyAlignment="1">
      <alignment horizontal="center" vertical="center" wrapText="1"/>
    </xf>
    <xf numFmtId="1" fontId="39" fillId="4" borderId="5" xfId="0" applyNumberFormat="1" applyFont="1" applyFill="1" applyBorder="1" applyAlignment="1">
      <alignment horizontal="center" vertical="center"/>
    </xf>
    <xf numFmtId="177" fontId="117" fillId="4" borderId="3" xfId="0" applyNumberFormat="1" applyFont="1" applyFill="1" applyBorder="1" applyAlignment="1">
      <alignment horizontal="center" vertical="center" wrapText="1"/>
    </xf>
    <xf numFmtId="186" fontId="27" fillId="4" borderId="5" xfId="0" applyNumberFormat="1" applyFont="1" applyFill="1" applyBorder="1" applyAlignment="1">
      <alignment horizontal="center" vertical="center"/>
    </xf>
    <xf numFmtId="49" fontId="39" fillId="4" borderId="5" xfId="22" applyNumberFormat="1" applyFont="1" applyFill="1" applyBorder="1" applyAlignment="1">
      <alignment horizontal="center" vertical="center" wrapText="1"/>
    </xf>
    <xf numFmtId="186" fontId="27" fillId="4" borderId="0" xfId="0" applyNumberFormat="1" applyFont="1" applyFill="1" applyAlignment="1"/>
    <xf numFmtId="0" fontId="108" fillId="4" borderId="3" xfId="0" applyNumberFormat="1" applyFont="1" applyFill="1" applyBorder="1" applyAlignment="1">
      <alignment horizontal="center" vertical="center" wrapText="1"/>
    </xf>
    <xf numFmtId="177" fontId="108" fillId="4" borderId="3" xfId="0" applyNumberFormat="1" applyFont="1" applyFill="1" applyBorder="1" applyAlignment="1">
      <alignment horizontal="center" vertical="center" wrapText="1"/>
    </xf>
    <xf numFmtId="0" fontId="43" fillId="4" borderId="5" xfId="0" applyNumberFormat="1" applyFont="1" applyFill="1" applyBorder="1" applyAlignment="1">
      <alignment horizontal="center" vertical="center" wrapText="1"/>
    </xf>
    <xf numFmtId="49" fontId="43" fillId="4" borderId="5" xfId="22" applyNumberFormat="1" applyFont="1" applyFill="1" applyBorder="1" applyAlignment="1">
      <alignment horizontal="center" vertical="center" wrapText="1"/>
    </xf>
    <xf numFmtId="186" fontId="69" fillId="0" borderId="5" xfId="4" applyNumberFormat="1" applyFont="1" applyFill="1" applyBorder="1" applyAlignment="1">
      <alignment horizontal="center" vertical="center"/>
    </xf>
    <xf numFmtId="0" fontId="69" fillId="0" borderId="5" xfId="4" applyNumberFormat="1" applyFont="1" applyFill="1" applyBorder="1" applyAlignment="1">
      <alignment horizontal="center" vertical="center"/>
    </xf>
    <xf numFmtId="186" fontId="31" fillId="0" borderId="5" xfId="33" applyNumberFormat="1" applyFont="1" applyFill="1" applyBorder="1" applyAlignment="1">
      <alignment horizontal="center" vertical="center"/>
    </xf>
    <xf numFmtId="0" fontId="31" fillId="0" borderId="5" xfId="33" applyNumberFormat="1" applyFont="1" applyFill="1" applyBorder="1" applyAlignment="1">
      <alignment horizontal="center" vertical="center"/>
    </xf>
    <xf numFmtId="186" fontId="72" fillId="0" borderId="0" xfId="0" applyNumberFormat="1" applyFont="1" applyFill="1" applyAlignment="1">
      <alignment horizontal="center"/>
    </xf>
    <xf numFmtId="0" fontId="43" fillId="0" borderId="5" xfId="34" applyNumberFormat="1" applyFont="1" applyFill="1" applyBorder="1" applyAlignment="1">
      <alignment horizontal="center" vertical="center"/>
    </xf>
    <xf numFmtId="1" fontId="43" fillId="0" borderId="5" xfId="34" applyNumberFormat="1" applyFont="1" applyFill="1" applyBorder="1" applyAlignment="1">
      <alignment horizontal="center" vertical="center"/>
    </xf>
    <xf numFmtId="186" fontId="16" fillId="0" borderId="5" xfId="34" applyNumberFormat="1" applyFont="1" applyFill="1" applyBorder="1" applyAlignment="1">
      <alignment horizontal="center" vertical="center"/>
    </xf>
    <xf numFmtId="0" fontId="69" fillId="0" borderId="5" xfId="34" applyNumberFormat="1" applyFont="1" applyFill="1" applyBorder="1" applyAlignment="1">
      <alignment horizontal="center" vertical="center"/>
    </xf>
    <xf numFmtId="186" fontId="31" fillId="0" borderId="5" xfId="34" applyNumberFormat="1" applyFont="1" applyFill="1" applyBorder="1" applyAlignment="1">
      <alignment horizontal="center" vertical="center"/>
    </xf>
    <xf numFmtId="186" fontId="31" fillId="0" borderId="5" xfId="0" applyNumberFormat="1" applyFont="1" applyFill="1" applyBorder="1" applyAlignment="1">
      <alignment vertical="center"/>
    </xf>
    <xf numFmtId="186" fontId="31" fillId="0" borderId="0" xfId="0" applyNumberFormat="1" applyFont="1" applyFill="1" applyAlignment="1">
      <alignment vertical="center"/>
    </xf>
    <xf numFmtId="0" fontId="118" fillId="0" borderId="4" xfId="35" applyFont="1" applyFill="1" applyBorder="1" applyAlignment="1">
      <alignment horizontal="center" vertical="center" wrapText="1"/>
    </xf>
    <xf numFmtId="0" fontId="72" fillId="0" borderId="5" xfId="34" applyNumberFormat="1" applyFont="1" applyFill="1" applyBorder="1" applyAlignment="1">
      <alignment horizontal="center" vertical="center"/>
    </xf>
    <xf numFmtId="1" fontId="72" fillId="0" borderId="5" xfId="0" applyNumberFormat="1" applyFont="1" applyFill="1" applyBorder="1" applyAlignment="1">
      <alignment horizontal="center" vertical="center"/>
    </xf>
    <xf numFmtId="1" fontId="72" fillId="0" borderId="5" xfId="34" applyNumberFormat="1" applyFont="1" applyFill="1" applyBorder="1" applyAlignment="1">
      <alignment horizontal="center" vertical="center"/>
    </xf>
    <xf numFmtId="177" fontId="72" fillId="0" borderId="5" xfId="34" applyNumberFormat="1" applyFont="1" applyFill="1" applyBorder="1" applyAlignment="1">
      <alignment horizontal="center" vertical="center"/>
    </xf>
    <xf numFmtId="186" fontId="72" fillId="0" borderId="5" xfId="34" applyNumberFormat="1" applyFont="1" applyFill="1" applyBorder="1" applyAlignment="1">
      <alignment horizontal="center" vertical="center"/>
    </xf>
    <xf numFmtId="186" fontId="72" fillId="0" borderId="5" xfId="0" applyNumberFormat="1" applyFont="1" applyFill="1" applyBorder="1" applyAlignment="1"/>
    <xf numFmtId="0" fontId="107" fillId="0" borderId="31" xfId="0" applyNumberFormat="1" applyFont="1" applyFill="1" applyBorder="1" applyAlignment="1">
      <alignment horizontal="center" vertical="center" wrapText="1"/>
    </xf>
    <xf numFmtId="186" fontId="119" fillId="0" borderId="5" xfId="0" applyNumberFormat="1" applyFont="1" applyFill="1" applyBorder="1" applyAlignment="1">
      <alignment horizontal="center" vertical="center"/>
    </xf>
    <xf numFmtId="1" fontId="43" fillId="0" borderId="0" xfId="0" applyNumberFormat="1" applyFont="1" applyFill="1" applyBorder="1" applyAlignment="1">
      <alignment horizontal="center" vertical="center"/>
    </xf>
    <xf numFmtId="186" fontId="24" fillId="0" borderId="0" xfId="0" applyNumberFormat="1" applyFont="1" applyFill="1" applyAlignment="1">
      <alignment horizontal="center"/>
    </xf>
    <xf numFmtId="0" fontId="77" fillId="0" borderId="0" xfId="0" applyFont="1" applyFill="1" applyAlignment="1"/>
    <xf numFmtId="0" fontId="0" fillId="0" borderId="0" xfId="0" applyFill="1" applyAlignment="1"/>
    <xf numFmtId="0" fontId="69" fillId="0" borderId="5" xfId="0" applyFont="1" applyFill="1" applyBorder="1" applyAlignment="1" applyProtection="1">
      <alignment horizontal="center" vertical="center" wrapText="1"/>
      <protection locked="0"/>
    </xf>
    <xf numFmtId="192" fontId="69" fillId="0" borderId="5" xfId="0" applyNumberFormat="1" applyFont="1" applyFill="1" applyBorder="1" applyAlignment="1" applyProtection="1">
      <alignment horizontal="center" vertical="center" wrapText="1"/>
      <protection locked="0"/>
    </xf>
    <xf numFmtId="0" fontId="77" fillId="0" borderId="0" xfId="0" applyFont="1" applyFill="1" applyBorder="1" applyAlignment="1"/>
    <xf numFmtId="0" fontId="119" fillId="0" borderId="5" xfId="0" applyFont="1" applyFill="1" applyBorder="1" applyAlignment="1" applyProtection="1">
      <alignment horizontal="center" vertical="center" wrapText="1"/>
      <protection locked="0"/>
    </xf>
    <xf numFmtId="192" fontId="119" fillId="0" borderId="5" xfId="0" applyNumberFormat="1" applyFont="1" applyFill="1" applyBorder="1" applyAlignment="1" applyProtection="1">
      <alignment horizontal="center" vertical="center" wrapText="1"/>
      <protection locked="0"/>
    </xf>
    <xf numFmtId="0" fontId="77" fillId="0" borderId="24" xfId="0" applyFont="1" applyFill="1" applyBorder="1" applyAlignment="1"/>
    <xf numFmtId="0" fontId="69" fillId="0" borderId="20" xfId="0" applyFont="1" applyFill="1" applyBorder="1" applyAlignment="1" applyProtection="1">
      <alignment horizontal="center" vertical="center" wrapText="1"/>
      <protection locked="0"/>
    </xf>
    <xf numFmtId="0" fontId="77" fillId="0" borderId="5" xfId="41" applyFont="1" applyFill="1" applyBorder="1" applyAlignment="1" applyProtection="1">
      <alignment horizontal="center" vertical="center"/>
      <protection locked="0"/>
    </xf>
    <xf numFmtId="176" fontId="69" fillId="0" borderId="5" xfId="42" applyNumberFormat="1" applyFont="1" applyFill="1" applyBorder="1" applyAlignment="1" applyProtection="1">
      <alignment horizontal="center" vertical="center" wrapText="1"/>
      <protection locked="0"/>
    </xf>
    <xf numFmtId="0" fontId="119" fillId="0" borderId="11" xfId="0" applyFont="1" applyFill="1" applyBorder="1" applyAlignment="1" applyProtection="1">
      <alignment horizontal="center" vertical="center" wrapText="1"/>
      <protection locked="0"/>
    </xf>
    <xf numFmtId="0" fontId="69" fillId="0" borderId="5" xfId="43"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24" xfId="0" applyFont="1" applyFill="1" applyBorder="1" applyAlignment="1">
      <alignment horizontal="center" vertical="center" wrapText="1"/>
    </xf>
    <xf numFmtId="0" fontId="69" fillId="0" borderId="5" xfId="2" applyNumberFormat="1" applyFont="1" applyFill="1" applyBorder="1" applyAlignment="1">
      <alignment horizontal="center" vertical="center"/>
    </xf>
    <xf numFmtId="0" fontId="69" fillId="0" borderId="5" xfId="2" applyNumberFormat="1" applyFont="1" applyFill="1" applyBorder="1" applyAlignment="1">
      <alignment horizontal="center" vertical="center" wrapText="1"/>
    </xf>
    <xf numFmtId="0" fontId="77" fillId="0" borderId="15" xfId="0" applyFont="1" applyFill="1" applyBorder="1" applyAlignment="1">
      <alignment horizontal="center" vertical="center" wrapText="1"/>
    </xf>
    <xf numFmtId="177" fontId="69" fillId="0" borderId="5" xfId="2" applyNumberFormat="1" applyFont="1" applyFill="1" applyBorder="1" applyAlignment="1">
      <alignment horizontal="center" vertical="center" wrapText="1"/>
    </xf>
    <xf numFmtId="176" fontId="69" fillId="0" borderId="5" xfId="0" applyNumberFormat="1" applyFont="1" applyFill="1" applyBorder="1" applyAlignment="1">
      <alignment horizontal="center" vertical="center" wrapText="1"/>
    </xf>
    <xf numFmtId="0" fontId="69" fillId="0" borderId="5" xfId="42" applyFont="1" applyFill="1" applyBorder="1" applyAlignment="1">
      <alignment horizontal="center" vertical="center" wrapText="1"/>
    </xf>
    <xf numFmtId="192" fontId="69" fillId="0" borderId="5" xfId="42" applyNumberFormat="1" applyFont="1" applyFill="1" applyBorder="1" applyAlignment="1">
      <alignment horizontal="center" vertical="center" wrapText="1"/>
    </xf>
    <xf numFmtId="0" fontId="77" fillId="0" borderId="5" xfId="0" applyFont="1" applyFill="1" applyBorder="1" applyAlignment="1">
      <alignment horizontal="center" vertical="center" wrapText="1"/>
    </xf>
    <xf numFmtId="176" fontId="77" fillId="0" borderId="5" xfId="0" applyNumberFormat="1" applyFont="1" applyFill="1" applyBorder="1" applyAlignment="1">
      <alignment horizontal="center" vertical="center"/>
    </xf>
    <xf numFmtId="0" fontId="69" fillId="0" borderId="20" xfId="2" applyNumberFormat="1" applyFont="1" applyFill="1" applyBorder="1" applyAlignment="1">
      <alignment horizontal="center" vertical="center" wrapText="1"/>
    </xf>
    <xf numFmtId="0" fontId="69" fillId="0" borderId="5" xfId="0" applyFont="1" applyFill="1" applyBorder="1" applyAlignment="1">
      <alignment horizontal="center" vertical="center" wrapText="1"/>
    </xf>
    <xf numFmtId="0" fontId="69" fillId="0" borderId="5" xfId="44" applyFont="1" applyFill="1" applyBorder="1" applyAlignment="1">
      <alignment horizontal="center" vertical="center" wrapText="1"/>
    </xf>
    <xf numFmtId="0" fontId="77" fillId="0" borderId="5" xfId="41" applyFont="1" applyFill="1" applyBorder="1" applyAlignment="1">
      <alignment horizontal="center" vertical="center"/>
    </xf>
    <xf numFmtId="192" fontId="69" fillId="0" borderId="5"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xf>
    <xf numFmtId="0" fontId="69" fillId="0" borderId="11" xfId="0" applyFont="1" applyFill="1" applyBorder="1" applyAlignment="1" applyProtection="1">
      <alignment horizontal="center" vertical="center" wrapText="1"/>
    </xf>
    <xf numFmtId="177" fontId="69" fillId="0" borderId="24" xfId="0" applyNumberFormat="1" applyFont="1" applyFill="1" applyBorder="1" applyAlignment="1">
      <alignment horizontal="center" vertical="center" wrapText="1"/>
    </xf>
    <xf numFmtId="57" fontId="37" fillId="0" borderId="0" xfId="0" applyNumberFormat="1" applyFont="1" applyFill="1" applyBorder="1" applyAlignment="1">
      <alignment horizontal="center" vertical="center"/>
    </xf>
    <xf numFmtId="0" fontId="69" fillId="0" borderId="20" xfId="44" applyFont="1" applyFill="1" applyBorder="1" applyAlignment="1">
      <alignment horizontal="center" vertical="center" wrapText="1"/>
    </xf>
    <xf numFmtId="0" fontId="69" fillId="0" borderId="5" xfId="44" applyFont="1" applyFill="1" applyBorder="1" applyAlignment="1">
      <alignment horizontal="center" vertical="center"/>
    </xf>
    <xf numFmtId="177" fontId="69" fillId="0" borderId="0" xfId="0" applyNumberFormat="1" applyFont="1" applyFill="1" applyBorder="1" applyAlignment="1">
      <alignment horizontal="center" vertical="center" wrapText="1"/>
    </xf>
    <xf numFmtId="0" fontId="69" fillId="0" borderId="5" xfId="0" applyFont="1" applyFill="1" applyBorder="1" applyAlignment="1">
      <alignment horizontal="center" vertical="center"/>
    </xf>
    <xf numFmtId="183" fontId="69" fillId="0" borderId="5" xfId="45" applyNumberFormat="1" applyFont="1" applyFill="1" applyBorder="1" applyAlignment="1">
      <alignment horizontal="center" vertical="center" wrapText="1"/>
    </xf>
    <xf numFmtId="0" fontId="69" fillId="0" borderId="5" xfId="41" applyFont="1" applyFill="1" applyBorder="1" applyAlignment="1">
      <alignment horizontal="center" vertical="center"/>
    </xf>
    <xf numFmtId="177" fontId="69" fillId="0" borderId="5" xfId="44" applyNumberFormat="1" applyFont="1" applyFill="1" applyBorder="1" applyAlignment="1">
      <alignment horizontal="center" vertical="center" wrapText="1"/>
    </xf>
    <xf numFmtId="0" fontId="87" fillId="0" borderId="5" xfId="0" applyFont="1" applyFill="1" applyBorder="1" applyAlignment="1">
      <alignment horizontal="center" vertical="center"/>
    </xf>
    <xf numFmtId="192" fontId="87" fillId="0" borderId="5" xfId="0" applyNumberFormat="1" applyFont="1" applyFill="1" applyBorder="1" applyAlignment="1">
      <alignment horizontal="center" vertical="center"/>
    </xf>
    <xf numFmtId="49" fontId="69" fillId="0" borderId="5" xfId="44" applyNumberFormat="1" applyFont="1" applyFill="1" applyBorder="1" applyAlignment="1">
      <alignment horizontal="center" vertical="center" wrapText="1"/>
    </xf>
    <xf numFmtId="177" fontId="77" fillId="0" borderId="5" xfId="0" applyNumberFormat="1" applyFont="1" applyFill="1" applyBorder="1" applyAlignment="1">
      <alignment horizontal="center" vertical="center"/>
    </xf>
    <xf numFmtId="192" fontId="77" fillId="0" borderId="5" xfId="0" applyNumberFormat="1" applyFont="1" applyFill="1" applyBorder="1" applyAlignment="1">
      <alignment horizontal="center" vertical="center"/>
    </xf>
    <xf numFmtId="0" fontId="69" fillId="0" borderId="0" xfId="0" applyFont="1" applyFill="1" applyAlignment="1"/>
    <xf numFmtId="0" fontId="123" fillId="0" borderId="0" xfId="0" applyFont="1" applyFill="1" applyAlignment="1"/>
    <xf numFmtId="0" fontId="69" fillId="0" borderId="5" xfId="46" applyNumberFormat="1" applyFont="1" applyFill="1" applyBorder="1" applyAlignment="1">
      <alignment horizontal="center" vertical="center" wrapText="1"/>
    </xf>
    <xf numFmtId="0" fontId="69" fillId="0" borderId="5" xfId="46" applyNumberFormat="1" applyFont="1" applyFill="1" applyBorder="1" applyAlignment="1">
      <alignment horizontal="center" vertical="center"/>
    </xf>
    <xf numFmtId="177" fontId="69" fillId="0" borderId="5" xfId="46" applyNumberFormat="1" applyFont="1" applyFill="1" applyBorder="1" applyAlignment="1">
      <alignment horizontal="center" vertical="center" wrapText="1"/>
    </xf>
    <xf numFmtId="0" fontId="69" fillId="0" borderId="5" xfId="47" applyFont="1" applyFill="1" applyBorder="1" applyAlignment="1">
      <alignment horizontal="center" vertical="center" wrapText="1"/>
    </xf>
    <xf numFmtId="0" fontId="69" fillId="0" borderId="5" xfId="46" applyFont="1" applyFill="1" applyBorder="1" applyAlignment="1">
      <alignment horizontal="center" vertical="center"/>
    </xf>
    <xf numFmtId="0" fontId="69" fillId="0" borderId="5" xfId="46" applyFont="1" applyFill="1" applyBorder="1" applyAlignment="1">
      <alignment horizontal="center" vertical="center" wrapText="1"/>
    </xf>
    <xf numFmtId="0" fontId="69" fillId="0" borderId="11" xfId="47" applyFont="1" applyFill="1" applyBorder="1" applyAlignment="1">
      <alignment horizontal="center" vertical="center" wrapText="1"/>
    </xf>
    <xf numFmtId="0" fontId="124" fillId="0" borderId="5" xfId="46" applyFont="1" applyFill="1" applyBorder="1" applyAlignment="1">
      <alignment horizontal="center" vertical="center" wrapText="1"/>
    </xf>
    <xf numFmtId="0" fontId="119" fillId="0" borderId="5" xfId="43" applyFont="1" applyFill="1" applyBorder="1" applyAlignment="1" applyProtection="1">
      <alignment horizontal="center" vertical="center" wrapText="1"/>
      <protection locked="0"/>
    </xf>
    <xf numFmtId="177" fontId="126" fillId="0" borderId="27" xfId="0" applyNumberFormat="1" applyFont="1" applyFill="1" applyBorder="1" applyAlignment="1" applyProtection="1">
      <alignment horizontal="center" vertical="center" wrapText="1"/>
    </xf>
    <xf numFmtId="0" fontId="69" fillId="0" borderId="5" xfId="13" applyFont="1" applyFill="1" applyBorder="1" applyAlignment="1" applyProtection="1">
      <alignment horizontal="center" vertical="center" wrapText="1"/>
      <protection locked="0"/>
    </xf>
    <xf numFmtId="0" fontId="69" fillId="0" borderId="5" xfId="13" applyFont="1" applyFill="1" applyBorder="1" applyAlignment="1" applyProtection="1">
      <alignment horizontal="center" wrapText="1"/>
      <protection locked="0"/>
    </xf>
    <xf numFmtId="0" fontId="69" fillId="0" borderId="20" xfId="2" applyNumberFormat="1" applyFont="1" applyFill="1" applyBorder="1" applyAlignment="1" applyProtection="1">
      <alignment horizontal="center" vertical="center" wrapText="1"/>
      <protection locked="0"/>
    </xf>
    <xf numFmtId="0" fontId="69" fillId="0" borderId="5" xfId="0" applyFont="1" applyFill="1" applyBorder="1" applyAlignment="1" applyProtection="1">
      <alignment horizontal="center" vertical="center"/>
      <protection locked="0"/>
    </xf>
    <xf numFmtId="0" fontId="69" fillId="0" borderId="5" xfId="2" applyNumberFormat="1" applyFont="1" applyFill="1" applyBorder="1" applyAlignment="1" applyProtection="1">
      <alignment horizontal="center" vertical="center" wrapText="1"/>
      <protection locked="0"/>
    </xf>
    <xf numFmtId="176" fontId="69" fillId="0" borderId="5" xfId="13" applyNumberFormat="1" applyFont="1" applyFill="1" applyBorder="1" applyAlignment="1" applyProtection="1">
      <alignment horizontal="center" wrapText="1"/>
      <protection locked="0"/>
    </xf>
    <xf numFmtId="0" fontId="69" fillId="0" borderId="11" xfId="0" applyFont="1" applyFill="1" applyBorder="1" applyAlignment="1" applyProtection="1">
      <alignment horizontal="center"/>
      <protection locked="0"/>
    </xf>
    <xf numFmtId="0" fontId="72" fillId="0" borderId="0" xfId="0" applyFont="1" applyFill="1" applyAlignment="1"/>
    <xf numFmtId="0" fontId="69" fillId="0" borderId="15" xfId="13"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0" borderId="15" xfId="13" applyFont="1" applyFill="1" applyBorder="1" applyAlignment="1" applyProtection="1">
      <alignment horizontal="center" wrapText="1"/>
      <protection locked="0"/>
    </xf>
    <xf numFmtId="0" fontId="69" fillId="0" borderId="15" xfId="0" applyFont="1" applyFill="1" applyBorder="1" applyAlignment="1" applyProtection="1">
      <alignment horizontal="center" vertical="center"/>
      <protection locked="0"/>
    </xf>
    <xf numFmtId="176" fontId="69" fillId="0" borderId="15" xfId="13" applyNumberFormat="1" applyFont="1" applyFill="1" applyBorder="1" applyAlignment="1" applyProtection="1">
      <alignment horizontal="center" wrapText="1"/>
      <protection locked="0"/>
    </xf>
    <xf numFmtId="192" fontId="69" fillId="0" borderId="15" xfId="0" applyNumberFormat="1" applyFont="1" applyFill="1" applyBorder="1" applyAlignment="1" applyProtection="1">
      <alignment horizontal="center" vertical="center" wrapText="1"/>
      <protection locked="0"/>
    </xf>
    <xf numFmtId="0" fontId="69" fillId="0" borderId="26" xfId="13" applyFont="1" applyFill="1" applyBorder="1" applyAlignment="1" applyProtection="1">
      <alignment horizontal="center" vertical="center" wrapText="1"/>
      <protection locked="0"/>
    </xf>
    <xf numFmtId="0" fontId="126" fillId="0" borderId="5" xfId="48" applyFont="1" applyFill="1" applyBorder="1" applyAlignment="1">
      <alignment horizontal="center" vertical="center" wrapText="1"/>
    </xf>
    <xf numFmtId="0" fontId="69" fillId="0" borderId="5" xfId="48" applyFont="1" applyFill="1" applyBorder="1" applyAlignment="1">
      <alignment horizontal="center" vertical="center"/>
    </xf>
    <xf numFmtId="177" fontId="69" fillId="0" borderId="15" xfId="48" applyNumberFormat="1" applyFont="1" applyFill="1" applyBorder="1" applyAlignment="1">
      <alignment horizontal="center" vertical="center" wrapText="1"/>
    </xf>
    <xf numFmtId="0" fontId="69" fillId="0" borderId="5" xfId="48" applyFont="1" applyFill="1" applyBorder="1" applyAlignment="1" applyProtection="1">
      <alignment horizontal="center" vertical="center" wrapText="1"/>
    </xf>
    <xf numFmtId="0" fontId="77" fillId="0" borderId="5" xfId="48" applyFont="1" applyFill="1" applyBorder="1" applyAlignment="1">
      <alignment horizontal="center" vertical="center"/>
    </xf>
    <xf numFmtId="177" fontId="77" fillId="0" borderId="5" xfId="48" applyNumberFormat="1" applyFont="1" applyFill="1" applyBorder="1" applyAlignment="1">
      <alignment horizontal="center" vertical="center"/>
    </xf>
    <xf numFmtId="176" fontId="77" fillId="0" borderId="5" xfId="48" applyNumberFormat="1" applyFont="1" applyFill="1" applyBorder="1" applyAlignment="1">
      <alignment horizontal="center" vertical="center"/>
    </xf>
    <xf numFmtId="192" fontId="69" fillId="0" borderId="5" xfId="48" applyNumberFormat="1" applyFont="1" applyFill="1" applyBorder="1" applyAlignment="1" applyProtection="1">
      <alignment horizontal="center" vertical="center" wrapText="1"/>
    </xf>
    <xf numFmtId="0" fontId="0" fillId="0" borderId="0" xfId="0" applyFill="1" applyBorder="1" applyAlignment="1"/>
    <xf numFmtId="0" fontId="28" fillId="0" borderId="0" xfId="0" applyFont="1" applyFill="1" applyBorder="1" applyAlignment="1"/>
    <xf numFmtId="0" fontId="126" fillId="0" borderId="15" xfId="48" applyFont="1" applyFill="1" applyBorder="1" applyAlignment="1">
      <alignment horizontal="center" vertical="center" wrapText="1"/>
    </xf>
    <xf numFmtId="0" fontId="77" fillId="0" borderId="15" xfId="0" applyFont="1" applyFill="1" applyBorder="1" applyAlignment="1" applyProtection="1">
      <alignment horizontal="center" vertical="center" wrapText="1"/>
      <protection locked="0"/>
    </xf>
    <xf numFmtId="0" fontId="77" fillId="0" borderId="15" xfId="0" applyFont="1" applyFill="1" applyBorder="1" applyAlignment="1" applyProtection="1">
      <alignment horizontal="center" vertical="center"/>
      <protection locked="0"/>
    </xf>
    <xf numFmtId="192" fontId="77" fillId="0" borderId="15" xfId="0" applyNumberFormat="1" applyFont="1" applyFill="1" applyBorder="1" applyAlignment="1" applyProtection="1">
      <alignment horizontal="center" vertical="center" wrapText="1"/>
      <protection locked="0"/>
    </xf>
    <xf numFmtId="0" fontId="77" fillId="0" borderId="11" xfId="0" applyFont="1" applyFill="1" applyBorder="1" applyAlignment="1" applyProtection="1">
      <protection locked="0"/>
    </xf>
    <xf numFmtId="0" fontId="126" fillId="0" borderId="5" xfId="49" applyFont="1" applyFill="1" applyBorder="1" applyAlignment="1">
      <alignment horizontal="center" vertical="center" wrapText="1"/>
    </xf>
    <xf numFmtId="0" fontId="69" fillId="0" borderId="5" xfId="0" applyFont="1" applyFill="1" applyBorder="1" applyAlignment="1">
      <alignment horizontal="center" vertical="center" wrapText="1" shrinkToFit="1"/>
    </xf>
    <xf numFmtId="177" fontId="107" fillId="0" borderId="3" xfId="0" applyNumberFormat="1" applyFont="1" applyFill="1" applyBorder="1" applyAlignment="1">
      <alignment horizontal="center" vertical="center" wrapText="1"/>
    </xf>
    <xf numFmtId="193" fontId="126" fillId="0" borderId="5" xfId="0" applyNumberFormat="1" applyFont="1" applyFill="1" applyBorder="1" applyAlignment="1">
      <alignment horizontal="center" vertical="center" wrapText="1"/>
    </xf>
    <xf numFmtId="193" fontId="69" fillId="0" borderId="5" xfId="0" applyNumberFormat="1" applyFont="1" applyFill="1" applyBorder="1" applyAlignment="1">
      <alignment horizontal="center" vertical="center" wrapText="1"/>
    </xf>
    <xf numFmtId="192" fontId="69" fillId="0" borderId="5" xfId="0" applyNumberFormat="1" applyFont="1" applyFill="1" applyBorder="1" applyAlignment="1">
      <alignment horizontal="center" vertical="center"/>
    </xf>
    <xf numFmtId="0" fontId="69" fillId="0" borderId="11" xfId="0" applyFont="1" applyFill="1" applyBorder="1" applyAlignment="1">
      <alignment horizontal="center"/>
    </xf>
    <xf numFmtId="0" fontId="69" fillId="0" borderId="24" xfId="0" applyFont="1" applyFill="1" applyBorder="1" applyAlignment="1"/>
    <xf numFmtId="0" fontId="72" fillId="0" borderId="0" xfId="0" applyFont="1" applyFill="1" applyBorder="1" applyAlignment="1"/>
    <xf numFmtId="0" fontId="77" fillId="0" borderId="11" xfId="0" applyFont="1" applyFill="1" applyBorder="1" applyAlignment="1">
      <alignment horizontal="center" vertical="center"/>
    </xf>
    <xf numFmtId="0" fontId="69" fillId="0" borderId="0" xfId="0" applyFont="1" applyFill="1" applyAlignment="1">
      <alignment horizontal="center" vertical="center"/>
    </xf>
    <xf numFmtId="0" fontId="72" fillId="0" borderId="0" xfId="0" applyFont="1" applyFill="1" applyBorder="1" applyAlignment="1">
      <alignment horizontal="center" vertical="center"/>
    </xf>
    <xf numFmtId="0" fontId="72" fillId="0" borderId="0" xfId="0" applyFont="1" applyFill="1" applyAlignment="1">
      <alignment horizontal="center" vertical="center"/>
    </xf>
    <xf numFmtId="0" fontId="69" fillId="0" borderId="29" xfId="0" applyFont="1" applyFill="1" applyBorder="1" applyAlignment="1">
      <alignment horizontal="center" vertical="center" wrapText="1"/>
    </xf>
    <xf numFmtId="0" fontId="77" fillId="0" borderId="0" xfId="0" applyFont="1" applyFill="1" applyAlignment="1">
      <alignment horizontal="center" vertical="center"/>
    </xf>
    <xf numFmtId="0" fontId="62" fillId="0" borderId="0" xfId="0" applyFont="1" applyFill="1" applyBorder="1" applyAlignment="1">
      <alignment horizontal="center" vertical="center"/>
    </xf>
    <xf numFmtId="0" fontId="28" fillId="0" borderId="0" xfId="0" applyFont="1" applyFill="1" applyBorder="1" applyAlignment="1">
      <alignment horizontal="center" vertical="center"/>
    </xf>
    <xf numFmtId="0" fontId="62" fillId="0" borderId="0" xfId="0" applyFont="1" applyFill="1" applyAlignment="1">
      <alignment horizontal="center" vertical="center"/>
    </xf>
    <xf numFmtId="0" fontId="128" fillId="0" borderId="5" xfId="0" applyFont="1" applyFill="1" applyBorder="1" applyAlignment="1">
      <alignment horizontal="center" vertical="center" wrapText="1"/>
    </xf>
    <xf numFmtId="0" fontId="77" fillId="0" borderId="29" xfId="0" applyFont="1" applyFill="1" applyBorder="1" applyAlignment="1">
      <alignment horizontal="center" vertical="center"/>
    </xf>
    <xf numFmtId="177" fontId="62" fillId="0" borderId="0" xfId="0" applyNumberFormat="1" applyFont="1" applyFill="1" applyBorder="1" applyAlignment="1">
      <alignment horizontal="center" vertical="center"/>
    </xf>
    <xf numFmtId="177" fontId="107" fillId="0" borderId="29" xfId="0" applyNumberFormat="1" applyFont="1" applyFill="1" applyBorder="1" applyAlignment="1">
      <alignment horizontal="center" vertical="center" wrapText="1"/>
    </xf>
    <xf numFmtId="0" fontId="70" fillId="0" borderId="0" xfId="0" applyFont="1" applyFill="1" applyBorder="1" applyAlignment="1">
      <alignment horizontal="center" vertical="center"/>
    </xf>
    <xf numFmtId="0" fontId="0" fillId="0" borderId="0" xfId="0" applyFill="1" applyBorder="1" applyAlignment="1">
      <alignment horizontal="center" vertical="center"/>
    </xf>
    <xf numFmtId="177" fontId="61" fillId="0" borderId="0" xfId="0" applyNumberFormat="1" applyFont="1" applyFill="1" applyBorder="1" applyAlignment="1">
      <alignment horizontal="center" vertical="center"/>
    </xf>
    <xf numFmtId="0" fontId="69" fillId="0" borderId="0" xfId="0" applyFont="1" applyFill="1" applyBorder="1" applyAlignment="1"/>
    <xf numFmtId="0" fontId="77" fillId="0" borderId="20" xfId="0" applyFont="1" applyFill="1" applyBorder="1" applyAlignment="1">
      <alignment horizontal="center" vertical="center"/>
    </xf>
    <xf numFmtId="0" fontId="77" fillId="0" borderId="5" xfId="0" applyFont="1" applyFill="1" applyBorder="1" applyAlignment="1">
      <alignment horizontal="left" vertical="center" wrapText="1"/>
    </xf>
    <xf numFmtId="0" fontId="77" fillId="0" borderId="5" xfId="0" applyFont="1" applyFill="1" applyBorder="1" applyAlignment="1" applyProtection="1">
      <alignment horizontal="center" vertical="center" wrapText="1"/>
      <protection locked="0"/>
    </xf>
    <xf numFmtId="177" fontId="107" fillId="0" borderId="5" xfId="0" applyNumberFormat="1" applyFont="1" applyFill="1" applyBorder="1" applyAlignment="1">
      <alignment horizontal="center" vertical="center" wrapText="1"/>
    </xf>
    <xf numFmtId="49" fontId="126" fillId="0" borderId="5" xfId="6" applyNumberFormat="1" applyFont="1" applyFill="1" applyBorder="1" applyAlignment="1">
      <alignment horizontal="center" vertical="center" wrapText="1"/>
    </xf>
    <xf numFmtId="0" fontId="77" fillId="0" borderId="5" xfId="0" applyFont="1" applyFill="1" applyBorder="1" applyAlignment="1" applyProtection="1">
      <alignment horizontal="left" vertical="center" wrapText="1"/>
      <protection locked="0"/>
    </xf>
    <xf numFmtId="43" fontId="77" fillId="0" borderId="5" xfId="50" applyFont="1" applyFill="1" applyBorder="1" applyAlignment="1">
      <alignment horizontal="right" vertical="center" wrapText="1"/>
    </xf>
    <xf numFmtId="2" fontId="77" fillId="0" borderId="5" xfId="0" applyNumberFormat="1" applyFont="1" applyFill="1" applyBorder="1" applyAlignment="1">
      <alignment horizontal="right" vertical="center" wrapText="1"/>
    </xf>
    <xf numFmtId="0" fontId="107" fillId="0" borderId="3" xfId="0" applyFont="1" applyFill="1" applyBorder="1" applyAlignment="1">
      <alignment horizontal="center" vertical="center"/>
    </xf>
    <xf numFmtId="0" fontId="107" fillId="0" borderId="3" xfId="0" applyFont="1" applyFill="1" applyBorder="1" applyAlignment="1">
      <alignment horizontal="center" vertical="center" wrapText="1"/>
    </xf>
    <xf numFmtId="192" fontId="69" fillId="0" borderId="5" xfId="2" applyNumberFormat="1" applyFont="1" applyFill="1" applyBorder="1" applyAlignment="1">
      <alignment horizontal="center" vertical="center" wrapText="1"/>
    </xf>
    <xf numFmtId="0" fontId="69" fillId="0" borderId="11" xfId="0" applyFont="1" applyFill="1" applyBorder="1" applyAlignment="1">
      <alignment horizontal="center" vertical="center"/>
    </xf>
    <xf numFmtId="177" fontId="0" fillId="0" borderId="0" xfId="0" applyNumberFormat="1" applyFill="1" applyAlignment="1"/>
    <xf numFmtId="0" fontId="107" fillId="0" borderId="5" xfId="0" applyFont="1" applyFill="1" applyBorder="1" applyAlignment="1">
      <alignment horizontal="center" vertical="center"/>
    </xf>
    <xf numFmtId="0" fontId="107" fillId="0" borderId="4" xfId="0" applyFont="1" applyFill="1" applyBorder="1" applyAlignment="1">
      <alignment horizontal="center" vertical="center"/>
    </xf>
    <xf numFmtId="0" fontId="69" fillId="0" borderId="5" xfId="48" applyFont="1" applyFill="1" applyBorder="1" applyAlignment="1">
      <alignment horizontal="center" vertical="center" wrapText="1"/>
    </xf>
    <xf numFmtId="0" fontId="126" fillId="0" borderId="5" xfId="0" applyFont="1" applyFill="1" applyBorder="1" applyAlignment="1">
      <alignment horizontal="center" vertical="center"/>
    </xf>
    <xf numFmtId="0" fontId="129" fillId="0" borderId="5" xfId="0" applyFont="1" applyFill="1" applyBorder="1" applyAlignment="1">
      <alignment horizontal="center" vertical="center" wrapText="1"/>
    </xf>
    <xf numFmtId="0" fontId="77" fillId="0" borderId="3" xfId="0" applyFont="1" applyFill="1" applyBorder="1" applyAlignment="1">
      <alignment horizontal="center" vertical="center" wrapText="1"/>
    </xf>
    <xf numFmtId="194" fontId="69" fillId="0" borderId="5" xfId="0" applyNumberFormat="1" applyFont="1" applyFill="1" applyBorder="1" applyAlignment="1">
      <alignment horizontal="center" vertical="center" wrapText="1"/>
    </xf>
    <xf numFmtId="0" fontId="77" fillId="0" borderId="9" xfId="0" applyFont="1" applyFill="1" applyBorder="1" applyAlignment="1">
      <alignment horizontal="center" vertical="center" wrapText="1"/>
    </xf>
    <xf numFmtId="176" fontId="69" fillId="0" borderId="5" xfId="0" applyNumberFormat="1" applyFont="1" applyFill="1" applyBorder="1" applyAlignment="1">
      <alignment horizontal="center" vertical="center" shrinkToFit="1"/>
    </xf>
    <xf numFmtId="0" fontId="43" fillId="0" borderId="5" xfId="0" applyFont="1" applyBorder="1" applyAlignment="1">
      <alignment horizontal="center" vertical="center"/>
    </xf>
    <xf numFmtId="0" fontId="31" fillId="0" borderId="5" xfId="0" applyFont="1" applyBorder="1" applyAlignment="1">
      <alignment horizontal="center" vertical="center"/>
    </xf>
    <xf numFmtId="176" fontId="44" fillId="0" borderId="5" xfId="0" applyNumberFormat="1" applyFont="1" applyBorder="1" applyAlignment="1">
      <alignment horizontal="center" vertical="center"/>
    </xf>
    <xf numFmtId="0" fontId="62" fillId="0" borderId="5" xfId="0" applyFont="1" applyBorder="1" applyAlignment="1">
      <alignment horizontal="center" vertical="center"/>
    </xf>
    <xf numFmtId="0" fontId="44" fillId="0" borderId="5" xfId="0" applyFont="1" applyBorder="1" applyAlignment="1">
      <alignment horizontal="center" vertical="center"/>
    </xf>
    <xf numFmtId="177" fontId="44" fillId="0" borderId="5" xfId="0" applyNumberFormat="1" applyFont="1" applyBorder="1" applyAlignment="1">
      <alignment horizontal="center" vertical="center"/>
    </xf>
    <xf numFmtId="0" fontId="77" fillId="0" borderId="11" xfId="0" applyFont="1" applyFill="1" applyBorder="1" applyAlignment="1">
      <alignment horizontal="center" vertical="center" wrapText="1"/>
    </xf>
    <xf numFmtId="0" fontId="32" fillId="0" borderId="5" xfId="0" applyFont="1" applyBorder="1" applyAlignment="1">
      <alignment horizontal="center" vertical="center"/>
    </xf>
    <xf numFmtId="0" fontId="124" fillId="4" borderId="5" xfId="51" applyFont="1" applyFill="1" applyBorder="1" applyAlignment="1">
      <alignment horizontal="center" vertical="center" wrapText="1"/>
    </xf>
    <xf numFmtId="176" fontId="44" fillId="4" borderId="5" xfId="0" applyNumberFormat="1" applyFont="1" applyFill="1" applyBorder="1" applyAlignment="1">
      <alignment horizontal="center" vertical="center"/>
    </xf>
    <xf numFmtId="177" fontId="44" fillId="4" borderId="5" xfId="0" applyNumberFormat="1" applyFont="1" applyFill="1" applyBorder="1" applyAlignment="1">
      <alignment horizontal="center" vertical="center"/>
    </xf>
    <xf numFmtId="195" fontId="69" fillId="0" borderId="5" xfId="0" applyNumberFormat="1" applyFont="1" applyFill="1" applyBorder="1" applyAlignment="1" applyProtection="1">
      <alignment horizontal="center" vertical="center" wrapText="1"/>
      <protection locked="0"/>
    </xf>
    <xf numFmtId="0" fontId="77" fillId="0" borderId="5" xfId="0" applyFont="1" applyFill="1" applyBorder="1" applyAlignment="1" applyProtection="1">
      <alignment horizontal="center" vertical="center"/>
      <protection locked="0"/>
    </xf>
    <xf numFmtId="194" fontId="69" fillId="0" borderId="5" xfId="0" applyNumberFormat="1" applyFont="1" applyFill="1" applyBorder="1" applyAlignment="1" applyProtection="1">
      <alignment horizontal="center" vertical="center" wrapText="1"/>
      <protection locked="0"/>
    </xf>
    <xf numFmtId="0" fontId="69" fillId="0" borderId="5" xfId="42" applyFont="1" applyFill="1" applyBorder="1" applyAlignment="1" applyProtection="1">
      <alignment horizontal="center" vertical="center" wrapText="1"/>
      <protection locked="0"/>
    </xf>
    <xf numFmtId="192" fontId="69" fillId="0" borderId="5" xfId="42" applyNumberFormat="1"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0" borderId="32" xfId="0" applyFont="1" applyFill="1" applyBorder="1" applyAlignment="1">
      <alignment horizontal="center" vertical="center"/>
    </xf>
    <xf numFmtId="57" fontId="44" fillId="0" borderId="0" xfId="48" applyNumberFormat="1" applyFont="1" applyFill="1" applyBorder="1" applyAlignment="1">
      <alignment horizontal="center" vertical="center"/>
    </xf>
    <xf numFmtId="176" fontId="69" fillId="0" borderId="5" xfId="42" applyNumberFormat="1" applyFont="1" applyFill="1" applyBorder="1" applyAlignment="1">
      <alignment horizontal="center" vertical="center" wrapText="1"/>
    </xf>
    <xf numFmtId="177" fontId="77" fillId="0" borderId="5" xfId="0" applyNumberFormat="1" applyFont="1" applyFill="1" applyBorder="1" applyAlignment="1">
      <alignment horizontal="center" vertical="center" wrapText="1"/>
    </xf>
    <xf numFmtId="0" fontId="77" fillId="0" borderId="3" xfId="0"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43" fontId="77" fillId="0" borderId="0" xfId="0" applyNumberFormat="1" applyFont="1" applyFill="1" applyAlignment="1"/>
    <xf numFmtId="0" fontId="129" fillId="0" borderId="5" xfId="43" applyFont="1" applyFill="1" applyBorder="1" applyAlignment="1" applyProtection="1">
      <alignment horizontal="center" vertical="center" wrapText="1"/>
      <protection locked="0"/>
    </xf>
    <xf numFmtId="0" fontId="40" fillId="0" borderId="5" xfId="0" applyFont="1" applyFill="1" applyBorder="1" applyAlignment="1">
      <alignment horizontal="center" vertical="center" wrapText="1"/>
    </xf>
    <xf numFmtId="177" fontId="41" fillId="0" borderId="5" xfId="0" applyNumberFormat="1" applyFont="1" applyFill="1" applyBorder="1" applyAlignment="1">
      <alignment horizontal="center" vertical="center" wrapText="1"/>
    </xf>
    <xf numFmtId="176" fontId="43" fillId="0" borderId="5" xfId="0" applyNumberFormat="1" applyFont="1" applyFill="1" applyBorder="1" applyAlignment="1">
      <alignment horizontal="center" vertical="center" wrapText="1"/>
    </xf>
    <xf numFmtId="0" fontId="42" fillId="0" borderId="5" xfId="52" applyFont="1" applyFill="1" applyBorder="1" applyAlignment="1">
      <alignment horizontal="center" vertical="center"/>
    </xf>
    <xf numFmtId="0" fontId="129" fillId="0" borderId="5" xfId="0" applyFont="1" applyFill="1" applyBorder="1" applyAlignment="1" applyProtection="1">
      <alignment horizontal="center" vertical="center" wrapText="1"/>
      <protection locked="0"/>
    </xf>
    <xf numFmtId="177" fontId="129" fillId="0" borderId="24" xfId="0" applyNumberFormat="1" applyFont="1" applyFill="1" applyBorder="1" applyAlignment="1">
      <alignment horizontal="center" vertical="center" wrapText="1"/>
    </xf>
    <xf numFmtId="0" fontId="133" fillId="0" borderId="0" xfId="0" applyFont="1" applyFill="1" applyAlignment="1"/>
    <xf numFmtId="0" fontId="107" fillId="0" borderId="5" xfId="0" applyFont="1" applyFill="1" applyBorder="1" applyAlignment="1">
      <alignment horizontal="center" vertical="center" wrapText="1"/>
    </xf>
    <xf numFmtId="0" fontId="77" fillId="0" borderId="20" xfId="1" applyFont="1" applyFill="1" applyBorder="1" applyAlignment="1">
      <alignment horizontal="center" vertical="center" wrapText="1"/>
    </xf>
    <xf numFmtId="0" fontId="77" fillId="0" borderId="20" xfId="1" applyFont="1" applyFill="1" applyBorder="1" applyAlignment="1">
      <alignment horizontal="center" vertical="center"/>
    </xf>
    <xf numFmtId="177" fontId="69" fillId="0" borderId="24" xfId="0" applyNumberFormat="1" applyFont="1" applyFill="1" applyBorder="1" applyAlignment="1">
      <alignment horizontal="center" vertical="center"/>
    </xf>
    <xf numFmtId="0" fontId="32" fillId="4" borderId="5" xfId="51" applyFont="1" applyFill="1" applyBorder="1" applyAlignment="1">
      <alignment horizontal="center" vertical="center" wrapText="1"/>
    </xf>
    <xf numFmtId="0" fontId="41" fillId="4" borderId="5" xfId="0" applyFont="1" applyFill="1" applyBorder="1" applyAlignment="1">
      <alignment horizontal="center" vertical="center" wrapText="1"/>
    </xf>
    <xf numFmtId="176" fontId="44" fillId="0" borderId="5" xfId="0" applyNumberFormat="1" applyFont="1" applyFill="1" applyBorder="1" applyAlignment="1">
      <alignment horizontal="center" vertical="center"/>
    </xf>
    <xf numFmtId="0" fontId="32" fillId="0" borderId="5" xfId="0" applyFont="1" applyFill="1" applyBorder="1" applyAlignment="1">
      <alignment horizontal="center" vertical="center"/>
    </xf>
    <xf numFmtId="176" fontId="49" fillId="0" borderId="5" xfId="0" applyNumberFormat="1" applyFont="1" applyFill="1" applyBorder="1" applyAlignment="1">
      <alignment horizontal="center" vertical="center"/>
    </xf>
    <xf numFmtId="0" fontId="135" fillId="0" borderId="5" xfId="0" applyFont="1" applyFill="1" applyBorder="1" applyAlignment="1">
      <alignment horizontal="center" vertical="center"/>
    </xf>
    <xf numFmtId="0" fontId="28" fillId="0" borderId="0" xfId="0" applyFont="1" applyFill="1" applyAlignment="1"/>
    <xf numFmtId="49" fontId="77" fillId="0" borderId="5" xfId="0" applyNumberFormat="1" applyFont="1" applyFill="1" applyBorder="1" applyAlignment="1">
      <alignment horizontal="center" vertical="center"/>
    </xf>
    <xf numFmtId="177" fontId="107" fillId="0" borderId="0" xfId="0" applyNumberFormat="1" applyFont="1" applyFill="1" applyAlignment="1">
      <alignment horizontal="center" vertical="center" wrapText="1"/>
    </xf>
    <xf numFmtId="0" fontId="136" fillId="0" borderId="5" xfId="0" applyFont="1" applyFill="1" applyBorder="1" applyAlignment="1">
      <alignment horizontal="center" vertical="center"/>
    </xf>
    <xf numFmtId="0" fontId="136" fillId="0" borderId="24" xfId="0" applyFont="1" applyFill="1" applyBorder="1" applyAlignment="1"/>
    <xf numFmtId="177" fontId="137" fillId="0" borderId="0" xfId="0" applyNumberFormat="1" applyFont="1" applyFill="1" applyAlignment="1">
      <alignment horizontal="center" vertical="center" wrapText="1"/>
    </xf>
    <xf numFmtId="0" fontId="138" fillId="0" borderId="0" xfId="0" applyFont="1" applyFill="1" applyAlignment="1"/>
    <xf numFmtId="0" fontId="38" fillId="0" borderId="5" xfId="0" applyFont="1" applyFill="1" applyBorder="1" applyAlignment="1">
      <alignment horizontal="center" vertical="center" wrapText="1"/>
    </xf>
    <xf numFmtId="2" fontId="37" fillId="0" borderId="5" xfId="0" applyNumberFormat="1" applyFont="1" applyFill="1" applyBorder="1" applyAlignment="1">
      <alignment horizontal="center" vertical="center"/>
    </xf>
    <xf numFmtId="177" fontId="38" fillId="0" borderId="5" xfId="0" applyNumberFormat="1" applyFont="1" applyFill="1" applyBorder="1" applyAlignment="1">
      <alignment horizontal="center" vertical="center" wrapText="1"/>
    </xf>
    <xf numFmtId="0" fontId="37" fillId="0" borderId="5" xfId="53" applyFont="1" applyFill="1" applyBorder="1" applyAlignment="1">
      <alignment horizontal="center" vertical="center" wrapText="1"/>
    </xf>
    <xf numFmtId="0" fontId="139" fillId="0" borderId="5" xfId="0" applyFont="1" applyFill="1" applyBorder="1" applyAlignment="1">
      <alignment horizontal="center" vertical="center"/>
    </xf>
    <xf numFmtId="0" fontId="126" fillId="0" borderId="5" xfId="0" applyFont="1" applyFill="1" applyBorder="1" applyAlignment="1">
      <alignment horizontal="center" vertical="center" wrapText="1"/>
    </xf>
    <xf numFmtId="177" fontId="69" fillId="0" borderId="15" xfId="0" applyNumberFormat="1" applyFont="1" applyFill="1" applyBorder="1" applyAlignment="1">
      <alignment horizontal="center" vertical="center" wrapText="1"/>
    </xf>
    <xf numFmtId="0" fontId="77" fillId="0" borderId="5" xfId="0" applyNumberFormat="1" applyFont="1" applyFill="1" applyBorder="1" applyAlignment="1">
      <alignment horizontal="center" vertical="center" wrapText="1"/>
    </xf>
    <xf numFmtId="0" fontId="69" fillId="0" borderId="15" xfId="0" applyFont="1" applyFill="1" applyBorder="1" applyAlignment="1">
      <alignment horizontal="center" vertical="center" wrapText="1"/>
    </xf>
    <xf numFmtId="0" fontId="77" fillId="0" borderId="24" xfId="0" applyFont="1" applyFill="1" applyBorder="1" applyAlignment="1">
      <alignment horizontal="center" vertical="center"/>
    </xf>
    <xf numFmtId="177" fontId="126" fillId="0" borderId="5" xfId="6" applyNumberFormat="1" applyFont="1" applyFill="1" applyBorder="1" applyAlignment="1">
      <alignment horizontal="center" vertical="center" wrapText="1"/>
    </xf>
    <xf numFmtId="0" fontId="69" fillId="0" borderId="20" xfId="0" applyFont="1" applyFill="1" applyBorder="1" applyAlignment="1">
      <alignment horizontal="center" vertical="center"/>
    </xf>
    <xf numFmtId="0" fontId="69" fillId="0" borderId="24" xfId="0" applyFont="1" applyFill="1" applyBorder="1" applyAlignment="1">
      <alignment horizontal="center" vertical="center"/>
    </xf>
    <xf numFmtId="49" fontId="69" fillId="0" borderId="5" xfId="0" applyNumberFormat="1" applyFont="1" applyFill="1" applyBorder="1" applyAlignment="1">
      <alignment horizontal="center" vertical="center"/>
    </xf>
    <xf numFmtId="58" fontId="69" fillId="0" borderId="5" xfId="0" applyNumberFormat="1" applyFont="1" applyFill="1" applyBorder="1" applyAlignment="1">
      <alignment horizontal="center" vertical="center"/>
    </xf>
    <xf numFmtId="177" fontId="77" fillId="0" borderId="5" xfId="0" applyNumberFormat="1" applyFont="1" applyFill="1" applyBorder="1" applyAlignment="1">
      <alignment horizontal="right" vertical="center"/>
    </xf>
    <xf numFmtId="176" fontId="126" fillId="0" borderId="5" xfId="0" applyNumberFormat="1" applyFont="1" applyFill="1" applyBorder="1" applyAlignment="1">
      <alignment horizontal="center" vertical="center" wrapText="1"/>
    </xf>
    <xf numFmtId="177" fontId="69" fillId="0" borderId="5" xfId="0" applyNumberFormat="1" applyFont="1" applyFill="1" applyBorder="1" applyAlignment="1" applyProtection="1">
      <alignment horizontal="center" vertical="center" wrapText="1"/>
      <protection locked="0"/>
    </xf>
    <xf numFmtId="185" fontId="77" fillId="0" borderId="5" xfId="0" applyNumberFormat="1" applyFont="1" applyFill="1" applyBorder="1" applyAlignment="1">
      <alignment horizontal="center" vertical="center"/>
    </xf>
    <xf numFmtId="177" fontId="69" fillId="0" borderId="5" xfId="0" applyNumberFormat="1" applyFont="1" applyFill="1" applyBorder="1" applyAlignment="1">
      <alignment horizontal="right" vertical="center" shrinkToFit="1"/>
    </xf>
    <xf numFmtId="0" fontId="69" fillId="0" borderId="5" xfId="0" applyFont="1" applyFill="1" applyBorder="1" applyAlignment="1">
      <alignment horizontal="center"/>
    </xf>
    <xf numFmtId="177" fontId="126" fillId="0" borderId="5" xfId="0" applyNumberFormat="1" applyFont="1" applyFill="1" applyBorder="1" applyAlignment="1">
      <alignment horizontal="center" vertical="center" wrapText="1"/>
    </xf>
    <xf numFmtId="0" fontId="77" fillId="0" borderId="5" xfId="0" applyFont="1" applyFill="1" applyBorder="1" applyAlignment="1"/>
    <xf numFmtId="0" fontId="69" fillId="0" borderId="5" xfId="45" applyNumberFormat="1" applyFont="1" applyFill="1" applyBorder="1" applyAlignment="1" applyProtection="1">
      <alignment horizontal="center" vertical="center" wrapText="1"/>
    </xf>
    <xf numFmtId="185" fontId="69" fillId="0" borderId="5" xfId="45" applyNumberFormat="1" applyFont="1" applyFill="1" applyBorder="1" applyAlignment="1" applyProtection="1">
      <alignment horizontal="center" vertical="center" wrapText="1"/>
    </xf>
    <xf numFmtId="0" fontId="69" fillId="0" borderId="27" xfId="0" applyFont="1" applyFill="1" applyBorder="1" applyAlignment="1">
      <alignment horizontal="center" vertical="center" wrapText="1"/>
    </xf>
    <xf numFmtId="0" fontId="69" fillId="0" borderId="5" xfId="45" applyFont="1" applyFill="1" applyBorder="1" applyAlignment="1">
      <alignment horizontal="center" vertical="center" wrapText="1"/>
    </xf>
    <xf numFmtId="185" fontId="69" fillId="0" borderId="5" xfId="45" applyNumberFormat="1" applyFont="1" applyFill="1" applyBorder="1" applyAlignment="1">
      <alignment horizontal="center" vertical="center" wrapText="1"/>
    </xf>
    <xf numFmtId="0" fontId="126" fillId="0" borderId="5" xfId="52" applyFont="1" applyFill="1" applyBorder="1" applyAlignment="1">
      <alignment horizontal="center" vertical="center"/>
    </xf>
    <xf numFmtId="192" fontId="126" fillId="0" borderId="5" xfId="52" applyNumberFormat="1" applyFont="1" applyFill="1" applyBorder="1" applyAlignment="1">
      <alignment horizontal="center" vertical="center"/>
    </xf>
    <xf numFmtId="49" fontId="107" fillId="0" borderId="3" xfId="0" applyNumberFormat="1" applyFont="1" applyFill="1" applyBorder="1" applyAlignment="1">
      <alignment horizontal="center" vertical="center" wrapText="1"/>
    </xf>
    <xf numFmtId="0" fontId="107" fillId="0" borderId="15" xfId="0" applyFont="1" applyFill="1" applyBorder="1" applyAlignment="1">
      <alignment horizontal="center" vertical="center"/>
    </xf>
    <xf numFmtId="0" fontId="107" fillId="0" borderId="9" xfId="0" applyFont="1" applyFill="1" applyBorder="1" applyAlignment="1">
      <alignment horizontal="center" vertical="center" wrapText="1"/>
    </xf>
    <xf numFmtId="0" fontId="69" fillId="0" borderId="15" xfId="0" applyFont="1" applyFill="1" applyBorder="1" applyAlignment="1">
      <alignment horizontal="center" vertical="center"/>
    </xf>
    <xf numFmtId="0" fontId="69" fillId="0" borderId="5" xfId="54" applyFont="1" applyFill="1" applyAlignment="1">
      <alignment horizontal="center" vertical="center"/>
    </xf>
    <xf numFmtId="177" fontId="44" fillId="0" borderId="0" xfId="0" applyNumberFormat="1" applyFont="1" applyFill="1" applyAlignment="1">
      <alignment horizontal="center" vertical="center"/>
    </xf>
    <xf numFmtId="0" fontId="51" fillId="0" borderId="5" xfId="0" applyFont="1" applyFill="1" applyBorder="1" applyAlignment="1">
      <alignment horizontal="center" vertical="center" wrapText="1"/>
    </xf>
    <xf numFmtId="0" fontId="28" fillId="0" borderId="5" xfId="0" applyFont="1" applyFill="1" applyBorder="1" applyAlignment="1">
      <alignment horizontal="center" vertical="center"/>
    </xf>
    <xf numFmtId="177" fontId="141" fillId="0" borderId="5" xfId="0" applyNumberFormat="1" applyFont="1" applyFill="1" applyBorder="1" applyAlignment="1">
      <alignment horizontal="center" vertical="center" wrapText="1"/>
    </xf>
    <xf numFmtId="177" fontId="47" fillId="0" borderId="5" xfId="0" applyNumberFormat="1" applyFont="1" applyFill="1" applyBorder="1" applyAlignment="1">
      <alignment horizontal="right" vertical="center" wrapText="1"/>
    </xf>
    <xf numFmtId="0" fontId="31" fillId="0" borderId="5" xfId="44" applyFont="1" applyFill="1" applyBorder="1" applyAlignment="1">
      <alignment horizontal="center" vertical="center" wrapText="1"/>
    </xf>
    <xf numFmtId="0" fontId="141" fillId="0" borderId="5" xfId="0" applyFont="1" applyFill="1" applyBorder="1" applyAlignment="1">
      <alignment horizontal="center" vertical="center" wrapText="1"/>
    </xf>
    <xf numFmtId="0" fontId="44" fillId="0" borderId="18" xfId="0" applyFont="1" applyFill="1" applyBorder="1" applyAlignment="1">
      <alignment horizontal="center" vertical="center"/>
    </xf>
    <xf numFmtId="177" fontId="141" fillId="0" borderId="15" xfId="0" applyNumberFormat="1" applyFont="1" applyFill="1" applyBorder="1" applyAlignment="1">
      <alignment horizontal="center" vertical="center" wrapText="1"/>
    </xf>
    <xf numFmtId="0" fontId="69" fillId="0" borderId="5" xfId="43" applyFont="1" applyFill="1" applyBorder="1" applyAlignment="1">
      <alignment horizontal="center" vertical="center" wrapText="1"/>
    </xf>
    <xf numFmtId="192" fontId="69" fillId="0" borderId="5" xfId="43" applyNumberFormat="1" applyFont="1" applyFill="1" applyBorder="1" applyAlignment="1">
      <alignment horizontal="center" vertical="center" wrapText="1"/>
    </xf>
    <xf numFmtId="184" fontId="69" fillId="0" borderId="5" xfId="0" applyNumberFormat="1" applyFont="1" applyFill="1" applyBorder="1" applyAlignment="1">
      <alignment horizontal="center" vertical="center" wrapText="1"/>
    </xf>
    <xf numFmtId="184" fontId="69" fillId="0" borderId="5" xfId="0" applyNumberFormat="1" applyFont="1" applyFill="1" applyBorder="1" applyAlignment="1">
      <alignment horizontal="center" vertical="center"/>
    </xf>
    <xf numFmtId="0" fontId="77" fillId="0" borderId="15" xfId="0" applyFont="1" applyFill="1" applyBorder="1" applyAlignment="1">
      <alignment horizontal="center" vertical="center"/>
    </xf>
    <xf numFmtId="184" fontId="69" fillId="0" borderId="15" xfId="0" applyNumberFormat="1" applyFont="1" applyFill="1" applyBorder="1" applyAlignment="1">
      <alignment horizontal="center" vertical="center"/>
    </xf>
    <xf numFmtId="177" fontId="107" fillId="0" borderId="9" xfId="0" applyNumberFormat="1" applyFont="1" applyFill="1" applyBorder="1" applyAlignment="1">
      <alignment horizontal="center" vertical="center" wrapText="1"/>
    </xf>
    <xf numFmtId="0" fontId="142" fillId="0" borderId="5" xfId="0" applyFont="1" applyBorder="1" applyAlignment="1">
      <alignment horizontal="center" vertical="center" wrapText="1"/>
    </xf>
    <xf numFmtId="0" fontId="142" fillId="0" borderId="3" xfId="0" applyFont="1" applyBorder="1" applyAlignment="1">
      <alignment horizontal="center" vertical="center" wrapText="1"/>
    </xf>
    <xf numFmtId="0" fontId="32" fillId="4" borderId="5" xfId="0" applyFont="1" applyFill="1" applyBorder="1" applyAlignment="1">
      <alignment horizontal="center" vertical="center"/>
    </xf>
    <xf numFmtId="0" fontId="49" fillId="4" borderId="3" xfId="0" applyFont="1" applyFill="1" applyBorder="1" applyAlignment="1">
      <alignment horizontal="center" vertical="center" wrapText="1"/>
    </xf>
    <xf numFmtId="0" fontId="49" fillId="4" borderId="5" xfId="0" applyFont="1" applyFill="1" applyBorder="1" applyAlignment="1">
      <alignment horizontal="center" vertical="center" wrapText="1"/>
    </xf>
    <xf numFmtId="0" fontId="69" fillId="0" borderId="5" xfId="0" applyFont="1" applyFill="1" applyBorder="1" applyAlignment="1"/>
    <xf numFmtId="184" fontId="72" fillId="0" borderId="5" xfId="0" applyNumberFormat="1" applyFont="1" applyFill="1" applyBorder="1" applyAlignment="1">
      <alignment horizontal="center" vertical="center"/>
    </xf>
    <xf numFmtId="0" fontId="63" fillId="0" borderId="5" xfId="0" applyFont="1" applyFill="1" applyBorder="1" applyAlignment="1">
      <alignment horizontal="center" vertical="center" wrapText="1"/>
    </xf>
    <xf numFmtId="177" fontId="143" fillId="0" borderId="5" xfId="0" applyNumberFormat="1" applyFont="1" applyFill="1" applyBorder="1" applyAlignment="1">
      <alignment horizontal="center" vertical="center" wrapText="1"/>
    </xf>
    <xf numFmtId="192" fontId="77" fillId="0" borderId="0" xfId="0" applyNumberFormat="1" applyFont="1" applyFill="1" applyAlignment="1"/>
    <xf numFmtId="192" fontId="0" fillId="0" borderId="0" xfId="0" applyNumberFormat="1" applyFill="1" applyAlignment="1"/>
    <xf numFmtId="0" fontId="26" fillId="0" borderId="0" xfId="44" applyFont="1" applyFill="1" applyAlignment="1">
      <alignment horizontal="left" vertical="center"/>
    </xf>
    <xf numFmtId="0" fontId="26" fillId="0" borderId="0" xfId="44" applyFont="1">
      <alignment vertical="center"/>
    </xf>
    <xf numFmtId="0" fontId="26" fillId="0" borderId="0" xfId="0" applyFont="1" applyAlignment="1"/>
    <xf numFmtId="0" fontId="26" fillId="0" borderId="0" xfId="44" applyFont="1" applyAlignment="1">
      <alignment horizontal="center" vertical="center"/>
    </xf>
    <xf numFmtId="0" fontId="27" fillId="0" borderId="0" xfId="0" applyFont="1" applyAlignment="1">
      <alignment horizontal="center" vertical="center"/>
    </xf>
    <xf numFmtId="0" fontId="24" fillId="0" borderId="0" xfId="0" applyFont="1" applyAlignment="1"/>
    <xf numFmtId="0" fontId="105" fillId="0" borderId="0" xfId="0" applyFont="1" applyAlignment="1"/>
    <xf numFmtId="0" fontId="31" fillId="0" borderId="5" xfId="44" applyFont="1" applyFill="1" applyBorder="1" applyAlignment="1">
      <alignment horizontal="center" vertical="center"/>
    </xf>
    <xf numFmtId="0" fontId="33" fillId="0" borderId="5" xfId="44" applyFont="1" applyFill="1" applyBorder="1" applyAlignment="1">
      <alignment horizontal="center" vertical="center"/>
    </xf>
    <xf numFmtId="0" fontId="33" fillId="0" borderId="5" xfId="44" applyFont="1" applyFill="1" applyBorder="1" applyAlignment="1">
      <alignment horizontal="center" vertical="center" wrapText="1"/>
    </xf>
    <xf numFmtId="0" fontId="31" fillId="0" borderId="20" xfId="44" applyFont="1" applyFill="1" applyBorder="1" applyAlignment="1">
      <alignment horizontal="center" vertical="center" wrapText="1"/>
    </xf>
    <xf numFmtId="0" fontId="31" fillId="0" borderId="11" xfId="44" applyFont="1" applyFill="1" applyBorder="1" applyAlignment="1">
      <alignment horizontal="center" vertical="center" wrapText="1"/>
    </xf>
    <xf numFmtId="176" fontId="144" fillId="0" borderId="5" xfId="40" applyNumberFormat="1" applyFont="1" applyFill="1" applyBorder="1" applyAlignment="1">
      <alignment horizontal="center" vertical="center" shrinkToFit="1"/>
    </xf>
    <xf numFmtId="0" fontId="145" fillId="0" borderId="5" xfId="44" applyFont="1" applyFill="1" applyBorder="1" applyAlignment="1">
      <alignment horizontal="center" vertical="center"/>
    </xf>
    <xf numFmtId="0" fontId="73" fillId="0" borderId="5" xfId="0" applyFont="1" applyBorder="1" applyAlignment="1">
      <alignment horizontal="center" vertical="center"/>
    </xf>
    <xf numFmtId="0" fontId="75" fillId="0" borderId="5" xfId="0" applyFont="1" applyBorder="1" applyAlignment="1">
      <alignment horizontal="center" vertical="center"/>
    </xf>
    <xf numFmtId="0" fontId="70" fillId="0" borderId="5" xfId="0" applyFont="1" applyBorder="1" applyAlignment="1">
      <alignment horizontal="center" vertical="center"/>
    </xf>
    <xf numFmtId="0" fontId="0" fillId="0" borderId="0" xfId="0" applyAlignment="1">
      <alignment horizontal="center" vertical="center"/>
    </xf>
    <xf numFmtId="0" fontId="97" fillId="0" borderId="5" xfId="0" applyFont="1" applyBorder="1" applyAlignment="1">
      <alignment horizontal="center" vertical="center"/>
    </xf>
    <xf numFmtId="0" fontId="63" fillId="0" borderId="5" xfId="17" applyFont="1" applyFill="1" applyBorder="1" applyAlignment="1">
      <alignment horizontal="center" vertical="center" wrapText="1"/>
    </xf>
    <xf numFmtId="0" fontId="70" fillId="0" borderId="0" xfId="0" applyFont="1" applyAlignment="1">
      <alignment horizontal="center" vertical="center"/>
    </xf>
    <xf numFmtId="0" fontId="63" fillId="0" borderId="11" xfId="17" applyFont="1" applyFill="1" applyBorder="1" applyAlignment="1">
      <alignment horizontal="center" vertical="center" wrapText="1"/>
    </xf>
    <xf numFmtId="0" fontId="28" fillId="0" borderId="5" xfId="0" applyFont="1" applyBorder="1" applyAlignment="1">
      <alignment horizontal="center" vertical="center"/>
    </xf>
    <xf numFmtId="0" fontId="0" fillId="0" borderId="15" xfId="0" applyBorder="1" applyAlignment="1">
      <alignment horizontal="center" vertical="center"/>
    </xf>
    <xf numFmtId="0" fontId="0" fillId="0" borderId="11" xfId="0" applyBorder="1" applyAlignment="1">
      <alignment horizontal="center" vertical="center"/>
    </xf>
    <xf numFmtId="0" fontId="70" fillId="0" borderId="5" xfId="0" applyFont="1" applyBorder="1" applyAlignment="1"/>
    <xf numFmtId="0" fontId="0" fillId="0" borderId="5" xfId="0" applyBorder="1" applyAlignment="1"/>
    <xf numFmtId="0" fontId="0" fillId="0" borderId="0" xfId="0" applyAlignment="1"/>
    <xf numFmtId="0" fontId="69" fillId="0" borderId="0" xfId="7" applyFont="1" applyFill="1" applyAlignment="1">
      <alignment horizontal="center" vertical="center"/>
    </xf>
    <xf numFmtId="0" fontId="77" fillId="0" borderId="0" xfId="7" applyFont="1" applyFill="1" applyAlignment="1">
      <alignment horizontal="center" vertical="center"/>
    </xf>
    <xf numFmtId="0" fontId="69" fillId="0" borderId="0" xfId="7" applyFont="1" applyFill="1" applyAlignment="1">
      <alignment horizontal="center" vertical="center" wrapText="1"/>
    </xf>
    <xf numFmtId="177" fontId="69" fillId="0" borderId="0" xfId="7" applyNumberFormat="1" applyFont="1" applyFill="1" applyAlignment="1">
      <alignment horizontal="center" vertical="center"/>
    </xf>
    <xf numFmtId="177" fontId="69" fillId="0" borderId="0" xfId="0" applyNumberFormat="1" applyFont="1" applyFill="1" applyAlignment="1">
      <alignment horizontal="center"/>
    </xf>
    <xf numFmtId="0" fontId="69" fillId="0" borderId="0" xfId="0" applyFont="1" applyFill="1" applyAlignment="1">
      <alignment horizontal="center"/>
    </xf>
    <xf numFmtId="0" fontId="69" fillId="0" borderId="5" xfId="7" applyFont="1" applyFill="1" applyBorder="1" applyAlignment="1">
      <alignment horizontal="center" vertical="center" wrapText="1"/>
    </xf>
    <xf numFmtId="177" fontId="69" fillId="0" borderId="5" xfId="7" applyNumberFormat="1" applyFont="1" applyFill="1" applyBorder="1" applyAlignment="1">
      <alignment horizontal="center" vertical="center" wrapText="1"/>
    </xf>
    <xf numFmtId="0" fontId="119" fillId="0" borderId="5" xfId="7" applyFont="1" applyFill="1" applyBorder="1" applyAlignment="1">
      <alignment horizontal="center" vertical="center"/>
    </xf>
    <xf numFmtId="0" fontId="119" fillId="0" borderId="5" xfId="7" applyFont="1" applyFill="1" applyBorder="1" applyAlignment="1">
      <alignment horizontal="center" vertical="center" wrapText="1"/>
    </xf>
    <xf numFmtId="0" fontId="69" fillId="0" borderId="5" xfId="7" applyFont="1" applyFill="1" applyBorder="1" applyAlignment="1">
      <alignment horizontal="center" vertical="center"/>
    </xf>
    <xf numFmtId="184" fontId="69" fillId="0" borderId="5" xfId="7" applyNumberFormat="1" applyFont="1" applyFill="1" applyBorder="1" applyAlignment="1">
      <alignment horizontal="center" vertical="center" wrapText="1"/>
    </xf>
    <xf numFmtId="0" fontId="31" fillId="0" borderId="5" xfId="7" applyFont="1" applyFill="1" applyBorder="1" applyAlignment="1">
      <alignment horizontal="center" vertical="center"/>
    </xf>
    <xf numFmtId="0" fontId="31" fillId="0" borderId="5" xfId="12" applyFont="1" applyFill="1" applyBorder="1" applyAlignment="1">
      <alignment horizontal="center" vertical="center" wrapText="1"/>
    </xf>
    <xf numFmtId="0" fontId="31" fillId="0" borderId="5" xfId="7" applyFont="1" applyFill="1" applyBorder="1" applyAlignment="1">
      <alignment horizontal="center" vertical="center" wrapText="1"/>
    </xf>
    <xf numFmtId="0" fontId="31" fillId="0" borderId="0" xfId="0" applyFont="1" applyFill="1" applyAlignment="1">
      <alignment horizontal="center"/>
    </xf>
    <xf numFmtId="49" fontId="31" fillId="0" borderId="5" xfId="0" applyNumberFormat="1" applyFont="1" applyFill="1" applyBorder="1" applyAlignment="1">
      <alignment horizontal="center" vertical="center" wrapText="1"/>
    </xf>
    <xf numFmtId="0" fontId="31" fillId="0" borderId="5" xfId="7" applyFont="1" applyFill="1" applyBorder="1" applyAlignment="1">
      <alignment vertical="center" wrapText="1"/>
    </xf>
    <xf numFmtId="0" fontId="31" fillId="0" borderId="5" xfId="36" applyFont="1" applyFill="1" applyBorder="1" applyAlignment="1">
      <alignment horizontal="center" vertical="center" wrapText="1"/>
    </xf>
    <xf numFmtId="0" fontId="31" fillId="0" borderId="5" xfId="36" applyFont="1" applyFill="1" applyBorder="1" applyAlignment="1">
      <alignment horizontal="center" vertical="center"/>
    </xf>
    <xf numFmtId="191" fontId="31" fillId="0" borderId="5" xfId="0" applyNumberFormat="1" applyFont="1" applyFill="1" applyBorder="1" applyAlignment="1">
      <alignment horizontal="center" vertical="center"/>
    </xf>
    <xf numFmtId="177" fontId="31" fillId="0" borderId="5" xfId="36" applyNumberFormat="1" applyFont="1" applyFill="1" applyBorder="1" applyAlignment="1">
      <alignment horizontal="center" vertical="center" wrapText="1"/>
    </xf>
    <xf numFmtId="0" fontId="31" fillId="0" borderId="0" xfId="0" applyFont="1" applyFill="1" applyBorder="1" applyAlignment="1"/>
    <xf numFmtId="0" fontId="110" fillId="0" borderId="11" xfId="0" applyFont="1" applyFill="1" applyBorder="1" applyAlignment="1">
      <alignment horizontal="center" vertical="center" wrapText="1"/>
    </xf>
    <xf numFmtId="0" fontId="35" fillId="0" borderId="29" xfId="0" applyFont="1" applyFill="1" applyBorder="1" applyAlignment="1">
      <alignment horizontal="center" vertical="center" wrapText="1"/>
    </xf>
    <xf numFmtId="57" fontId="51" fillId="0" borderId="5" xfId="0" applyNumberFormat="1" applyFont="1" applyFill="1" applyBorder="1" applyAlignment="1">
      <alignment horizontal="center" vertical="center" wrapText="1"/>
    </xf>
    <xf numFmtId="0" fontId="43" fillId="0" borderId="11" xfId="36" applyFont="1" applyFill="1" applyBorder="1" applyAlignment="1">
      <alignment horizontal="center" vertical="center"/>
    </xf>
    <xf numFmtId="0" fontId="142" fillId="0" borderId="5" xfId="0" applyFont="1" applyFill="1" applyBorder="1" applyAlignment="1">
      <alignment horizontal="center" vertical="center"/>
    </xf>
    <xf numFmtId="0" fontId="142" fillId="0" borderId="0" xfId="0" applyFont="1" applyFill="1" applyBorder="1" applyAlignment="1"/>
    <xf numFmtId="0" fontId="34" fillId="0" borderId="5" xfId="7" applyFont="1" applyFill="1" applyBorder="1" applyAlignment="1">
      <alignment horizontal="center" vertical="center"/>
    </xf>
    <xf numFmtId="0" fontId="34" fillId="0" borderId="5" xfId="0" applyFont="1" applyFill="1" applyBorder="1" applyAlignment="1">
      <alignment horizontal="center" vertical="center" wrapText="1"/>
    </xf>
    <xf numFmtId="0" fontId="142" fillId="0" borderId="23" xfId="7" applyFont="1" applyFill="1" applyBorder="1" applyAlignment="1">
      <alignment horizontal="center" vertical="center" wrapText="1"/>
    </xf>
    <xf numFmtId="0" fontId="35" fillId="0" borderId="5" xfId="6" applyFont="1" applyFill="1" applyBorder="1" applyAlignment="1">
      <alignment horizontal="center" vertical="center"/>
    </xf>
    <xf numFmtId="0" fontId="37" fillId="0" borderId="15" xfId="0" applyFont="1" applyFill="1" applyBorder="1" applyAlignment="1">
      <alignment horizontal="center"/>
    </xf>
    <xf numFmtId="57" fontId="43" fillId="0" borderId="5" xfId="37" applyNumberFormat="1" applyFont="1" applyFill="1" applyBorder="1" applyAlignment="1" applyProtection="1">
      <alignment horizontal="center" vertical="center" wrapText="1" shrinkToFit="1"/>
    </xf>
    <xf numFmtId="0" fontId="37" fillId="0" borderId="0" xfId="0" applyFont="1" applyFill="1" applyAlignment="1">
      <alignment horizontal="center"/>
    </xf>
    <xf numFmtId="1" fontId="37" fillId="0" borderId="5" xfId="0" applyNumberFormat="1" applyFont="1" applyFill="1" applyBorder="1" applyAlignment="1">
      <alignment horizontal="center" vertical="center"/>
    </xf>
    <xf numFmtId="0" fontId="16" fillId="0" borderId="0" xfId="0" applyFont="1" applyFill="1" applyAlignment="1"/>
    <xf numFmtId="0" fontId="31" fillId="0" borderId="11" xfId="7" applyFont="1" applyFill="1" applyBorder="1" applyAlignment="1">
      <alignment horizontal="center" vertical="center" wrapText="1"/>
    </xf>
    <xf numFmtId="0" fontId="116" fillId="0" borderId="5" xfId="7" applyFont="1" applyFill="1" applyBorder="1" applyAlignment="1">
      <alignment horizontal="center" vertical="center"/>
    </xf>
    <xf numFmtId="0" fontId="116" fillId="0" borderId="5" xfId="7" applyFont="1" applyFill="1" applyBorder="1" applyAlignment="1">
      <alignment horizontal="center" vertical="center" wrapText="1"/>
    </xf>
    <xf numFmtId="0" fontId="43" fillId="0" borderId="5" xfId="7" applyFont="1" applyFill="1" applyBorder="1" applyAlignment="1">
      <alignment horizontal="center" vertical="center" wrapText="1"/>
    </xf>
    <xf numFmtId="0" fontId="116" fillId="0" borderId="29" xfId="7" applyFont="1" applyFill="1" applyBorder="1" applyAlignment="1">
      <alignment horizontal="center" vertical="center" wrapText="1"/>
    </xf>
    <xf numFmtId="0" fontId="116" fillId="0" borderId="11" xfId="7" applyFont="1" applyFill="1" applyBorder="1" applyAlignment="1">
      <alignment horizontal="center" vertical="center" wrapText="1"/>
    </xf>
    <xf numFmtId="0" fontId="116" fillId="0" borderId="5" xfId="0" applyFont="1" applyFill="1" applyBorder="1" applyAlignment="1">
      <alignment horizontal="center" vertical="center"/>
    </xf>
    <xf numFmtId="0" fontId="116" fillId="0" borderId="0" xfId="0" applyFont="1" applyFill="1" applyAlignment="1"/>
    <xf numFmtId="0" fontId="31" fillId="0" borderId="0" xfId="0" applyFont="1" applyFill="1" applyAlignment="1">
      <alignment horizontal="center" vertical="center"/>
    </xf>
    <xf numFmtId="0" fontId="34" fillId="0" borderId="5" xfId="0" applyFont="1" applyFill="1" applyBorder="1" applyAlignment="1">
      <alignment horizontal="center" vertical="center"/>
    </xf>
    <xf numFmtId="0" fontId="34" fillId="0" borderId="0" xfId="0" applyFont="1" applyFill="1" applyAlignment="1">
      <alignment horizontal="center"/>
    </xf>
    <xf numFmtId="0" fontId="38" fillId="0" borderId="5" xfId="0" applyFont="1" applyFill="1" applyBorder="1" applyAlignment="1">
      <alignment horizontal="center" vertical="center"/>
    </xf>
    <xf numFmtId="0" fontId="70" fillId="0" borderId="0" xfId="0" applyFont="1" applyFill="1" applyAlignment="1">
      <alignment horizontal="center" vertical="center"/>
    </xf>
    <xf numFmtId="0" fontId="37" fillId="0" borderId="5" xfId="0" applyFont="1" applyFill="1" applyBorder="1" applyAlignment="1">
      <alignment vertical="center" wrapText="1"/>
    </xf>
    <xf numFmtId="0" fontId="37" fillId="0" borderId="0" xfId="0" applyFont="1" applyFill="1" applyBorder="1" applyAlignment="1">
      <alignment horizontal="center" vertical="center"/>
    </xf>
    <xf numFmtId="0" fontId="37" fillId="0" borderId="5" xfId="0" applyNumberFormat="1" applyFont="1" applyFill="1" applyBorder="1" applyAlignment="1">
      <alignment vertical="center" wrapText="1"/>
    </xf>
    <xf numFmtId="14" fontId="37" fillId="0" borderId="5" xfId="0" applyNumberFormat="1" applyFont="1" applyFill="1" applyBorder="1" applyAlignment="1">
      <alignment horizontal="center" vertical="center"/>
    </xf>
    <xf numFmtId="0" fontId="47" fillId="0" borderId="5" xfId="6" applyFont="1" applyFill="1" applyBorder="1" applyAlignment="1">
      <alignment horizontal="center" vertical="center"/>
    </xf>
    <xf numFmtId="0" fontId="43" fillId="0" borderId="5" xfId="37" applyFont="1" applyFill="1" applyBorder="1" applyAlignment="1" applyProtection="1">
      <alignment horizontal="center" vertical="center" wrapText="1" shrinkToFit="1"/>
    </xf>
    <xf numFmtId="0" fontId="43" fillId="0" borderId="5" xfId="37"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177" fontId="31" fillId="0" borderId="20" xfId="0" applyNumberFormat="1" applyFont="1" applyFill="1" applyBorder="1" applyAlignment="1">
      <alignment horizontal="center" vertical="center"/>
    </xf>
    <xf numFmtId="185" fontId="43" fillId="0" borderId="5" xfId="0" applyNumberFormat="1" applyFont="1" applyFill="1" applyBorder="1" applyAlignment="1">
      <alignment horizontal="center" vertical="center" wrapText="1"/>
    </xf>
    <xf numFmtId="0" fontId="47" fillId="0" borderId="33" xfId="0" applyFont="1" applyFill="1" applyBorder="1" applyAlignment="1" applyProtection="1">
      <alignment horizontal="center" vertical="center" wrapText="1"/>
    </xf>
    <xf numFmtId="185" fontId="43" fillId="0" borderId="20" xfId="0" applyNumberFormat="1" applyFont="1" applyFill="1" applyBorder="1" applyAlignment="1">
      <alignment horizontal="center" vertical="center"/>
    </xf>
    <xf numFmtId="1" fontId="44" fillId="0" borderId="5" xfId="0" applyNumberFormat="1" applyFont="1" applyFill="1" applyBorder="1" applyAlignment="1">
      <alignment horizontal="center" vertical="center"/>
    </xf>
    <xf numFmtId="0" fontId="47" fillId="0" borderId="5" xfId="0" applyFont="1" applyFill="1" applyBorder="1" applyAlignment="1" applyProtection="1">
      <alignment horizontal="center" vertical="center" wrapText="1"/>
    </xf>
    <xf numFmtId="0" fontId="37" fillId="0" borderId="15" xfId="0" applyFont="1" applyFill="1" applyBorder="1" applyAlignment="1">
      <alignment vertical="center" wrapText="1"/>
    </xf>
    <xf numFmtId="0" fontId="97" fillId="0" borderId="5" xfId="0" applyFont="1" applyFill="1" applyBorder="1" applyAlignment="1">
      <alignment horizontal="center" vertical="center"/>
    </xf>
    <xf numFmtId="0" fontId="47" fillId="0" borderId="29" xfId="6" applyFont="1" applyFill="1" applyBorder="1" applyAlignment="1">
      <alignment horizontal="center" vertical="center"/>
    </xf>
    <xf numFmtId="0" fontId="70" fillId="0" borderId="5" xfId="0" applyFont="1" applyFill="1" applyBorder="1" applyAlignment="1">
      <alignment horizontal="center"/>
    </xf>
    <xf numFmtId="0" fontId="70" fillId="0" borderId="5" xfId="0" applyFont="1" applyFill="1" applyBorder="1" applyAlignment="1"/>
    <xf numFmtId="177" fontId="106" fillId="0" borderId="5" xfId="0" applyNumberFormat="1" applyFont="1" applyFill="1" applyBorder="1" applyAlignment="1">
      <alignment horizontal="center" vertical="center"/>
    </xf>
    <xf numFmtId="0" fontId="70" fillId="0" borderId="0" xfId="0" applyFont="1" applyFill="1" applyBorder="1" applyAlignment="1"/>
    <xf numFmtId="0" fontId="38" fillId="0" borderId="20" xfId="0" applyFont="1" applyFill="1" applyBorder="1" applyAlignment="1">
      <alignment horizontal="center" vertical="center" wrapText="1"/>
    </xf>
    <xf numFmtId="0" fontId="31" fillId="0" borderId="20" xfId="0" applyFont="1" applyFill="1" applyBorder="1" applyAlignment="1">
      <alignment horizontal="center" vertical="center" wrapText="1"/>
    </xf>
    <xf numFmtId="0" fontId="37" fillId="0" borderId="20" xfId="0" applyFont="1" applyFill="1" applyBorder="1" applyAlignment="1">
      <alignment horizontal="center" vertical="center"/>
    </xf>
    <xf numFmtId="0" fontId="31" fillId="0" borderId="20" xfId="7" applyFont="1" applyFill="1" applyBorder="1" applyAlignment="1">
      <alignment horizontal="center" vertical="center" wrapText="1"/>
    </xf>
    <xf numFmtId="191" fontId="31" fillId="0" borderId="20" xfId="0" applyNumberFormat="1" applyFont="1" applyFill="1" applyBorder="1" applyAlignment="1">
      <alignment horizontal="center" vertical="center"/>
    </xf>
    <xf numFmtId="0" fontId="31" fillId="0" borderId="20" xfId="36" applyNumberFormat="1" applyFont="1" applyFill="1" applyBorder="1" applyAlignment="1">
      <alignment horizontal="center" vertical="center" wrapText="1"/>
    </xf>
    <xf numFmtId="0" fontId="31" fillId="0" borderId="20" xfId="7" applyFont="1" applyFill="1" applyBorder="1" applyAlignment="1">
      <alignment horizontal="center" vertical="center"/>
    </xf>
    <xf numFmtId="0" fontId="31" fillId="0" borderId="5" xfId="36" applyNumberFormat="1" applyFont="1" applyFill="1" applyBorder="1" applyAlignment="1">
      <alignment horizontal="center" vertical="center" wrapText="1"/>
    </xf>
    <xf numFmtId="0" fontId="38" fillId="0" borderId="34" xfId="0" applyFont="1" applyFill="1" applyBorder="1" applyAlignment="1">
      <alignment horizontal="center" vertical="center" wrapText="1"/>
    </xf>
    <xf numFmtId="177" fontId="43" fillId="0" borderId="20" xfId="0" applyNumberFormat="1" applyFont="1" applyFill="1" applyBorder="1" applyAlignment="1">
      <alignment horizontal="center" vertical="center"/>
    </xf>
    <xf numFmtId="2" fontId="44" fillId="0" borderId="5" xfId="0" applyNumberFormat="1" applyFont="1" applyFill="1" applyBorder="1" applyAlignment="1">
      <alignment horizontal="center" vertical="center"/>
    </xf>
    <xf numFmtId="177" fontId="51" fillId="0" borderId="20" xfId="0" applyNumberFormat="1" applyFont="1" applyFill="1" applyBorder="1" applyAlignment="1">
      <alignment horizontal="center" vertical="center"/>
    </xf>
    <xf numFmtId="177" fontId="143" fillId="0" borderId="20" xfId="0" applyNumberFormat="1" applyFont="1" applyFill="1" applyBorder="1" applyAlignment="1">
      <alignment horizontal="center" vertical="center"/>
    </xf>
    <xf numFmtId="177" fontId="51" fillId="0" borderId="20" xfId="0" applyNumberFormat="1" applyFont="1" applyFill="1" applyBorder="1" applyAlignment="1">
      <alignment horizontal="center" vertical="center" wrapText="1"/>
    </xf>
    <xf numFmtId="185" fontId="106" fillId="0" borderId="20" xfId="0" applyNumberFormat="1" applyFont="1" applyFill="1" applyBorder="1" applyAlignment="1">
      <alignment horizontal="center" vertical="center"/>
    </xf>
    <xf numFmtId="49" fontId="143" fillId="0" borderId="20" xfId="0" applyNumberFormat="1" applyFont="1" applyFill="1" applyBorder="1" applyAlignment="1">
      <alignment horizontal="center" vertical="center"/>
    </xf>
    <xf numFmtId="177" fontId="35" fillId="0" borderId="5" xfId="6" applyNumberFormat="1" applyFont="1" applyFill="1" applyBorder="1" applyAlignment="1">
      <alignment horizontal="center" vertical="center" wrapText="1"/>
    </xf>
    <xf numFmtId="177" fontId="31" fillId="0" borderId="5" xfId="7" applyNumberFormat="1" applyFont="1" applyFill="1" applyBorder="1" applyAlignment="1">
      <alignment horizontal="center" vertical="center" wrapText="1"/>
    </xf>
    <xf numFmtId="188" fontId="37" fillId="0" borderId="5" xfId="0" applyNumberFormat="1" applyFont="1" applyFill="1" applyBorder="1" applyAlignment="1">
      <alignment horizontal="center" vertical="center" wrapText="1"/>
    </xf>
    <xf numFmtId="0" fontId="34" fillId="0" borderId="5" xfId="0" applyFont="1" applyFill="1" applyBorder="1" applyAlignment="1" applyProtection="1">
      <alignment horizontal="center" vertical="center" wrapText="1"/>
      <protection locked="0"/>
    </xf>
    <xf numFmtId="0" fontId="31" fillId="0" borderId="15" xfId="7" applyFont="1" applyFill="1" applyBorder="1" applyAlignment="1">
      <alignment horizontal="center" vertical="center" wrapText="1"/>
    </xf>
    <xf numFmtId="57" fontId="43" fillId="0" borderId="5" xfId="37"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xf>
    <xf numFmtId="0" fontId="43" fillId="0" borderId="5" xfId="39" applyNumberFormat="1" applyFont="1" applyFill="1" applyBorder="1" applyAlignment="1">
      <alignment horizontal="center" vertical="center" wrapText="1"/>
    </xf>
    <xf numFmtId="0" fontId="43" fillId="0" borderId="5" xfId="40" applyNumberFormat="1" applyFont="1" applyFill="1" applyBorder="1" applyAlignment="1">
      <alignment horizontal="center" vertical="center" wrapText="1"/>
    </xf>
    <xf numFmtId="0" fontId="31" fillId="0" borderId="5" xfId="39" applyNumberFormat="1" applyFont="1" applyFill="1" applyBorder="1" applyAlignment="1">
      <alignment horizontal="center" vertical="center" wrapText="1"/>
    </xf>
    <xf numFmtId="0" fontId="31" fillId="0" borderId="5" xfId="37" applyFont="1" applyFill="1" applyBorder="1" applyAlignment="1" applyProtection="1">
      <alignment horizontal="center" vertical="center" wrapText="1" shrinkToFit="1"/>
    </xf>
    <xf numFmtId="0" fontId="31" fillId="0" borderId="5" xfId="0" applyFont="1" applyFill="1" applyBorder="1" applyAlignment="1" applyProtection="1">
      <alignment horizontal="center" vertical="center" wrapText="1"/>
      <protection locked="0"/>
    </xf>
    <xf numFmtId="0" fontId="31" fillId="0" borderId="5" xfId="37" applyFont="1" applyFill="1" applyBorder="1" applyAlignment="1" applyProtection="1">
      <alignment horizontal="center" vertical="center" wrapText="1"/>
      <protection locked="0"/>
    </xf>
    <xf numFmtId="2" fontId="43" fillId="0" borderId="5" xfId="0" applyNumberFormat="1" applyFont="1" applyFill="1" applyBorder="1" applyAlignment="1">
      <alignment horizontal="center" vertical="center"/>
    </xf>
    <xf numFmtId="0" fontId="38" fillId="0" borderId="35" xfId="0" applyFont="1" applyFill="1" applyBorder="1" applyAlignment="1">
      <alignment horizontal="center" vertical="center" wrapText="1"/>
    </xf>
    <xf numFmtId="177" fontId="38" fillId="0" borderId="5" xfId="0" applyNumberFormat="1" applyFont="1" applyFill="1" applyBorder="1" applyAlignment="1">
      <alignment horizontal="center" vertical="center"/>
    </xf>
    <xf numFmtId="191" fontId="43" fillId="0" borderId="5" xfId="36" applyNumberFormat="1" applyFont="1" applyFill="1" applyBorder="1" applyAlignment="1">
      <alignment horizontal="center" vertical="center" wrapText="1"/>
    </xf>
    <xf numFmtId="191" fontId="43" fillId="0" borderId="20" xfId="0" applyNumberFormat="1" applyFont="1" applyFill="1" applyBorder="1" applyAlignment="1">
      <alignment horizontal="center" vertical="center"/>
    </xf>
    <xf numFmtId="0" fontId="70" fillId="0" borderId="0" xfId="0" applyFont="1" applyFill="1" applyAlignment="1"/>
    <xf numFmtId="0" fontId="37" fillId="0" borderId="11" xfId="0" applyFont="1" applyFill="1" applyBorder="1" applyAlignment="1">
      <alignment horizontal="center" vertical="center" wrapText="1"/>
    </xf>
    <xf numFmtId="185" fontId="31" fillId="0" borderId="5" xfId="0" applyNumberFormat="1" applyFont="1" applyFill="1" applyBorder="1" applyAlignment="1">
      <alignment horizontal="center" vertical="center"/>
    </xf>
    <xf numFmtId="0" fontId="37" fillId="0" borderId="5" xfId="0" applyFont="1" applyFill="1" applyBorder="1" applyAlignment="1">
      <alignment horizontal="center"/>
    </xf>
    <xf numFmtId="0" fontId="31" fillId="0" borderId="20" xfId="0" applyFont="1" applyFill="1" applyBorder="1" applyAlignment="1" applyProtection="1">
      <alignment horizontal="center" vertical="center" wrapText="1"/>
      <protection locked="0"/>
    </xf>
    <xf numFmtId="0" fontId="37" fillId="0" borderId="20" xfId="0" applyFont="1" applyFill="1" applyBorder="1" applyAlignment="1">
      <alignment vertical="center" wrapText="1"/>
    </xf>
    <xf numFmtId="0" fontId="31" fillId="0" borderId="20" xfId="0" applyFont="1" applyFill="1" applyBorder="1" applyAlignment="1">
      <alignment vertical="center" wrapText="1"/>
    </xf>
    <xf numFmtId="191" fontId="31" fillId="0" borderId="20" xfId="36" applyNumberFormat="1" applyFont="1" applyFill="1" applyBorder="1" applyAlignment="1">
      <alignment horizontal="center" vertical="center"/>
    </xf>
    <xf numFmtId="49" fontId="31" fillId="0" borderId="20" xfId="36" applyNumberFormat="1" applyFont="1" applyFill="1" applyBorder="1" applyAlignment="1">
      <alignment horizontal="center" vertical="center" wrapText="1"/>
    </xf>
    <xf numFmtId="0" fontId="31" fillId="0" borderId="20" xfId="7" applyFont="1" applyFill="1" applyBorder="1" applyAlignment="1">
      <alignment vertical="center" wrapText="1"/>
    </xf>
    <xf numFmtId="191" fontId="31" fillId="0" borderId="5" xfId="36" applyNumberFormat="1" applyFont="1" applyFill="1" applyBorder="1" applyAlignment="1">
      <alignment horizontal="center" vertical="center"/>
    </xf>
    <xf numFmtId="49" fontId="31" fillId="0" borderId="5" xfId="36" applyNumberFormat="1" applyFont="1" applyFill="1" applyBorder="1" applyAlignment="1">
      <alignment horizontal="center" vertical="center" wrapText="1"/>
    </xf>
    <xf numFmtId="176" fontId="43" fillId="0" borderId="5" xfId="37" applyNumberFormat="1" applyFont="1" applyFill="1" applyBorder="1" applyAlignment="1" applyProtection="1">
      <alignment horizontal="center" vertical="center" wrapText="1"/>
    </xf>
    <xf numFmtId="57" fontId="43" fillId="0" borderId="5" xfId="0" applyNumberFormat="1" applyFont="1" applyFill="1" applyBorder="1" applyAlignment="1">
      <alignment horizontal="center" vertical="center" wrapText="1"/>
    </xf>
    <xf numFmtId="57" fontId="31" fillId="0" borderId="5" xfId="37" applyNumberFormat="1" applyFont="1" applyFill="1" applyBorder="1" applyAlignment="1" applyProtection="1">
      <alignment vertical="center" wrapText="1" shrinkToFit="1"/>
    </xf>
    <xf numFmtId="0" fontId="43" fillId="0" borderId="5" xfId="36" applyFont="1" applyFill="1" applyBorder="1" applyAlignment="1">
      <alignment horizontal="center" vertical="center"/>
    </xf>
    <xf numFmtId="0" fontId="44" fillId="0" borderId="5" xfId="0" applyFont="1" applyFill="1" applyBorder="1" applyAlignment="1">
      <alignment horizontal="center"/>
    </xf>
    <xf numFmtId="0" fontId="44" fillId="0" borderId="5" xfId="0" applyFont="1" applyFill="1" applyBorder="1" applyAlignment="1">
      <alignment horizontal="center" wrapText="1"/>
    </xf>
    <xf numFmtId="0" fontId="37" fillId="0" borderId="5" xfId="0" applyFont="1" applyFill="1" applyBorder="1" applyAlignment="1">
      <alignment horizontal="center" wrapText="1"/>
    </xf>
    <xf numFmtId="57" fontId="31" fillId="0" borderId="5" xfId="37" applyNumberFormat="1" applyFont="1" applyFill="1" applyBorder="1" applyAlignment="1" applyProtection="1">
      <alignment horizontal="center" vertical="center" wrapText="1" shrinkToFit="1"/>
    </xf>
    <xf numFmtId="184" fontId="31" fillId="0" borderId="5" xfId="7" applyNumberFormat="1" applyFont="1" applyFill="1" applyBorder="1" applyAlignment="1">
      <alignment horizontal="center" vertical="center" wrapText="1"/>
    </xf>
    <xf numFmtId="177" fontId="38" fillId="0" borderId="5" xfId="0" applyNumberFormat="1" applyFont="1" applyFill="1" applyBorder="1" applyAlignment="1">
      <alignment vertical="center" wrapText="1"/>
    </xf>
    <xf numFmtId="0" fontId="31" fillId="0" borderId="15" xfId="7" applyFont="1" applyFill="1" applyBorder="1" applyAlignment="1">
      <alignment vertical="center" wrapText="1"/>
    </xf>
    <xf numFmtId="0" fontId="31" fillId="0" borderId="5" xfId="30" applyFont="1" applyFill="1" applyBorder="1" applyAlignment="1">
      <alignment horizontal="center" vertical="center" wrapText="1"/>
    </xf>
    <xf numFmtId="177" fontId="37" fillId="0" borderId="5" xfId="0" applyNumberFormat="1" applyFont="1" applyFill="1" applyBorder="1" applyAlignment="1">
      <alignment horizontal="center" vertical="center" wrapText="1"/>
    </xf>
    <xf numFmtId="177" fontId="37" fillId="0" borderId="0" xfId="0" applyNumberFormat="1" applyFont="1" applyFill="1" applyBorder="1" applyAlignment="1">
      <alignment horizontal="center" vertical="center"/>
    </xf>
    <xf numFmtId="0" fontId="44" fillId="0" borderId="5" xfId="0" applyFont="1" applyFill="1" applyBorder="1" applyAlignment="1"/>
    <xf numFmtId="185" fontId="43" fillId="0" borderId="20" xfId="0" applyNumberFormat="1" applyFont="1" applyFill="1" applyBorder="1" applyAlignment="1">
      <alignment horizontal="center" vertical="center" wrapText="1"/>
    </xf>
    <xf numFmtId="0" fontId="43" fillId="0" borderId="20" xfId="0" applyNumberFormat="1" applyFont="1" applyFill="1" applyBorder="1" applyAlignment="1">
      <alignment horizontal="center" vertical="center"/>
    </xf>
    <xf numFmtId="0" fontId="74" fillId="0" borderId="5" xfId="0" applyFont="1" applyFill="1" applyBorder="1" applyAlignment="1">
      <alignment horizontal="center" vertical="center" wrapText="1"/>
    </xf>
    <xf numFmtId="177" fontId="74" fillId="0" borderId="5" xfId="0" applyNumberFormat="1" applyFont="1" applyFill="1" applyBorder="1" applyAlignment="1">
      <alignment horizontal="center" vertical="center"/>
    </xf>
    <xf numFmtId="184" fontId="74" fillId="0" borderId="5" xfId="0" applyNumberFormat="1" applyFont="1" applyFill="1" applyBorder="1" applyAlignment="1">
      <alignment horizontal="center" vertical="center"/>
    </xf>
    <xf numFmtId="0" fontId="74" fillId="0" borderId="0" xfId="0" applyFont="1" applyFill="1" applyAlignment="1">
      <alignment horizontal="center" vertical="center"/>
    </xf>
    <xf numFmtId="0" fontId="37" fillId="0" borderId="28" xfId="0" applyFont="1" applyFill="1" applyBorder="1" applyAlignment="1">
      <alignment horizontal="center" vertical="center"/>
    </xf>
    <xf numFmtId="0" fontId="70" fillId="0" borderId="15" xfId="0" applyFont="1" applyFill="1" applyBorder="1" applyAlignment="1"/>
    <xf numFmtId="185" fontId="43" fillId="0" borderId="15" xfId="0" applyNumberFormat="1" applyFont="1" applyFill="1" applyBorder="1" applyAlignment="1">
      <alignment horizontal="center" vertical="center" wrapText="1"/>
    </xf>
    <xf numFmtId="185" fontId="43" fillId="0" borderId="15" xfId="0" applyNumberFormat="1" applyFont="1" applyFill="1" applyBorder="1" applyAlignment="1">
      <alignment horizontal="center" vertical="center"/>
    </xf>
    <xf numFmtId="177" fontId="106" fillId="0" borderId="15" xfId="0" applyNumberFormat="1" applyFont="1" applyFill="1" applyBorder="1" applyAlignment="1">
      <alignment horizontal="center" vertical="center"/>
    </xf>
    <xf numFmtId="185" fontId="116" fillId="0" borderId="20" xfId="0" applyNumberFormat="1" applyFont="1" applyFill="1" applyBorder="1" applyAlignment="1">
      <alignment horizontal="center" vertical="center" wrapText="1"/>
    </xf>
    <xf numFmtId="0" fontId="37" fillId="0" borderId="28" xfId="0" applyFont="1" applyFill="1" applyBorder="1" applyAlignment="1">
      <alignment horizontal="center" vertical="center" wrapText="1"/>
    </xf>
    <xf numFmtId="184" fontId="37" fillId="0" borderId="5" xfId="0" applyNumberFormat="1" applyFont="1" applyFill="1" applyBorder="1" applyAlignment="1">
      <alignment horizontal="center" vertical="center" wrapText="1"/>
    </xf>
    <xf numFmtId="0" fontId="77" fillId="0" borderId="0" xfId="0" applyFont="1" applyFill="1" applyAlignment="1">
      <alignment horizontal="center"/>
    </xf>
    <xf numFmtId="0" fontId="77" fillId="0" borderId="0" xfId="0" applyFont="1" applyFill="1" applyAlignment="1">
      <alignment horizontal="center" wrapText="1"/>
    </xf>
    <xf numFmtId="177" fontId="77" fillId="0" borderId="0" xfId="0" applyNumberFormat="1" applyFont="1" applyFill="1" applyAlignment="1">
      <alignment horizontal="center"/>
    </xf>
    <xf numFmtId="177" fontId="77" fillId="0" borderId="0" xfId="0" applyNumberFormat="1" applyFont="1" applyFill="1" applyAlignment="1">
      <alignment horizontal="center" wrapText="1"/>
    </xf>
    <xf numFmtId="0" fontId="44" fillId="0" borderId="15" xfId="0" applyFont="1" applyFill="1" applyBorder="1" applyAlignment="1">
      <alignment horizontal="center" vertical="center" wrapText="1"/>
    </xf>
    <xf numFmtId="0" fontId="37" fillId="0" borderId="15"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5" xfId="0" applyFont="1" applyFill="1" applyBorder="1" applyAlignment="1">
      <alignment horizontal="center" vertical="center"/>
    </xf>
    <xf numFmtId="0" fontId="12" fillId="4" borderId="5" xfId="0" applyFont="1" applyFill="1" applyBorder="1" applyAlignment="1">
      <alignment vertical="center"/>
    </xf>
    <xf numFmtId="0" fontId="112" fillId="4" borderId="0" xfId="0" applyFont="1" applyFill="1" applyAlignment="1">
      <alignment vertical="center"/>
    </xf>
    <xf numFmtId="196" fontId="47" fillId="0" borderId="5" xfId="55" applyNumberFormat="1" applyFont="1" applyBorder="1" applyAlignment="1">
      <alignment horizontal="center" vertical="center"/>
    </xf>
    <xf numFmtId="4" fontId="47" fillId="0" borderId="5" xfId="55" applyNumberFormat="1" applyFont="1" applyBorder="1" applyAlignment="1">
      <alignment horizontal="center" vertical="center"/>
    </xf>
    <xf numFmtId="0" fontId="12" fillId="4" borderId="5" xfId="0" applyFont="1" applyFill="1" applyBorder="1" applyAlignment="1">
      <alignment horizontal="center" vertical="center" wrapText="1"/>
    </xf>
    <xf numFmtId="0" fontId="12" fillId="4" borderId="5" xfId="0" applyFont="1" applyFill="1" applyBorder="1" applyAlignment="1">
      <alignment horizontal="center" vertical="center"/>
    </xf>
    <xf numFmtId="0" fontId="149" fillId="0" borderId="5" xfId="0" applyFont="1" applyFill="1" applyBorder="1" applyAlignment="1">
      <alignment horizontal="center" vertical="center"/>
    </xf>
    <xf numFmtId="0" fontId="149" fillId="0" borderId="5" xfId="0" applyFont="1" applyFill="1" applyBorder="1" applyAlignment="1">
      <alignment horizontal="right" vertical="center"/>
    </xf>
    <xf numFmtId="0" fontId="12" fillId="0" borderId="5" xfId="0" applyFont="1" applyBorder="1" applyAlignment="1">
      <alignment horizontal="center" vertical="center" wrapText="1"/>
    </xf>
    <xf numFmtId="0" fontId="38" fillId="4" borderId="5" xfId="0" applyFont="1" applyFill="1" applyBorder="1" applyAlignment="1">
      <alignment horizontal="center" vertical="center" wrapText="1"/>
    </xf>
    <xf numFmtId="0" fontId="37" fillId="0" borderId="5" xfId="56" applyFont="1" applyFill="1" applyBorder="1" applyAlignment="1">
      <alignment horizontal="center" vertical="center" wrapText="1"/>
    </xf>
    <xf numFmtId="177" fontId="37" fillId="0" borderId="5" xfId="56" applyNumberFormat="1" applyFont="1" applyFill="1" applyBorder="1" applyAlignment="1">
      <alignment horizontal="center" vertical="center" wrapText="1"/>
    </xf>
    <xf numFmtId="14" fontId="37" fillId="0" borderId="5" xfId="56" applyNumberFormat="1" applyFont="1" applyFill="1" applyBorder="1" applyAlignment="1">
      <alignment horizontal="center" vertical="center" wrapText="1"/>
    </xf>
    <xf numFmtId="0" fontId="110" fillId="0" borderId="27" xfId="0" applyFont="1" applyFill="1" applyBorder="1" applyAlignment="1">
      <alignment horizontal="center" vertical="center" wrapText="1"/>
    </xf>
    <xf numFmtId="177" fontId="110" fillId="0" borderId="36" xfId="0" applyNumberFormat="1" applyFont="1" applyFill="1" applyBorder="1" applyAlignment="1">
      <alignment horizontal="center" vertical="center" wrapText="1"/>
    </xf>
    <xf numFmtId="177" fontId="110" fillId="0" borderId="5" xfId="0" applyNumberFormat="1" applyFont="1" applyFill="1" applyBorder="1" applyAlignment="1">
      <alignment horizontal="center" vertical="center" wrapText="1"/>
    </xf>
    <xf numFmtId="0" fontId="7" fillId="0" borderId="5" xfId="0" applyFont="1" applyFill="1" applyBorder="1" applyAlignment="1">
      <alignment horizontal="center" vertical="center"/>
    </xf>
    <xf numFmtId="0" fontId="110" fillId="0" borderId="36"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5" xfId="0" applyFont="1" applyFill="1" applyBorder="1" applyAlignment="1">
      <alignment horizontal="center" vertical="center"/>
    </xf>
    <xf numFmtId="0" fontId="37" fillId="0" borderId="5" xfId="4" applyFont="1" applyFill="1" applyBorder="1" applyAlignment="1">
      <alignment horizontal="center" vertical="center" wrapText="1"/>
    </xf>
    <xf numFmtId="0" fontId="14" fillId="0" borderId="3" xfId="0" applyNumberFormat="1" applyFont="1" applyBorder="1" applyAlignment="1">
      <alignment horizontal="center" vertical="center" wrapText="1"/>
    </xf>
    <xf numFmtId="0" fontId="9" fillId="0" borderId="4" xfId="0" applyNumberFormat="1" applyFont="1" applyBorder="1" applyAlignment="1">
      <alignment horizontal="center" vertical="center" wrapText="1"/>
    </xf>
    <xf numFmtId="0" fontId="9" fillId="0" borderId="3" xfId="0" applyNumberFormat="1" applyFont="1" applyBorder="1" applyAlignment="1">
      <alignment horizontal="center" vertical="center"/>
    </xf>
    <xf numFmtId="177" fontId="9" fillId="0" borderId="3" xfId="0" applyNumberFormat="1" applyFont="1" applyBorder="1" applyAlignment="1">
      <alignment horizontal="center" vertical="center" wrapText="1"/>
    </xf>
    <xf numFmtId="0" fontId="19" fillId="0" borderId="3" xfId="0" applyNumberFormat="1" applyFont="1" applyBorder="1" applyAlignment="1">
      <alignment horizontal="center" vertical="center"/>
    </xf>
    <xf numFmtId="0" fontId="14" fillId="0" borderId="5" xfId="0" applyNumberFormat="1" applyFont="1" applyBorder="1" applyAlignment="1">
      <alignment horizontal="center" vertical="center" wrapText="1"/>
    </xf>
    <xf numFmtId="0" fontId="9" fillId="0" borderId="5" xfId="0" applyNumberFormat="1" applyFont="1" applyBorder="1" applyAlignment="1">
      <alignment horizontal="center" vertical="center" wrapText="1"/>
    </xf>
    <xf numFmtId="0" fontId="37" fillId="0" borderId="25" xfId="0" applyFont="1" applyFill="1" applyBorder="1" applyAlignment="1">
      <alignment horizontal="center" vertical="center" wrapText="1"/>
    </xf>
    <xf numFmtId="0" fontId="38" fillId="0" borderId="29"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4" borderId="5" xfId="4" applyFont="1" applyFill="1" applyBorder="1" applyAlignment="1">
      <alignment horizontal="center" vertical="center" wrapText="1"/>
    </xf>
    <xf numFmtId="183" fontId="37" fillId="4" borderId="5" xfId="4" applyNumberFormat="1" applyFont="1" applyFill="1" applyBorder="1" applyAlignment="1">
      <alignment horizontal="center" vertical="center" wrapText="1"/>
    </xf>
    <xf numFmtId="192" fontId="12" fillId="4" borderId="5" xfId="0" applyNumberFormat="1" applyFont="1" applyFill="1" applyBorder="1" applyAlignment="1">
      <alignment horizontal="center" vertical="center" wrapText="1"/>
    </xf>
    <xf numFmtId="0" fontId="41" fillId="0" borderId="3" xfId="0" applyNumberFormat="1" applyFont="1" applyBorder="1" applyAlignment="1">
      <alignment horizontal="center" vertical="center" wrapText="1"/>
    </xf>
    <xf numFmtId="0" fontId="37" fillId="0" borderId="5" xfId="0" applyFont="1" applyBorder="1" applyAlignment="1">
      <alignment horizontal="center" vertical="center"/>
    </xf>
    <xf numFmtId="0" fontId="74" fillId="3" borderId="5" xfId="0" applyFont="1" applyFill="1" applyBorder="1" applyAlignment="1">
      <alignment horizontal="center" vertical="center"/>
    </xf>
    <xf numFmtId="0" fontId="37" fillId="3" borderId="5" xfId="0" applyFont="1" applyFill="1" applyBorder="1" applyAlignment="1">
      <alignment horizontal="center" vertical="center"/>
    </xf>
    <xf numFmtId="0" fontId="12" fillId="0" borderId="5" xfId="0" applyFont="1" applyFill="1" applyBorder="1" applyAlignment="1">
      <alignment vertical="center"/>
    </xf>
    <xf numFmtId="183" fontId="110" fillId="0" borderId="36" xfId="0" applyNumberFormat="1" applyFont="1" applyFill="1" applyBorder="1" applyAlignment="1">
      <alignment horizontal="center" vertical="center" wrapText="1"/>
    </xf>
    <xf numFmtId="0" fontId="12" fillId="0" borderId="20" xfId="2" applyNumberFormat="1" applyFont="1" applyFill="1" applyBorder="1" applyAlignment="1">
      <alignment horizontal="center" vertical="center" wrapText="1"/>
    </xf>
    <xf numFmtId="0" fontId="0" fillId="5" borderId="5" xfId="0" applyFill="1" applyBorder="1" applyAlignment="1">
      <alignment horizontal="center" vertical="center"/>
    </xf>
    <xf numFmtId="0" fontId="28" fillId="0" borderId="5" xfId="55" applyBorder="1" applyAlignment="1">
      <alignment horizontal="center" vertical="center"/>
    </xf>
    <xf numFmtId="0" fontId="0" fillId="0" borderId="0" xfId="0" applyFill="1" applyAlignment="1">
      <alignment horizontal="center" vertical="center"/>
    </xf>
    <xf numFmtId="0" fontId="151" fillId="0" borderId="5" xfId="55" applyFont="1" applyBorder="1" applyAlignment="1">
      <alignment horizontal="center" vertical="center" wrapText="1"/>
    </xf>
    <xf numFmtId="0" fontId="9"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0" fontId="74" fillId="0" borderId="5" xfId="0" applyFont="1" applyBorder="1" applyAlignment="1">
      <alignment horizontal="center" vertical="center"/>
    </xf>
    <xf numFmtId="0" fontId="74" fillId="4" borderId="5" xfId="0" applyFont="1" applyFill="1" applyBorder="1" applyAlignment="1">
      <alignment horizontal="center" vertical="center"/>
    </xf>
    <xf numFmtId="0" fontId="47" fillId="0" borderId="5" xfId="55" applyFont="1" applyBorder="1" applyAlignment="1">
      <alignment horizontal="center" vertical="center"/>
    </xf>
    <xf numFmtId="0" fontId="37" fillId="4" borderId="5" xfId="0" applyFont="1" applyFill="1" applyBorder="1" applyAlignment="1">
      <alignment horizontal="center" vertical="center"/>
    </xf>
    <xf numFmtId="0" fontId="0" fillId="4" borderId="0" xfId="0" applyFill="1" applyAlignment="1">
      <alignment horizontal="center" vertical="center"/>
    </xf>
    <xf numFmtId="43" fontId="47" fillId="0" borderId="5" xfId="55" applyNumberFormat="1" applyFont="1" applyBorder="1" applyAlignment="1">
      <alignment horizontal="center" vertical="center"/>
    </xf>
    <xf numFmtId="43" fontId="28" fillId="0" borderId="5" xfId="55" applyNumberFormat="1" applyBorder="1" applyAlignment="1">
      <alignment horizontal="center" vertical="center"/>
    </xf>
    <xf numFmtId="0" fontId="9" fillId="0" borderId="5" xfId="0" applyNumberFormat="1" applyFont="1" applyBorder="1" applyAlignment="1">
      <alignment horizontal="center" vertical="center"/>
    </xf>
    <xf numFmtId="43" fontId="9" fillId="0" borderId="5" xfId="0" applyNumberFormat="1" applyFont="1" applyBorder="1" applyAlignment="1">
      <alignment horizontal="center" vertical="center"/>
    </xf>
    <xf numFmtId="4" fontId="9" fillId="0" borderId="5" xfId="0" applyNumberFormat="1" applyFont="1" applyBorder="1" applyAlignment="1">
      <alignment horizontal="center" vertical="center"/>
    </xf>
    <xf numFmtId="0" fontId="9" fillId="0" borderId="20" xfId="0" applyNumberFormat="1" applyFont="1" applyBorder="1" applyAlignment="1">
      <alignment horizontal="center" vertical="center"/>
    </xf>
    <xf numFmtId="190" fontId="9" fillId="0" borderId="20" xfId="0" applyNumberFormat="1" applyFont="1" applyBorder="1" applyAlignment="1">
      <alignment horizontal="center" vertical="center"/>
    </xf>
    <xf numFmtId="4" fontId="9" fillId="0" borderId="20" xfId="0" applyNumberFormat="1" applyFont="1" applyBorder="1" applyAlignment="1">
      <alignment horizontal="center" vertical="center"/>
    </xf>
    <xf numFmtId="0" fontId="28" fillId="4" borderId="5" xfId="55" applyFont="1" applyFill="1" applyBorder="1" applyAlignment="1">
      <alignment horizontal="center" vertical="center"/>
    </xf>
    <xf numFmtId="0" fontId="149" fillId="8" borderId="5" xfId="0" applyNumberFormat="1" applyFont="1" applyFill="1" applyBorder="1" applyAlignment="1">
      <alignment horizontal="center" vertical="center"/>
    </xf>
    <xf numFmtId="0" fontId="149" fillId="8" borderId="20" xfId="0" applyNumberFormat="1" applyFont="1" applyFill="1" applyBorder="1" applyAlignment="1">
      <alignment horizontal="center" vertical="center"/>
    </xf>
    <xf numFmtId="0" fontId="48" fillId="4" borderId="5" xfId="55" applyFont="1" applyFill="1" applyBorder="1" applyAlignment="1">
      <alignment horizontal="center" vertical="center"/>
    </xf>
    <xf numFmtId="177" fontId="9" fillId="0" borderId="5" xfId="0" applyNumberFormat="1" applyFont="1" applyFill="1" applyBorder="1" applyAlignment="1">
      <alignment horizontal="center" vertical="center"/>
    </xf>
    <xf numFmtId="197" fontId="47" fillId="0" borderId="5" xfId="55" applyNumberFormat="1" applyFont="1" applyBorder="1" applyAlignment="1">
      <alignment horizontal="center" vertical="center"/>
    </xf>
    <xf numFmtId="177" fontId="37" fillId="0" borderId="5" xfId="0" applyNumberFormat="1" applyFont="1" applyBorder="1" applyAlignment="1">
      <alignment horizontal="center" vertical="center"/>
    </xf>
    <xf numFmtId="187" fontId="37" fillId="0" borderId="5" xfId="0" applyNumberFormat="1" applyFont="1" applyBorder="1" applyAlignment="1">
      <alignment horizontal="center" vertical="center"/>
    </xf>
    <xf numFmtId="0" fontId="152" fillId="0" borderId="3" xfId="0" applyNumberFormat="1" applyFont="1" applyBorder="1" applyAlignment="1">
      <alignment horizontal="center" wrapText="1"/>
    </xf>
    <xf numFmtId="0" fontId="0" fillId="3" borderId="0" xfId="0" applyFill="1" applyAlignment="1">
      <alignment horizontal="center" vertical="center"/>
    </xf>
    <xf numFmtId="0" fontId="9" fillId="6" borderId="0" xfId="0" applyNumberFormat="1" applyFont="1" applyFill="1" applyAlignment="1">
      <alignment horizontal="center" vertical="center"/>
    </xf>
    <xf numFmtId="177" fontId="9" fillId="0" borderId="3" xfId="0" applyNumberFormat="1" applyFont="1" applyBorder="1" applyAlignment="1">
      <alignment horizontal="center" vertical="center"/>
    </xf>
    <xf numFmtId="0" fontId="44" fillId="0" borderId="5" xfId="0" applyFont="1" applyBorder="1" applyAlignment="1">
      <alignment horizontal="center" vertical="center" wrapText="1"/>
    </xf>
    <xf numFmtId="57" fontId="9" fillId="0" borderId="3" xfId="0" applyNumberFormat="1" applyFont="1" applyBorder="1" applyAlignment="1">
      <alignment horizontal="center" vertical="center"/>
    </xf>
    <xf numFmtId="0" fontId="19" fillId="0" borderId="5" xfId="0" applyFont="1" applyFill="1" applyBorder="1" applyAlignment="1">
      <alignment horizontal="center" vertical="center" wrapText="1"/>
    </xf>
    <xf numFmtId="0" fontId="102" fillId="0" borderId="5" xfId="0" applyFont="1" applyFill="1" applyBorder="1" applyAlignment="1">
      <alignment horizontal="center" vertical="center" wrapText="1"/>
    </xf>
    <xf numFmtId="0" fontId="153" fillId="0" borderId="5" xfId="6" applyFont="1" applyBorder="1" applyAlignment="1">
      <alignment horizontal="center" vertical="center"/>
    </xf>
    <xf numFmtId="0" fontId="153" fillId="0" borderId="5" xfId="11" applyFont="1" applyFill="1" applyBorder="1" applyAlignment="1">
      <alignment horizontal="center" vertical="center"/>
    </xf>
    <xf numFmtId="57" fontId="153" fillId="0" borderId="5" xfId="6" applyNumberFormat="1" applyFont="1" applyBorder="1" applyAlignment="1">
      <alignment horizontal="center" vertical="center"/>
    </xf>
    <xf numFmtId="177" fontId="41" fillId="0" borderId="9" xfId="0" applyNumberFormat="1" applyFont="1" applyBorder="1" applyAlignment="1">
      <alignment horizontal="center" vertical="center" wrapText="1"/>
    </xf>
    <xf numFmtId="0" fontId="41" fillId="0" borderId="0" xfId="0" applyNumberFormat="1" applyFont="1" applyAlignment="1">
      <alignment horizontal="center" vertical="center"/>
    </xf>
    <xf numFmtId="177" fontId="41" fillId="0" borderId="3" xfId="0" applyNumberFormat="1" applyFont="1" applyBorder="1" applyAlignment="1">
      <alignment horizontal="center" vertical="center" wrapText="1"/>
    </xf>
    <xf numFmtId="0" fontId="37" fillId="0" borderId="5" xfId="0" applyFont="1" applyBorder="1" applyAlignment="1"/>
    <xf numFmtId="0" fontId="24" fillId="0" borderId="0" xfId="0" applyNumberFormat="1" applyFont="1" applyFill="1" applyAlignment="1"/>
    <xf numFmtId="0" fontId="37" fillId="0" borderId="5" xfId="0" applyFont="1" applyFill="1" applyBorder="1" applyAlignment="1">
      <alignment horizontal="center" vertical="center" wrapText="1"/>
    </xf>
    <xf numFmtId="0" fontId="44" fillId="0" borderId="15" xfId="0" applyFont="1" applyFill="1" applyBorder="1" applyAlignment="1">
      <alignment horizontal="center" vertical="center"/>
    </xf>
    <xf numFmtId="0" fontId="69" fillId="0" borderId="5" xfId="0" applyFont="1" applyFill="1" applyBorder="1" applyAlignment="1">
      <alignment horizontal="center" vertical="center"/>
    </xf>
    <xf numFmtId="0" fontId="107" fillId="0" borderId="15" xfId="0" applyFont="1" applyFill="1" applyBorder="1" applyAlignment="1">
      <alignment horizontal="center" vertical="center" wrapText="1"/>
    </xf>
    <xf numFmtId="0" fontId="12" fillId="0" borderId="5" xfId="0" applyFont="1" applyBorder="1" applyAlignment="1">
      <alignment horizontal="center" vertical="center"/>
    </xf>
    <xf numFmtId="0" fontId="12" fillId="0" borderId="5" xfId="2" applyNumberFormat="1" applyFont="1" applyFill="1" applyBorder="1" applyAlignment="1">
      <alignment horizontal="center" vertical="center" wrapText="1"/>
    </xf>
    <xf numFmtId="0" fontId="12" fillId="0" borderId="5" xfId="2" applyNumberFormat="1" applyFont="1" applyFill="1" applyBorder="1" applyAlignment="1">
      <alignment horizontal="center" vertical="center"/>
    </xf>
    <xf numFmtId="0" fontId="155" fillId="0" borderId="0" xfId="0" applyFont="1" applyAlignment="1"/>
    <xf numFmtId="0" fontId="12" fillId="0" borderId="39" xfId="2" applyNumberFormat="1" applyFont="1" applyFill="1" applyBorder="1" applyAlignment="1">
      <alignment horizontal="center" vertical="center" wrapText="1"/>
    </xf>
    <xf numFmtId="0" fontId="12" fillId="0" borderId="39" xfId="2" applyNumberFormat="1" applyFont="1" applyFill="1" applyBorder="1" applyAlignment="1">
      <alignment horizontal="center" vertical="center"/>
    </xf>
    <xf numFmtId="0" fontId="12" fillId="0" borderId="39" xfId="0" applyFont="1" applyFill="1" applyBorder="1" applyAlignment="1">
      <alignment horizontal="center" vertical="center" wrapText="1"/>
    </xf>
    <xf numFmtId="0" fontId="156" fillId="0" borderId="0" xfId="0" applyFont="1" applyAlignment="1"/>
    <xf numFmtId="0" fontId="33" fillId="0" borderId="39" xfId="2" applyNumberFormat="1" applyFont="1" applyFill="1" applyBorder="1" applyAlignment="1">
      <alignment horizontal="center" vertical="center"/>
    </xf>
    <xf numFmtId="0" fontId="33" fillId="0" borderId="39" xfId="2" applyNumberFormat="1" applyFont="1" applyFill="1" applyBorder="1" applyAlignment="1">
      <alignment horizontal="center" vertical="center" wrapText="1"/>
    </xf>
    <xf numFmtId="0" fontId="12" fillId="0" borderId="42" xfId="2" applyNumberFormat="1" applyFont="1" applyFill="1" applyBorder="1" applyAlignment="1">
      <alignment horizontal="center" vertical="center" wrapText="1"/>
    </xf>
    <xf numFmtId="0" fontId="12" fillId="0" borderId="41" xfId="2" applyNumberFormat="1" applyFont="1" applyFill="1" applyBorder="1" applyAlignment="1">
      <alignment horizontal="center" vertical="center" wrapText="1"/>
    </xf>
    <xf numFmtId="0" fontId="12" fillId="0" borderId="39" xfId="0" applyFont="1" applyBorder="1" applyAlignment="1">
      <alignment horizontal="center" vertical="center"/>
    </xf>
    <xf numFmtId="0" fontId="47" fillId="0" borderId="43" xfId="0" applyFont="1" applyBorder="1" applyAlignment="1">
      <alignment horizontal="center" vertical="center" wrapText="1"/>
    </xf>
    <xf numFmtId="0" fontId="7" fillId="0" borderId="20" xfId="0" applyFont="1" applyBorder="1" applyAlignment="1" applyProtection="1">
      <alignment horizontal="center" vertical="center"/>
    </xf>
    <xf numFmtId="0" fontId="7" fillId="0" borderId="42" xfId="0" applyFont="1" applyBorder="1" applyAlignment="1" applyProtection="1">
      <alignment horizontal="center" vertical="center"/>
    </xf>
    <xf numFmtId="0" fontId="35" fillId="0" borderId="43" xfId="0" applyFont="1" applyBorder="1" applyAlignment="1">
      <alignment horizontal="center" vertical="center" wrapText="1"/>
    </xf>
    <xf numFmtId="0" fontId="47" fillId="0" borderId="39" xfId="0" applyFont="1" applyBorder="1" applyAlignment="1">
      <alignment horizontal="center" vertical="center" wrapText="1"/>
    </xf>
    <xf numFmtId="0" fontId="47" fillId="0" borderId="44" xfId="0" applyFont="1" applyBorder="1" applyAlignment="1">
      <alignment horizontal="center" vertical="center" wrapText="1"/>
    </xf>
    <xf numFmtId="0" fontId="35" fillId="0" borderId="45" xfId="0" applyFont="1" applyBorder="1" applyAlignment="1">
      <alignment horizontal="center" vertical="center" wrapText="1"/>
    </xf>
    <xf numFmtId="0" fontId="47" fillId="5" borderId="43" xfId="0" applyFont="1" applyFill="1" applyBorder="1" applyAlignment="1">
      <alignment horizontal="center" vertical="center" wrapText="1"/>
    </xf>
    <xf numFmtId="179" fontId="37" fillId="0" borderId="39" xfId="57" applyNumberFormat="1" applyFont="1" applyBorder="1" applyAlignment="1">
      <alignment horizontal="center" vertical="center" wrapText="1"/>
    </xf>
    <xf numFmtId="0" fontId="157" fillId="0" borderId="3" xfId="0" applyFont="1" applyFill="1" applyBorder="1" applyAlignment="1">
      <alignment horizontal="center" vertical="center" wrapText="1"/>
    </xf>
    <xf numFmtId="0" fontId="3" fillId="0" borderId="39" xfId="58" applyFont="1" applyFill="1" applyBorder="1" applyAlignment="1">
      <alignment horizontal="center" vertical="center" wrapText="1"/>
    </xf>
    <xf numFmtId="0" fontId="62" fillId="0" borderId="39" xfId="0" applyFont="1" applyFill="1" applyBorder="1" applyAlignment="1">
      <alignment horizontal="center" vertical="center"/>
    </xf>
    <xf numFmtId="0" fontId="44" fillId="0" borderId="39" xfId="0" applyFont="1" applyFill="1" applyBorder="1" applyAlignment="1">
      <alignment horizontal="center" vertical="center" wrapText="1"/>
    </xf>
    <xf numFmtId="177" fontId="12" fillId="0" borderId="39" xfId="0" applyNumberFormat="1" applyFont="1" applyFill="1" applyBorder="1" applyAlignment="1">
      <alignment horizontal="center" vertical="center" wrapText="1"/>
    </xf>
    <xf numFmtId="0" fontId="42" fillId="0" borderId="39" xfId="58" applyFont="1" applyFill="1" applyBorder="1" applyAlignment="1">
      <alignment horizontal="center" vertical="center"/>
    </xf>
    <xf numFmtId="0" fontId="44" fillId="0" borderId="39" xfId="0" applyFont="1" applyFill="1" applyBorder="1" applyAlignment="1">
      <alignment vertical="center" wrapText="1"/>
    </xf>
    <xf numFmtId="0" fontId="3" fillId="0" borderId="39" xfId="0" applyFont="1" applyFill="1" applyBorder="1" applyAlignment="1">
      <alignment horizontal="center" vertical="center" wrapText="1"/>
    </xf>
    <xf numFmtId="0" fontId="49" fillId="0" borderId="39" xfId="0" applyFont="1" applyFill="1" applyBorder="1" applyAlignment="1">
      <alignment horizontal="center" vertical="center"/>
    </xf>
    <xf numFmtId="185" fontId="49" fillId="0" borderId="39" xfId="0" applyNumberFormat="1" applyFont="1" applyFill="1" applyBorder="1" applyAlignment="1">
      <alignment horizontal="center" vertical="center"/>
    </xf>
    <xf numFmtId="0" fontId="7" fillId="0" borderId="39" xfId="0" applyFont="1" applyFill="1" applyBorder="1" applyAlignment="1">
      <alignment horizontal="center" vertical="center" wrapText="1"/>
    </xf>
    <xf numFmtId="0" fontId="37" fillId="4" borderId="39" xfId="0" applyFont="1" applyFill="1" applyBorder="1" applyAlignment="1">
      <alignment horizontal="center" vertical="center"/>
    </xf>
    <xf numFmtId="14" fontId="12" fillId="0" borderId="39" xfId="2" applyNumberFormat="1" applyFont="1" applyFill="1" applyBorder="1" applyAlignment="1">
      <alignment horizontal="center" vertical="center" wrapText="1"/>
    </xf>
    <xf numFmtId="0" fontId="12" fillId="0" borderId="39" xfId="0" applyFont="1" applyBorder="1" applyAlignment="1">
      <alignment horizontal="center" vertical="center" wrapText="1"/>
    </xf>
    <xf numFmtId="0" fontId="158" fillId="0" borderId="39" xfId="0" applyFont="1" applyBorder="1" applyAlignment="1">
      <alignment horizontal="center" vertical="center"/>
    </xf>
    <xf numFmtId="0" fontId="93" fillId="0" borderId="39" xfId="0" applyFont="1" applyBorder="1" applyAlignment="1">
      <alignment horizontal="center" vertical="center"/>
    </xf>
    <xf numFmtId="0" fontId="0" fillId="0" borderId="39" xfId="0" applyBorder="1" applyAlignment="1">
      <alignment horizontal="center" vertical="center"/>
    </xf>
    <xf numFmtId="0" fontId="7" fillId="0" borderId="39" xfId="0" applyFont="1" applyFill="1" applyBorder="1" applyAlignment="1">
      <alignment horizontal="center" vertical="center"/>
    </xf>
    <xf numFmtId="0" fontId="159" fillId="0" borderId="39" xfId="2" applyNumberFormat="1" applyFont="1" applyBorder="1" applyAlignment="1">
      <alignment horizontal="center" vertical="center"/>
    </xf>
    <xf numFmtId="0" fontId="3" fillId="0" borderId="39" xfId="2" applyNumberFormat="1" applyFont="1" applyFill="1" applyBorder="1" applyAlignment="1">
      <alignment horizontal="center" vertical="center" wrapText="1"/>
    </xf>
    <xf numFmtId="177" fontId="3" fillId="0" borderId="39" xfId="2" applyNumberFormat="1" applyFont="1" applyFill="1" applyBorder="1" applyAlignment="1">
      <alignment horizontal="center" vertical="center"/>
    </xf>
    <xf numFmtId="181" fontId="159" fillId="0" borderId="39" xfId="2" applyNumberFormat="1" applyFont="1" applyBorder="1" applyAlignment="1">
      <alignment horizontal="center" vertical="center"/>
    </xf>
    <xf numFmtId="2" fontId="159" fillId="0" borderId="39" xfId="2" applyNumberFormat="1" applyFont="1" applyBorder="1" applyAlignment="1">
      <alignment horizontal="center" vertical="center"/>
    </xf>
    <xf numFmtId="177" fontId="159" fillId="0" borderId="39" xfId="11" applyNumberFormat="1" applyFont="1" applyBorder="1" applyAlignment="1">
      <alignment horizontal="center" vertical="center"/>
    </xf>
    <xf numFmtId="0" fontId="37" fillId="0" borderId="39" xfId="0" applyFont="1" applyFill="1" applyBorder="1" applyAlignment="1">
      <alignment horizontal="center" vertical="center"/>
    </xf>
    <xf numFmtId="0" fontId="37" fillId="0" borderId="39" xfId="0" applyFont="1" applyFill="1" applyBorder="1" applyAlignment="1">
      <alignment horizontal="center" vertical="center" wrapText="1"/>
    </xf>
    <xf numFmtId="0" fontId="12" fillId="0" borderId="39" xfId="0" applyFont="1" applyFill="1" applyBorder="1" applyAlignment="1" applyProtection="1">
      <alignment horizontal="center" vertical="center"/>
    </xf>
    <xf numFmtId="177" fontId="37" fillId="0" borderId="39" xfId="0" applyNumberFormat="1" applyFont="1" applyFill="1" applyBorder="1" applyAlignment="1">
      <alignment horizontal="center" vertical="center" wrapText="1"/>
    </xf>
    <xf numFmtId="0" fontId="12" fillId="0" borderId="39" xfId="0" applyFont="1" applyFill="1" applyBorder="1" applyAlignment="1">
      <alignment horizontal="center" vertical="center"/>
    </xf>
    <xf numFmtId="0" fontId="12" fillId="4" borderId="39" xfId="2" applyNumberFormat="1" applyFont="1" applyFill="1" applyBorder="1" applyAlignment="1">
      <alignment horizontal="center" vertical="center"/>
    </xf>
    <xf numFmtId="0" fontId="47" fillId="4" borderId="43" xfId="0" applyFont="1" applyFill="1" applyBorder="1" applyAlignment="1">
      <alignment horizontal="center" vertical="center" wrapText="1"/>
    </xf>
    <xf numFmtId="0" fontId="12" fillId="4" borderId="39" xfId="0" applyFont="1" applyFill="1" applyBorder="1" applyAlignment="1">
      <alignment horizontal="center" vertical="center"/>
    </xf>
    <xf numFmtId="0" fontId="156" fillId="4" borderId="0" xfId="0" applyFont="1" applyFill="1" applyAlignment="1"/>
    <xf numFmtId="0" fontId="93" fillId="0" borderId="39" xfId="0" applyFont="1" applyFill="1" applyBorder="1" applyAlignment="1">
      <alignment horizontal="left" vertical="center"/>
    </xf>
    <xf numFmtId="0" fontId="7" fillId="0" borderId="39" xfId="0" applyFont="1" applyFill="1" applyBorder="1" applyAlignment="1">
      <alignment horizontal="center" vertical="center" shrinkToFit="1"/>
    </xf>
    <xf numFmtId="0" fontId="93" fillId="0" borderId="39" xfId="0" applyFont="1" applyFill="1" applyBorder="1" applyAlignment="1">
      <alignment horizontal="center" vertical="center"/>
    </xf>
    <xf numFmtId="0" fontId="7" fillId="0" borderId="39" xfId="0" applyFont="1" applyFill="1" applyBorder="1" applyAlignment="1">
      <alignment horizontal="center" vertical="center" wrapText="1" shrinkToFit="1"/>
    </xf>
    <xf numFmtId="179" fontId="93" fillId="0" borderId="39" xfId="0" applyNumberFormat="1" applyFont="1" applyFill="1" applyBorder="1" applyAlignment="1">
      <alignment horizontal="center" vertical="center"/>
    </xf>
    <xf numFmtId="0" fontId="47" fillId="0" borderId="39" xfId="0" applyFont="1" applyFill="1" applyBorder="1" applyAlignment="1">
      <alignment horizontal="center" vertical="center" wrapText="1"/>
    </xf>
    <xf numFmtId="0" fontId="7" fillId="4" borderId="39" xfId="0" applyFont="1" applyFill="1" applyBorder="1" applyAlignment="1">
      <alignment horizontal="center" vertical="center"/>
    </xf>
    <xf numFmtId="0" fontId="42" fillId="0" borderId="39" xfId="0" applyFont="1" applyFill="1" applyBorder="1" applyAlignment="1">
      <alignment horizontal="center" vertical="center" wrapText="1"/>
    </xf>
    <xf numFmtId="179" fontId="47" fillId="0" borderId="39" xfId="0" applyNumberFormat="1" applyFont="1" applyFill="1" applyBorder="1" applyAlignment="1">
      <alignment horizontal="center" vertical="center" wrapText="1"/>
    </xf>
    <xf numFmtId="0" fontId="7" fillId="0" borderId="20" xfId="0" applyFont="1" applyFill="1" applyBorder="1" applyAlignment="1">
      <alignment horizontal="center" vertical="center" shrinkToFit="1"/>
    </xf>
    <xf numFmtId="0" fontId="93" fillId="4" borderId="39" xfId="0" applyFont="1" applyFill="1" applyBorder="1" applyAlignment="1">
      <alignment horizontal="left" vertical="center"/>
    </xf>
    <xf numFmtId="0" fontId="7" fillId="4" borderId="39" xfId="0" applyFont="1" applyFill="1" applyBorder="1" applyAlignment="1">
      <alignment horizontal="center" vertical="center" shrinkToFit="1"/>
    </xf>
    <xf numFmtId="0" fontId="93" fillId="4" borderId="39" xfId="0" applyFont="1" applyFill="1" applyBorder="1" applyAlignment="1">
      <alignment horizontal="center" vertical="center"/>
    </xf>
    <xf numFmtId="0" fontId="24" fillId="4" borderId="39" xfId="0" applyFont="1" applyFill="1" applyBorder="1" applyAlignment="1"/>
    <xf numFmtId="0" fontId="47" fillId="4" borderId="39" xfId="0" applyFont="1" applyFill="1" applyBorder="1" applyAlignment="1">
      <alignment horizontal="center" vertical="center" wrapText="1"/>
    </xf>
    <xf numFmtId="0" fontId="44" fillId="4" borderId="39" xfId="0" applyFont="1" applyFill="1" applyBorder="1" applyAlignment="1">
      <alignment horizontal="center" vertical="center" wrapText="1"/>
    </xf>
    <xf numFmtId="179" fontId="93" fillId="4" borderId="39" xfId="0" applyNumberFormat="1" applyFont="1" applyFill="1" applyBorder="1" applyAlignment="1">
      <alignment horizontal="center" vertical="center"/>
    </xf>
    <xf numFmtId="179" fontId="47" fillId="4" borderId="39" xfId="0" applyNumberFormat="1" applyFont="1" applyFill="1" applyBorder="1" applyAlignment="1">
      <alignment horizontal="center" vertical="center" wrapText="1"/>
    </xf>
    <xf numFmtId="185" fontId="93" fillId="4" borderId="39" xfId="0" applyNumberFormat="1" applyFont="1" applyFill="1" applyBorder="1" applyAlignment="1">
      <alignment horizontal="center" vertical="center"/>
    </xf>
    <xf numFmtId="0" fontId="3" fillId="0" borderId="39" xfId="0" applyFont="1" applyBorder="1" applyAlignment="1">
      <alignment horizontal="center" vertical="center" wrapText="1"/>
    </xf>
    <xf numFmtId="0" fontId="93" fillId="0" borderId="15" xfId="0" applyFont="1" applyFill="1" applyBorder="1" applyAlignment="1">
      <alignment horizontal="left" vertical="center"/>
    </xf>
    <xf numFmtId="0" fontId="93" fillId="0" borderId="15" xfId="0" applyFont="1" applyFill="1" applyBorder="1" applyAlignment="1">
      <alignment horizontal="center" vertical="center"/>
    </xf>
    <xf numFmtId="0" fontId="47" fillId="4" borderId="15" xfId="0" applyFont="1" applyFill="1" applyBorder="1" applyAlignment="1">
      <alignment horizontal="center" vertical="center" wrapText="1"/>
    </xf>
    <xf numFmtId="0" fontId="7" fillId="4" borderId="26" xfId="0" applyFont="1" applyFill="1" applyBorder="1" applyAlignment="1">
      <alignment horizontal="center" vertical="center" shrinkToFit="1"/>
    </xf>
    <xf numFmtId="0" fontId="7" fillId="0" borderId="30" xfId="0" applyFont="1" applyFill="1" applyBorder="1" applyAlignment="1">
      <alignment horizontal="center" vertical="center" wrapText="1" shrinkToFit="1"/>
    </xf>
    <xf numFmtId="179" fontId="93" fillId="4" borderId="15" xfId="0" applyNumberFormat="1" applyFont="1" applyFill="1" applyBorder="1" applyAlignment="1">
      <alignment horizontal="center" vertical="center"/>
    </xf>
    <xf numFmtId="0" fontId="47" fillId="0" borderId="15" xfId="0" applyFont="1" applyFill="1" applyBorder="1" applyAlignment="1">
      <alignment horizontal="center" vertical="center" wrapText="1"/>
    </xf>
    <xf numFmtId="0" fontId="12" fillId="0" borderId="15" xfId="0" applyFont="1" applyFill="1" applyBorder="1" applyAlignment="1">
      <alignment horizontal="center" vertical="center"/>
    </xf>
    <xf numFmtId="0" fontId="3" fillId="0" borderId="15" xfId="0" applyFont="1" applyBorder="1" applyAlignment="1">
      <alignment horizontal="center" vertical="center" wrapText="1"/>
    </xf>
    <xf numFmtId="0" fontId="93" fillId="0" borderId="20" xfId="0" applyFont="1" applyFill="1" applyBorder="1" applyAlignment="1">
      <alignment horizontal="center" vertical="center"/>
    </xf>
    <xf numFmtId="0" fontId="7" fillId="4" borderId="41" xfId="0" applyFont="1" applyFill="1" applyBorder="1" applyAlignment="1">
      <alignment horizontal="center" vertical="center" shrinkToFit="1"/>
    </xf>
    <xf numFmtId="0" fontId="7" fillId="0" borderId="29" xfId="0" applyFont="1" applyFill="1" applyBorder="1" applyAlignment="1">
      <alignment horizontal="center" vertical="center" wrapText="1" shrinkToFit="1"/>
    </xf>
    <xf numFmtId="185" fontId="93" fillId="4" borderId="20" xfId="0" applyNumberFormat="1" applyFont="1" applyFill="1" applyBorder="1" applyAlignment="1">
      <alignment horizontal="center" vertical="center"/>
    </xf>
    <xf numFmtId="0" fontId="7" fillId="0" borderId="39" xfId="0" applyFont="1" applyFill="1" applyBorder="1" applyAlignment="1" applyProtection="1">
      <alignment horizontal="center" vertical="center"/>
    </xf>
    <xf numFmtId="0" fontId="93" fillId="0" borderId="15" xfId="0" applyFont="1" applyBorder="1" applyAlignment="1">
      <alignment horizontal="center" vertical="center"/>
    </xf>
    <xf numFmtId="0" fontId="47" fillId="0" borderId="15" xfId="0" applyFont="1" applyBorder="1" applyAlignment="1">
      <alignment horizontal="center" vertical="center" wrapText="1"/>
    </xf>
    <xf numFmtId="49" fontId="93" fillId="0" borderId="15" xfId="0" applyNumberFormat="1" applyFont="1" applyBorder="1" applyAlignment="1">
      <alignment horizontal="center" vertical="center"/>
    </xf>
    <xf numFmtId="0" fontId="93" fillId="0" borderId="15" xfId="0" applyFont="1" applyBorder="1" applyAlignment="1">
      <alignment vertical="center" wrapText="1"/>
    </xf>
    <xf numFmtId="0" fontId="93" fillId="0" borderId="15" xfId="0" applyFont="1" applyBorder="1" applyAlignment="1">
      <alignment horizontal="center" vertical="center" wrapText="1"/>
    </xf>
    <xf numFmtId="0" fontId="7" fillId="0" borderId="39" xfId="59" applyFont="1" applyBorder="1" applyAlignment="1">
      <alignment horizontal="center" vertical="center"/>
    </xf>
    <xf numFmtId="0" fontId="7" fillId="0" borderId="15" xfId="0" applyNumberFormat="1" applyFont="1" applyFill="1" applyBorder="1" applyAlignment="1">
      <alignment horizontal="center" vertical="center"/>
    </xf>
    <xf numFmtId="177" fontId="44" fillId="0" borderId="39" xfId="60" applyNumberFormat="1" applyFont="1" applyBorder="1" applyAlignment="1">
      <alignment horizontal="center" vertical="center"/>
    </xf>
    <xf numFmtId="57" fontId="93" fillId="0" borderId="39" xfId="61" applyNumberFormat="1" applyFont="1" applyBorder="1" applyAlignment="1">
      <alignment horizontal="center" vertical="center"/>
    </xf>
    <xf numFmtId="0" fontId="93" fillId="0" borderId="39" xfId="62" applyFont="1" applyFill="1" applyBorder="1" applyAlignment="1">
      <alignment horizontal="center" vertical="center"/>
    </xf>
    <xf numFmtId="49" fontId="93" fillId="0" borderId="39" xfId="62" applyNumberFormat="1" applyFont="1" applyFill="1" applyBorder="1" applyAlignment="1">
      <alignment horizontal="center" vertical="center"/>
    </xf>
    <xf numFmtId="0" fontId="47" fillId="0" borderId="43" xfId="0" applyFont="1" applyFill="1" applyBorder="1" applyAlignment="1">
      <alignment horizontal="center" vertical="center" wrapText="1"/>
    </xf>
    <xf numFmtId="0" fontId="44" fillId="0" borderId="29" xfId="0" applyFont="1" applyFill="1" applyBorder="1" applyAlignment="1">
      <alignment vertical="center" wrapText="1"/>
    </xf>
    <xf numFmtId="0" fontId="93" fillId="0" borderId="39" xfId="61" applyFont="1" applyBorder="1" applyAlignment="1">
      <alignment horizontal="center" vertical="center"/>
    </xf>
    <xf numFmtId="0" fontId="7" fillId="0" borderId="15" xfId="0" applyFont="1" applyFill="1" applyBorder="1" applyAlignment="1" applyProtection="1">
      <alignment horizontal="center" vertical="center"/>
    </xf>
    <xf numFmtId="0" fontId="93" fillId="0" borderId="15" xfId="62" applyFont="1" applyFill="1" applyBorder="1" applyAlignment="1">
      <alignment horizontal="center" vertical="center"/>
    </xf>
    <xf numFmtId="49" fontId="93" fillId="0" borderId="15" xfId="62" applyNumberFormat="1" applyFont="1" applyFill="1" applyBorder="1" applyAlignment="1">
      <alignment horizontal="center" vertical="center"/>
    </xf>
    <xf numFmtId="0" fontId="47" fillId="0" borderId="44" xfId="0" applyFont="1" applyFill="1" applyBorder="1" applyAlignment="1">
      <alignment horizontal="center" vertical="center" wrapText="1"/>
    </xf>
    <xf numFmtId="57" fontId="93" fillId="0" borderId="39" xfId="61" applyNumberFormat="1" applyFont="1" applyFill="1" applyBorder="1" applyAlignment="1">
      <alignment horizontal="center" vertical="center"/>
    </xf>
    <xf numFmtId="0" fontId="7" fillId="0" borderId="39" xfId="59" applyFont="1" applyBorder="1" applyAlignment="1">
      <alignment horizontal="center" vertical="center" wrapText="1"/>
    </xf>
    <xf numFmtId="49" fontId="7" fillId="0" borderId="39" xfId="59" applyNumberFormat="1" applyFont="1" applyBorder="1" applyAlignment="1">
      <alignment horizontal="center" vertical="center"/>
    </xf>
    <xf numFmtId="0" fontId="7" fillId="0" borderId="39" xfId="63" applyFont="1" applyBorder="1" applyAlignment="1">
      <alignment horizontal="center" vertical="center"/>
    </xf>
    <xf numFmtId="49" fontId="7" fillId="0" borderId="39" xfId="63" applyNumberFormat="1" applyFont="1" applyBorder="1" applyAlignment="1">
      <alignment horizontal="center" vertical="center"/>
    </xf>
    <xf numFmtId="0" fontId="7" fillId="0" borderId="15" xfId="48" applyNumberFormat="1" applyFont="1" applyFill="1" applyBorder="1" applyAlignment="1">
      <alignment horizontal="center" vertical="center"/>
    </xf>
    <xf numFmtId="0" fontId="44" fillId="0" borderId="15" xfId="48" applyFont="1" applyFill="1" applyBorder="1" applyAlignment="1">
      <alignment horizontal="center" vertical="center" wrapText="1"/>
    </xf>
    <xf numFmtId="0" fontId="48" fillId="0" borderId="39" xfId="64" applyFont="1" applyBorder="1" applyAlignment="1">
      <alignment horizontal="center" vertical="center" wrapText="1"/>
    </xf>
    <xf numFmtId="177" fontId="7" fillId="0" borderId="39" xfId="59" applyNumberFormat="1" applyFont="1" applyBorder="1" applyAlignment="1">
      <alignment horizontal="center" vertical="center"/>
    </xf>
    <xf numFmtId="49" fontId="93" fillId="0" borderId="39" xfId="61" applyNumberFormat="1" applyFont="1" applyBorder="1" applyAlignment="1">
      <alignment horizontal="center" vertical="center"/>
    </xf>
    <xf numFmtId="0" fontId="42" fillId="0" borderId="39" xfId="64" applyFont="1" applyBorder="1" applyAlignment="1">
      <alignment horizontal="center" vertical="center" wrapText="1"/>
    </xf>
    <xf numFmtId="177" fontId="44" fillId="0" borderId="39" xfId="65" applyNumberFormat="1" applyFont="1" applyBorder="1" applyAlignment="1">
      <alignment horizontal="center" vertical="center"/>
    </xf>
    <xf numFmtId="0" fontId="48" fillId="0" borderId="15" xfId="64" applyFont="1" applyBorder="1" applyAlignment="1">
      <alignment horizontal="center" vertical="center" wrapText="1"/>
    </xf>
    <xf numFmtId="0" fontId="48" fillId="0" borderId="15" xfId="64" applyBorder="1" applyAlignment="1">
      <alignment horizontal="center" vertical="center" wrapText="1"/>
    </xf>
    <xf numFmtId="177" fontId="7" fillId="0" borderId="15" xfId="59" applyNumberFormat="1" applyFont="1" applyBorder="1" applyAlignment="1">
      <alignment horizontal="center" vertical="center"/>
    </xf>
    <xf numFmtId="49" fontId="93" fillId="0" borderId="15" xfId="61" applyNumberFormat="1" applyFont="1" applyBorder="1" applyAlignment="1">
      <alignment horizontal="center" vertical="center"/>
    </xf>
    <xf numFmtId="0" fontId="12" fillId="0" borderId="15" xfId="2" applyNumberFormat="1" applyFont="1" applyFill="1" applyBorder="1" applyAlignment="1">
      <alignment horizontal="center" vertical="center" wrapText="1"/>
    </xf>
    <xf numFmtId="0" fontId="47" fillId="0" borderId="39" xfId="64" applyFont="1" applyBorder="1" applyAlignment="1">
      <alignment horizontal="center" vertical="center" wrapText="1"/>
    </xf>
    <xf numFmtId="0" fontId="47" fillId="0" borderId="15" xfId="64" applyFont="1" applyBorder="1" applyAlignment="1">
      <alignment horizontal="center" vertical="center" wrapText="1"/>
    </xf>
    <xf numFmtId="177" fontId="12" fillId="0" borderId="39" xfId="2" applyNumberFormat="1" applyFont="1" applyFill="1" applyBorder="1" applyAlignment="1">
      <alignment horizontal="center" vertical="center" wrapText="1"/>
    </xf>
    <xf numFmtId="0" fontId="49" fillId="0" borderId="39" xfId="0" applyFont="1" applyFill="1" applyBorder="1" applyAlignment="1">
      <alignment vertical="center" wrapText="1"/>
    </xf>
    <xf numFmtId="0" fontId="12" fillId="0" borderId="39" xfId="66" applyFont="1" applyFill="1" applyBorder="1" applyAlignment="1">
      <alignment horizontal="center" vertical="center"/>
    </xf>
    <xf numFmtId="177" fontId="12" fillId="0" borderId="39" xfId="0" applyNumberFormat="1" applyFont="1" applyFill="1" applyBorder="1" applyAlignment="1">
      <alignment horizontal="center" vertical="center"/>
    </xf>
    <xf numFmtId="177" fontId="17" fillId="0" borderId="39" xfId="0" applyNumberFormat="1" applyFont="1" applyFill="1" applyBorder="1" applyAlignment="1">
      <alignment horizontal="center" vertical="center" wrapText="1"/>
    </xf>
    <xf numFmtId="49" fontId="12" fillId="0" borderId="39" xfId="0" applyNumberFormat="1" applyFont="1" applyFill="1" applyBorder="1" applyAlignment="1">
      <alignment horizontal="center" vertical="center" wrapText="1"/>
    </xf>
    <xf numFmtId="0" fontId="0" fillId="0" borderId="39" xfId="0" applyFont="1" applyFill="1" applyBorder="1" applyAlignment="1"/>
    <xf numFmtId="0" fontId="72" fillId="0" borderId="39" xfId="0" applyNumberFormat="1" applyFont="1" applyFill="1" applyBorder="1" applyAlignment="1">
      <alignment horizontal="center" vertical="center"/>
    </xf>
    <xf numFmtId="0" fontId="12" fillId="0" borderId="39" xfId="0" applyFont="1" applyFill="1" applyBorder="1" applyAlignment="1" applyProtection="1">
      <alignment horizontal="center" vertical="center" wrapText="1"/>
    </xf>
    <xf numFmtId="0" fontId="12" fillId="0" borderId="39" xfId="66" applyFont="1" applyFill="1" applyBorder="1" applyAlignment="1">
      <alignment horizontal="center" vertical="center" wrapText="1"/>
    </xf>
    <xf numFmtId="0" fontId="12" fillId="0" borderId="13" xfId="0" applyFont="1" applyFill="1" applyBorder="1" applyAlignment="1">
      <alignment horizontal="center" vertical="center" wrapText="1"/>
    </xf>
    <xf numFmtId="0" fontId="4" fillId="0" borderId="39" xfId="57" applyFont="1" applyBorder="1" applyAlignment="1">
      <alignment horizontal="center" vertical="center" wrapText="1"/>
    </xf>
    <xf numFmtId="0" fontId="72" fillId="0" borderId="39" xfId="57" applyFont="1" applyBorder="1" applyAlignment="1">
      <alignment horizontal="center" vertical="center" wrapText="1"/>
    </xf>
    <xf numFmtId="0" fontId="153" fillId="0" borderId="39" xfId="0" applyFont="1" applyFill="1" applyBorder="1" applyAlignment="1">
      <alignment horizontal="center" vertical="center"/>
    </xf>
    <xf numFmtId="0" fontId="84" fillId="0" borderId="39" xfId="0" applyFont="1" applyBorder="1" applyAlignment="1">
      <alignment horizontal="center" vertical="center"/>
    </xf>
    <xf numFmtId="0" fontId="161" fillId="0" borderId="39" xfId="0" applyFont="1" applyBorder="1" applyAlignment="1">
      <alignment horizontal="center" vertical="center" wrapText="1"/>
    </xf>
    <xf numFmtId="0" fontId="118" fillId="0" borderId="39" xfId="0" applyFont="1" applyBorder="1" applyAlignment="1">
      <alignment horizontal="center" vertical="center" wrapText="1"/>
    </xf>
    <xf numFmtId="0" fontId="161" fillId="0" borderId="39" xfId="0" applyFont="1" applyBorder="1" applyAlignment="1">
      <alignment horizontal="center" vertical="center"/>
    </xf>
    <xf numFmtId="0" fontId="72" fillId="0" borderId="39" xfId="0" applyFont="1" applyBorder="1" applyAlignment="1">
      <alignment horizontal="center" vertical="center" wrapText="1"/>
    </xf>
    <xf numFmtId="0" fontId="12" fillId="0" borderId="15" xfId="2" applyNumberFormat="1" applyFont="1" applyFill="1" applyBorder="1" applyAlignment="1">
      <alignment horizontal="center" vertical="center"/>
    </xf>
    <xf numFmtId="0" fontId="162" fillId="0" borderId="39" xfId="0" applyFont="1" applyBorder="1" applyAlignment="1">
      <alignment horizontal="center" vertical="center" wrapText="1"/>
    </xf>
    <xf numFmtId="0" fontId="12" fillId="0" borderId="15" xfId="66" applyFont="1" applyFill="1" applyBorder="1" applyAlignment="1">
      <alignment horizontal="center" vertical="center" wrapText="1"/>
    </xf>
    <xf numFmtId="0" fontId="118" fillId="0" borderId="15" xfId="0" applyFont="1" applyBorder="1" applyAlignment="1">
      <alignment horizontal="center" vertical="center" wrapText="1"/>
    </xf>
    <xf numFmtId="0" fontId="153" fillId="0" borderId="15" xfId="0" applyFont="1" applyFill="1" applyBorder="1" applyAlignment="1">
      <alignment horizontal="center" vertical="center"/>
    </xf>
    <xf numFmtId="0" fontId="84" fillId="0" borderId="15" xfId="0" applyFont="1" applyBorder="1" applyAlignment="1">
      <alignment horizontal="center" vertical="center"/>
    </xf>
    <xf numFmtId="0" fontId="0" fillId="0" borderId="15" xfId="0" applyFont="1" applyFill="1" applyBorder="1" applyAlignment="1"/>
    <xf numFmtId="0" fontId="12" fillId="4" borderId="39" xfId="66" applyFont="1" applyFill="1" applyBorder="1" applyAlignment="1">
      <alignment horizontal="center" vertical="center"/>
    </xf>
    <xf numFmtId="0" fontId="37" fillId="4" borderId="39" xfId="0" applyFont="1" applyFill="1" applyBorder="1" applyAlignment="1">
      <alignment horizontal="center" vertical="center" wrapText="1"/>
    </xf>
    <xf numFmtId="0" fontId="62" fillId="4" borderId="39" xfId="0" applyFont="1" applyFill="1" applyBorder="1" applyAlignment="1">
      <alignment horizontal="center" vertical="center"/>
    </xf>
    <xf numFmtId="0" fontId="44" fillId="4" borderId="15" xfId="0" applyFont="1" applyFill="1" applyBorder="1" applyAlignment="1">
      <alignment horizontal="center" vertical="center" wrapText="1"/>
    </xf>
    <xf numFmtId="0" fontId="12" fillId="4" borderId="39" xfId="0" applyFont="1" applyFill="1" applyBorder="1" applyAlignment="1" applyProtection="1">
      <alignment horizontal="center" vertical="center"/>
    </xf>
    <xf numFmtId="0" fontId="12" fillId="4" borderId="39" xfId="2" applyNumberFormat="1"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0" borderId="20" xfId="2" applyNumberFormat="1" applyFont="1" applyFill="1" applyBorder="1" applyAlignment="1">
      <alignment horizontal="center" vertical="center"/>
    </xf>
    <xf numFmtId="0" fontId="47" fillId="0" borderId="45" xfId="0" applyFont="1" applyBorder="1" applyAlignment="1">
      <alignment horizontal="center" vertical="center" wrapText="1"/>
    </xf>
    <xf numFmtId="0" fontId="47" fillId="0" borderId="20" xfId="0" applyFont="1" applyBorder="1" applyAlignment="1">
      <alignment horizontal="center" vertical="center" wrapText="1"/>
    </xf>
    <xf numFmtId="0" fontId="12" fillId="0" borderId="42" xfId="0" applyFont="1" applyBorder="1" applyAlignment="1">
      <alignment horizontal="center" vertical="center"/>
    </xf>
    <xf numFmtId="0" fontId="32" fillId="0" borderId="39" xfId="0" applyFont="1" applyFill="1" applyBorder="1" applyAlignment="1">
      <alignment horizontal="center" vertical="center"/>
    </xf>
    <xf numFmtId="0" fontId="12" fillId="0" borderId="42" xfId="2" applyNumberFormat="1" applyFont="1" applyFill="1" applyBorder="1" applyAlignment="1">
      <alignment horizontal="center" vertical="center"/>
    </xf>
    <xf numFmtId="0" fontId="7" fillId="0" borderId="20" xfId="0" applyFont="1" applyFill="1" applyBorder="1" applyAlignment="1" applyProtection="1">
      <alignment horizontal="center" vertical="center"/>
    </xf>
    <xf numFmtId="0" fontId="73" fillId="0" borderId="39" xfId="0" applyFont="1" applyBorder="1" applyAlignment="1">
      <alignment horizontal="center" vertical="center"/>
    </xf>
    <xf numFmtId="0" fontId="42" fillId="0" borderId="39" xfId="4" applyFont="1" applyFill="1" applyBorder="1" applyAlignment="1">
      <alignment horizontal="center" vertical="center" wrapText="1"/>
    </xf>
    <xf numFmtId="0" fontId="3" fillId="6" borderId="39" xfId="0" applyFont="1" applyFill="1" applyBorder="1" applyAlignment="1">
      <alignment horizontal="center" vertical="center" wrapText="1"/>
    </xf>
    <xf numFmtId="0" fontId="49" fillId="6" borderId="39" xfId="0" applyFont="1" applyFill="1" applyBorder="1" applyAlignment="1">
      <alignment horizontal="center" vertical="center" wrapText="1"/>
    </xf>
    <xf numFmtId="49" fontId="159" fillId="0" borderId="39" xfId="0" applyNumberFormat="1" applyFont="1" applyFill="1" applyBorder="1" applyAlignment="1">
      <alignment horizontal="center" vertical="center" wrapText="1"/>
    </xf>
    <xf numFmtId="0" fontId="159" fillId="0" borderId="39" xfId="0" applyFont="1" applyFill="1" applyBorder="1" applyAlignment="1">
      <alignment horizontal="center" vertical="center" wrapText="1"/>
    </xf>
    <xf numFmtId="0" fontId="159" fillId="0" borderId="39" xfId="0" applyFont="1" applyFill="1" applyBorder="1" applyAlignment="1">
      <alignment horizontal="center" vertical="center"/>
    </xf>
    <xf numFmtId="0" fontId="44" fillId="0" borderId="39" xfId="0" applyFont="1" applyBorder="1" applyAlignment="1">
      <alignment horizontal="center" vertical="center"/>
    </xf>
    <xf numFmtId="0" fontId="75" fillId="0" borderId="39" xfId="0" applyFont="1" applyBorder="1" applyAlignment="1">
      <alignment horizontal="center" vertical="center"/>
    </xf>
    <xf numFmtId="0" fontId="3" fillId="0" borderId="39" xfId="58" applyFont="1" applyFill="1" applyBorder="1" applyAlignment="1">
      <alignment horizontal="center" vertical="center"/>
    </xf>
    <xf numFmtId="177" fontId="3" fillId="0" borderId="39" xfId="58" applyNumberFormat="1" applyFont="1" applyFill="1" applyBorder="1" applyAlignment="1">
      <alignment horizontal="center" vertical="center"/>
    </xf>
    <xf numFmtId="0" fontId="62" fillId="0" borderId="39" xfId="0" applyFont="1" applyBorder="1" applyAlignment="1">
      <alignment horizontal="center" vertical="center"/>
    </xf>
    <xf numFmtId="0" fontId="44" fillId="0" borderId="39" xfId="0" applyFont="1" applyBorder="1" applyAlignment="1">
      <alignment horizontal="center" vertical="center" wrapText="1"/>
    </xf>
    <xf numFmtId="176" fontId="3" fillId="0" borderId="39" xfId="4" applyNumberFormat="1" applyFont="1" applyFill="1" applyBorder="1" applyAlignment="1">
      <alignment horizontal="center" vertical="center"/>
    </xf>
    <xf numFmtId="177" fontId="3" fillId="0" borderId="39" xfId="58" applyNumberFormat="1" applyFont="1" applyFill="1" applyBorder="1" applyAlignment="1">
      <alignment horizontal="center" vertical="center" wrapText="1"/>
    </xf>
    <xf numFmtId="177" fontId="3" fillId="0" borderId="39" xfId="4" applyNumberFormat="1" applyFont="1" applyFill="1" applyBorder="1" applyAlignment="1">
      <alignment horizontal="center" vertical="center"/>
    </xf>
    <xf numFmtId="0" fontId="44" fillId="0" borderId="39" xfId="0" applyFont="1" applyFill="1" applyBorder="1" applyAlignment="1">
      <alignment horizontal="center" vertical="center"/>
    </xf>
    <xf numFmtId="0" fontId="62" fillId="0" borderId="39" xfId="0" applyFont="1" applyFill="1" applyBorder="1" applyAlignment="1">
      <alignment horizontal="center" vertical="center" wrapText="1"/>
    </xf>
    <xf numFmtId="177" fontId="163" fillId="0" borderId="39" xfId="0" applyNumberFormat="1" applyFont="1" applyFill="1" applyBorder="1" applyAlignment="1">
      <alignment horizontal="center" vertical="center" wrapText="1"/>
    </xf>
    <xf numFmtId="177" fontId="7" fillId="0" borderId="39" xfId="0" applyNumberFormat="1" applyFont="1" applyFill="1" applyBorder="1" applyAlignment="1">
      <alignment horizontal="center" vertical="center"/>
    </xf>
    <xf numFmtId="0" fontId="62" fillId="0" borderId="41" xfId="0" applyFont="1" applyFill="1" applyBorder="1" applyAlignment="1">
      <alignment horizontal="center" vertical="center" wrapText="1"/>
    </xf>
    <xf numFmtId="0" fontId="7" fillId="0" borderId="41" xfId="0" applyFont="1" applyFill="1" applyBorder="1" applyAlignment="1">
      <alignment horizontal="center" vertical="center"/>
    </xf>
    <xf numFmtId="0" fontId="3" fillId="4" borderId="39" xfId="0" applyFont="1" applyFill="1" applyBorder="1" applyAlignment="1">
      <alignment horizontal="center" vertical="center" wrapText="1"/>
    </xf>
    <xf numFmtId="0" fontId="49" fillId="4" borderId="39" xfId="0" applyFont="1" applyFill="1" applyBorder="1" applyAlignment="1">
      <alignment horizontal="center" vertical="center"/>
    </xf>
    <xf numFmtId="185" fontId="49" fillId="4" borderId="39" xfId="0" applyNumberFormat="1" applyFont="1" applyFill="1" applyBorder="1" applyAlignment="1">
      <alignment horizontal="center" vertical="center"/>
    </xf>
    <xf numFmtId="14" fontId="12" fillId="4" borderId="39" xfId="2" applyNumberFormat="1" applyFont="1" applyFill="1" applyBorder="1" applyAlignment="1">
      <alignment horizontal="center" vertical="center" wrapText="1"/>
    </xf>
    <xf numFmtId="0" fontId="3" fillId="4" borderId="15" xfId="0" applyFont="1" applyFill="1" applyBorder="1" applyAlignment="1">
      <alignment horizontal="center" vertical="center" wrapText="1"/>
    </xf>
    <xf numFmtId="0" fontId="49" fillId="4" borderId="15" xfId="0" applyFont="1" applyFill="1" applyBorder="1" applyAlignment="1">
      <alignment horizontal="center" vertical="center"/>
    </xf>
    <xf numFmtId="0" fontId="12" fillId="4" borderId="15" xfId="2" applyNumberFormat="1" applyFont="1" applyFill="1" applyBorder="1" applyAlignment="1">
      <alignment horizontal="center" vertical="center"/>
    </xf>
    <xf numFmtId="0" fontId="12" fillId="4" borderId="15" xfId="2" applyNumberFormat="1" applyFont="1" applyFill="1" applyBorder="1" applyAlignment="1">
      <alignment horizontal="center" vertical="center" wrapText="1"/>
    </xf>
    <xf numFmtId="185" fontId="49" fillId="4" borderId="15" xfId="0" applyNumberFormat="1" applyFont="1" applyFill="1" applyBorder="1" applyAlignment="1">
      <alignment horizontal="center" vertical="center"/>
    </xf>
    <xf numFmtId="0" fontId="12" fillId="4" borderId="15" xfId="0" applyFont="1" applyFill="1" applyBorder="1" applyAlignment="1">
      <alignment horizontal="center" vertical="center" wrapText="1"/>
    </xf>
    <xf numFmtId="0" fontId="37" fillId="4" borderId="15" xfId="0" applyFont="1" applyFill="1" applyBorder="1" applyAlignment="1">
      <alignment horizontal="center" vertical="center"/>
    </xf>
    <xf numFmtId="14" fontId="12" fillId="4" borderId="15" xfId="2" applyNumberFormat="1" applyFont="1" applyFill="1" applyBorder="1" applyAlignment="1">
      <alignment horizontal="center" vertical="center" wrapText="1"/>
    </xf>
    <xf numFmtId="0" fontId="12" fillId="0" borderId="26" xfId="2" applyNumberFormat="1" applyFont="1" applyFill="1" applyBorder="1" applyAlignment="1">
      <alignment horizontal="center" vertical="center" wrapText="1"/>
    </xf>
    <xf numFmtId="0" fontId="12" fillId="0" borderId="15" xfId="0" applyFont="1" applyBorder="1" applyAlignment="1">
      <alignment horizontal="center" vertical="center" wrapText="1"/>
    </xf>
    <xf numFmtId="0" fontId="164" fillId="0" borderId="39" xfId="0" applyNumberFormat="1" applyFont="1" applyFill="1" applyBorder="1" applyAlignment="1">
      <alignment horizontal="center" vertical="center" wrapText="1"/>
    </xf>
    <xf numFmtId="49" fontId="7" fillId="0" borderId="39" xfId="59" applyNumberFormat="1" applyFont="1" applyFill="1" applyBorder="1" applyAlignment="1">
      <alignment horizontal="center" vertical="center"/>
    </xf>
    <xf numFmtId="177" fontId="7" fillId="0" borderId="39" xfId="59" applyNumberFormat="1" applyFont="1" applyFill="1" applyBorder="1" applyAlignment="1">
      <alignment horizontal="center" vertical="center"/>
    </xf>
    <xf numFmtId="0" fontId="158" fillId="0" borderId="42" xfId="0" applyFont="1" applyBorder="1" applyAlignment="1">
      <alignment horizontal="center" vertical="center"/>
    </xf>
    <xf numFmtId="0" fontId="0" fillId="0" borderId="39" xfId="0" applyBorder="1" applyAlignment="1"/>
    <xf numFmtId="0" fontId="7" fillId="0" borderId="43" xfId="0" applyFont="1" applyBorder="1" applyAlignment="1">
      <alignment horizontal="center" vertical="center" wrapText="1"/>
    </xf>
    <xf numFmtId="0" fontId="35" fillId="0" borderId="44" xfId="0" applyFont="1" applyBorder="1" applyAlignment="1">
      <alignment horizontal="center" vertical="center" wrapText="1"/>
    </xf>
    <xf numFmtId="0" fontId="70" fillId="0" borderId="39" xfId="0" applyFont="1" applyFill="1" applyBorder="1" applyAlignment="1">
      <alignment horizontal="center" vertical="center"/>
    </xf>
    <xf numFmtId="0" fontId="0" fillId="0" borderId="39" xfId="0" applyFill="1" applyBorder="1" applyAlignment="1">
      <alignment horizontal="center" vertical="center"/>
    </xf>
    <xf numFmtId="0" fontId="0" fillId="0" borderId="39" xfId="0" applyFill="1" applyBorder="1" applyAlignment="1"/>
    <xf numFmtId="0" fontId="7" fillId="0" borderId="30" xfId="0" applyFont="1" applyFill="1" applyBorder="1" applyAlignment="1">
      <alignment horizontal="center" vertical="center"/>
    </xf>
    <xf numFmtId="0" fontId="70" fillId="0" borderId="39" xfId="0" applyFont="1" applyBorder="1" applyAlignment="1">
      <alignment horizontal="center" vertical="center"/>
    </xf>
    <xf numFmtId="0" fontId="157" fillId="0" borderId="3" xfId="0" applyFont="1" applyBorder="1" applyAlignment="1">
      <alignment horizontal="center" vertical="center" wrapText="1"/>
    </xf>
    <xf numFmtId="0" fontId="7" fillId="0" borderId="39" xfId="0" applyFont="1" applyBorder="1" applyAlignment="1" applyProtection="1">
      <alignment horizontal="center" vertical="center"/>
    </xf>
    <xf numFmtId="177" fontId="93" fillId="4" borderId="20" xfId="0" applyNumberFormat="1" applyFont="1" applyFill="1" applyBorder="1" applyAlignment="1">
      <alignment horizontal="center" vertical="center"/>
    </xf>
    <xf numFmtId="0" fontId="7" fillId="0" borderId="39" xfId="0" applyFont="1" applyBorder="1" applyAlignment="1">
      <alignment horizontal="center" vertical="center" wrapText="1"/>
    </xf>
    <xf numFmtId="0" fontId="17" fillId="0" borderId="15" xfId="0" applyFont="1" applyFill="1" applyBorder="1" applyAlignment="1">
      <alignment horizontal="center" vertical="center" wrapText="1"/>
    </xf>
    <xf numFmtId="0" fontId="157" fillId="0" borderId="39" xfId="0" applyFont="1" applyFill="1" applyBorder="1" applyAlignment="1">
      <alignment horizontal="center" vertical="center" wrapText="1"/>
    </xf>
    <xf numFmtId="177" fontId="7" fillId="0" borderId="30" xfId="0" applyNumberFormat="1" applyFont="1" applyFill="1" applyBorder="1" applyAlignment="1">
      <alignment horizontal="center" vertical="center"/>
    </xf>
    <xf numFmtId="177" fontId="7" fillId="0" borderId="39" xfId="0" applyNumberFormat="1" applyFont="1" applyFill="1" applyBorder="1" applyAlignment="1" applyProtection="1">
      <alignment horizontal="center" vertical="center"/>
    </xf>
    <xf numFmtId="0" fontId="93" fillId="0" borderId="39" xfId="11" applyFont="1" applyBorder="1" applyAlignment="1">
      <alignment horizontal="center" vertical="center"/>
    </xf>
    <xf numFmtId="0" fontId="93" fillId="0" borderId="39" xfId="0" applyFont="1" applyBorder="1" applyAlignment="1">
      <alignment vertical="center" wrapText="1"/>
    </xf>
    <xf numFmtId="0" fontId="7" fillId="0" borderId="39" xfId="0" applyFont="1" applyFill="1" applyBorder="1" applyAlignment="1">
      <alignment horizontal="center" wrapText="1"/>
    </xf>
    <xf numFmtId="0" fontId="161" fillId="0" borderId="39" xfId="0" applyFont="1" applyFill="1" applyBorder="1" applyAlignment="1">
      <alignment horizontal="center" vertical="center" wrapText="1"/>
    </xf>
    <xf numFmtId="0" fontId="35" fillId="4" borderId="43" xfId="0" applyFont="1" applyFill="1" applyBorder="1" applyAlignment="1">
      <alignment horizontal="center" vertical="center" wrapText="1"/>
    </xf>
    <xf numFmtId="0" fontId="93" fillId="0" borderId="39" xfId="67" applyFont="1" applyBorder="1" applyAlignment="1">
      <alignment horizontal="center" vertical="center"/>
    </xf>
    <xf numFmtId="177" fontId="47" fillId="0" borderId="43" xfId="0" applyNumberFormat="1" applyFont="1" applyBorder="1" applyAlignment="1">
      <alignment horizontal="center" vertical="center" wrapText="1"/>
    </xf>
    <xf numFmtId="14" fontId="37" fillId="0" borderId="3" xfId="0" applyNumberFormat="1" applyFont="1" applyFill="1" applyBorder="1" applyAlignment="1">
      <alignment horizontal="center" vertical="center" wrapText="1"/>
    </xf>
    <xf numFmtId="14" fontId="37" fillId="0" borderId="9" xfId="0" applyNumberFormat="1" applyFont="1" applyFill="1" applyBorder="1" applyAlignment="1">
      <alignment horizontal="center" vertical="center" wrapText="1"/>
    </xf>
    <xf numFmtId="14" fontId="37" fillId="0" borderId="39" xfId="0" applyNumberFormat="1" applyFont="1" applyFill="1" applyBorder="1" applyAlignment="1">
      <alignment horizontal="center" vertical="center" wrapText="1"/>
    </xf>
    <xf numFmtId="176" fontId="7" fillId="4" borderId="39" xfId="4" applyNumberFormat="1" applyFont="1" applyFill="1" applyBorder="1" applyAlignment="1">
      <alignment horizontal="center" vertical="center" shrinkToFit="1"/>
    </xf>
    <xf numFmtId="0" fontId="7" fillId="0" borderId="39" xfId="0" applyNumberFormat="1" applyFont="1" applyFill="1" applyBorder="1" applyAlignment="1">
      <alignment horizontal="center" vertical="center"/>
    </xf>
    <xf numFmtId="0" fontId="28" fillId="0" borderId="0" xfId="0" applyFont="1" applyAlignment="1"/>
    <xf numFmtId="178" fontId="26" fillId="0" borderId="0" xfId="2" applyNumberFormat="1" applyFont="1">
      <alignment vertical="center"/>
    </xf>
    <xf numFmtId="0" fontId="12" fillId="0" borderId="15" xfId="2" applyNumberFormat="1" applyFont="1" applyFill="1" applyBorder="1" applyAlignment="1">
      <alignment horizontal="center" vertical="center" wrapText="1"/>
    </xf>
    <xf numFmtId="178" fontId="12" fillId="0" borderId="39" xfId="2" applyNumberFormat="1" applyFont="1" applyFill="1" applyBorder="1" applyAlignment="1">
      <alignment horizontal="center" vertical="center" wrapText="1"/>
    </xf>
    <xf numFmtId="0" fontId="12" fillId="0" borderId="39" xfId="2" applyNumberFormat="1" applyFont="1" applyBorder="1" applyAlignment="1">
      <alignment horizontal="center" vertical="center" wrapText="1"/>
    </xf>
    <xf numFmtId="0" fontId="12" fillId="0" borderId="39" xfId="2" applyNumberFormat="1" applyFont="1" applyBorder="1" applyAlignment="1">
      <alignment horizontal="center" vertical="center"/>
    </xf>
    <xf numFmtId="0" fontId="12" fillId="0" borderId="20" xfId="2" applyNumberFormat="1" applyFont="1" applyBorder="1" applyAlignment="1">
      <alignment horizontal="center" vertical="center" wrapText="1"/>
    </xf>
    <xf numFmtId="14" fontId="12" fillId="0" borderId="39" xfId="0" applyNumberFormat="1" applyFont="1" applyBorder="1" applyAlignment="1">
      <alignment horizontal="center" vertical="center" wrapText="1"/>
    </xf>
    <xf numFmtId="0" fontId="12" fillId="0" borderId="41" xfId="2" applyNumberFormat="1" applyFont="1" applyBorder="1" applyAlignment="1">
      <alignment horizontal="center" vertical="center" wrapText="1"/>
    </xf>
    <xf numFmtId="14" fontId="12" fillId="0" borderId="39" xfId="0" applyNumberFormat="1" applyFont="1" applyFill="1" applyBorder="1" applyAlignment="1">
      <alignment horizontal="center" vertical="center" wrapText="1"/>
    </xf>
    <xf numFmtId="177" fontId="12" fillId="0" borderId="39" xfId="2" applyNumberFormat="1" applyFont="1" applyBorder="1" applyAlignment="1">
      <alignment horizontal="center" vertical="center" wrapText="1"/>
    </xf>
    <xf numFmtId="0" fontId="7" fillId="0" borderId="39" xfId="0" applyFont="1" applyBorder="1" applyAlignment="1">
      <alignment horizontal="center" vertical="center"/>
    </xf>
    <xf numFmtId="0" fontId="88" fillId="0" borderId="39" xfId="0" applyFont="1" applyBorder="1" applyAlignment="1">
      <alignment horizontal="center" vertical="center"/>
    </xf>
    <xf numFmtId="0" fontId="33" fillId="0" borderId="39" xfId="0" applyFont="1" applyBorder="1" applyAlignment="1">
      <alignment horizontal="center" vertical="center"/>
    </xf>
    <xf numFmtId="0" fontId="16" fillId="0" borderId="39" xfId="0" applyFont="1" applyBorder="1" applyAlignment="1">
      <alignment horizontal="center" vertical="center"/>
    </xf>
    <xf numFmtId="0" fontId="24" fillId="0" borderId="39" xfId="0" applyFont="1" applyBorder="1" applyAlignment="1">
      <alignment horizontal="center" vertical="center"/>
    </xf>
    <xf numFmtId="178" fontId="24" fillId="0" borderId="39" xfId="0" applyNumberFormat="1" applyFont="1" applyBorder="1" applyAlignment="1">
      <alignment horizontal="center" vertical="center"/>
    </xf>
    <xf numFmtId="0" fontId="24" fillId="0" borderId="0" xfId="0" applyFont="1" applyAlignment="1">
      <alignment horizontal="center" vertical="center"/>
    </xf>
    <xf numFmtId="0" fontId="8" fillId="0" borderId="39" xfId="0" applyFont="1" applyBorder="1" applyAlignment="1">
      <alignment horizontal="center" vertical="center"/>
    </xf>
    <xf numFmtId="0" fontId="17" fillId="0" borderId="39" xfId="17" applyFont="1" applyFill="1" applyBorder="1" applyAlignment="1">
      <alignment horizontal="center" vertical="center" wrapText="1"/>
    </xf>
    <xf numFmtId="0" fontId="16" fillId="0" borderId="0" xfId="0" applyFont="1" applyAlignment="1">
      <alignment horizontal="center" vertical="center"/>
    </xf>
    <xf numFmtId="0" fontId="17" fillId="0" borderId="39" xfId="0" applyFont="1" applyFill="1" applyBorder="1" applyAlignment="1">
      <alignment horizontal="center" vertical="center" wrapText="1"/>
    </xf>
    <xf numFmtId="178" fontId="17" fillId="0" borderId="39" xfId="17" applyNumberFormat="1" applyFont="1" applyFill="1" applyBorder="1" applyAlignment="1">
      <alignment horizontal="center" vertical="center" wrapText="1"/>
    </xf>
    <xf numFmtId="0" fontId="17" fillId="0" borderId="41" xfId="17" applyFont="1" applyFill="1" applyBorder="1" applyAlignment="1">
      <alignment horizontal="center" vertical="center" wrapText="1"/>
    </xf>
    <xf numFmtId="0" fontId="72" fillId="0" borderId="39" xfId="0" applyFont="1" applyBorder="1" applyAlignment="1">
      <alignment horizontal="center" vertical="center"/>
    </xf>
    <xf numFmtId="178" fontId="7" fillId="0" borderId="39" xfId="0" applyNumberFormat="1" applyFont="1" applyBorder="1" applyAlignment="1">
      <alignment horizontal="center" vertical="center"/>
    </xf>
    <xf numFmtId="0" fontId="7" fillId="0" borderId="0" xfId="0" applyFont="1" applyAlignment="1">
      <alignment horizontal="center" vertical="center"/>
    </xf>
    <xf numFmtId="0" fontId="9" fillId="0" borderId="39" xfId="0" applyFont="1" applyBorder="1" applyAlignment="1">
      <alignment horizontal="center" vertical="center" wrapText="1"/>
    </xf>
    <xf numFmtId="0" fontId="9" fillId="0" borderId="29" xfId="0" applyFont="1" applyBorder="1" applyAlignment="1">
      <alignment horizontal="center" vertical="center" wrapText="1"/>
    </xf>
    <xf numFmtId="178" fontId="7" fillId="0" borderId="39" xfId="0" applyNumberFormat="1" applyFont="1" applyBorder="1" applyAlignment="1">
      <alignment horizontal="center" vertical="center" wrapText="1"/>
    </xf>
    <xf numFmtId="0" fontId="4" fillId="0" borderId="39" xfId="0" applyFont="1" applyBorder="1" applyAlignment="1">
      <alignment horizontal="center" vertical="center"/>
    </xf>
    <xf numFmtId="178" fontId="12" fillId="0" borderId="39" xfId="0" applyNumberFormat="1" applyFont="1" applyBorder="1" applyAlignment="1">
      <alignment horizontal="center" vertical="center" wrapText="1"/>
    </xf>
    <xf numFmtId="0" fontId="12" fillId="0" borderId="0" xfId="0" applyFont="1" applyAlignment="1">
      <alignment horizontal="center" vertical="center"/>
    </xf>
    <xf numFmtId="0" fontId="12" fillId="0" borderId="15" xfId="0" applyFont="1" applyBorder="1" applyAlignment="1">
      <alignment horizontal="center" vertical="center"/>
    </xf>
    <xf numFmtId="178" fontId="12" fillId="0" borderId="29" xfId="0" applyNumberFormat="1" applyFont="1" applyFill="1" applyBorder="1" applyAlignment="1">
      <alignment horizontal="center" vertical="center" wrapText="1"/>
    </xf>
    <xf numFmtId="177" fontId="12" fillId="0" borderId="39" xfId="0" applyNumberFormat="1" applyFont="1" applyBorder="1" applyAlignment="1">
      <alignment horizontal="center" vertical="center"/>
    </xf>
    <xf numFmtId="0" fontId="24" fillId="0" borderId="15" xfId="0" applyFont="1" applyBorder="1" applyAlignment="1">
      <alignment horizontal="center" vertical="center"/>
    </xf>
    <xf numFmtId="0" fontId="24" fillId="0" borderId="41" xfId="0" applyFont="1" applyBorder="1" applyAlignment="1">
      <alignment horizontal="center" vertical="center"/>
    </xf>
    <xf numFmtId="0" fontId="16" fillId="0" borderId="39" xfId="0" applyFont="1" applyBorder="1" applyAlignment="1"/>
    <xf numFmtId="0" fontId="24" fillId="0" borderId="39" xfId="0" applyFont="1" applyBorder="1" applyAlignment="1"/>
    <xf numFmtId="178" fontId="24" fillId="0" borderId="39" xfId="0" applyNumberFormat="1" applyFont="1" applyBorder="1" applyAlignment="1"/>
    <xf numFmtId="178" fontId="24" fillId="0" borderId="0" xfId="0" applyNumberFormat="1" applyFont="1" applyAlignment="1"/>
    <xf numFmtId="0" fontId="37" fillId="0" borderId="23" xfId="0" applyFont="1" applyFill="1" applyBorder="1" applyAlignment="1">
      <alignment horizontal="center" vertical="center" wrapText="1"/>
    </xf>
    <xf numFmtId="0" fontId="37" fillId="0" borderId="20"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12" fillId="0" borderId="5" xfId="0" applyFont="1" applyBorder="1" applyAlignment="1">
      <alignment horizontal="center" vertical="center"/>
    </xf>
    <xf numFmtId="0" fontId="9" fillId="0" borderId="3" xfId="0" applyNumberFormat="1" applyFont="1" applyBorder="1" applyAlignment="1">
      <alignment horizontal="center" vertical="center" wrapText="1"/>
    </xf>
    <xf numFmtId="0" fontId="12" fillId="0" borderId="0" xfId="2" applyNumberFormat="1" applyFont="1" applyFill="1" applyBorder="1" applyAlignment="1">
      <alignment horizontal="center" vertical="center" wrapText="1"/>
    </xf>
    <xf numFmtId="176" fontId="69" fillId="0" borderId="5" xfId="38" applyNumberFormat="1" applyFont="1" applyFill="1" applyBorder="1" applyAlignment="1">
      <alignment horizontal="center" vertical="center" wrapText="1"/>
    </xf>
    <xf numFmtId="0" fontId="12" fillId="0" borderId="5" xfId="46" applyFont="1" applyFill="1" applyBorder="1" applyAlignment="1">
      <alignment horizontal="center" vertical="center" wrapText="1"/>
    </xf>
    <xf numFmtId="0" fontId="12" fillId="0" borderId="5" xfId="46" applyFont="1" applyFill="1" applyBorder="1" applyAlignment="1">
      <alignment horizontal="center" vertical="center"/>
    </xf>
    <xf numFmtId="0" fontId="17" fillId="0" borderId="5" xfId="47" applyFont="1" applyFill="1" applyBorder="1" applyAlignment="1">
      <alignment horizontal="center" vertical="center" wrapText="1"/>
    </xf>
    <xf numFmtId="177" fontId="12" fillId="0" borderId="5" xfId="46" applyNumberFormat="1" applyFont="1" applyFill="1" applyBorder="1" applyAlignment="1">
      <alignment horizontal="center" vertical="center" wrapText="1"/>
    </xf>
    <xf numFmtId="0" fontId="17" fillId="0" borderId="11" xfId="47" applyFont="1" applyFill="1" applyBorder="1" applyAlignment="1">
      <alignment horizontal="center" vertical="center" wrapText="1"/>
    </xf>
    <xf numFmtId="0" fontId="69" fillId="0" borderId="5" xfId="38" applyNumberFormat="1" applyFont="1" applyFill="1" applyBorder="1" applyAlignment="1" applyProtection="1">
      <alignment horizontal="center" vertical="center" shrinkToFit="1"/>
      <protection locked="0"/>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center" vertical="center" wrapText="1"/>
    </xf>
    <xf numFmtId="0" fontId="3" fillId="0" borderId="5" xfId="0" applyFont="1" applyBorder="1" applyAlignment="1">
      <alignment horizontal="center" vertical="center" wrapText="1"/>
    </xf>
    <xf numFmtId="0" fontId="3" fillId="4" borderId="5" xfId="51" applyFont="1" applyFill="1" applyBorder="1" applyAlignment="1">
      <alignment horizontal="center" vertical="center" wrapText="1"/>
    </xf>
    <xf numFmtId="0" fontId="69" fillId="0" borderId="5" xfId="58" applyFont="1" applyFill="1" applyBorder="1" applyAlignment="1" applyProtection="1">
      <alignment horizontal="center" vertical="center"/>
      <protection locked="0"/>
    </xf>
    <xf numFmtId="176" fontId="7" fillId="0" borderId="0" xfId="42"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3" fillId="0" borderId="5" xfId="0" applyFont="1" applyFill="1" applyBorder="1" applyAlignment="1">
      <alignment horizontal="center" vertical="center" wrapText="1"/>
    </xf>
    <xf numFmtId="176" fontId="7" fillId="0" borderId="5"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0" borderId="5" xfId="0" applyFont="1" applyFill="1" applyBorder="1" applyAlignment="1">
      <alignment horizontal="center" vertical="center"/>
    </xf>
    <xf numFmtId="176" fontId="12" fillId="0" borderId="5" xfId="0" applyNumberFormat="1" applyFont="1" applyFill="1" applyBorder="1" applyAlignment="1">
      <alignment horizontal="center" vertical="center"/>
    </xf>
    <xf numFmtId="177" fontId="9" fillId="0" borderId="0" xfId="0" applyNumberFormat="1" applyFont="1" applyFill="1" applyAlignment="1">
      <alignment horizontal="center" vertical="center" wrapText="1"/>
    </xf>
    <xf numFmtId="0" fontId="12" fillId="0" borderId="5" xfId="0" applyFont="1" applyFill="1" applyBorder="1" applyAlignment="1" applyProtection="1">
      <alignment horizontal="center" vertical="center"/>
      <protection locked="0"/>
    </xf>
    <xf numFmtId="0" fontId="12" fillId="0" borderId="5" xfId="49" applyFont="1" applyFill="1" applyBorder="1" applyAlignment="1">
      <alignment horizontal="center" vertical="center" wrapText="1"/>
    </xf>
    <xf numFmtId="177" fontId="7" fillId="0" borderId="0" xfId="0" applyNumberFormat="1" applyFont="1" applyFill="1" applyAlignment="1">
      <alignment horizontal="center" vertical="center" wrapText="1"/>
    </xf>
    <xf numFmtId="0" fontId="9" fillId="0" borderId="12" xfId="0" applyFont="1" applyFill="1" applyBorder="1" applyAlignment="1">
      <alignment horizontal="center" vertical="center" wrapText="1"/>
    </xf>
    <xf numFmtId="0" fontId="12" fillId="0" borderId="5" xfId="44" applyFont="1" applyFill="1" applyBorder="1" applyAlignment="1">
      <alignment horizontal="center" vertical="center" wrapText="1"/>
    </xf>
    <xf numFmtId="177" fontId="9" fillId="0" borderId="5" xfId="0" applyNumberFormat="1" applyFont="1" applyFill="1" applyBorder="1" applyAlignment="1">
      <alignment horizontal="center" vertical="center" wrapText="1"/>
    </xf>
    <xf numFmtId="177" fontId="9" fillId="0" borderId="15" xfId="0" applyNumberFormat="1"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3" fillId="0" borderId="5" xfId="0" applyFont="1" applyBorder="1" applyAlignment="1">
      <alignment horizontal="center" vertical="center"/>
    </xf>
    <xf numFmtId="176" fontId="12" fillId="0" borderId="5" xfId="0" applyNumberFormat="1" applyFont="1" applyBorder="1" applyAlignment="1">
      <alignment horizontal="center" vertical="center"/>
    </xf>
    <xf numFmtId="0" fontId="3" fillId="4" borderId="5" xfId="0" applyFont="1" applyFill="1" applyBorder="1" applyAlignment="1">
      <alignment horizontal="center" vertical="center"/>
    </xf>
    <xf numFmtId="0" fontId="17" fillId="0" borderId="5" xfId="0" applyFont="1" applyFill="1" applyBorder="1" applyAlignment="1">
      <alignment horizontal="center" vertical="center" wrapText="1"/>
    </xf>
    <xf numFmtId="0" fontId="26" fillId="0" borderId="0" xfId="2" applyNumberFormat="1" applyFont="1" applyFill="1" applyAlignment="1">
      <alignment horizontal="center" vertical="center"/>
    </xf>
    <xf numFmtId="186" fontId="105" fillId="0" borderId="5" xfId="0" applyNumberFormat="1" applyFont="1" applyFill="1" applyBorder="1" applyAlignment="1"/>
    <xf numFmtId="49" fontId="12" fillId="0" borderId="5" xfId="2" applyNumberFormat="1" applyFont="1" applyFill="1" applyBorder="1" applyAlignment="1">
      <alignment horizontal="center" vertical="center"/>
    </xf>
    <xf numFmtId="186" fontId="34" fillId="0" borderId="5" xfId="2" applyNumberFormat="1" applyFont="1" applyFill="1" applyBorder="1" applyAlignment="1">
      <alignment horizontal="center" vertical="center" wrapText="1"/>
    </xf>
    <xf numFmtId="186" fontId="12" fillId="0" borderId="5" xfId="2" applyNumberFormat="1" applyFont="1" applyFill="1" applyBorder="1" applyAlignment="1">
      <alignment horizontal="center" vertical="center"/>
    </xf>
    <xf numFmtId="186" fontId="12" fillId="0" borderId="5" xfId="2" applyNumberFormat="1" applyFont="1" applyFill="1" applyBorder="1" applyAlignment="1">
      <alignment horizontal="center" vertical="center" wrapText="1"/>
    </xf>
    <xf numFmtId="0" fontId="12" fillId="0" borderId="15" xfId="0" applyNumberFormat="1" applyFont="1" applyFill="1" applyBorder="1" applyAlignment="1">
      <alignment horizontal="center" vertical="center" wrapText="1"/>
    </xf>
    <xf numFmtId="0" fontId="12" fillId="0" borderId="5" xfId="0" applyNumberFormat="1" applyFont="1" applyFill="1" applyBorder="1" applyAlignment="1">
      <alignment horizontal="center" vertical="center" wrapText="1"/>
    </xf>
    <xf numFmtId="186" fontId="12" fillId="0" borderId="5" xfId="0" applyNumberFormat="1" applyFont="1" applyFill="1" applyBorder="1" applyAlignment="1">
      <alignment horizontal="center" vertical="center"/>
    </xf>
    <xf numFmtId="186" fontId="24" fillId="0" borderId="5" xfId="0" applyNumberFormat="1" applyFont="1" applyFill="1" applyBorder="1" applyAlignment="1"/>
    <xf numFmtId="0" fontId="12" fillId="0" borderId="5" xfId="0" applyNumberFormat="1" applyFont="1" applyFill="1" applyBorder="1" applyAlignment="1">
      <alignment horizontal="center" vertical="center"/>
    </xf>
    <xf numFmtId="177" fontId="12" fillId="0" borderId="5" xfId="0" applyNumberFormat="1" applyFont="1" applyFill="1" applyBorder="1" applyAlignment="1">
      <alignment horizontal="center" vertical="center"/>
    </xf>
    <xf numFmtId="0" fontId="24" fillId="0" borderId="5" xfId="0" applyNumberFormat="1" applyFont="1" applyFill="1" applyBorder="1" applyAlignment="1"/>
    <xf numFmtId="49" fontId="12" fillId="0" borderId="5" xfId="0" applyNumberFormat="1" applyFont="1" applyFill="1" applyBorder="1" applyAlignment="1">
      <alignment horizontal="center" vertical="center"/>
    </xf>
    <xf numFmtId="0" fontId="72" fillId="0" borderId="5" xfId="0" applyNumberFormat="1" applyFont="1" applyFill="1" applyBorder="1" applyAlignment="1">
      <alignment horizontal="center" vertical="center"/>
    </xf>
    <xf numFmtId="57" fontId="144" fillId="0" borderId="5" xfId="0" applyNumberFormat="1" applyFont="1" applyFill="1" applyBorder="1" applyAlignment="1">
      <alignment horizontal="fill" vertical="center"/>
    </xf>
    <xf numFmtId="0" fontId="72" fillId="0" borderId="0" xfId="0" applyNumberFormat="1" applyFont="1" applyFill="1" applyAlignment="1">
      <alignment vertical="center"/>
    </xf>
    <xf numFmtId="186" fontId="3" fillId="0" borderId="5" xfId="0" applyNumberFormat="1" applyFont="1" applyFill="1" applyBorder="1" applyAlignment="1" applyProtection="1">
      <alignment horizontal="center" vertical="center" wrapText="1"/>
    </xf>
    <xf numFmtId="39" fontId="12" fillId="0" borderId="5" xfId="2" applyNumberFormat="1" applyFont="1" applyFill="1" applyBorder="1" applyAlignment="1">
      <alignment horizontal="center" vertical="center" wrapText="1"/>
    </xf>
    <xf numFmtId="39" fontId="12" fillId="0" borderId="5" xfId="0" applyNumberFormat="1" applyFont="1" applyFill="1" applyBorder="1" applyAlignment="1">
      <alignment horizontal="center" vertical="center" wrapText="1"/>
    </xf>
    <xf numFmtId="176" fontId="12" fillId="0" borderId="5" xfId="0" applyNumberFormat="1" applyFont="1" applyFill="1" applyBorder="1" applyAlignment="1">
      <alignment horizontal="center" vertical="center" wrapText="1"/>
    </xf>
    <xf numFmtId="0" fontId="124" fillId="0" borderId="5" xfId="0" applyNumberFormat="1" applyFont="1" applyFill="1" applyBorder="1" applyAlignment="1">
      <alignment horizontal="center" vertical="center" wrapText="1"/>
    </xf>
    <xf numFmtId="0" fontId="167" fillId="0" borderId="5" xfId="0" applyNumberFormat="1" applyFont="1" applyFill="1" applyBorder="1" applyAlignment="1">
      <alignment horizontal="center" vertical="center" wrapText="1"/>
    </xf>
    <xf numFmtId="177" fontId="124" fillId="0" borderId="5" xfId="0" applyNumberFormat="1" applyFont="1" applyFill="1" applyBorder="1" applyAlignment="1">
      <alignment horizontal="center" vertical="center" wrapText="1"/>
    </xf>
    <xf numFmtId="0" fontId="12" fillId="0" borderId="15" xfId="0" applyNumberFormat="1" applyFont="1" applyFill="1" applyBorder="1" applyAlignment="1">
      <alignment horizontal="center" vertical="center"/>
    </xf>
    <xf numFmtId="186" fontId="24" fillId="0" borderId="5" xfId="0" applyNumberFormat="1" applyFont="1" applyFill="1" applyBorder="1" applyAlignment="1">
      <alignment horizontal="center"/>
    </xf>
    <xf numFmtId="0" fontId="12" fillId="0" borderId="46" xfId="0" applyNumberFormat="1" applyFont="1" applyFill="1" applyBorder="1" applyAlignment="1">
      <alignment horizontal="center" vertical="center" wrapText="1"/>
    </xf>
    <xf numFmtId="186" fontId="7" fillId="0" borderId="5" xfId="0" applyNumberFormat="1" applyFont="1" applyFill="1" applyBorder="1" applyAlignment="1">
      <alignment horizontal="center" vertical="center"/>
    </xf>
    <xf numFmtId="0" fontId="12" fillId="0" borderId="5" xfId="68" applyFont="1" applyFill="1" applyBorder="1" applyAlignment="1">
      <alignment horizontal="center" vertical="center"/>
    </xf>
    <xf numFmtId="0" fontId="12" fillId="0" borderId="5" xfId="69" applyFont="1" applyFill="1" applyBorder="1" applyAlignment="1">
      <alignment horizontal="center" vertical="center"/>
    </xf>
    <xf numFmtId="0" fontId="7" fillId="0" borderId="5" xfId="68" applyFont="1" applyFill="1" applyBorder="1" applyAlignment="1">
      <alignment horizontal="center" vertical="center"/>
    </xf>
    <xf numFmtId="0" fontId="12" fillId="0" borderId="5" xfId="69" applyFont="1" applyFill="1" applyBorder="1" applyAlignment="1">
      <alignment horizontal="center" vertical="center" wrapText="1"/>
    </xf>
    <xf numFmtId="0" fontId="12" fillId="0" borderId="20" xfId="68" applyFont="1" applyFill="1" applyBorder="1" applyAlignment="1">
      <alignment horizontal="center" vertical="center"/>
    </xf>
    <xf numFmtId="0" fontId="72" fillId="0" borderId="5" xfId="70" applyFont="1" applyFill="1" applyBorder="1" applyAlignment="1">
      <alignment horizontal="center" vertical="center"/>
    </xf>
    <xf numFmtId="186" fontId="12" fillId="0" borderId="5" xfId="0" applyNumberFormat="1" applyFont="1" applyFill="1" applyBorder="1" applyAlignment="1">
      <alignment horizontal="center" vertical="center" wrapText="1"/>
    </xf>
    <xf numFmtId="185" fontId="72" fillId="0" borderId="5" xfId="70" applyNumberFormat="1" applyFont="1" applyFill="1" applyBorder="1" applyAlignment="1">
      <alignment horizontal="center" vertical="center"/>
    </xf>
    <xf numFmtId="0" fontId="12" fillId="0" borderId="5" xfId="68" applyFont="1" applyFill="1" applyBorder="1" applyAlignment="1">
      <alignment horizontal="center" vertical="center" wrapText="1"/>
    </xf>
    <xf numFmtId="186" fontId="12" fillId="0" borderId="5" xfId="17" applyNumberFormat="1" applyFont="1" applyFill="1" applyBorder="1" applyAlignment="1">
      <alignment horizontal="center" vertical="center"/>
    </xf>
    <xf numFmtId="0" fontId="12" fillId="0" borderId="5" xfId="4" applyNumberFormat="1" applyFont="1" applyFill="1" applyBorder="1" applyAlignment="1">
      <alignment horizontal="center" vertical="center"/>
    </xf>
    <xf numFmtId="0" fontId="12" fillId="0" borderId="5" xfId="57" applyNumberFormat="1" applyFont="1" applyFill="1" applyBorder="1" applyAlignment="1">
      <alignment horizontal="center" vertical="center"/>
    </xf>
    <xf numFmtId="186" fontId="12" fillId="0" borderId="5" xfId="71" applyNumberFormat="1" applyFont="1" applyFill="1" applyBorder="1" applyAlignment="1">
      <alignment horizontal="center" vertical="center"/>
    </xf>
    <xf numFmtId="0" fontId="7" fillId="0" borderId="5" xfId="70" applyFont="1" applyFill="1" applyBorder="1" applyAlignment="1">
      <alignment horizontal="center" vertical="center"/>
    </xf>
    <xf numFmtId="0" fontId="12" fillId="0" borderId="20" xfId="0" applyNumberFormat="1" applyFont="1" applyFill="1" applyBorder="1" applyAlignment="1">
      <alignment horizontal="center" vertical="center"/>
    </xf>
    <xf numFmtId="186" fontId="124" fillId="0" borderId="5" xfId="0" applyNumberFormat="1" applyFont="1" applyFill="1" applyBorder="1" applyAlignment="1" applyProtection="1">
      <alignment horizontal="center" vertical="center" wrapText="1"/>
      <protection locked="0"/>
    </xf>
    <xf numFmtId="186" fontId="124" fillId="0" borderId="5" xfId="0" applyNumberFormat="1" applyFont="1" applyFill="1" applyBorder="1" applyAlignment="1">
      <alignment horizontal="center" vertical="center" wrapText="1"/>
    </xf>
    <xf numFmtId="0" fontId="124" fillId="0" borderId="5" xfId="0" applyNumberFormat="1" applyFont="1" applyFill="1" applyBorder="1" applyAlignment="1" applyProtection="1">
      <alignment horizontal="center" vertical="center" wrapText="1"/>
      <protection locked="0"/>
    </xf>
    <xf numFmtId="192" fontId="124" fillId="0" borderId="5" xfId="0" applyNumberFormat="1" applyFont="1" applyFill="1" applyBorder="1" applyAlignment="1" applyProtection="1">
      <alignment horizontal="center" vertical="center" wrapText="1"/>
      <protection locked="0"/>
    </xf>
    <xf numFmtId="190" fontId="124" fillId="0" borderId="5" xfId="0" applyNumberFormat="1" applyFont="1" applyFill="1" applyBorder="1" applyAlignment="1" applyProtection="1">
      <alignment horizontal="center" vertical="center" wrapText="1"/>
      <protection locked="0"/>
    </xf>
    <xf numFmtId="191" fontId="124" fillId="0" borderId="5" xfId="0" applyNumberFormat="1" applyFont="1" applyFill="1" applyBorder="1" applyAlignment="1" applyProtection="1">
      <alignment horizontal="center" vertical="center" wrapText="1"/>
      <protection locked="0"/>
    </xf>
    <xf numFmtId="0" fontId="3" fillId="0" borderId="29"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2" fillId="0" borderId="5" xfId="0" applyNumberFormat="1" applyFont="1" applyFill="1" applyBorder="1" applyAlignment="1">
      <alignment horizontal="center" vertical="center" wrapText="1"/>
    </xf>
    <xf numFmtId="0" fontId="32" fillId="0" borderId="5" xfId="0" applyNumberFormat="1" applyFont="1" applyFill="1" applyBorder="1" applyAlignment="1" applyProtection="1">
      <alignment horizontal="center" vertical="center" wrapText="1"/>
      <protection locked="0"/>
    </xf>
    <xf numFmtId="39" fontId="124" fillId="0" borderId="5" xfId="0" applyNumberFormat="1" applyFont="1" applyFill="1" applyBorder="1" applyAlignment="1" applyProtection="1">
      <alignment horizontal="center" vertical="center" wrapText="1"/>
      <protection locked="0"/>
    </xf>
    <xf numFmtId="0" fontId="124" fillId="0" borderId="5" xfId="6" applyNumberFormat="1" applyFont="1" applyFill="1" applyBorder="1" applyAlignment="1">
      <alignment horizontal="center" vertical="center" wrapText="1"/>
    </xf>
    <xf numFmtId="57" fontId="12" fillId="0" borderId="5" xfId="0" applyNumberFormat="1" applyFont="1" applyFill="1" applyBorder="1" applyAlignment="1" applyProtection="1">
      <alignment horizontal="center" vertical="center" wrapText="1"/>
      <protection locked="0"/>
    </xf>
    <xf numFmtId="0" fontId="3" fillId="0" borderId="5" xfId="0" applyNumberFormat="1" applyFont="1" applyFill="1" applyBorder="1" applyAlignment="1">
      <alignment horizontal="center" vertical="center"/>
    </xf>
    <xf numFmtId="0" fontId="11" fillId="0" borderId="5" xfId="0" applyNumberFormat="1" applyFont="1" applyFill="1" applyBorder="1" applyAlignment="1">
      <alignment horizontal="center" vertical="center"/>
    </xf>
    <xf numFmtId="186" fontId="4" fillId="0" borderId="0" xfId="0" applyNumberFormat="1" applyFont="1" applyFill="1" applyAlignment="1">
      <alignment horizontal="center"/>
    </xf>
    <xf numFmtId="179" fontId="12" fillId="0" borderId="5" xfId="0" applyNumberFormat="1" applyFont="1" applyFill="1" applyBorder="1" applyAlignment="1">
      <alignment horizontal="center" vertical="center"/>
    </xf>
    <xf numFmtId="186" fontId="7" fillId="0" borderId="5" xfId="0" applyNumberFormat="1" applyFont="1" applyFill="1" applyBorder="1" applyAlignment="1">
      <alignment horizontal="center" vertical="center" wrapText="1"/>
    </xf>
    <xf numFmtId="186" fontId="12" fillId="0" borderId="5" xfId="4" applyNumberFormat="1" applyFont="1" applyFill="1" applyBorder="1" applyAlignment="1">
      <alignment horizontal="center" vertical="center"/>
    </xf>
    <xf numFmtId="198" fontId="12" fillId="0" borderId="5" xfId="0" applyNumberFormat="1" applyFont="1" applyFill="1" applyBorder="1" applyAlignment="1">
      <alignment horizontal="center" vertical="center"/>
    </xf>
    <xf numFmtId="41" fontId="12" fillId="0" borderId="5" xfId="11" applyNumberFormat="1" applyFont="1" applyFill="1" applyBorder="1" applyAlignment="1">
      <alignment horizontal="center" vertical="center"/>
    </xf>
    <xf numFmtId="0" fontId="72" fillId="0" borderId="5" xfId="0" applyNumberFormat="1" applyFont="1" applyFill="1" applyBorder="1" applyAlignment="1">
      <alignment horizontal="center"/>
    </xf>
    <xf numFmtId="192" fontId="12" fillId="0" borderId="5" xfId="0" applyNumberFormat="1" applyFont="1" applyFill="1" applyBorder="1" applyAlignment="1">
      <alignment horizontal="center" vertical="center" wrapText="1"/>
    </xf>
    <xf numFmtId="185" fontId="124" fillId="0" borderId="5" xfId="0" applyNumberFormat="1" applyFont="1" applyFill="1" applyBorder="1" applyAlignment="1">
      <alignment horizontal="center" vertical="center" wrapText="1"/>
    </xf>
    <xf numFmtId="192" fontId="12" fillId="0" borderId="5" xfId="0" applyNumberFormat="1" applyFont="1" applyFill="1" applyBorder="1" applyAlignment="1">
      <alignment horizontal="center" vertical="center"/>
    </xf>
    <xf numFmtId="191" fontId="12" fillId="0" borderId="5" xfId="0" applyNumberFormat="1" applyFont="1" applyFill="1" applyBorder="1" applyAlignment="1">
      <alignment horizontal="center" vertical="center"/>
    </xf>
    <xf numFmtId="191" fontId="12" fillId="0" borderId="5" xfId="0" applyNumberFormat="1" applyFont="1" applyFill="1" applyBorder="1" applyAlignment="1">
      <alignment horizontal="center" vertical="center" wrapText="1"/>
    </xf>
    <xf numFmtId="186" fontId="32" fillId="0" borderId="5" xfId="0" applyNumberFormat="1" applyFont="1" applyFill="1" applyBorder="1" applyAlignment="1">
      <alignment horizontal="center" vertical="center" wrapText="1"/>
    </xf>
    <xf numFmtId="186" fontId="12" fillId="0" borderId="5" xfId="12" applyNumberFormat="1" applyFont="1" applyFill="1" applyBorder="1" applyAlignment="1">
      <alignment horizontal="center" vertical="center" wrapText="1"/>
    </xf>
    <xf numFmtId="186" fontId="12" fillId="0" borderId="15" xfId="0" applyNumberFormat="1" applyFont="1" applyFill="1" applyBorder="1" applyAlignment="1">
      <alignment horizontal="center" vertical="center"/>
    </xf>
    <xf numFmtId="186" fontId="12" fillId="0" borderId="5" xfId="0" applyNumberFormat="1" applyFont="1" applyFill="1" applyBorder="1" applyAlignment="1" applyProtection="1">
      <alignment horizontal="center" vertical="center" wrapText="1"/>
      <protection locked="0"/>
    </xf>
    <xf numFmtId="192" fontId="12" fillId="0" borderId="5" xfId="0" applyNumberFormat="1" applyFont="1" applyFill="1" applyBorder="1" applyAlignment="1" applyProtection="1">
      <alignment horizontal="center" vertical="center" wrapText="1"/>
      <protection locked="0"/>
    </xf>
    <xf numFmtId="191" fontId="12" fillId="0" borderId="5" xfId="0" applyNumberFormat="1" applyFont="1" applyFill="1" applyBorder="1" applyAlignment="1" applyProtection="1">
      <alignment horizontal="center" vertical="center" wrapText="1"/>
      <protection locked="0"/>
    </xf>
    <xf numFmtId="186" fontId="12" fillId="0" borderId="32" xfId="0" applyNumberFormat="1" applyFont="1" applyFill="1" applyBorder="1" applyAlignment="1">
      <alignment horizontal="center" vertical="center"/>
    </xf>
    <xf numFmtId="186" fontId="3" fillId="0" borderId="5" xfId="0" applyNumberFormat="1" applyFont="1" applyFill="1" applyBorder="1" applyAlignment="1">
      <alignment horizontal="center" vertical="center" wrapText="1"/>
    </xf>
    <xf numFmtId="186" fontId="3" fillId="0" borderId="5" xfId="0" applyNumberFormat="1" applyFont="1" applyFill="1" applyBorder="1" applyAlignment="1">
      <alignment horizontal="center" vertical="center"/>
    </xf>
    <xf numFmtId="0" fontId="3" fillId="0" borderId="29" xfId="0" applyNumberFormat="1" applyFont="1" applyFill="1" applyBorder="1" applyAlignment="1">
      <alignment horizontal="center" vertical="center"/>
    </xf>
    <xf numFmtId="177" fontId="12" fillId="0" borderId="29" xfId="0" applyNumberFormat="1" applyFont="1" applyFill="1" applyBorder="1" applyAlignment="1">
      <alignment horizontal="center" vertical="center"/>
    </xf>
    <xf numFmtId="184" fontId="3" fillId="0" borderId="29" xfId="0" applyNumberFormat="1" applyFont="1" applyFill="1" applyBorder="1" applyAlignment="1">
      <alignment horizontal="center" vertical="center"/>
    </xf>
    <xf numFmtId="0" fontId="12" fillId="0" borderId="5" xfId="8" applyNumberFormat="1" applyFont="1" applyFill="1" applyBorder="1" applyAlignment="1">
      <alignment horizontal="center" vertical="center"/>
    </xf>
    <xf numFmtId="43" fontId="12" fillId="0" borderId="5" xfId="2" applyNumberFormat="1" applyFont="1" applyFill="1" applyBorder="1" applyAlignment="1">
      <alignment horizontal="center" vertical="center"/>
    </xf>
    <xf numFmtId="43" fontId="12" fillId="0" borderId="5" xfId="72" applyNumberFormat="1" applyFont="1" applyFill="1" applyBorder="1" applyAlignment="1">
      <alignment horizontal="center" vertical="center"/>
    </xf>
    <xf numFmtId="43" fontId="12" fillId="0" borderId="5" xfId="71" applyFont="1" applyFill="1" applyBorder="1" applyAlignment="1">
      <alignment horizontal="center" vertical="center"/>
    </xf>
    <xf numFmtId="43" fontId="12" fillId="0" borderId="5" xfId="73" applyFont="1" applyFill="1" applyBorder="1" applyAlignment="1">
      <alignment horizontal="center" vertical="center"/>
    </xf>
    <xf numFmtId="0" fontId="12" fillId="0" borderId="5" xfId="14" applyNumberFormat="1" applyFont="1" applyFill="1" applyBorder="1" applyAlignment="1">
      <alignment horizontal="center" vertical="center"/>
    </xf>
    <xf numFmtId="0" fontId="24" fillId="0" borderId="5" xfId="0" applyNumberFormat="1" applyFont="1" applyFill="1" applyBorder="1" applyAlignment="1">
      <alignment horizontal="center"/>
    </xf>
    <xf numFmtId="0" fontId="12" fillId="0" borderId="5" xfId="0" applyNumberFormat="1" applyFont="1" applyFill="1" applyBorder="1" applyAlignment="1" applyProtection="1">
      <alignment horizontal="center" vertical="center" wrapText="1"/>
      <protection locked="0"/>
    </xf>
    <xf numFmtId="0" fontId="7" fillId="0" borderId="5" xfId="74" applyFont="1" applyFill="1" applyBorder="1" applyAlignment="1">
      <alignment horizontal="center" vertical="center"/>
    </xf>
    <xf numFmtId="0" fontId="12" fillId="0" borderId="5" xfId="74" applyFont="1" applyFill="1" applyBorder="1" applyAlignment="1">
      <alignment horizontal="center" vertical="center"/>
    </xf>
    <xf numFmtId="0" fontId="12" fillId="0" borderId="5" xfId="6" applyNumberFormat="1" applyFont="1" applyFill="1" applyBorder="1" applyAlignment="1">
      <alignment horizontal="center" vertical="center" wrapText="1"/>
    </xf>
    <xf numFmtId="0" fontId="7" fillId="0" borderId="5" xfId="74" applyFont="1" applyFill="1" applyBorder="1" applyAlignment="1">
      <alignment horizontal="center"/>
    </xf>
    <xf numFmtId="186" fontId="12" fillId="0" borderId="11" xfId="0" applyNumberFormat="1" applyFont="1" applyFill="1" applyBorder="1" applyAlignment="1">
      <alignment horizontal="center" vertical="center"/>
    </xf>
    <xf numFmtId="39" fontId="12" fillId="0" borderId="5" xfId="0" applyNumberFormat="1" applyFont="1" applyFill="1" applyBorder="1" applyAlignment="1" applyProtection="1">
      <alignment horizontal="center" vertical="center" wrapText="1"/>
      <protection locked="0"/>
    </xf>
    <xf numFmtId="190" fontId="12" fillId="0" borderId="5" xfId="0" applyNumberFormat="1" applyFont="1" applyFill="1" applyBorder="1" applyAlignment="1" applyProtection="1">
      <alignment horizontal="center" vertical="center" wrapText="1"/>
      <protection locked="0"/>
    </xf>
    <xf numFmtId="0" fontId="169" fillId="0" borderId="5" xfId="74" applyFont="1" applyFill="1" applyBorder="1" applyAlignment="1">
      <alignment horizontal="center" vertical="center" wrapText="1"/>
    </xf>
    <xf numFmtId="0" fontId="12" fillId="0" borderId="5" xfId="74" applyFont="1" applyFill="1" applyBorder="1" applyAlignment="1">
      <alignment horizontal="center"/>
    </xf>
    <xf numFmtId="49" fontId="12" fillId="0" borderId="5" xfId="73" applyNumberFormat="1" applyFont="1" applyFill="1" applyBorder="1" applyAlignment="1">
      <alignment horizontal="center" vertical="center"/>
    </xf>
    <xf numFmtId="0" fontId="12" fillId="0" borderId="5" xfId="71" applyNumberFormat="1" applyFont="1" applyFill="1" applyBorder="1" applyAlignment="1">
      <alignment horizontal="center" vertical="center"/>
    </xf>
    <xf numFmtId="186" fontId="12" fillId="0" borderId="5" xfId="14" applyNumberFormat="1" applyFont="1" applyFill="1" applyBorder="1" applyAlignment="1">
      <alignment horizontal="center" vertical="center"/>
    </xf>
    <xf numFmtId="186" fontId="12" fillId="0" borderId="5" xfId="73" applyNumberFormat="1" applyFont="1" applyFill="1" applyBorder="1" applyAlignment="1">
      <alignment horizontal="center" vertical="center"/>
    </xf>
    <xf numFmtId="0" fontId="12" fillId="0" borderId="5" xfId="73" applyNumberFormat="1" applyFont="1" applyFill="1" applyBorder="1" applyAlignment="1">
      <alignment horizontal="center" vertical="center"/>
    </xf>
    <xf numFmtId="0" fontId="24" fillId="0" borderId="0" xfId="0" applyNumberFormat="1" applyFont="1" applyFill="1" applyAlignment="1">
      <alignment horizontal="center" vertical="center"/>
    </xf>
    <xf numFmtId="49" fontId="12" fillId="0" borderId="23" xfId="0" applyNumberFormat="1" applyFont="1" applyFill="1" applyBorder="1" applyAlignment="1">
      <alignment horizontal="center" vertical="center"/>
    </xf>
    <xf numFmtId="49" fontId="34" fillId="0" borderId="5" xfId="0" applyNumberFormat="1" applyFont="1" applyFill="1" applyBorder="1" applyAlignment="1">
      <alignment horizontal="center" vertical="center"/>
    </xf>
    <xf numFmtId="186" fontId="34" fillId="0" borderId="5" xfId="0" applyNumberFormat="1" applyFont="1" applyFill="1" applyBorder="1" applyAlignment="1">
      <alignment horizontal="center" vertical="center"/>
    </xf>
    <xf numFmtId="0" fontId="32" fillId="0" borderId="5" xfId="75" applyNumberFormat="1" applyFont="1" applyFill="1" applyBorder="1" applyAlignment="1">
      <alignment horizontal="center" vertical="center" shrinkToFit="1"/>
      <protection locked="0"/>
    </xf>
    <xf numFmtId="186" fontId="4" fillId="0" borderId="5" xfId="0" applyNumberFormat="1" applyFont="1" applyFill="1" applyBorder="1" applyAlignment="1"/>
    <xf numFmtId="0" fontId="12" fillId="0" borderId="5" xfId="17" applyNumberFormat="1" applyFont="1" applyFill="1" applyBorder="1" applyAlignment="1">
      <alignment horizontal="center" vertical="center"/>
    </xf>
    <xf numFmtId="0" fontId="7" fillId="0" borderId="29" xfId="0" applyNumberFormat="1" applyFont="1" applyFill="1" applyBorder="1" applyAlignment="1">
      <alignment horizontal="center" vertical="center"/>
    </xf>
    <xf numFmtId="0" fontId="16" fillId="0" borderId="5" xfId="0" applyNumberFormat="1" applyFont="1" applyFill="1" applyBorder="1" applyAlignment="1">
      <alignment horizontal="center"/>
    </xf>
    <xf numFmtId="39" fontId="3" fillId="0" borderId="5" xfId="0" applyNumberFormat="1" applyFont="1" applyFill="1" applyBorder="1" applyAlignment="1" applyProtection="1">
      <alignment horizontal="center" vertical="center"/>
    </xf>
    <xf numFmtId="176" fontId="3" fillId="0" borderId="5" xfId="0" applyNumberFormat="1" applyFont="1" applyFill="1" applyBorder="1" applyAlignment="1" applyProtection="1">
      <alignment horizontal="center" vertical="center" wrapText="1" shrinkToFit="1"/>
    </xf>
    <xf numFmtId="0" fontId="12" fillId="0" borderId="5" xfId="70" applyFont="1" applyFill="1" applyBorder="1" applyAlignment="1">
      <alignment horizontal="center" vertical="center"/>
    </xf>
    <xf numFmtId="186" fontId="24" fillId="0" borderId="5" xfId="0" applyNumberFormat="1" applyFont="1" applyFill="1" applyBorder="1" applyAlignment="1">
      <alignment vertical="center"/>
    </xf>
    <xf numFmtId="186" fontId="12" fillId="0" borderId="5" xfId="8" applyNumberFormat="1" applyFont="1" applyFill="1" applyBorder="1" applyAlignment="1">
      <alignment horizontal="center" vertical="center"/>
    </xf>
    <xf numFmtId="186" fontId="12" fillId="0" borderId="29" xfId="14" applyNumberFormat="1" applyFont="1" applyFill="1" applyBorder="1" applyAlignment="1">
      <alignment horizontal="center" vertical="center"/>
    </xf>
    <xf numFmtId="186" fontId="7" fillId="0" borderId="29" xfId="0" applyNumberFormat="1" applyFont="1" applyFill="1" applyBorder="1" applyAlignment="1">
      <alignment horizontal="center" vertical="center"/>
    </xf>
    <xf numFmtId="0" fontId="84" fillId="0" borderId="5" xfId="0" applyNumberFormat="1" applyFont="1" applyFill="1" applyBorder="1" applyAlignment="1">
      <alignment horizontal="center" vertical="center" wrapText="1"/>
    </xf>
    <xf numFmtId="0" fontId="7" fillId="0" borderId="20" xfId="0" applyNumberFormat="1" applyFont="1" applyFill="1" applyBorder="1" applyAlignment="1">
      <alignment horizontal="center" vertical="center"/>
    </xf>
    <xf numFmtId="191" fontId="12" fillId="0" borderId="5" xfId="73" applyNumberFormat="1" applyFont="1" applyFill="1" applyBorder="1" applyAlignment="1">
      <alignment horizontal="center" vertical="center"/>
    </xf>
    <xf numFmtId="191" fontId="12" fillId="0" borderId="5" xfId="11" applyNumberFormat="1" applyFont="1" applyFill="1" applyBorder="1" applyAlignment="1">
      <alignment horizontal="center" vertical="center"/>
    </xf>
    <xf numFmtId="186" fontId="12" fillId="0" borderId="5" xfId="0" applyNumberFormat="1" applyFont="1" applyFill="1" applyBorder="1" applyAlignment="1">
      <alignment horizontal="center"/>
    </xf>
    <xf numFmtId="186" fontId="12" fillId="0" borderId="5" xfId="0" applyNumberFormat="1" applyFont="1" applyFill="1" applyBorder="1" applyAlignment="1"/>
    <xf numFmtId="0" fontId="12" fillId="0" borderId="5" xfId="74" applyFont="1" applyFill="1" applyBorder="1" applyAlignment="1">
      <alignment horizontal="center" vertical="center" wrapText="1"/>
    </xf>
    <xf numFmtId="49" fontId="12" fillId="0" borderId="15" xfId="0" applyNumberFormat="1" applyFont="1" applyFill="1" applyBorder="1" applyAlignment="1">
      <alignment horizontal="center" vertical="center"/>
    </xf>
    <xf numFmtId="186" fontId="32" fillId="0" borderId="30" xfId="0" applyNumberFormat="1" applyFont="1" applyFill="1" applyBorder="1" applyAlignment="1">
      <alignment horizontal="center" vertical="center" wrapText="1"/>
    </xf>
    <xf numFmtId="186" fontId="32" fillId="0" borderId="15" xfId="0" applyNumberFormat="1" applyFont="1" applyFill="1" applyBorder="1" applyAlignment="1">
      <alignment horizontal="center" vertical="center" wrapText="1"/>
    </xf>
    <xf numFmtId="0" fontId="32" fillId="0" borderId="15" xfId="0" applyNumberFormat="1" applyFont="1" applyFill="1" applyBorder="1" applyAlignment="1">
      <alignment horizontal="center" vertical="center" wrapText="1"/>
    </xf>
    <xf numFmtId="0" fontId="72" fillId="0" borderId="15" xfId="0" applyNumberFormat="1" applyFont="1" applyFill="1" applyBorder="1" applyAlignment="1">
      <alignment horizontal="center" vertical="center"/>
    </xf>
    <xf numFmtId="186" fontId="72" fillId="0" borderId="15" xfId="0" applyNumberFormat="1" applyFont="1" applyFill="1" applyBorder="1" applyAlignment="1">
      <alignment horizontal="center" vertical="center"/>
    </xf>
    <xf numFmtId="49" fontId="32" fillId="0" borderId="15" xfId="0" applyNumberFormat="1" applyFont="1" applyFill="1" applyBorder="1" applyAlignment="1">
      <alignment horizontal="center" vertical="center" wrapText="1"/>
    </xf>
    <xf numFmtId="186" fontId="12" fillId="0" borderId="32" xfId="2" applyNumberFormat="1" applyFont="1" applyFill="1" applyBorder="1" applyAlignment="1">
      <alignment horizontal="center" vertical="center" wrapText="1"/>
    </xf>
    <xf numFmtId="186" fontId="12" fillId="0" borderId="26" xfId="0" applyNumberFormat="1" applyFont="1" applyFill="1" applyBorder="1" applyAlignment="1">
      <alignment horizontal="center" vertical="center"/>
    </xf>
    <xf numFmtId="0" fontId="11" fillId="0" borderId="15" xfId="0" applyNumberFormat="1" applyFont="1" applyFill="1" applyBorder="1" applyAlignment="1">
      <alignment horizontal="center" vertical="center"/>
    </xf>
    <xf numFmtId="186" fontId="7" fillId="0" borderId="30" xfId="0" applyNumberFormat="1" applyFont="1" applyFill="1" applyBorder="1" applyAlignment="1">
      <alignment horizontal="center" vertical="center" wrapText="1"/>
    </xf>
    <xf numFmtId="186" fontId="7" fillId="0" borderId="15" xfId="0" applyNumberFormat="1" applyFont="1" applyFill="1" applyBorder="1" applyAlignment="1">
      <alignment horizontal="center" vertical="center" wrapText="1"/>
    </xf>
    <xf numFmtId="0" fontId="11" fillId="0" borderId="15" xfId="0" applyNumberFormat="1" applyFont="1" applyFill="1" applyBorder="1" applyAlignment="1">
      <alignment horizontal="center" vertical="center" wrapText="1"/>
    </xf>
    <xf numFmtId="0" fontId="12" fillId="0" borderId="15" xfId="0" applyNumberFormat="1" applyFont="1" applyFill="1" applyBorder="1" applyAlignment="1" applyProtection="1">
      <alignment horizontal="center" vertical="center" wrapText="1"/>
      <protection locked="0"/>
    </xf>
    <xf numFmtId="0" fontId="12" fillId="0" borderId="0" xfId="0" applyNumberFormat="1" applyFont="1" applyFill="1" applyBorder="1" applyAlignment="1">
      <alignment horizontal="center" vertical="center"/>
    </xf>
    <xf numFmtId="186" fontId="17" fillId="0" borderId="0" xfId="0" applyNumberFormat="1" applyFont="1" applyFill="1" applyBorder="1" applyAlignment="1">
      <alignment horizontal="center" vertical="center" wrapText="1"/>
    </xf>
    <xf numFmtId="0" fontId="7" fillId="0" borderId="0" xfId="0" applyNumberFormat="1" applyFont="1" applyFill="1" applyBorder="1" applyAlignment="1">
      <alignment horizontal="center" vertical="center" wrapText="1"/>
    </xf>
    <xf numFmtId="186" fontId="7" fillId="0" borderId="0" xfId="0" applyNumberFormat="1" applyFont="1" applyFill="1" applyBorder="1" applyAlignment="1">
      <alignment horizontal="center" vertical="center" wrapText="1"/>
    </xf>
    <xf numFmtId="0" fontId="11" fillId="0" borderId="0" xfId="0" applyNumberFormat="1" applyFont="1" applyFill="1" applyBorder="1" applyAlignment="1">
      <alignment horizontal="center" vertical="center" wrapText="1"/>
    </xf>
    <xf numFmtId="0" fontId="72" fillId="0" borderId="0" xfId="0" applyNumberFormat="1" applyFont="1" applyFill="1" applyBorder="1" applyAlignment="1">
      <alignment horizontal="center" vertical="center"/>
    </xf>
    <xf numFmtId="186" fontId="72" fillId="0" borderId="0" xfId="0" applyNumberFormat="1" applyFont="1" applyFill="1" applyBorder="1" applyAlignment="1">
      <alignment horizontal="center" vertical="center"/>
    </xf>
    <xf numFmtId="0" fontId="12" fillId="0" borderId="0" xfId="0" applyNumberFormat="1" applyFont="1" applyFill="1" applyBorder="1" applyAlignment="1" applyProtection="1">
      <alignment horizontal="center" vertical="center" wrapText="1"/>
      <protection locked="0"/>
    </xf>
    <xf numFmtId="186" fontId="12" fillId="0" borderId="0" xfId="0" applyNumberFormat="1" applyFont="1" applyFill="1" applyBorder="1" applyAlignment="1">
      <alignment horizontal="center" vertical="center"/>
    </xf>
    <xf numFmtId="186" fontId="24" fillId="0" borderId="0" xfId="0" applyNumberFormat="1" applyFont="1" applyFill="1" applyBorder="1" applyAlignment="1"/>
    <xf numFmtId="0" fontId="3" fillId="0" borderId="0" xfId="0" applyNumberFormat="1" applyFont="1" applyFill="1" applyBorder="1" applyAlignment="1" applyProtection="1">
      <alignment horizontal="center" vertical="center"/>
    </xf>
    <xf numFmtId="0" fontId="3" fillId="0" borderId="0" xfId="0" applyNumberFormat="1" applyFont="1" applyFill="1" applyBorder="1" applyAlignment="1" applyProtection="1">
      <alignment horizontal="center" vertical="center" wrapText="1" shrinkToFit="1"/>
    </xf>
    <xf numFmtId="0" fontId="12" fillId="0" borderId="0" xfId="2" applyNumberFormat="1" applyFont="1" applyFill="1" applyBorder="1" applyAlignment="1">
      <alignment horizontal="center" vertical="center"/>
    </xf>
    <xf numFmtId="186" fontId="12" fillId="0" borderId="0" xfId="2" applyNumberFormat="1" applyFont="1" applyFill="1" applyBorder="1" applyAlignment="1">
      <alignment horizontal="center" vertical="center" wrapText="1"/>
    </xf>
    <xf numFmtId="186" fontId="12" fillId="0" borderId="0" xfId="17" applyNumberFormat="1" applyFont="1" applyFill="1" applyBorder="1" applyAlignment="1">
      <alignment horizontal="center" vertical="center"/>
    </xf>
    <xf numFmtId="0" fontId="12" fillId="0" borderId="0" xfId="4" applyNumberFormat="1" applyFont="1" applyFill="1" applyBorder="1" applyAlignment="1">
      <alignment horizontal="center" vertical="center"/>
    </xf>
    <xf numFmtId="0" fontId="12" fillId="0" borderId="0" xfId="57" applyNumberFormat="1" applyFont="1" applyFill="1" applyBorder="1" applyAlignment="1">
      <alignment horizontal="center" vertical="center"/>
    </xf>
    <xf numFmtId="0" fontId="12" fillId="0" borderId="0" xfId="71" applyNumberFormat="1" applyFont="1" applyFill="1" applyBorder="1" applyAlignment="1">
      <alignment horizontal="center" vertical="center"/>
    </xf>
    <xf numFmtId="0" fontId="12" fillId="0" borderId="0" xfId="0" applyNumberFormat="1" applyFont="1" applyFill="1" applyBorder="1" applyAlignment="1">
      <alignment horizontal="center" vertical="center" wrapText="1"/>
    </xf>
    <xf numFmtId="186" fontId="12" fillId="0" borderId="0" xfId="0" applyNumberFormat="1" applyFont="1" applyFill="1" applyBorder="1" applyAlignment="1">
      <alignment horizontal="center" vertical="center" wrapText="1"/>
    </xf>
    <xf numFmtId="186" fontId="12" fillId="0" borderId="5" xfId="0" applyNumberFormat="1" applyFont="1" applyFill="1" applyBorder="1" applyAlignment="1">
      <alignment horizontal="center" vertical="center"/>
    </xf>
    <xf numFmtId="0" fontId="26" fillId="0" borderId="0" xfId="69" applyFont="1" applyFill="1" applyAlignment="1">
      <alignment horizontal="left" vertical="center"/>
    </xf>
    <xf numFmtId="0" fontId="26" fillId="0" borderId="0" xfId="69" applyFont="1">
      <alignment vertical="center"/>
    </xf>
    <xf numFmtId="0" fontId="26" fillId="0" borderId="0" xfId="69" applyFont="1" applyAlignment="1">
      <alignment horizontal="center" vertical="center"/>
    </xf>
    <xf numFmtId="0" fontId="34" fillId="0" borderId="5" xfId="69" applyFont="1" applyFill="1" applyBorder="1" applyAlignment="1">
      <alignment horizontal="center" vertical="center"/>
    </xf>
    <xf numFmtId="0" fontId="34" fillId="0" borderId="5" xfId="69" applyFont="1" applyFill="1" applyBorder="1" applyAlignment="1">
      <alignment horizontal="center" vertical="center" wrapText="1"/>
    </xf>
    <xf numFmtId="0" fontId="12" fillId="3" borderId="5" xfId="69" applyFont="1" applyFill="1" applyBorder="1" applyAlignment="1">
      <alignment horizontal="center" vertical="center"/>
    </xf>
    <xf numFmtId="0" fontId="12" fillId="3" borderId="5" xfId="69" applyFont="1" applyFill="1" applyBorder="1" applyAlignment="1">
      <alignment horizontal="center" vertical="center" wrapText="1"/>
    </xf>
    <xf numFmtId="0" fontId="171" fillId="0" borderId="5" xfId="0" applyFont="1" applyFill="1" applyBorder="1" applyAlignment="1">
      <alignment horizontal="center" vertical="center" wrapText="1"/>
    </xf>
    <xf numFmtId="0" fontId="37" fillId="0" borderId="25" xfId="0" applyFont="1" applyFill="1" applyBorder="1" applyAlignment="1">
      <alignment vertical="center" wrapText="1"/>
    </xf>
    <xf numFmtId="0" fontId="9" fillId="0" borderId="13" xfId="0" applyNumberFormat="1" applyFont="1" applyBorder="1" applyAlignment="1">
      <alignment horizontal="center" vertical="center" wrapText="1"/>
    </xf>
    <xf numFmtId="0" fontId="12" fillId="0" borderId="20" xfId="69" applyFont="1" applyFill="1" applyBorder="1" applyAlignment="1">
      <alignment horizontal="center" vertical="center" wrapText="1"/>
    </xf>
    <xf numFmtId="0" fontId="37" fillId="0" borderId="5" xfId="0" applyFont="1" applyBorder="1" applyAlignment="1">
      <alignment horizontal="center"/>
    </xf>
    <xf numFmtId="0" fontId="0" fillId="0" borderId="0" xfId="0" applyAlignment="1">
      <alignment horizontal="center"/>
    </xf>
    <xf numFmtId="0" fontId="5" fillId="0" borderId="1" xfId="0" applyNumberFormat="1" applyFont="1" applyFill="1" applyBorder="1" applyAlignment="1">
      <alignment horizontal="center" vertical="center"/>
    </xf>
    <xf numFmtId="177" fontId="5" fillId="0" borderId="1" xfId="0" applyNumberFormat="1" applyFont="1" applyFill="1" applyBorder="1" applyAlignment="1">
      <alignment horizontal="center" vertical="center"/>
    </xf>
    <xf numFmtId="57" fontId="6" fillId="0" borderId="2" xfId="0" applyNumberFormat="1" applyFont="1" applyFill="1" applyBorder="1" applyAlignment="1">
      <alignment horizontal="center" vertical="center"/>
    </xf>
    <xf numFmtId="0" fontId="6" fillId="0" borderId="2" xfId="0" applyNumberFormat="1" applyFont="1" applyFill="1" applyBorder="1" applyAlignment="1">
      <alignment horizontal="center" vertical="center"/>
    </xf>
    <xf numFmtId="177" fontId="6" fillId="0" borderId="2" xfId="0" applyNumberFormat="1" applyFont="1" applyFill="1" applyBorder="1" applyAlignment="1">
      <alignment horizontal="center" vertical="center"/>
    </xf>
    <xf numFmtId="0" fontId="7" fillId="0" borderId="3" xfId="0" applyNumberFormat="1" applyFont="1" applyFill="1" applyBorder="1" applyAlignment="1">
      <alignment horizontal="center" vertical="center"/>
    </xf>
    <xf numFmtId="0" fontId="7" fillId="0" borderId="3" xfId="0" applyNumberFormat="1" applyFont="1" applyFill="1" applyBorder="1" applyAlignment="1">
      <alignment horizontal="center" vertical="center" wrapText="1"/>
    </xf>
    <xf numFmtId="176" fontId="7" fillId="0" borderId="3" xfId="0" applyNumberFormat="1" applyFont="1" applyFill="1" applyBorder="1" applyAlignment="1">
      <alignment horizontal="center" vertical="center" wrapText="1"/>
    </xf>
    <xf numFmtId="0" fontId="21" fillId="0" borderId="0" xfId="0" applyNumberFormat="1" applyFont="1" applyFill="1" applyAlignment="1">
      <alignment vertical="top" wrapText="1"/>
    </xf>
    <xf numFmtId="0" fontId="23" fillId="0" borderId="0" xfId="0" applyNumberFormat="1" applyFont="1" applyFill="1" applyAlignment="1">
      <alignment vertical="top" wrapText="1"/>
    </xf>
    <xf numFmtId="0" fontId="11" fillId="0" borderId="0" xfId="0" applyNumberFormat="1" applyFont="1" applyFill="1" applyAlignment="1">
      <alignment horizontal="left" vertical="center" wrapText="1"/>
    </xf>
    <xf numFmtId="176" fontId="11" fillId="0" borderId="0" xfId="0" applyNumberFormat="1" applyFont="1" applyFill="1" applyAlignment="1">
      <alignment horizontal="left" vertical="center" wrapText="1"/>
    </xf>
    <xf numFmtId="0" fontId="24" fillId="0" borderId="0" xfId="0" applyNumberFormat="1" applyFont="1" applyFill="1" applyAlignment="1"/>
    <xf numFmtId="0" fontId="7" fillId="0" borderId="10"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176" fontId="7" fillId="0" borderId="9" xfId="0" applyNumberFormat="1" applyFont="1" applyFill="1" applyBorder="1" applyAlignment="1">
      <alignment horizontal="center" vertical="center" wrapText="1"/>
    </xf>
    <xf numFmtId="176" fontId="7" fillId="0" borderId="10" xfId="0" applyNumberFormat="1" applyFont="1" applyFill="1" applyBorder="1" applyAlignment="1">
      <alignment horizontal="center" vertical="center" wrapText="1"/>
    </xf>
    <xf numFmtId="176" fontId="7" fillId="0" borderId="4" xfId="0" applyNumberFormat="1" applyFont="1" applyFill="1" applyBorder="1" applyAlignment="1">
      <alignment horizontal="center" vertical="center" wrapText="1"/>
    </xf>
    <xf numFmtId="0" fontId="0" fillId="0" borderId="17" xfId="0" applyNumberFormat="1" applyFont="1" applyFill="1" applyBorder="1" applyAlignment="1">
      <alignment horizontal="left" vertical="center" wrapText="1"/>
    </xf>
    <xf numFmtId="0" fontId="11" fillId="0" borderId="17" xfId="0" applyNumberFormat="1" applyFont="1" applyFill="1" applyBorder="1" applyAlignment="1">
      <alignment horizontal="left" vertical="center" wrapText="1"/>
    </xf>
    <xf numFmtId="177" fontId="11" fillId="0" borderId="17" xfId="0" applyNumberFormat="1" applyFont="1" applyFill="1" applyBorder="1" applyAlignment="1">
      <alignment horizontal="left" vertical="center" wrapText="1"/>
    </xf>
    <xf numFmtId="0" fontId="29" fillId="0" borderId="18" xfId="3" applyFont="1" applyBorder="1" applyAlignment="1">
      <alignment horizontal="center" vertical="center"/>
    </xf>
    <xf numFmtId="57" fontId="30" fillId="0" borderId="19" xfId="3" applyNumberFormat="1" applyFont="1" applyBorder="1" applyAlignment="1">
      <alignment horizontal="center" vertical="center" wrapText="1"/>
    </xf>
    <xf numFmtId="0" fontId="30" fillId="0" borderId="19" xfId="3" applyFont="1" applyBorder="1" applyAlignment="1">
      <alignment horizontal="center" vertical="center" wrapText="1"/>
    </xf>
    <xf numFmtId="0" fontId="31" fillId="0" borderId="5" xfId="2" applyNumberFormat="1" applyFont="1" applyFill="1" applyBorder="1" applyAlignment="1">
      <alignment horizontal="center" vertical="center" wrapText="1"/>
    </xf>
    <xf numFmtId="0" fontId="32" fillId="0" borderId="5" xfId="2" applyNumberFormat="1" applyFont="1" applyFill="1" applyBorder="1" applyAlignment="1">
      <alignment horizontal="center" vertical="center" wrapText="1"/>
    </xf>
    <xf numFmtId="0" fontId="31" fillId="0" borderId="15" xfId="2" applyNumberFormat="1" applyFont="1" applyFill="1" applyBorder="1" applyAlignment="1">
      <alignment horizontal="center" vertical="center" wrapText="1"/>
    </xf>
    <xf numFmtId="0" fontId="31" fillId="0" borderId="20" xfId="2" applyNumberFormat="1"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23" xfId="2" applyNumberFormat="1" applyFont="1" applyFill="1" applyBorder="1" applyAlignment="1">
      <alignment horizontal="center" vertical="center" wrapText="1"/>
    </xf>
    <xf numFmtId="0" fontId="31" fillId="0" borderId="23" xfId="2" applyNumberFormat="1" applyFont="1" applyFill="1" applyBorder="1" applyAlignment="1">
      <alignment horizontal="center" vertical="center"/>
    </xf>
    <xf numFmtId="0" fontId="31" fillId="0" borderId="20" xfId="2" applyNumberFormat="1" applyFont="1" applyFill="1" applyBorder="1" applyAlignment="1">
      <alignment horizontal="center" vertical="center"/>
    </xf>
    <xf numFmtId="0" fontId="31" fillId="0" borderId="24" xfId="2" applyNumberFormat="1" applyFont="1" applyFill="1" applyBorder="1" applyAlignment="1">
      <alignment horizontal="center" vertical="center" wrapText="1"/>
    </xf>
    <xf numFmtId="0" fontId="31" fillId="0" borderId="25" xfId="2" applyNumberFormat="1" applyFont="1" applyFill="1" applyBorder="1" applyAlignment="1">
      <alignment horizontal="center" vertical="center" wrapText="1"/>
    </xf>
    <xf numFmtId="177" fontId="50" fillId="4" borderId="15" xfId="0" applyNumberFormat="1" applyFont="1" applyFill="1" applyBorder="1" applyAlignment="1">
      <alignment horizontal="center" vertical="center"/>
    </xf>
    <xf numFmtId="177" fontId="50" fillId="4" borderId="23" xfId="0" applyNumberFormat="1" applyFont="1" applyFill="1" applyBorder="1" applyAlignment="1">
      <alignment horizontal="center" vertical="center"/>
    </xf>
    <xf numFmtId="177" fontId="50" fillId="4" borderId="20" xfId="0" applyNumberFormat="1" applyFont="1" applyFill="1" applyBorder="1" applyAlignment="1">
      <alignment horizontal="center" vertical="center"/>
    </xf>
    <xf numFmtId="177" fontId="31" fillId="0" borderId="15" xfId="2" applyNumberFormat="1" applyFont="1" applyFill="1" applyBorder="1" applyAlignment="1">
      <alignment horizontal="center" vertical="center" wrapText="1"/>
    </xf>
    <xf numFmtId="177" fontId="31" fillId="0" borderId="23" xfId="2" applyNumberFormat="1" applyFont="1" applyFill="1" applyBorder="1" applyAlignment="1">
      <alignment horizontal="center" vertical="center" wrapText="1"/>
    </xf>
    <xf numFmtId="177" fontId="31" fillId="0" borderId="20" xfId="2" applyNumberFormat="1" applyFont="1" applyFill="1" applyBorder="1" applyAlignment="1">
      <alignment horizontal="center" vertical="center" wrapText="1"/>
    </xf>
    <xf numFmtId="177" fontId="31" fillId="0" borderId="15" xfId="0" applyNumberFormat="1" applyFont="1" applyFill="1" applyBorder="1" applyAlignment="1">
      <alignment horizontal="center" vertical="center" wrapText="1"/>
    </xf>
    <xf numFmtId="177" fontId="31" fillId="0" borderId="23" xfId="0" applyNumberFormat="1" applyFont="1" applyFill="1" applyBorder="1" applyAlignment="1">
      <alignment horizontal="center" vertical="center" wrapText="1"/>
    </xf>
    <xf numFmtId="177" fontId="31" fillId="0" borderId="20" xfId="0" applyNumberFormat="1" applyFont="1" applyFill="1" applyBorder="1" applyAlignment="1">
      <alignment horizontal="center" vertical="center" wrapText="1"/>
    </xf>
    <xf numFmtId="0" fontId="31" fillId="0" borderId="11" xfId="2" applyNumberFormat="1" applyFont="1" applyFill="1" applyBorder="1" applyAlignment="1">
      <alignment horizontal="center" vertical="center" wrapText="1"/>
    </xf>
    <xf numFmtId="0" fontId="31" fillId="0" borderId="15" xfId="2" applyNumberFormat="1" applyFont="1" applyFill="1" applyBorder="1" applyAlignment="1">
      <alignment horizontal="center" vertical="center"/>
    </xf>
    <xf numFmtId="0" fontId="31" fillId="0" borderId="26" xfId="2" applyNumberFormat="1" applyFont="1" applyFill="1" applyBorder="1" applyAlignment="1">
      <alignment horizontal="center" vertical="center" wrapText="1"/>
    </xf>
    <xf numFmtId="0" fontId="31" fillId="0" borderId="15" xfId="0" applyFont="1" applyFill="1" applyBorder="1" applyAlignment="1">
      <alignment horizontal="center" vertical="center"/>
    </xf>
    <xf numFmtId="0" fontId="31" fillId="0" borderId="23" xfId="0" applyFont="1" applyFill="1" applyBorder="1" applyAlignment="1">
      <alignment horizontal="center" vertical="center"/>
    </xf>
    <xf numFmtId="0" fontId="31" fillId="0" borderId="20" xfId="0" applyFont="1" applyFill="1" applyBorder="1" applyAlignment="1">
      <alignment horizontal="center" vertical="center"/>
    </xf>
    <xf numFmtId="0" fontId="50" fillId="4" borderId="15" xfId="0" applyFont="1" applyFill="1" applyBorder="1" applyAlignment="1">
      <alignment horizontal="center" vertical="center"/>
    </xf>
    <xf numFmtId="0" fontId="50" fillId="4" borderId="20" xfId="0" applyFont="1" applyFill="1" applyBorder="1" applyAlignment="1">
      <alignment horizontal="center" vertical="center"/>
    </xf>
    <xf numFmtId="179" fontId="31" fillId="0" borderId="15" xfId="2" applyNumberFormat="1" applyFont="1" applyFill="1" applyBorder="1" applyAlignment="1">
      <alignment horizontal="center" vertical="center" wrapText="1"/>
    </xf>
    <xf numFmtId="179" fontId="31" fillId="0" borderId="20" xfId="2" applyNumberFormat="1" applyFont="1" applyFill="1" applyBorder="1" applyAlignment="1">
      <alignment horizontal="center" vertical="center" wrapText="1"/>
    </xf>
    <xf numFmtId="0" fontId="50" fillId="4" borderId="23" xfId="0" applyFont="1" applyFill="1" applyBorder="1" applyAlignment="1">
      <alignment horizontal="center" vertical="center"/>
    </xf>
    <xf numFmtId="179" fontId="31" fillId="0" borderId="23" xfId="2" applyNumberFormat="1" applyFont="1" applyFill="1" applyBorder="1" applyAlignment="1">
      <alignment horizontal="center" vertical="center" wrapText="1"/>
    </xf>
    <xf numFmtId="0" fontId="37" fillId="0" borderId="5" xfId="0" applyFont="1" applyFill="1" applyBorder="1" applyAlignment="1">
      <alignment horizontal="center" vertical="center" wrapText="1"/>
    </xf>
    <xf numFmtId="0" fontId="44" fillId="0" borderId="15" xfId="0" applyFont="1" applyFill="1" applyBorder="1" applyAlignment="1">
      <alignment horizontal="center" vertical="center" wrapText="1"/>
    </xf>
    <xf numFmtId="0" fontId="44" fillId="0" borderId="23" xfId="0" applyFont="1" applyFill="1" applyBorder="1" applyAlignment="1">
      <alignment horizontal="center" vertical="center" wrapText="1"/>
    </xf>
    <xf numFmtId="0" fontId="44" fillId="0" borderId="20" xfId="0" applyFont="1" applyFill="1" applyBorder="1" applyAlignment="1">
      <alignment horizontal="center" vertical="center" wrapText="1"/>
    </xf>
    <xf numFmtId="0" fontId="35" fillId="0" borderId="5" xfId="10" applyFont="1" applyFill="1" applyBorder="1" applyAlignment="1">
      <alignment horizontal="center" vertical="center"/>
    </xf>
    <xf numFmtId="0" fontId="35" fillId="0" borderId="5" xfId="10" applyFont="1" applyFill="1" applyBorder="1" applyAlignment="1">
      <alignment horizontal="center" vertical="center" wrapText="1"/>
    </xf>
    <xf numFmtId="0" fontId="62" fillId="0" borderId="15" xfId="0" applyFont="1" applyFill="1" applyBorder="1" applyAlignment="1">
      <alignment horizontal="center" vertical="center" wrapText="1"/>
    </xf>
    <xf numFmtId="0" fontId="61" fillId="0" borderId="23" xfId="0" applyFont="1" applyFill="1" applyBorder="1" applyAlignment="1">
      <alignment horizontal="center" vertical="center" wrapText="1"/>
    </xf>
    <xf numFmtId="0" fontId="61" fillId="0" borderId="20" xfId="0" applyFont="1" applyFill="1" applyBorder="1" applyAlignment="1">
      <alignment horizontal="center" vertical="center" wrapText="1"/>
    </xf>
    <xf numFmtId="0" fontId="70" fillId="0" borderId="23" xfId="0" applyFont="1" applyFill="1" applyBorder="1" applyAlignment="1">
      <alignment horizontal="center" vertical="center" wrapText="1"/>
    </xf>
    <xf numFmtId="0" fontId="70" fillId="0" borderId="20" xfId="0" applyFont="1" applyFill="1" applyBorder="1" applyAlignment="1">
      <alignment horizontal="center" vertical="center" wrapText="1"/>
    </xf>
    <xf numFmtId="179" fontId="44" fillId="0" borderId="15" xfId="0" applyNumberFormat="1" applyFont="1" applyFill="1" applyBorder="1" applyAlignment="1">
      <alignment horizontal="center" vertical="center"/>
    </xf>
    <xf numFmtId="179" fontId="44" fillId="0" borderId="20" xfId="0" applyNumberFormat="1" applyFont="1" applyFill="1" applyBorder="1" applyAlignment="1">
      <alignment horizontal="center" vertical="center"/>
    </xf>
    <xf numFmtId="0" fontId="44" fillId="0" borderId="15" xfId="0" applyFont="1" applyFill="1" applyBorder="1" applyAlignment="1">
      <alignment horizontal="center" vertical="center"/>
    </xf>
    <xf numFmtId="0" fontId="44" fillId="0" borderId="20" xfId="0" applyFont="1" applyFill="1" applyBorder="1" applyAlignment="1">
      <alignment horizontal="center" vertical="center"/>
    </xf>
    <xf numFmtId="0" fontId="89" fillId="6" borderId="15" xfId="0" applyFont="1" applyFill="1" applyBorder="1" applyAlignment="1">
      <alignment horizontal="center" vertical="center" wrapText="1"/>
    </xf>
    <xf numFmtId="0" fontId="89" fillId="6" borderId="23" xfId="0" applyFont="1" applyFill="1" applyBorder="1" applyAlignment="1">
      <alignment horizontal="center" vertical="center" wrapText="1"/>
    </xf>
    <xf numFmtId="0" fontId="89" fillId="6" borderId="20" xfId="0" applyFont="1" applyFill="1" applyBorder="1" applyAlignment="1">
      <alignment horizontal="center" vertical="center" wrapText="1"/>
    </xf>
    <xf numFmtId="0" fontId="43" fillId="0" borderId="15" xfId="0" applyFont="1" applyFill="1" applyBorder="1" applyAlignment="1">
      <alignment horizontal="center" vertical="center" wrapText="1"/>
    </xf>
    <xf numFmtId="0" fontId="43" fillId="0" borderId="20" xfId="0" applyFont="1" applyFill="1" applyBorder="1" applyAlignment="1">
      <alignment horizontal="center" vertical="center" wrapText="1"/>
    </xf>
    <xf numFmtId="177" fontId="44" fillId="0" borderId="15" xfId="0" applyNumberFormat="1" applyFont="1" applyFill="1" applyBorder="1" applyAlignment="1">
      <alignment horizontal="center" vertical="center"/>
    </xf>
    <xf numFmtId="177" fontId="44" fillId="0" borderId="20" xfId="0" applyNumberFormat="1" applyFont="1" applyFill="1" applyBorder="1" applyAlignment="1">
      <alignment horizontal="center" vertical="center"/>
    </xf>
    <xf numFmtId="0" fontId="44" fillId="0" borderId="23" xfId="0" applyFont="1" applyFill="1" applyBorder="1" applyAlignment="1">
      <alignment horizontal="center" vertical="center"/>
    </xf>
    <xf numFmtId="0" fontId="47" fillId="0" borderId="15" xfId="10" applyFont="1" applyFill="1" applyBorder="1" applyAlignment="1">
      <alignment horizontal="center" vertical="center"/>
    </xf>
    <xf numFmtId="0" fontId="47" fillId="0" borderId="23" xfId="10" applyFont="1" applyFill="1" applyBorder="1" applyAlignment="1">
      <alignment horizontal="center" vertical="center"/>
    </xf>
    <xf numFmtId="0" fontId="102" fillId="0" borderId="0" xfId="0" applyFont="1" applyFill="1" applyBorder="1" applyAlignment="1">
      <alignment horizontal="left" vertical="center" wrapText="1"/>
    </xf>
    <xf numFmtId="0" fontId="37" fillId="0" borderId="11" xfId="0" applyFont="1" applyFill="1" applyBorder="1" applyAlignment="1">
      <alignment horizontal="center" vertical="center"/>
    </xf>
    <xf numFmtId="0" fontId="37" fillId="0" borderId="19" xfId="0" applyFont="1" applyFill="1" applyBorder="1" applyAlignment="1">
      <alignment horizontal="center" vertical="center"/>
    </xf>
    <xf numFmtId="0" fontId="37" fillId="0" borderId="29" xfId="0" applyFont="1" applyFill="1" applyBorder="1" applyAlignment="1">
      <alignment horizontal="center" vertical="center"/>
    </xf>
    <xf numFmtId="0" fontId="37" fillId="0" borderId="15" xfId="0" applyFont="1" applyFill="1" applyBorder="1" applyAlignment="1">
      <alignment horizontal="center" vertical="center" wrapText="1"/>
    </xf>
    <xf numFmtId="0" fontId="37" fillId="0" borderId="23" xfId="0" applyFont="1" applyFill="1" applyBorder="1" applyAlignment="1">
      <alignment horizontal="center" vertical="center" wrapText="1"/>
    </xf>
    <xf numFmtId="0" fontId="37" fillId="0" borderId="20" xfId="0" applyFont="1" applyFill="1" applyBorder="1" applyAlignment="1">
      <alignment horizontal="center" vertical="center" wrapText="1"/>
    </xf>
    <xf numFmtId="0" fontId="44" fillId="4" borderId="23" xfId="0" applyFont="1" applyFill="1" applyBorder="1" applyAlignment="1">
      <alignment horizontal="center" vertical="center" wrapText="1"/>
    </xf>
    <xf numFmtId="0" fontId="44" fillId="4" borderId="20" xfId="0" applyFont="1" applyFill="1" applyBorder="1" applyAlignment="1">
      <alignment horizontal="center" vertical="center" wrapText="1"/>
    </xf>
    <xf numFmtId="0" fontId="29" fillId="0" borderId="18" xfId="3" applyNumberFormat="1" applyFont="1" applyFill="1" applyBorder="1" applyAlignment="1">
      <alignment horizontal="center" vertical="center"/>
    </xf>
    <xf numFmtId="186" fontId="29" fillId="0" borderId="18" xfId="3" applyNumberFormat="1" applyFont="1" applyFill="1" applyBorder="1" applyAlignment="1">
      <alignment horizontal="center" vertical="center"/>
    </xf>
    <xf numFmtId="0" fontId="30" fillId="0" borderId="5" xfId="3" applyNumberFormat="1" applyFont="1" applyFill="1" applyBorder="1" applyAlignment="1">
      <alignment horizontal="center" vertical="center"/>
    </xf>
    <xf numFmtId="186" fontId="30" fillId="0" borderId="5" xfId="3" applyNumberFormat="1" applyFont="1" applyFill="1" applyBorder="1" applyAlignment="1">
      <alignment horizontal="center" vertical="center"/>
    </xf>
    <xf numFmtId="0" fontId="31" fillId="0" borderId="5" xfId="2" applyNumberFormat="1" applyFont="1" applyFill="1" applyBorder="1" applyAlignment="1">
      <alignment horizontal="center" vertical="center"/>
    </xf>
    <xf numFmtId="186" fontId="31" fillId="0" borderId="5" xfId="2" applyNumberFormat="1" applyFont="1" applyFill="1" applyBorder="1" applyAlignment="1">
      <alignment horizontal="center" vertical="center" wrapText="1"/>
    </xf>
    <xf numFmtId="186" fontId="31" fillId="0" borderId="5" xfId="2" applyNumberFormat="1" applyFont="1" applyFill="1" applyBorder="1" applyAlignment="1">
      <alignment horizontal="center" vertical="center"/>
    </xf>
    <xf numFmtId="186" fontId="31" fillId="0" borderId="5" xfId="0" applyNumberFormat="1" applyFont="1" applyFill="1" applyBorder="1" applyAlignment="1">
      <alignment horizontal="center" vertical="center"/>
    </xf>
    <xf numFmtId="1" fontId="43" fillId="0" borderId="5" xfId="0" applyNumberFormat="1" applyFont="1" applyFill="1" applyBorder="1" applyAlignment="1">
      <alignment horizontal="center" vertical="center"/>
    </xf>
    <xf numFmtId="0" fontId="43" fillId="0" borderId="5" xfId="0" applyNumberFormat="1" applyFont="1" applyFill="1" applyBorder="1" applyAlignment="1">
      <alignment horizontal="center" vertical="center"/>
    </xf>
    <xf numFmtId="1" fontId="43" fillId="0" borderId="15" xfId="0" applyNumberFormat="1" applyFont="1" applyFill="1" applyBorder="1" applyAlignment="1">
      <alignment horizontal="center" vertical="center"/>
    </xf>
    <xf numFmtId="1" fontId="43" fillId="0" borderId="20" xfId="0" applyNumberFormat="1" applyFont="1" applyFill="1" applyBorder="1" applyAlignment="1">
      <alignment horizontal="center" vertical="center"/>
    </xf>
    <xf numFmtId="186" fontId="25" fillId="0" borderId="32" xfId="0" applyNumberFormat="1" applyFont="1" applyFill="1" applyBorder="1" applyAlignment="1">
      <alignment horizontal="left" vertical="center" wrapText="1"/>
    </xf>
    <xf numFmtId="1" fontId="43" fillId="0" borderId="15" xfId="0" applyNumberFormat="1" applyFont="1" applyFill="1" applyBorder="1" applyAlignment="1">
      <alignment horizontal="center" vertical="center" wrapText="1"/>
    </xf>
    <xf numFmtId="1" fontId="43" fillId="0" borderId="23" xfId="0" applyNumberFormat="1" applyFont="1" applyFill="1" applyBorder="1" applyAlignment="1">
      <alignment horizontal="center" vertical="center" wrapText="1"/>
    </xf>
    <xf numFmtId="1" fontId="43" fillId="0" borderId="20" xfId="0" applyNumberFormat="1" applyFont="1" applyFill="1" applyBorder="1" applyAlignment="1">
      <alignment horizontal="center" vertical="center" wrapText="1"/>
    </xf>
    <xf numFmtId="186" fontId="76" fillId="0" borderId="15" xfId="0" applyNumberFormat="1" applyFont="1" applyFill="1" applyBorder="1" applyAlignment="1">
      <alignment horizontal="center" vertical="center"/>
    </xf>
    <xf numFmtId="186" fontId="76" fillId="0" borderId="23" xfId="0" applyNumberFormat="1" applyFont="1" applyFill="1" applyBorder="1" applyAlignment="1">
      <alignment horizontal="center" vertical="center"/>
    </xf>
    <xf numFmtId="186" fontId="76" fillId="0" borderId="20" xfId="0" applyNumberFormat="1" applyFont="1" applyFill="1" applyBorder="1" applyAlignment="1">
      <alignment horizontal="center" vertical="center"/>
    </xf>
    <xf numFmtId="0" fontId="147" fillId="0" borderId="0" xfId="3" applyFont="1" applyFill="1" applyBorder="1" applyAlignment="1">
      <alignment horizontal="center" vertical="center"/>
    </xf>
    <xf numFmtId="0" fontId="148" fillId="0" borderId="0" xfId="3" applyFont="1" applyFill="1" applyBorder="1" applyAlignment="1">
      <alignment horizontal="center" vertical="center"/>
    </xf>
    <xf numFmtId="0" fontId="147" fillId="0" borderId="0" xfId="3" applyFont="1" applyFill="1" applyBorder="1" applyAlignment="1">
      <alignment horizontal="center" vertical="center" wrapText="1"/>
    </xf>
    <xf numFmtId="177" fontId="147" fillId="0" borderId="0" xfId="3" applyNumberFormat="1" applyFont="1" applyFill="1" applyBorder="1" applyAlignment="1">
      <alignment horizontal="center" vertical="center"/>
    </xf>
    <xf numFmtId="57" fontId="69" fillId="0" borderId="18" xfId="3" applyNumberFormat="1" applyFont="1" applyFill="1" applyBorder="1" applyAlignment="1">
      <alignment horizontal="center" vertical="center"/>
    </xf>
    <xf numFmtId="0" fontId="77" fillId="0" borderId="18" xfId="3" applyFont="1" applyFill="1" applyBorder="1" applyAlignment="1">
      <alignment horizontal="center" vertical="center"/>
    </xf>
    <xf numFmtId="0" fontId="69" fillId="0" borderId="18" xfId="3" applyFont="1" applyFill="1" applyBorder="1" applyAlignment="1">
      <alignment horizontal="center" vertical="center"/>
    </xf>
    <xf numFmtId="0" fontId="69" fillId="0" borderId="18" xfId="3" applyFont="1" applyFill="1" applyBorder="1" applyAlignment="1">
      <alignment horizontal="center" vertical="center" wrapText="1"/>
    </xf>
    <xf numFmtId="177" fontId="69" fillId="0" borderId="18" xfId="3" applyNumberFormat="1" applyFont="1" applyFill="1" applyBorder="1" applyAlignment="1">
      <alignment horizontal="center" vertical="center"/>
    </xf>
    <xf numFmtId="0" fontId="69" fillId="0" borderId="5" xfId="7" applyFont="1" applyFill="1" applyBorder="1" applyAlignment="1">
      <alignment horizontal="center" vertical="center"/>
    </xf>
    <xf numFmtId="0" fontId="77" fillId="0" borderId="5" xfId="7" applyFont="1" applyFill="1" applyBorder="1" applyAlignment="1">
      <alignment horizontal="center" vertical="center" wrapText="1"/>
    </xf>
    <xf numFmtId="0" fontId="69" fillId="0" borderId="5" xfId="7" applyFont="1" applyFill="1" applyBorder="1" applyAlignment="1">
      <alignment horizontal="center" vertical="center" wrapText="1"/>
    </xf>
    <xf numFmtId="0" fontId="69" fillId="0" borderId="5" xfId="0" applyFont="1" applyFill="1" applyBorder="1" applyAlignment="1">
      <alignment horizontal="center" vertical="center"/>
    </xf>
    <xf numFmtId="0" fontId="31" fillId="0" borderId="23" xfId="7" applyFont="1" applyFill="1" applyBorder="1" applyAlignment="1">
      <alignment horizontal="center" vertical="center" wrapText="1"/>
    </xf>
    <xf numFmtId="177" fontId="69" fillId="0" borderId="5" xfId="7" applyNumberFormat="1" applyFont="1" applyFill="1" applyBorder="1" applyAlignment="1">
      <alignment horizontal="center" vertical="center" wrapText="1"/>
    </xf>
    <xf numFmtId="184" fontId="69" fillId="0" borderId="5" xfId="7" applyNumberFormat="1" applyFont="1" applyFill="1" applyBorder="1" applyAlignment="1">
      <alignment horizontal="center" vertical="center" wrapText="1"/>
    </xf>
    <xf numFmtId="0" fontId="31" fillId="0" borderId="15" xfId="7" applyFont="1" applyFill="1" applyBorder="1" applyAlignment="1">
      <alignment horizontal="center" vertical="center" wrapText="1"/>
    </xf>
    <xf numFmtId="0" fontId="31" fillId="0" borderId="5" xfId="7" applyFont="1" applyFill="1" applyBorder="1" applyAlignment="1">
      <alignment horizontal="center" vertical="center" wrapText="1"/>
    </xf>
    <xf numFmtId="0" fontId="142" fillId="0" borderId="23" xfId="7" applyFont="1" applyFill="1" applyBorder="1" applyAlignment="1">
      <alignment horizontal="center" vertical="center" wrapText="1"/>
    </xf>
    <xf numFmtId="0" fontId="31" fillId="0" borderId="20" xfId="7" applyFont="1" applyFill="1" applyBorder="1" applyAlignment="1">
      <alignment horizontal="center" vertical="center" wrapText="1"/>
    </xf>
    <xf numFmtId="188" fontId="37" fillId="0" borderId="5" xfId="0" applyNumberFormat="1" applyFont="1" applyFill="1" applyBorder="1" applyAlignment="1">
      <alignment horizontal="center" vertical="center" wrapText="1"/>
    </xf>
    <xf numFmtId="0" fontId="31" fillId="0" borderId="5" xfId="38" applyFont="1" applyFill="1" applyBorder="1" applyAlignment="1">
      <alignment horizontal="center" vertical="center" wrapText="1"/>
    </xf>
    <xf numFmtId="0" fontId="35" fillId="0" borderId="15" xfId="0" applyFont="1" applyFill="1" applyBorder="1" applyAlignment="1">
      <alignment horizontal="center" vertical="center" wrapText="1"/>
    </xf>
    <xf numFmtId="0" fontId="35" fillId="0" borderId="23" xfId="0" applyFont="1" applyFill="1" applyBorder="1" applyAlignment="1">
      <alignment horizontal="center" vertical="center" wrapText="1"/>
    </xf>
    <xf numFmtId="57" fontId="31" fillId="0" borderId="15" xfId="37" applyNumberFormat="1" applyFont="1" applyFill="1" applyBorder="1" applyAlignment="1" applyProtection="1">
      <alignment horizontal="center" vertical="center" wrapText="1" shrinkToFit="1"/>
    </xf>
    <xf numFmtId="57" fontId="31" fillId="0" borderId="23" xfId="37" applyNumberFormat="1" applyFont="1" applyFill="1" applyBorder="1" applyAlignment="1" applyProtection="1">
      <alignment horizontal="center" vertical="center" wrapText="1" shrinkToFit="1"/>
    </xf>
    <xf numFmtId="0" fontId="37" fillId="0" borderId="15" xfId="0" applyNumberFormat="1" applyFont="1" applyFill="1" applyBorder="1" applyAlignment="1">
      <alignment horizontal="center" vertical="center" wrapText="1"/>
    </xf>
    <xf numFmtId="0" fontId="37" fillId="0" borderId="23" xfId="0" applyNumberFormat="1" applyFont="1" applyFill="1" applyBorder="1" applyAlignment="1">
      <alignment horizontal="center" vertical="center" wrapText="1"/>
    </xf>
    <xf numFmtId="0" fontId="37" fillId="0" borderId="20" xfId="0" applyNumberFormat="1" applyFont="1" applyFill="1" applyBorder="1" applyAlignment="1">
      <alignment horizontal="center" vertical="center" wrapText="1"/>
    </xf>
    <xf numFmtId="57" fontId="43" fillId="0" borderId="15" xfId="37" applyNumberFormat="1" applyFont="1" applyFill="1" applyBorder="1" applyAlignment="1" applyProtection="1">
      <alignment horizontal="center" vertical="center" wrapText="1" shrinkToFit="1"/>
    </xf>
    <xf numFmtId="57" fontId="43" fillId="0" borderId="23" xfId="37" applyNumberFormat="1" applyFont="1" applyFill="1" applyBorder="1" applyAlignment="1" applyProtection="1">
      <alignment horizontal="center" vertical="center" wrapText="1" shrinkToFit="1"/>
    </xf>
    <xf numFmtId="57" fontId="43" fillId="0" borderId="20" xfId="37" applyNumberFormat="1" applyFont="1" applyFill="1" applyBorder="1" applyAlignment="1" applyProtection="1">
      <alignment horizontal="center" vertical="center" wrapText="1" shrinkToFit="1"/>
    </xf>
    <xf numFmtId="0" fontId="31" fillId="0" borderId="5" xfId="36" applyFont="1" applyFill="1" applyBorder="1" applyAlignment="1">
      <alignment horizontal="center" vertical="center" wrapText="1"/>
    </xf>
    <xf numFmtId="57" fontId="31" fillId="0" borderId="5" xfId="37" applyNumberFormat="1" applyFont="1" applyFill="1" applyBorder="1" applyAlignment="1" applyProtection="1">
      <alignment horizontal="center" vertical="center" wrapText="1" shrinkToFit="1"/>
    </xf>
    <xf numFmtId="0" fontId="43" fillId="0" borderId="5" xfId="39" applyNumberFormat="1" applyFont="1" applyFill="1" applyBorder="1" applyAlignment="1">
      <alignment horizontal="center" vertical="center" wrapText="1"/>
    </xf>
    <xf numFmtId="57" fontId="31" fillId="0" borderId="20" xfId="37" applyNumberFormat="1" applyFont="1" applyFill="1" applyBorder="1" applyAlignment="1" applyProtection="1">
      <alignment horizontal="center" vertical="center" wrapText="1" shrinkToFit="1"/>
    </xf>
    <xf numFmtId="0" fontId="35" fillId="0" borderId="5" xfId="6" applyFont="1" applyFill="1" applyBorder="1" applyAlignment="1">
      <alignment horizontal="center" vertical="center" wrapText="1"/>
    </xf>
    <xf numFmtId="0" fontId="107" fillId="0" borderId="15" xfId="0" applyFont="1" applyFill="1" applyBorder="1" applyAlignment="1">
      <alignment horizontal="center" vertical="center" wrapText="1"/>
    </xf>
    <xf numFmtId="0" fontId="107" fillId="0" borderId="20" xfId="0" applyFont="1" applyFill="1" applyBorder="1" applyAlignment="1">
      <alignment horizontal="center" vertical="center" wrapText="1"/>
    </xf>
    <xf numFmtId="0" fontId="44" fillId="0" borderId="5" xfId="0" applyFont="1" applyFill="1" applyBorder="1" applyAlignment="1">
      <alignment horizontal="center" vertical="center" wrapText="1"/>
    </xf>
    <xf numFmtId="0" fontId="37" fillId="0" borderId="23" xfId="0" applyFont="1" applyFill="1" applyBorder="1" applyAlignment="1">
      <alignment vertical="center" wrapText="1"/>
    </xf>
    <xf numFmtId="0" fontId="37" fillId="0" borderId="5" xfId="0" applyNumberFormat="1" applyFont="1" applyFill="1" applyBorder="1" applyAlignment="1">
      <alignment horizontal="center" vertical="center" wrapText="1"/>
    </xf>
    <xf numFmtId="0" fontId="77" fillId="0" borderId="32" xfId="0" applyFont="1" applyFill="1" applyBorder="1" applyAlignment="1">
      <alignment horizontal="center" vertical="center" wrapText="1"/>
    </xf>
    <xf numFmtId="177" fontId="77" fillId="0" borderId="32" xfId="0" applyNumberFormat="1" applyFont="1" applyFill="1" applyBorder="1" applyAlignment="1">
      <alignment horizontal="center" vertical="center" wrapText="1"/>
    </xf>
    <xf numFmtId="184" fontId="77" fillId="0" borderId="32" xfId="0" applyNumberFormat="1" applyFont="1" applyFill="1" applyBorder="1" applyAlignment="1">
      <alignment horizontal="center" vertical="center" wrapText="1"/>
    </xf>
    <xf numFmtId="0" fontId="77" fillId="0" borderId="0" xfId="0" applyFont="1" applyFill="1" applyAlignment="1">
      <alignment horizontal="center"/>
    </xf>
    <xf numFmtId="0" fontId="107" fillId="0" borderId="23" xfId="0" applyFont="1" applyFill="1" applyBorder="1" applyAlignment="1">
      <alignment horizontal="center" vertical="center" wrapText="1"/>
    </xf>
    <xf numFmtId="178" fontId="29" fillId="0" borderId="18" xfId="3" applyNumberFormat="1" applyFont="1" applyBorder="1" applyAlignment="1">
      <alignment horizontal="center" vertical="center"/>
    </xf>
    <xf numFmtId="57" fontId="30" fillId="0" borderId="19" xfId="3" applyNumberFormat="1" applyFont="1" applyBorder="1" applyAlignment="1">
      <alignment horizontal="center" vertical="center"/>
    </xf>
    <xf numFmtId="0" fontId="30" fillId="0" borderId="19" xfId="3" applyFont="1" applyBorder="1" applyAlignment="1">
      <alignment horizontal="center" vertical="center"/>
    </xf>
    <xf numFmtId="178" fontId="30" fillId="0" borderId="19" xfId="3" applyNumberFormat="1" applyFont="1" applyBorder="1" applyAlignment="1">
      <alignment horizontal="center" vertical="center"/>
    </xf>
    <xf numFmtId="0" fontId="12" fillId="0" borderId="39" xfId="2" applyNumberFormat="1" applyFont="1" applyFill="1" applyBorder="1" applyAlignment="1">
      <alignment horizontal="center" vertical="center"/>
    </xf>
    <xf numFmtId="0" fontId="12" fillId="0" borderId="39" xfId="2" applyNumberFormat="1" applyFont="1" applyFill="1" applyBorder="1" applyAlignment="1">
      <alignment horizontal="center" vertical="center" wrapText="1"/>
    </xf>
    <xf numFmtId="0" fontId="12" fillId="0" borderId="15" xfId="2" applyNumberFormat="1" applyFont="1" applyFill="1" applyBorder="1" applyAlignment="1">
      <alignment horizontal="center" vertical="center" wrapText="1"/>
    </xf>
    <xf numFmtId="0" fontId="12" fillId="0" borderId="20" xfId="2" applyNumberFormat="1" applyFont="1" applyFill="1" applyBorder="1" applyAlignment="1">
      <alignment horizontal="center" vertical="center" wrapText="1"/>
    </xf>
    <xf numFmtId="0" fontId="12" fillId="0" borderId="39" xfId="0" applyFont="1" applyBorder="1" applyAlignment="1">
      <alignment horizontal="center" vertical="center"/>
    </xf>
    <xf numFmtId="0" fontId="11" fillId="0" borderId="32" xfId="0" applyFont="1" applyBorder="1" applyAlignment="1">
      <alignment horizontal="left" vertical="center" wrapText="1"/>
    </xf>
    <xf numFmtId="178" fontId="11" fillId="0" borderId="32" xfId="0" applyNumberFormat="1" applyFont="1" applyBorder="1" applyAlignment="1">
      <alignment horizontal="left" vertical="center" wrapText="1"/>
    </xf>
    <xf numFmtId="178" fontId="12" fillId="0" borderId="39" xfId="2" applyNumberFormat="1" applyFont="1" applyFill="1" applyBorder="1" applyAlignment="1">
      <alignment horizontal="center" vertical="center" wrapText="1"/>
    </xf>
    <xf numFmtId="0" fontId="12" fillId="0" borderId="41" xfId="2" applyNumberFormat="1" applyFont="1" applyFill="1" applyBorder="1" applyAlignment="1">
      <alignment horizontal="center" vertical="center" wrapText="1"/>
    </xf>
    <xf numFmtId="185" fontId="93" fillId="4" borderId="15" xfId="0" applyNumberFormat="1" applyFont="1" applyFill="1" applyBorder="1" applyAlignment="1">
      <alignment horizontal="center" vertical="center"/>
    </xf>
    <xf numFmtId="185" fontId="93" fillId="4" borderId="20" xfId="0" applyNumberFormat="1" applyFont="1" applyFill="1" applyBorder="1" applyAlignment="1">
      <alignment horizontal="center" vertical="center"/>
    </xf>
    <xf numFmtId="57" fontId="30" fillId="0" borderId="38" xfId="3" applyNumberFormat="1" applyFont="1" applyBorder="1" applyAlignment="1">
      <alignment horizontal="center" vertical="center"/>
    </xf>
    <xf numFmtId="0" fontId="30" fillId="0" borderId="38" xfId="3" applyFont="1" applyBorder="1" applyAlignment="1">
      <alignment horizontal="center" vertical="center"/>
    </xf>
    <xf numFmtId="0" fontId="12" fillId="0" borderId="40" xfId="2" applyNumberFormat="1" applyFont="1" applyFill="1" applyBorder="1" applyAlignment="1">
      <alignment horizontal="center" vertical="center" wrapText="1"/>
    </xf>
    <xf numFmtId="0" fontId="12" fillId="0" borderId="42" xfId="2" applyNumberFormat="1" applyFont="1" applyFill="1" applyBorder="1" applyAlignment="1">
      <alignment horizontal="center" vertical="center" wrapText="1"/>
    </xf>
    <xf numFmtId="0" fontId="93" fillId="0" borderId="23" xfId="0" applyFont="1" applyFill="1" applyBorder="1" applyAlignment="1">
      <alignment horizontal="center" vertical="center"/>
    </xf>
    <xf numFmtId="0" fontId="93" fillId="0" borderId="20" xfId="0" applyFont="1" applyFill="1" applyBorder="1" applyAlignment="1">
      <alignment horizontal="center" vertical="center"/>
    </xf>
    <xf numFmtId="185" fontId="93" fillId="4" borderId="23" xfId="0" applyNumberFormat="1" applyFont="1" applyFill="1" applyBorder="1" applyAlignment="1">
      <alignment horizontal="center" vertical="center"/>
    </xf>
    <xf numFmtId="0" fontId="102" fillId="0" borderId="0" xfId="0" applyFont="1" applyBorder="1" applyAlignment="1">
      <alignment horizontal="center" vertical="center" wrapText="1"/>
    </xf>
    <xf numFmtId="0" fontId="93" fillId="0" borderId="15" xfId="0" applyFont="1" applyFill="1" applyBorder="1" applyAlignment="1">
      <alignment horizontal="center" vertical="center"/>
    </xf>
    <xf numFmtId="0" fontId="7" fillId="0" borderId="39" xfId="0" applyFont="1" applyFill="1" applyBorder="1" applyAlignment="1">
      <alignment horizontal="center" vertical="center" shrinkToFit="1"/>
    </xf>
    <xf numFmtId="186" fontId="11" fillId="0" borderId="0" xfId="0" applyNumberFormat="1" applyFont="1" applyFill="1" applyBorder="1" applyAlignment="1">
      <alignment horizontal="left" vertical="center" wrapText="1"/>
    </xf>
    <xf numFmtId="186" fontId="11" fillId="0" borderId="0" xfId="0" applyNumberFormat="1" applyFont="1" applyFill="1" applyBorder="1" applyAlignment="1">
      <alignment horizontal="center" vertical="center" wrapText="1"/>
    </xf>
    <xf numFmtId="0" fontId="12" fillId="0" borderId="15" xfId="0" applyNumberFormat="1" applyFont="1" applyFill="1" applyBorder="1" applyAlignment="1">
      <alignment horizontal="center" vertical="center"/>
    </xf>
    <xf numFmtId="0" fontId="12" fillId="0" borderId="20" xfId="0" applyNumberFormat="1" applyFont="1" applyFill="1" applyBorder="1" applyAlignment="1">
      <alignment horizontal="center" vertical="center"/>
    </xf>
    <xf numFmtId="41" fontId="12" fillId="0" borderId="15" xfId="11" applyNumberFormat="1" applyFont="1" applyFill="1" applyBorder="1" applyAlignment="1">
      <alignment horizontal="center" vertical="center"/>
    </xf>
    <xf numFmtId="41" fontId="12" fillId="0" borderId="20" xfId="11" applyNumberFormat="1" applyFont="1" applyFill="1" applyBorder="1" applyAlignment="1">
      <alignment horizontal="center" vertical="center"/>
    </xf>
    <xf numFmtId="186" fontId="12" fillId="0" borderId="23" xfId="2" applyNumberFormat="1" applyFont="1" applyFill="1" applyBorder="1" applyAlignment="1">
      <alignment horizontal="center" vertical="center" wrapText="1"/>
    </xf>
    <xf numFmtId="0" fontId="12" fillId="0" borderId="15" xfId="0" applyNumberFormat="1" applyFont="1" applyFill="1" applyBorder="1" applyAlignment="1">
      <alignment horizontal="center" vertical="center" wrapText="1"/>
    </xf>
    <xf numFmtId="0" fontId="12" fillId="0" borderId="20" xfId="0" applyNumberFormat="1" applyFont="1" applyFill="1" applyBorder="1" applyAlignment="1">
      <alignment horizontal="center" vertical="center" wrapText="1"/>
    </xf>
    <xf numFmtId="0" fontId="12" fillId="0" borderId="23" xfId="0" applyNumberFormat="1" applyFont="1" applyFill="1" applyBorder="1" applyAlignment="1">
      <alignment horizontal="center" vertical="center" wrapText="1"/>
    </xf>
    <xf numFmtId="186" fontId="12" fillId="0" borderId="0" xfId="0" applyNumberFormat="1" applyFont="1" applyFill="1" applyBorder="1" applyAlignment="1">
      <alignment horizontal="center" vertical="center" wrapText="1"/>
    </xf>
    <xf numFmtId="186" fontId="12" fillId="0" borderId="5" xfId="2" applyNumberFormat="1" applyFont="1" applyFill="1" applyBorder="1" applyAlignment="1">
      <alignment horizontal="center" vertical="center" wrapText="1"/>
    </xf>
    <xf numFmtId="186" fontId="12" fillId="0" borderId="5" xfId="0" applyNumberFormat="1" applyFont="1" applyFill="1" applyBorder="1" applyAlignment="1">
      <alignment horizontal="center" vertical="center"/>
    </xf>
    <xf numFmtId="186" fontId="4" fillId="0" borderId="15" xfId="0" applyNumberFormat="1" applyFont="1" applyFill="1" applyBorder="1" applyAlignment="1">
      <alignment horizontal="center"/>
    </xf>
    <xf numFmtId="186" fontId="24" fillId="0" borderId="20" xfId="0" applyNumberFormat="1" applyFont="1" applyFill="1" applyBorder="1" applyAlignment="1">
      <alignment horizontal="center"/>
    </xf>
    <xf numFmtId="186" fontId="3" fillId="0" borderId="15" xfId="0" applyNumberFormat="1" applyFont="1" applyFill="1" applyBorder="1" applyAlignment="1">
      <alignment horizontal="center" vertical="center" wrapText="1"/>
    </xf>
    <xf numFmtId="186" fontId="3" fillId="0" borderId="20" xfId="0" applyNumberFormat="1" applyFont="1" applyFill="1" applyBorder="1" applyAlignment="1">
      <alignment horizontal="center" vertical="center" wrapText="1"/>
    </xf>
    <xf numFmtId="0" fontId="12" fillId="0" borderId="30" xfId="0" applyNumberFormat="1" applyFont="1" applyFill="1" applyBorder="1" applyAlignment="1">
      <alignment horizontal="center" vertical="center" wrapText="1"/>
    </xf>
    <xf numFmtId="0" fontId="12" fillId="0" borderId="37" xfId="0" applyNumberFormat="1" applyFont="1" applyFill="1" applyBorder="1" applyAlignment="1">
      <alignment horizontal="center" vertical="center" wrapText="1"/>
    </xf>
    <xf numFmtId="0" fontId="12" fillId="0" borderId="46" xfId="0" applyNumberFormat="1" applyFont="1" applyFill="1" applyBorder="1" applyAlignment="1">
      <alignment horizontal="center" vertical="center" wrapText="1"/>
    </xf>
    <xf numFmtId="0" fontId="12" fillId="0" borderId="29" xfId="0" applyNumberFormat="1" applyFont="1" applyFill="1" applyBorder="1" applyAlignment="1">
      <alignment horizontal="center" vertical="center" wrapText="1"/>
    </xf>
    <xf numFmtId="186" fontId="12" fillId="0" borderId="15" xfId="2" applyNumberFormat="1" applyFont="1" applyFill="1" applyBorder="1" applyAlignment="1">
      <alignment horizontal="center" vertical="center" wrapText="1"/>
    </xf>
    <xf numFmtId="186" fontId="24" fillId="0" borderId="20" xfId="0" applyNumberFormat="1" applyFont="1" applyFill="1" applyBorder="1" applyAlignment="1">
      <alignment horizontal="center" vertical="center" wrapText="1"/>
    </xf>
    <xf numFmtId="0" fontId="12" fillId="0" borderId="5" xfId="2" applyNumberFormat="1" applyFont="1" applyFill="1" applyBorder="1" applyAlignment="1">
      <alignment horizontal="center" vertical="center" wrapText="1"/>
    </xf>
    <xf numFmtId="14" fontId="12" fillId="0" borderId="5" xfId="3" applyNumberFormat="1" applyFont="1" applyFill="1" applyBorder="1" applyAlignment="1">
      <alignment horizontal="center" vertical="center"/>
    </xf>
    <xf numFmtId="186" fontId="12" fillId="0" borderId="5" xfId="3" applyNumberFormat="1" applyFont="1" applyFill="1" applyBorder="1" applyAlignment="1">
      <alignment horizontal="center" vertical="center"/>
    </xf>
    <xf numFmtId="186" fontId="12" fillId="0" borderId="5" xfId="2" applyNumberFormat="1" applyFont="1" applyFill="1" applyBorder="1" applyAlignment="1">
      <alignment horizontal="center" vertical="center"/>
    </xf>
    <xf numFmtId="186" fontId="12" fillId="0" borderId="15" xfId="2" applyNumberFormat="1" applyFont="1" applyFill="1" applyBorder="1" applyAlignment="1">
      <alignment horizontal="center" vertical="center"/>
    </xf>
    <xf numFmtId="186" fontId="12" fillId="0" borderId="20" xfId="2" applyNumberFormat="1" applyFont="1" applyFill="1" applyBorder="1" applyAlignment="1">
      <alignment horizontal="center" vertical="center"/>
    </xf>
    <xf numFmtId="0" fontId="12" fillId="0" borderId="5" xfId="2" applyNumberFormat="1" applyFont="1" applyFill="1" applyBorder="1" applyAlignment="1">
      <alignment horizontal="center" vertical="center"/>
    </xf>
    <xf numFmtId="177" fontId="37" fillId="0" borderId="5" xfId="0" applyNumberFormat="1" applyFont="1" applyFill="1" applyBorder="1" applyAlignment="1">
      <alignment horizontal="center" vertical="center" wrapText="1"/>
    </xf>
    <xf numFmtId="0" fontId="12" fillId="0" borderId="5" xfId="69" applyFont="1" applyFill="1" applyBorder="1" applyAlignment="1">
      <alignment horizontal="center" vertical="center" wrapText="1"/>
    </xf>
    <xf numFmtId="0" fontId="12" fillId="0" borderId="5" xfId="0" applyFont="1" applyBorder="1" applyAlignment="1">
      <alignment horizontal="center" vertical="center"/>
    </xf>
    <xf numFmtId="0" fontId="12" fillId="0" borderId="5" xfId="69" applyFont="1" applyFill="1" applyBorder="1" applyAlignment="1">
      <alignment horizontal="center" vertical="center"/>
    </xf>
    <xf numFmtId="0" fontId="7" fillId="0" borderId="15" xfId="0" applyFont="1" applyFill="1" applyBorder="1" applyAlignment="1">
      <alignment horizontal="center" vertical="center"/>
    </xf>
    <xf numFmtId="0" fontId="7" fillId="0" borderId="23" xfId="0" applyFont="1" applyFill="1" applyBorder="1" applyAlignment="1">
      <alignment horizontal="center" vertical="center"/>
    </xf>
    <xf numFmtId="0" fontId="7" fillId="0" borderId="20" xfId="0" applyFont="1" applyFill="1" applyBorder="1" applyAlignment="1">
      <alignment horizontal="center" vertical="center"/>
    </xf>
    <xf numFmtId="0" fontId="38" fillId="0" borderId="5"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37" xfId="0" applyFont="1" applyFill="1" applyBorder="1" applyAlignment="1">
      <alignment horizontal="center" vertical="center" wrapText="1"/>
    </xf>
    <xf numFmtId="0" fontId="38" fillId="0" borderId="23" xfId="0" applyFont="1" applyFill="1" applyBorder="1" applyAlignment="1">
      <alignment horizontal="center" vertical="center" wrapText="1"/>
    </xf>
    <xf numFmtId="0" fontId="9" fillId="0" borderId="3" xfId="0" applyNumberFormat="1" applyFont="1" applyBorder="1" applyAlignment="1">
      <alignment horizontal="center" vertical="center" wrapText="1"/>
    </xf>
    <xf numFmtId="0" fontId="102" fillId="0" borderId="32" xfId="0" applyFont="1" applyBorder="1" applyAlignment="1">
      <alignment horizontal="left" vertical="center" wrapText="1"/>
    </xf>
    <xf numFmtId="0" fontId="102" fillId="0" borderId="32" xfId="0" applyFont="1" applyBorder="1" applyAlignment="1">
      <alignment horizontal="center" vertical="center" wrapText="1"/>
    </xf>
    <xf numFmtId="0" fontId="121" fillId="0" borderId="18" xfId="0" applyFont="1" applyFill="1" applyBorder="1" applyAlignment="1" applyProtection="1">
      <alignment horizontal="center" vertical="center"/>
      <protection locked="0"/>
    </xf>
    <xf numFmtId="0" fontId="122" fillId="0" borderId="18" xfId="0" applyFont="1" applyFill="1" applyBorder="1" applyAlignment="1" applyProtection="1">
      <alignment horizontal="center" vertical="center"/>
      <protection locked="0"/>
    </xf>
    <xf numFmtId="0" fontId="69" fillId="0" borderId="24" xfId="43" applyFont="1" applyFill="1" applyBorder="1" applyAlignment="1">
      <alignment horizontal="center" vertical="center" wrapText="1"/>
    </xf>
    <xf numFmtId="0" fontId="69" fillId="0" borderId="0" xfId="43" applyFont="1" applyFill="1" applyBorder="1" applyAlignment="1">
      <alignment horizontal="center" vertical="center" wrapText="1"/>
    </xf>
    <xf numFmtId="0" fontId="28" fillId="0" borderId="0" xfId="0" applyFont="1" applyFill="1" applyAlignment="1">
      <alignment horizontal="center" wrapText="1"/>
    </xf>
    <xf numFmtId="0" fontId="0" fillId="0" borderId="0" xfId="0" applyFill="1" applyAlignment="1">
      <alignment horizontal="center" wrapText="1"/>
    </xf>
    <xf numFmtId="0" fontId="31" fillId="0" borderId="5" xfId="44" applyFont="1" applyFill="1" applyBorder="1" applyAlignment="1">
      <alignment horizontal="center" vertical="center"/>
    </xf>
    <xf numFmtId="0" fontId="31" fillId="0" borderId="5" xfId="44" applyFont="1" applyFill="1" applyBorder="1" applyAlignment="1">
      <alignment horizontal="center" vertical="center" wrapText="1"/>
    </xf>
    <xf numFmtId="0" fontId="31" fillId="0" borderId="15" xfId="44" applyFont="1" applyFill="1" applyBorder="1" applyAlignment="1">
      <alignment horizontal="center" vertical="center" wrapText="1"/>
    </xf>
    <xf numFmtId="0" fontId="31" fillId="0" borderId="20" xfId="44" applyFont="1" applyFill="1" applyBorder="1" applyAlignment="1">
      <alignment horizontal="center" vertical="center" wrapText="1"/>
    </xf>
    <xf numFmtId="0" fontId="31" fillId="0" borderId="5" xfId="0" applyFont="1" applyBorder="1" applyAlignment="1">
      <alignment horizontal="center" vertical="center"/>
    </xf>
    <xf numFmtId="0" fontId="31" fillId="0" borderId="11" xfId="44" applyFont="1" applyFill="1" applyBorder="1" applyAlignment="1">
      <alignment horizontal="center" vertical="center" wrapText="1"/>
    </xf>
    <xf numFmtId="0" fontId="154" fillId="0" borderId="0" xfId="0" applyFont="1" applyAlignment="1">
      <alignment horizontal="center" vertical="center"/>
    </xf>
    <xf numFmtId="0" fontId="12" fillId="0" borderId="39" xfId="69" applyFont="1" applyFill="1" applyBorder="1" applyAlignment="1">
      <alignment horizontal="center" vertical="center"/>
    </xf>
    <xf numFmtId="0" fontId="12" fillId="0" borderId="39" xfId="69" applyFont="1" applyFill="1" applyBorder="1" applyAlignment="1">
      <alignment horizontal="center" vertical="center" wrapText="1"/>
    </xf>
    <xf numFmtId="0" fontId="12" fillId="0" borderId="39" xfId="69" applyFont="1" applyFill="1" applyBorder="1" applyAlignment="1">
      <alignment horizontal="center" vertical="center" wrapText="1"/>
    </xf>
    <xf numFmtId="0" fontId="12" fillId="0" borderId="40" xfId="69" applyFont="1" applyFill="1" applyBorder="1" applyAlignment="1">
      <alignment horizontal="center" vertical="center" wrapText="1"/>
    </xf>
    <xf numFmtId="0" fontId="12" fillId="0" borderId="39" xfId="69" applyFont="1" applyFill="1" applyBorder="1" applyAlignment="1">
      <alignment horizontal="center" vertical="center"/>
    </xf>
    <xf numFmtId="0" fontId="12" fillId="0" borderId="41" xfId="69" applyFont="1" applyFill="1" applyBorder="1" applyAlignment="1">
      <alignment horizontal="center" vertical="center" wrapText="1"/>
    </xf>
    <xf numFmtId="0" fontId="12" fillId="0" borderId="42" xfId="69" applyFont="1" applyFill="1" applyBorder="1" applyAlignment="1">
      <alignment horizontal="center" vertical="center" wrapText="1"/>
    </xf>
    <xf numFmtId="0" fontId="8" fillId="0" borderId="39" xfId="69" applyFont="1" applyFill="1" applyBorder="1" applyAlignment="1">
      <alignment horizontal="center" vertical="center"/>
    </xf>
    <xf numFmtId="0" fontId="8" fillId="0" borderId="39" xfId="69" applyFont="1" applyFill="1" applyBorder="1" applyAlignment="1">
      <alignment horizontal="center" vertical="center" wrapText="1"/>
    </xf>
    <xf numFmtId="0" fontId="7" fillId="0" borderId="39" xfId="69" applyFont="1" applyFill="1" applyBorder="1" applyAlignment="1">
      <alignment horizontal="center" vertical="center" wrapText="1"/>
    </xf>
    <xf numFmtId="0" fontId="7" fillId="0" borderId="39" xfId="69" applyFont="1" applyFill="1" applyBorder="1" applyAlignment="1">
      <alignment horizontal="center" vertical="center"/>
    </xf>
    <xf numFmtId="0" fontId="7" fillId="0" borderId="42" xfId="69" applyFont="1" applyFill="1" applyBorder="1" applyAlignment="1">
      <alignment horizontal="center" vertical="center" wrapText="1"/>
    </xf>
    <xf numFmtId="0" fontId="7" fillId="0" borderId="41" xfId="69" applyFont="1" applyFill="1" applyBorder="1" applyAlignment="1">
      <alignment horizontal="center" vertical="center" wrapText="1"/>
    </xf>
    <xf numFmtId="0" fontId="7" fillId="4" borderId="39" xfId="69" applyFont="1" applyFill="1" applyBorder="1" applyAlignment="1">
      <alignment horizontal="center" vertical="center" wrapText="1"/>
    </xf>
    <xf numFmtId="0" fontId="7" fillId="0" borderId="39" xfId="69" applyFont="1" applyBorder="1" applyAlignment="1">
      <alignment horizontal="center" vertical="center" wrapText="1"/>
    </xf>
    <xf numFmtId="0" fontId="7" fillId="0" borderId="39" xfId="69" applyFont="1" applyBorder="1" applyAlignment="1">
      <alignment horizontal="center" vertical="center"/>
    </xf>
    <xf numFmtId="177" fontId="7" fillId="0" borderId="39" xfId="0" applyNumberFormat="1" applyFont="1" applyBorder="1" applyAlignment="1">
      <alignment horizontal="right" vertical="center"/>
    </xf>
    <xf numFmtId="177" fontId="7" fillId="4" borderId="39" xfId="0" applyNumberFormat="1" applyFont="1" applyFill="1" applyBorder="1" applyAlignment="1">
      <alignment horizontal="right" vertical="center" wrapText="1"/>
    </xf>
    <xf numFmtId="0" fontId="7" fillId="4" borderId="39" xfId="69" applyFont="1" applyFill="1" applyBorder="1" applyAlignment="1">
      <alignment horizontal="center" vertical="center"/>
    </xf>
    <xf numFmtId="0" fontId="7" fillId="4" borderId="39" xfId="0" applyFont="1" applyFill="1" applyBorder="1" applyAlignment="1">
      <alignment horizontal="center" vertical="center" wrapText="1"/>
    </xf>
    <xf numFmtId="188" fontId="7" fillId="0" borderId="39" xfId="0" applyNumberFormat="1" applyFont="1" applyFill="1" applyBorder="1" applyAlignment="1">
      <alignment horizontal="center" vertical="center" wrapText="1"/>
    </xf>
    <xf numFmtId="0" fontId="7" fillId="0" borderId="39" xfId="0" applyNumberFormat="1" applyFont="1" applyFill="1" applyBorder="1" applyAlignment="1">
      <alignment vertical="center" wrapText="1"/>
    </xf>
    <xf numFmtId="0" fontId="7" fillId="0" borderId="39" xfId="0" applyFont="1" applyFill="1" applyBorder="1" applyAlignment="1">
      <alignment vertical="center"/>
    </xf>
    <xf numFmtId="0" fontId="7" fillId="0" borderId="39" xfId="6" applyNumberFormat="1" applyFont="1" applyFill="1" applyBorder="1" applyAlignment="1">
      <alignment vertical="center"/>
    </xf>
    <xf numFmtId="0" fontId="7" fillId="0" borderId="39" xfId="6" applyFont="1" applyFill="1" applyBorder="1" applyAlignment="1">
      <alignment vertical="center"/>
    </xf>
    <xf numFmtId="0" fontId="7" fillId="0" borderId="39" xfId="0" applyFont="1" applyFill="1" applyBorder="1" applyAlignment="1">
      <alignment vertical="center" wrapText="1"/>
    </xf>
    <xf numFmtId="177" fontId="7" fillId="0" borderId="39" xfId="11" applyNumberFormat="1" applyFont="1" applyFill="1" applyBorder="1" applyAlignment="1">
      <alignment vertical="center"/>
    </xf>
    <xf numFmtId="0" fontId="7" fillId="0" borderId="39" xfId="69" applyFont="1" applyFill="1" applyBorder="1" applyAlignment="1">
      <alignment vertical="center" wrapText="1"/>
    </xf>
    <xf numFmtId="176" fontId="7" fillId="0" borderId="39" xfId="6" applyNumberFormat="1" applyFont="1" applyFill="1" applyBorder="1" applyAlignment="1">
      <alignment vertical="center" wrapText="1"/>
    </xf>
    <xf numFmtId="0" fontId="7" fillId="0" borderId="39" xfId="0" applyFont="1" applyBorder="1" applyAlignment="1">
      <alignment vertical="center"/>
    </xf>
    <xf numFmtId="0" fontId="47" fillId="4" borderId="39" xfId="6" applyFont="1" applyFill="1" applyBorder="1" applyAlignment="1">
      <alignment horizontal="center" vertical="center"/>
    </xf>
    <xf numFmtId="0" fontId="7" fillId="0" borderId="39" xfId="0" applyNumberFormat="1" applyFont="1" applyFill="1" applyBorder="1" applyAlignment="1">
      <alignment vertical="center"/>
    </xf>
    <xf numFmtId="177" fontId="7" fillId="0" borderId="39" xfId="0" applyNumberFormat="1" applyFont="1" applyFill="1" applyBorder="1" applyAlignment="1">
      <alignment vertical="center"/>
    </xf>
    <xf numFmtId="177" fontId="7" fillId="0" borderId="39" xfId="0" applyNumberFormat="1" applyFont="1" applyFill="1" applyBorder="1" applyAlignment="1">
      <alignment vertical="center" wrapText="1"/>
    </xf>
    <xf numFmtId="0" fontId="44" fillId="0" borderId="40" xfId="0" applyFont="1" applyBorder="1" applyAlignment="1">
      <alignment vertical="center"/>
    </xf>
    <xf numFmtId="0" fontId="44" fillId="4" borderId="39" xfId="11" applyFont="1" applyFill="1" applyBorder="1" applyAlignment="1">
      <alignment vertical="center"/>
    </xf>
    <xf numFmtId="0" fontId="44" fillId="4" borderId="39" xfId="4" applyFont="1" applyFill="1" applyBorder="1" applyAlignment="1">
      <alignment vertical="center"/>
    </xf>
    <xf numFmtId="0" fontId="44" fillId="0" borderId="39" xfId="0" applyFont="1" applyBorder="1" applyAlignment="1">
      <alignment vertical="center"/>
    </xf>
    <xf numFmtId="177" fontId="44" fillId="5" borderId="39" xfId="11" applyNumberFormat="1" applyFont="1" applyFill="1" applyBorder="1" applyAlignment="1">
      <alignment vertical="center"/>
    </xf>
    <xf numFmtId="0" fontId="44" fillId="0" borderId="39" xfId="0" applyFont="1" applyBorder="1" applyAlignment="1">
      <alignment vertical="center" wrapText="1"/>
    </xf>
    <xf numFmtId="177" fontId="44" fillId="0" borderId="39" xfId="0" applyNumberFormat="1" applyFont="1" applyBorder="1" applyAlignment="1">
      <alignment vertical="center"/>
    </xf>
    <xf numFmtId="57" fontId="44" fillId="0" borderId="39" xfId="0" applyNumberFormat="1" applyFont="1" applyBorder="1" applyAlignment="1">
      <alignment vertical="center"/>
    </xf>
    <xf numFmtId="0" fontId="44" fillId="0" borderId="39" xfId="6" applyFont="1" applyBorder="1" applyAlignment="1">
      <alignment vertical="center" wrapText="1"/>
    </xf>
    <xf numFmtId="49" fontId="44" fillId="0" borderId="39" xfId="0" applyNumberFormat="1" applyFont="1" applyBorder="1" applyAlignment="1">
      <alignment vertical="center"/>
    </xf>
    <xf numFmtId="0" fontId="44" fillId="0" borderId="3" xfId="0" applyFont="1" applyFill="1" applyBorder="1" applyAlignment="1">
      <alignment vertical="center" wrapText="1"/>
    </xf>
    <xf numFmtId="0" fontId="44" fillId="4" borderId="39" xfId="0" applyFont="1" applyFill="1" applyBorder="1" applyAlignment="1">
      <alignment vertical="center"/>
    </xf>
    <xf numFmtId="0" fontId="44" fillId="0" borderId="12" xfId="0" applyFont="1" applyFill="1" applyBorder="1" applyAlignment="1">
      <alignment vertical="center" wrapText="1"/>
    </xf>
    <xf numFmtId="0" fontId="47" fillId="0" borderId="39" xfId="6" applyFont="1" applyBorder="1" applyAlignment="1">
      <alignment vertical="center" wrapText="1"/>
    </xf>
    <xf numFmtId="184" fontId="44" fillId="0" borderId="12" xfId="0" applyNumberFormat="1" applyFont="1" applyFill="1" applyBorder="1" applyAlignment="1">
      <alignment vertical="center" wrapText="1"/>
    </xf>
    <xf numFmtId="0" fontId="44" fillId="0" borderId="39" xfId="0" applyFont="1" applyFill="1" applyBorder="1" applyAlignment="1">
      <alignment vertical="center"/>
    </xf>
    <xf numFmtId="0" fontId="7" fillId="4" borderId="39" xfId="11" applyFont="1" applyFill="1" applyBorder="1" applyAlignment="1">
      <alignment vertical="center"/>
    </xf>
    <xf numFmtId="0" fontId="47" fillId="4" borderId="39" xfId="4" applyFont="1" applyFill="1" applyBorder="1" applyAlignment="1">
      <alignment vertical="center"/>
    </xf>
    <xf numFmtId="177" fontId="7" fillId="5" borderId="39" xfId="11" applyNumberFormat="1" applyFont="1" applyFill="1" applyBorder="1" applyAlignment="1">
      <alignment vertical="center"/>
    </xf>
    <xf numFmtId="0" fontId="7" fillId="0" borderId="39" xfId="69" applyFont="1" applyBorder="1" applyAlignment="1">
      <alignment vertical="center" wrapText="1"/>
    </xf>
    <xf numFmtId="0" fontId="7" fillId="0" borderId="39" xfId="69" applyFont="1" applyBorder="1" applyAlignment="1">
      <alignment vertical="center"/>
    </xf>
    <xf numFmtId="183" fontId="7" fillId="0" borderId="39" xfId="69" applyNumberFormat="1" applyFont="1" applyBorder="1" applyAlignment="1">
      <alignment vertical="center" wrapText="1"/>
    </xf>
    <xf numFmtId="0" fontId="7" fillId="0" borderId="39" xfId="0" applyFont="1" applyBorder="1" applyAlignment="1">
      <alignment vertical="center" wrapText="1"/>
    </xf>
    <xf numFmtId="0" fontId="7" fillId="4" borderId="39" xfId="69" applyFont="1" applyFill="1" applyBorder="1" applyAlignment="1">
      <alignment vertical="center" wrapText="1"/>
    </xf>
    <xf numFmtId="0" fontId="7" fillId="0" borderId="41" xfId="69" applyFont="1" applyBorder="1" applyAlignment="1">
      <alignment vertical="center" wrapText="1"/>
    </xf>
    <xf numFmtId="0" fontId="7" fillId="4" borderId="39" xfId="11" applyFont="1" applyFill="1" applyBorder="1" applyAlignment="1">
      <alignment vertical="center" wrapText="1"/>
    </xf>
    <xf numFmtId="177" fontId="7" fillId="5" borderId="39" xfId="11" applyNumberFormat="1" applyFont="1" applyFill="1" applyBorder="1" applyAlignment="1">
      <alignment vertical="center" wrapText="1"/>
    </xf>
    <xf numFmtId="57" fontId="44" fillId="0" borderId="39" xfId="0" applyNumberFormat="1" applyFont="1" applyBorder="1" applyAlignment="1">
      <alignment vertical="center" wrapText="1"/>
    </xf>
    <xf numFmtId="49" fontId="44" fillId="0" borderId="39" xfId="0" applyNumberFormat="1" applyFont="1" applyBorder="1" applyAlignment="1">
      <alignment vertical="center" wrapText="1"/>
    </xf>
    <xf numFmtId="184" fontId="44" fillId="0" borderId="39" xfId="0" applyNumberFormat="1" applyFont="1" applyFill="1" applyBorder="1" applyAlignment="1">
      <alignment vertical="center" wrapText="1"/>
    </xf>
    <xf numFmtId="0" fontId="7" fillId="4" borderId="39" xfId="0" applyFont="1" applyFill="1" applyBorder="1" applyAlignment="1">
      <alignment vertical="center"/>
    </xf>
    <xf numFmtId="0" fontId="7" fillId="0" borderId="39" xfId="6" applyFont="1" applyBorder="1" applyAlignment="1">
      <alignment vertical="center" wrapText="1"/>
    </xf>
    <xf numFmtId="184" fontId="7" fillId="0" borderId="39" xfId="0" applyNumberFormat="1" applyFont="1" applyFill="1" applyBorder="1" applyAlignment="1">
      <alignment vertical="center" wrapText="1"/>
    </xf>
    <xf numFmtId="0" fontId="7" fillId="4" borderId="39" xfId="4" applyFont="1" applyFill="1" applyBorder="1" applyAlignment="1">
      <alignment vertical="center"/>
    </xf>
    <xf numFmtId="57" fontId="7" fillId="0" borderId="39" xfId="0" applyNumberFormat="1" applyFont="1" applyBorder="1" applyAlignment="1">
      <alignment vertical="center"/>
    </xf>
    <xf numFmtId="49" fontId="7" fillId="0" borderId="39" xfId="0" applyNumberFormat="1" applyFont="1" applyBorder="1" applyAlignment="1">
      <alignment vertical="center"/>
    </xf>
    <xf numFmtId="0" fontId="7" fillId="0" borderId="40" xfId="0" applyFont="1" applyFill="1" applyBorder="1" applyAlignment="1">
      <alignment vertical="center" wrapText="1"/>
    </xf>
    <xf numFmtId="0" fontId="7" fillId="0" borderId="40" xfId="0" applyFont="1" applyFill="1" applyBorder="1" applyAlignment="1">
      <alignment vertical="center"/>
    </xf>
    <xf numFmtId="177" fontId="7" fillId="0" borderId="40" xfId="11" applyNumberFormat="1" applyFont="1" applyFill="1" applyBorder="1" applyAlignment="1">
      <alignment vertical="center"/>
    </xf>
    <xf numFmtId="0" fontId="7" fillId="0" borderId="40" xfId="6" applyNumberFormat="1" applyFont="1" applyFill="1" applyBorder="1" applyAlignment="1">
      <alignment vertical="center"/>
    </xf>
    <xf numFmtId="0" fontId="7" fillId="0" borderId="40" xfId="69" applyFont="1" applyFill="1" applyBorder="1" applyAlignment="1">
      <alignment vertical="center" wrapText="1"/>
    </xf>
    <xf numFmtId="0" fontId="7" fillId="0" borderId="40" xfId="6" applyFont="1" applyFill="1" applyBorder="1" applyAlignment="1">
      <alignment vertical="center"/>
    </xf>
    <xf numFmtId="176" fontId="7" fillId="0" borderId="40" xfId="6" applyNumberFormat="1" applyFont="1" applyFill="1" applyBorder="1" applyAlignment="1">
      <alignment vertical="center" wrapText="1"/>
    </xf>
    <xf numFmtId="0" fontId="44" fillId="0" borderId="42" xfId="0" applyFont="1" applyBorder="1" applyAlignment="1">
      <alignment vertical="center"/>
    </xf>
    <xf numFmtId="0" fontId="47" fillId="0" borderId="39" xfId="6" applyFont="1" applyFill="1" applyBorder="1" applyAlignment="1">
      <alignment vertical="center"/>
    </xf>
    <xf numFmtId="0" fontId="7" fillId="4" borderId="39" xfId="6" applyFont="1" applyFill="1" applyBorder="1" applyAlignment="1">
      <alignment vertical="center" wrapText="1"/>
    </xf>
    <xf numFmtId="0" fontId="7" fillId="4" borderId="39" xfId="0" applyFont="1" applyFill="1" applyBorder="1" applyAlignment="1">
      <alignment vertical="center" wrapText="1"/>
    </xf>
    <xf numFmtId="0" fontId="7" fillId="4" borderId="40" xfId="6" applyFont="1" applyFill="1" applyBorder="1" applyAlignment="1">
      <alignment vertical="center" wrapText="1"/>
    </xf>
    <xf numFmtId="0" fontId="7" fillId="4" borderId="40" xfId="0" applyFont="1" applyFill="1" applyBorder="1" applyAlignment="1">
      <alignment vertical="center" wrapText="1"/>
    </xf>
    <xf numFmtId="0" fontId="7" fillId="4" borderId="40" xfId="0" applyFont="1" applyFill="1" applyBorder="1" applyAlignment="1">
      <alignment vertical="center"/>
    </xf>
    <xf numFmtId="177" fontId="44" fillId="4" borderId="39" xfId="0" applyNumberFormat="1" applyFont="1" applyFill="1" applyBorder="1" applyAlignment="1">
      <alignment vertical="center"/>
    </xf>
    <xf numFmtId="177" fontId="7" fillId="0" borderId="39" xfId="0" applyNumberFormat="1" applyFont="1" applyBorder="1" applyAlignment="1">
      <alignment vertical="center"/>
    </xf>
    <xf numFmtId="176" fontId="7" fillId="0" borderId="39" xfId="0" applyNumberFormat="1" applyFont="1" applyFill="1" applyBorder="1" applyAlignment="1">
      <alignment vertical="center"/>
    </xf>
    <xf numFmtId="0" fontId="7" fillId="0" borderId="39" xfId="0" applyFont="1" applyFill="1" applyBorder="1" applyAlignment="1"/>
    <xf numFmtId="0" fontId="7" fillId="4" borderId="39" xfId="6" applyFont="1" applyFill="1" applyBorder="1" applyAlignment="1">
      <alignment vertical="center"/>
    </xf>
    <xf numFmtId="0" fontId="7" fillId="0" borderId="39" xfId="6" applyFont="1" applyBorder="1" applyAlignment="1">
      <alignment vertical="center"/>
    </xf>
    <xf numFmtId="177" fontId="7" fillId="4" borderId="39" xfId="0" applyNumberFormat="1" applyFont="1" applyFill="1" applyBorder="1" applyAlignment="1">
      <alignment vertical="center" wrapText="1"/>
    </xf>
    <xf numFmtId="0" fontId="7" fillId="0" borderId="39" xfId="17" applyFont="1" applyFill="1" applyBorder="1" applyAlignment="1">
      <alignment vertical="center" wrapText="1"/>
    </xf>
    <xf numFmtId="0" fontId="7" fillId="0" borderId="39" xfId="6" applyFont="1" applyFill="1" applyBorder="1" applyAlignment="1">
      <alignment vertical="center" wrapText="1"/>
    </xf>
    <xf numFmtId="0" fontId="47" fillId="4" borderId="39" xfId="6" applyFont="1" applyFill="1" applyBorder="1" applyAlignment="1">
      <alignment vertical="center" wrapText="1"/>
    </xf>
    <xf numFmtId="0" fontId="47" fillId="4" borderId="39" xfId="6" applyFont="1" applyFill="1" applyBorder="1" applyAlignment="1">
      <alignment vertical="center"/>
    </xf>
    <xf numFmtId="57" fontId="47" fillId="0" borderId="39" xfId="6" applyNumberFormat="1" applyFont="1" applyFill="1" applyBorder="1" applyAlignment="1">
      <alignment vertical="center"/>
    </xf>
    <xf numFmtId="177" fontId="7" fillId="4" borderId="39" xfId="69" applyNumberFormat="1" applyFont="1" applyFill="1" applyBorder="1" applyAlignment="1">
      <alignment vertical="center"/>
    </xf>
    <xf numFmtId="0" fontId="7" fillId="4" borderId="39" xfId="76" applyFont="1" applyFill="1" applyBorder="1" applyAlignment="1">
      <alignment vertical="center" wrapText="1"/>
    </xf>
    <xf numFmtId="2" fontId="7" fillId="0" borderId="39" xfId="0" applyNumberFormat="1" applyFont="1" applyBorder="1" applyAlignment="1">
      <alignment vertical="center"/>
    </xf>
    <xf numFmtId="0" fontId="7" fillId="0" borderId="39" xfId="0" applyFont="1" applyFill="1" applyBorder="1" applyAlignment="1">
      <alignment vertical="top" wrapText="1"/>
    </xf>
    <xf numFmtId="0" fontId="8" fillId="0" borderId="39" xfId="0" applyFont="1" applyBorder="1" applyAlignment="1">
      <alignment vertical="center"/>
    </xf>
    <xf numFmtId="0" fontId="47" fillId="0" borderId="36" xfId="77" applyFont="1" applyFill="1" applyBorder="1" applyAlignment="1">
      <alignment vertical="center" wrapText="1"/>
    </xf>
    <xf numFmtId="0" fontId="44" fillId="0" borderId="5" xfId="0" applyFont="1" applyBorder="1" applyAlignment="1">
      <alignment vertical="center" wrapText="1"/>
    </xf>
    <xf numFmtId="0" fontId="47" fillId="0" borderId="5" xfId="77" applyFont="1" applyFill="1" applyBorder="1" applyAlignment="1">
      <alignment vertical="center" wrapText="1"/>
    </xf>
    <xf numFmtId="0" fontId="7" fillId="4" borderId="5" xfId="76" applyFont="1" applyFill="1" applyBorder="1" applyAlignment="1">
      <alignment vertical="center" wrapText="1"/>
    </xf>
    <xf numFmtId="0" fontId="7" fillId="0" borderId="5" xfId="0" applyFont="1" applyBorder="1" applyAlignment="1">
      <alignment vertical="center"/>
    </xf>
    <xf numFmtId="0" fontId="47" fillId="0" borderId="5" xfId="78" applyFont="1" applyFill="1" applyBorder="1" applyAlignment="1">
      <alignment vertical="center" wrapText="1"/>
    </xf>
    <xf numFmtId="0" fontId="7" fillId="0" borderId="5" xfId="0" applyFont="1" applyFill="1" applyBorder="1" applyAlignment="1">
      <alignment vertical="center" wrapText="1"/>
    </xf>
    <xf numFmtId="0" fontId="7" fillId="0" borderId="5" xfId="0" applyNumberFormat="1" applyFont="1" applyFill="1" applyBorder="1" applyAlignment="1">
      <alignment vertical="center" wrapText="1"/>
    </xf>
    <xf numFmtId="0" fontId="7" fillId="4" borderId="5" xfId="79" applyFont="1" applyFill="1" applyBorder="1" applyAlignment="1">
      <alignment vertical="center" wrapText="1"/>
    </xf>
    <xf numFmtId="177" fontId="7" fillId="0" borderId="5" xfId="0" applyNumberFormat="1" applyFont="1" applyFill="1" applyBorder="1" applyAlignment="1">
      <alignment vertical="center" wrapText="1"/>
    </xf>
    <xf numFmtId="177" fontId="7" fillId="4" borderId="5" xfId="0" applyNumberFormat="1" applyFont="1" applyFill="1" applyBorder="1" applyAlignment="1">
      <alignment vertical="center" wrapText="1"/>
    </xf>
    <xf numFmtId="177" fontId="44" fillId="0" borderId="5" xfId="0" applyNumberFormat="1" applyFont="1" applyBorder="1" applyAlignment="1">
      <alignment vertical="center" wrapText="1"/>
    </xf>
    <xf numFmtId="177" fontId="44" fillId="4" borderId="5" xfId="0" applyNumberFormat="1" applyFont="1" applyFill="1" applyBorder="1" applyAlignment="1">
      <alignment vertical="center" wrapText="1"/>
    </xf>
    <xf numFmtId="0" fontId="7" fillId="0" borderId="5" xfId="0" applyFont="1" applyFill="1" applyBorder="1" applyAlignment="1">
      <alignment vertical="center"/>
    </xf>
    <xf numFmtId="0" fontId="7" fillId="0" borderId="5" xfId="0" applyNumberFormat="1" applyFont="1" applyFill="1" applyBorder="1" applyAlignment="1">
      <alignment vertical="center"/>
    </xf>
    <xf numFmtId="0" fontId="44" fillId="0" borderId="5" xfId="0" applyFont="1" applyFill="1" applyBorder="1" applyAlignment="1">
      <alignment vertical="center"/>
    </xf>
    <xf numFmtId="0" fontId="44" fillId="0" borderId="5" xfId="0" applyFont="1" applyBorder="1" applyAlignment="1">
      <alignment vertical="center"/>
    </xf>
    <xf numFmtId="0" fontId="8" fillId="0" borderId="5" xfId="0" applyFont="1" applyBorder="1" applyAlignment="1">
      <alignment horizontal="center" vertical="center"/>
    </xf>
    <xf numFmtId="0" fontId="8" fillId="0" borderId="5" xfId="0" applyFont="1" applyBorder="1" applyAlignment="1">
      <alignment vertical="center"/>
    </xf>
    <xf numFmtId="0" fontId="7" fillId="0" borderId="5" xfId="0" applyFont="1" applyBorder="1" applyAlignment="1">
      <alignment vertical="center" wrapText="1"/>
    </xf>
    <xf numFmtId="0" fontId="7" fillId="0" borderId="5" xfId="6" applyFont="1" applyFill="1" applyBorder="1" applyAlignment="1">
      <alignment vertical="center"/>
    </xf>
    <xf numFmtId="0" fontId="7" fillId="0" borderId="5" xfId="6" applyNumberFormat="1" applyFont="1" applyFill="1" applyBorder="1" applyAlignment="1">
      <alignment vertical="center"/>
    </xf>
    <xf numFmtId="0" fontId="7" fillId="0" borderId="5" xfId="69" applyFont="1" applyFill="1" applyBorder="1" applyAlignment="1">
      <alignment vertical="center" wrapText="1"/>
    </xf>
    <xf numFmtId="176" fontId="7" fillId="0" borderId="5" xfId="6" applyNumberFormat="1" applyFont="1" applyFill="1" applyBorder="1" applyAlignment="1">
      <alignment vertical="center" wrapText="1"/>
    </xf>
    <xf numFmtId="0" fontId="7" fillId="0" borderId="5" xfId="80" applyFont="1" applyFill="1" applyBorder="1" applyAlignment="1">
      <alignment vertical="center"/>
    </xf>
    <xf numFmtId="0" fontId="47" fillId="5" borderId="5" xfId="22" applyNumberFormat="1" applyFont="1" applyFill="1" applyBorder="1" applyAlignment="1" applyProtection="1">
      <alignment vertical="center"/>
    </xf>
    <xf numFmtId="2" fontId="44" fillId="0" borderId="5" xfId="80" applyNumberFormat="1" applyFont="1" applyFill="1" applyBorder="1" applyAlignment="1">
      <alignment vertical="center" wrapText="1"/>
    </xf>
    <xf numFmtId="57" fontId="44" fillId="0" borderId="5" xfId="0" applyNumberFormat="1" applyFont="1" applyBorder="1" applyAlignment="1">
      <alignment vertical="center"/>
    </xf>
    <xf numFmtId="0" fontId="47" fillId="0" borderId="5" xfId="6" applyFont="1" applyBorder="1" applyAlignment="1">
      <alignment vertical="center" wrapText="1"/>
    </xf>
    <xf numFmtId="49" fontId="44" fillId="0" borderId="5" xfId="0" applyNumberFormat="1" applyFont="1" applyBorder="1" applyAlignment="1">
      <alignment vertical="center"/>
    </xf>
    <xf numFmtId="0" fontId="7" fillId="0" borderId="5" xfId="6" applyFont="1" applyFill="1" applyBorder="1" applyAlignment="1">
      <alignment vertical="center" wrapText="1"/>
    </xf>
    <xf numFmtId="0" fontId="7" fillId="0" borderId="5" xfId="6" applyNumberFormat="1" applyFont="1" applyFill="1" applyBorder="1" applyAlignment="1">
      <alignment vertical="center" wrapText="1"/>
    </xf>
    <xf numFmtId="0" fontId="47" fillId="0" borderId="5" xfId="0" applyFont="1" applyBorder="1" applyAlignment="1">
      <alignment vertical="center" wrapText="1"/>
    </xf>
    <xf numFmtId="177" fontId="47" fillId="0" borderId="5" xfId="0" applyNumberFormat="1" applyFont="1" applyBorder="1" applyAlignment="1">
      <alignment vertical="center" wrapText="1"/>
    </xf>
    <xf numFmtId="0" fontId="44" fillId="0" borderId="0" xfId="0" applyFont="1" applyAlignment="1">
      <alignment vertical="center" wrapText="1"/>
    </xf>
    <xf numFmtId="0" fontId="44" fillId="5" borderId="15" xfId="0" applyFont="1" applyFill="1" applyBorder="1" applyAlignment="1">
      <alignment vertical="center" wrapText="1"/>
    </xf>
    <xf numFmtId="0" fontId="44" fillId="0" borderId="5" xfId="6" applyFont="1" applyBorder="1" applyAlignment="1">
      <alignment vertical="center" wrapText="1"/>
    </xf>
    <xf numFmtId="177" fontId="44" fillId="0" borderId="5" xfId="0" applyNumberFormat="1" applyFont="1" applyBorder="1" applyAlignment="1">
      <alignment vertical="center"/>
    </xf>
    <xf numFmtId="0" fontId="44" fillId="0" borderId="0" xfId="0" applyFont="1" applyAlignment="1">
      <alignment vertical="center"/>
    </xf>
    <xf numFmtId="0" fontId="44" fillId="0" borderId="5" xfId="0" applyFont="1" applyFill="1" applyBorder="1" applyAlignment="1">
      <alignment vertical="center" wrapText="1"/>
    </xf>
    <xf numFmtId="0" fontId="7" fillId="0" borderId="5" xfId="0" applyFont="1" applyBorder="1" applyAlignment="1"/>
    <xf numFmtId="0" fontId="44" fillId="0" borderId="5" xfId="0" applyFont="1" applyBorder="1" applyAlignment="1"/>
  </cellXfs>
  <cellStyles count="81">
    <cellStyle name="20% - 强调文字颜色 4 11 3 3" xfId="25"/>
    <cellStyle name="40% - 强调文字颜色 1" xfId="1" builtinId="31"/>
    <cellStyle name="DetailNameD" xfId="54"/>
    <cellStyle name="差_2012年9月动态 5" xfId="26"/>
    <cellStyle name="常规" xfId="0" builtinId="0"/>
    <cellStyle name="常规 10" xfId="8"/>
    <cellStyle name="常规 10 10 2" xfId="80"/>
    <cellStyle name="常规 10 10 2 2" xfId="64"/>
    <cellStyle name="常规 10 11" xfId="55"/>
    <cellStyle name="常规 10 11 2 2" xfId="70"/>
    <cellStyle name="常规 10 2" xfId="61"/>
    <cellStyle name="常规 10 4" xfId="78"/>
    <cellStyle name="常规 10 6" xfId="48"/>
    <cellStyle name="常规 10 6 2" xfId="68"/>
    <cellStyle name="常规 102" xfId="28"/>
    <cellStyle name="常规 103" xfId="33"/>
    <cellStyle name="常规 106" xfId="31"/>
    <cellStyle name="常规 107" xfId="30"/>
    <cellStyle name="常规 108" xfId="34"/>
    <cellStyle name="常规 109" xfId="32"/>
    <cellStyle name="常规 110" xfId="29"/>
    <cellStyle name="常规 111" xfId="23"/>
    <cellStyle name="常规 112" xfId="24"/>
    <cellStyle name="常规 13 9" xfId="45"/>
    <cellStyle name="常规 14 7" xfId="53"/>
    <cellStyle name="常规 141" xfId="60"/>
    <cellStyle name="常规 143" xfId="65"/>
    <cellStyle name="常规 15 2 2 2 2" xfId="51"/>
    <cellStyle name="常规 158" xfId="41"/>
    <cellStyle name="常规 18" xfId="76"/>
    <cellStyle name="常规 2" xfId="4"/>
    <cellStyle name="常规 2 100" xfId="49"/>
    <cellStyle name="常规 2 12" xfId="19"/>
    <cellStyle name="常规 2 2" xfId="22"/>
    <cellStyle name="常规 2 2 10" xfId="56"/>
    <cellStyle name="常规 2 2 3 2" xfId="77"/>
    <cellStyle name="常规 2 27 2" xfId="58"/>
    <cellStyle name="常规 2 37" xfId="35"/>
    <cellStyle name="常规 210" xfId="39"/>
    <cellStyle name="常规 3" xfId="2"/>
    <cellStyle name="常规 3 10" xfId="16"/>
    <cellStyle name="常规 3 11" xfId="44"/>
    <cellStyle name="常规 3 11 2 2 2" xfId="69"/>
    <cellStyle name="常规 3 2" xfId="7"/>
    <cellStyle name="常规 3 2 6 3" xfId="46"/>
    <cellStyle name="常规 4" xfId="11"/>
    <cellStyle name="常规 4 14" xfId="67"/>
    <cellStyle name="常规 5" xfId="17"/>
    <cellStyle name="常规 5 2" xfId="5"/>
    <cellStyle name="常规 5 2 5 3" xfId="47"/>
    <cellStyle name="常规 56" xfId="10"/>
    <cellStyle name="常规 6" xfId="57"/>
    <cellStyle name="常规 6 11" xfId="59"/>
    <cellStyle name="常规 60" xfId="43"/>
    <cellStyle name="常规 7 2 10 2 2" xfId="21"/>
    <cellStyle name="常规 7 6" xfId="62"/>
    <cellStyle name="常规 8 2" xfId="9"/>
    <cellStyle name="常规 82" xfId="37"/>
    <cellStyle name="常规 84" xfId="3"/>
    <cellStyle name="常规 9" xfId="14"/>
    <cellStyle name="常规 9 4" xfId="20"/>
    <cellStyle name="常规 9 5 2" xfId="63"/>
    <cellStyle name="常规_2014-196周转材料附件" xfId="6"/>
    <cellStyle name="常规_Sheet1" xfId="38"/>
    <cellStyle name="常规_Sheet1 2" xfId="40"/>
    <cellStyle name="常规_Sheet1_1" xfId="15"/>
    <cellStyle name="常规_Sheet3" xfId="66"/>
    <cellStyle name="常规_Xl0000012" xfId="52"/>
    <cellStyle name="常规_附表" xfId="12"/>
    <cellStyle name="常规_附件1需要补充上报的明细表模板" xfId="74"/>
    <cellStyle name="常规_设物部资金计划" xfId="79"/>
    <cellStyle name="常规_太原" xfId="75"/>
    <cellStyle name="常规_物资表格" xfId="42"/>
    <cellStyle name="常规_中铁六局周转材料统计表-北京公司（报六局）2013.4.5" xfId="36"/>
    <cellStyle name="常规_周转材料摊销表" xfId="27"/>
    <cellStyle name="千位分隔 11" xfId="73"/>
    <cellStyle name="千位分隔 2" xfId="18"/>
    <cellStyle name="千位分隔 4" xfId="72"/>
    <cellStyle name="千位分隔 6" xfId="50"/>
    <cellStyle name="千位分隔 7" xfId="71"/>
    <cellStyle name="样式 1" xfId="13"/>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NULL" TargetMode="External"/></Relationships>
</file>

<file path=xl/drawings/drawing1.xml><?xml version="1.0" encoding="utf-8"?>
<xdr:wsDr xmlns:xdr="http://schemas.openxmlformats.org/drawingml/2006/spreadsheetDrawing" xmlns:a="http://schemas.openxmlformats.org/drawingml/2006/main">
  <xdr:twoCellAnchor>
    <xdr:from>
      <xdr:col>0</xdr:col>
      <xdr:colOff>66040</xdr:colOff>
      <xdr:row>807</xdr:row>
      <xdr:rowOff>0</xdr:rowOff>
    </xdr:from>
    <xdr:to>
      <xdr:col>1</xdr:col>
      <xdr:colOff>133350</xdr:colOff>
      <xdr:row>807</xdr:row>
      <xdr:rowOff>8890</xdr:rowOff>
    </xdr:to>
    <xdr:pic>
      <xdr:nvPicPr>
        <xdr:cNvPr id="2" name="图片 277" descr="中铁LOGO黑白">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6040" y="192433575"/>
          <a:ext cx="486410" cy="8890"/>
        </a:xfrm>
        <a:prstGeom prst="rect">
          <a:avLst/>
        </a:prstGeom>
        <a:noFill/>
        <a:ln w="9525">
          <a:noFill/>
        </a:ln>
      </xdr:spPr>
    </xdr:pic>
    <xdr:clientData/>
  </xdr:twoCellAnchor>
  <xdr:twoCellAnchor>
    <xdr:from>
      <xdr:col>0</xdr:col>
      <xdr:colOff>66040</xdr:colOff>
      <xdr:row>807</xdr:row>
      <xdr:rowOff>0</xdr:rowOff>
    </xdr:from>
    <xdr:to>
      <xdr:col>1</xdr:col>
      <xdr:colOff>133350</xdr:colOff>
      <xdr:row>807</xdr:row>
      <xdr:rowOff>8890</xdr:rowOff>
    </xdr:to>
    <xdr:pic>
      <xdr:nvPicPr>
        <xdr:cNvPr id="3" name="图片 277" descr="中铁LOGO黑白">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66040" y="192433575"/>
          <a:ext cx="486410" cy="8890"/>
        </a:xfrm>
        <a:prstGeom prst="rect">
          <a:avLst/>
        </a:prstGeom>
        <a:noFill/>
        <a:ln w="9525">
          <a:noFill/>
        </a:ln>
      </xdr:spPr>
    </xdr:pic>
    <xdr:clientData/>
  </xdr:twoCellAnchor>
  <xdr:twoCellAnchor>
    <xdr:from>
      <xdr:col>0</xdr:col>
      <xdr:colOff>66040</xdr:colOff>
      <xdr:row>805</xdr:row>
      <xdr:rowOff>0</xdr:rowOff>
    </xdr:from>
    <xdr:to>
      <xdr:col>1</xdr:col>
      <xdr:colOff>133350</xdr:colOff>
      <xdr:row>805</xdr:row>
      <xdr:rowOff>11430</xdr:rowOff>
    </xdr:to>
    <xdr:pic>
      <xdr:nvPicPr>
        <xdr:cNvPr id="4" name="图片 277" descr="中铁LOGO黑白">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stretch>
          <a:fillRect/>
        </a:stretch>
      </xdr:blipFill>
      <xdr:spPr>
        <a:xfrm>
          <a:off x="66040" y="191976375"/>
          <a:ext cx="486410" cy="11430"/>
        </a:xfrm>
        <a:prstGeom prst="rect">
          <a:avLst/>
        </a:prstGeom>
        <a:noFill/>
        <a:ln w="9525">
          <a:noFill/>
        </a:ln>
      </xdr:spPr>
    </xdr:pic>
    <xdr:clientData/>
  </xdr:twoCellAnchor>
  <xdr:twoCellAnchor>
    <xdr:from>
      <xdr:col>0</xdr:col>
      <xdr:colOff>66040</xdr:colOff>
      <xdr:row>805</xdr:row>
      <xdr:rowOff>0</xdr:rowOff>
    </xdr:from>
    <xdr:to>
      <xdr:col>1</xdr:col>
      <xdr:colOff>133350</xdr:colOff>
      <xdr:row>805</xdr:row>
      <xdr:rowOff>11430</xdr:rowOff>
    </xdr:to>
    <xdr:pic>
      <xdr:nvPicPr>
        <xdr:cNvPr id="5" name="图片 277" descr="中铁LOGO黑白">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66040" y="191976375"/>
          <a:ext cx="486410" cy="11430"/>
        </a:xfrm>
        <a:prstGeom prst="rect">
          <a:avLst/>
        </a:prstGeom>
        <a:noFill/>
        <a:ln w="9525">
          <a:noFill/>
        </a:ln>
      </xdr:spPr>
    </xdr:pic>
    <xdr:clientData/>
  </xdr:twoCellAnchor>
  <xdr:twoCellAnchor>
    <xdr:from>
      <xdr:col>0</xdr:col>
      <xdr:colOff>66040</xdr:colOff>
      <xdr:row>808</xdr:row>
      <xdr:rowOff>0</xdr:rowOff>
    </xdr:from>
    <xdr:to>
      <xdr:col>1</xdr:col>
      <xdr:colOff>133350</xdr:colOff>
      <xdr:row>808</xdr:row>
      <xdr:rowOff>9525</xdr:rowOff>
    </xdr:to>
    <xdr:pic>
      <xdr:nvPicPr>
        <xdr:cNvPr id="6" name="图片 277" descr="中铁LOGO黑白">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stretch>
          <a:fillRect/>
        </a:stretch>
      </xdr:blipFill>
      <xdr:spPr>
        <a:xfrm>
          <a:off x="66040" y="192662175"/>
          <a:ext cx="486410" cy="9525"/>
        </a:xfrm>
        <a:prstGeom prst="rect">
          <a:avLst/>
        </a:prstGeom>
        <a:noFill/>
        <a:ln w="9525">
          <a:noFill/>
        </a:ln>
      </xdr:spPr>
    </xdr:pic>
    <xdr:clientData/>
  </xdr:twoCellAnchor>
  <xdr:twoCellAnchor>
    <xdr:from>
      <xdr:col>0</xdr:col>
      <xdr:colOff>66040</xdr:colOff>
      <xdr:row>805</xdr:row>
      <xdr:rowOff>0</xdr:rowOff>
    </xdr:from>
    <xdr:to>
      <xdr:col>1</xdr:col>
      <xdr:colOff>133350</xdr:colOff>
      <xdr:row>805</xdr:row>
      <xdr:rowOff>11430</xdr:rowOff>
    </xdr:to>
    <xdr:pic>
      <xdr:nvPicPr>
        <xdr:cNvPr id="7" name="图片 277" descr="中铁LOGO黑白">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stretch>
          <a:fillRect/>
        </a:stretch>
      </xdr:blipFill>
      <xdr:spPr>
        <a:xfrm>
          <a:off x="66040" y="191976375"/>
          <a:ext cx="486410" cy="11430"/>
        </a:xfrm>
        <a:prstGeom prst="rect">
          <a:avLst/>
        </a:prstGeom>
        <a:noFill/>
        <a:ln w="9525">
          <a:noFill/>
        </a:ln>
      </xdr:spPr>
    </xdr:pic>
    <xdr:clientData/>
  </xdr:twoCellAnchor>
  <xdr:twoCellAnchor>
    <xdr:from>
      <xdr:col>0</xdr:col>
      <xdr:colOff>66040</xdr:colOff>
      <xdr:row>805</xdr:row>
      <xdr:rowOff>0</xdr:rowOff>
    </xdr:from>
    <xdr:to>
      <xdr:col>1</xdr:col>
      <xdr:colOff>133350</xdr:colOff>
      <xdr:row>805</xdr:row>
      <xdr:rowOff>11430</xdr:rowOff>
    </xdr:to>
    <xdr:pic>
      <xdr:nvPicPr>
        <xdr:cNvPr id="8" name="图片 277" descr="中铁LOGO黑白">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stretch>
          <a:fillRect/>
        </a:stretch>
      </xdr:blipFill>
      <xdr:spPr>
        <a:xfrm>
          <a:off x="66040" y="191976375"/>
          <a:ext cx="486410" cy="11430"/>
        </a:xfrm>
        <a:prstGeom prst="rect">
          <a:avLst/>
        </a:prstGeom>
        <a:noFill/>
        <a:ln w="9525">
          <a:noFill/>
        </a:ln>
      </xdr:spPr>
    </xdr:pic>
    <xdr:clientData/>
  </xdr:twoCellAnchor>
  <xdr:twoCellAnchor>
    <xdr:from>
      <xdr:col>0</xdr:col>
      <xdr:colOff>66040</xdr:colOff>
      <xdr:row>808</xdr:row>
      <xdr:rowOff>0</xdr:rowOff>
    </xdr:from>
    <xdr:to>
      <xdr:col>1</xdr:col>
      <xdr:colOff>133350</xdr:colOff>
      <xdr:row>808</xdr:row>
      <xdr:rowOff>9525</xdr:rowOff>
    </xdr:to>
    <xdr:pic>
      <xdr:nvPicPr>
        <xdr:cNvPr id="9" name="图片 277" descr="中铁LOGO黑白">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 cstate="print"/>
        <a:stretch>
          <a:fillRect/>
        </a:stretch>
      </xdr:blipFill>
      <xdr:spPr>
        <a:xfrm>
          <a:off x="66040" y="192662175"/>
          <a:ext cx="486410" cy="9525"/>
        </a:xfrm>
        <a:prstGeom prst="rect">
          <a:avLst/>
        </a:prstGeom>
        <a:noFill/>
        <a:ln w="9525">
          <a:noFill/>
        </a:ln>
      </xdr:spPr>
    </xdr:pic>
    <xdr:clientData/>
  </xdr:twoCellAnchor>
  <xdr:twoCellAnchor>
    <xdr:from>
      <xdr:col>0</xdr:col>
      <xdr:colOff>66675</xdr:colOff>
      <xdr:row>813</xdr:row>
      <xdr:rowOff>0</xdr:rowOff>
    </xdr:from>
    <xdr:to>
      <xdr:col>1</xdr:col>
      <xdr:colOff>133350</xdr:colOff>
      <xdr:row>813</xdr:row>
      <xdr:rowOff>10795</xdr:rowOff>
    </xdr:to>
    <xdr:pic>
      <xdr:nvPicPr>
        <xdr:cNvPr id="10" name="图片 277" descr="中铁LOGO黑白">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2" cstate="print"/>
        <a:stretch>
          <a:fillRect/>
        </a:stretch>
      </xdr:blipFill>
      <xdr:spPr>
        <a:xfrm>
          <a:off x="66675" y="193805175"/>
          <a:ext cx="485775" cy="10795"/>
        </a:xfrm>
        <a:prstGeom prst="rect">
          <a:avLst/>
        </a:prstGeom>
        <a:noFill/>
        <a:ln w="9525">
          <a:noFill/>
        </a:ln>
      </xdr:spPr>
    </xdr:pic>
    <xdr:clientData/>
  </xdr:twoCellAnchor>
  <xdr:twoCellAnchor>
    <xdr:from>
      <xdr:col>0</xdr:col>
      <xdr:colOff>66675</xdr:colOff>
      <xdr:row>813</xdr:row>
      <xdr:rowOff>0</xdr:rowOff>
    </xdr:from>
    <xdr:to>
      <xdr:col>1</xdr:col>
      <xdr:colOff>133350</xdr:colOff>
      <xdr:row>813</xdr:row>
      <xdr:rowOff>10795</xdr:rowOff>
    </xdr:to>
    <xdr:pic>
      <xdr:nvPicPr>
        <xdr:cNvPr id="11" name="图片 277" descr="中铁LOGO黑白">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stretch>
          <a:fillRect/>
        </a:stretch>
      </xdr:blipFill>
      <xdr:spPr>
        <a:xfrm>
          <a:off x="66675" y="193805175"/>
          <a:ext cx="485775" cy="10795"/>
        </a:xfrm>
        <a:prstGeom prst="rect">
          <a:avLst/>
        </a:prstGeom>
        <a:noFill/>
        <a:ln w="9525">
          <a:noFill/>
        </a:ln>
      </xdr:spPr>
    </xdr:pic>
    <xdr:clientData/>
  </xdr:twoCellAnchor>
  <xdr:twoCellAnchor>
    <xdr:from>
      <xdr:col>0</xdr:col>
      <xdr:colOff>66675</xdr:colOff>
      <xdr:row>814</xdr:row>
      <xdr:rowOff>0</xdr:rowOff>
    </xdr:from>
    <xdr:to>
      <xdr:col>1</xdr:col>
      <xdr:colOff>133350</xdr:colOff>
      <xdr:row>814</xdr:row>
      <xdr:rowOff>10795</xdr:rowOff>
    </xdr:to>
    <xdr:pic>
      <xdr:nvPicPr>
        <xdr:cNvPr id="12" name="图片 277" descr="中铁LOGO黑白">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2" cstate="print"/>
        <a:stretch>
          <a:fillRect/>
        </a:stretch>
      </xdr:blipFill>
      <xdr:spPr>
        <a:xfrm>
          <a:off x="66675" y="194033775"/>
          <a:ext cx="485775" cy="10795"/>
        </a:xfrm>
        <a:prstGeom prst="rect">
          <a:avLst/>
        </a:prstGeom>
        <a:noFill/>
        <a:ln w="9525">
          <a:noFill/>
        </a:ln>
      </xdr:spPr>
    </xdr:pic>
    <xdr:clientData/>
  </xdr:twoCellAnchor>
  <xdr:twoCellAnchor>
    <xdr:from>
      <xdr:col>0</xdr:col>
      <xdr:colOff>66675</xdr:colOff>
      <xdr:row>814</xdr:row>
      <xdr:rowOff>0</xdr:rowOff>
    </xdr:from>
    <xdr:to>
      <xdr:col>1</xdr:col>
      <xdr:colOff>133350</xdr:colOff>
      <xdr:row>814</xdr:row>
      <xdr:rowOff>10795</xdr:rowOff>
    </xdr:to>
    <xdr:pic>
      <xdr:nvPicPr>
        <xdr:cNvPr id="13" name="图片 277" descr="中铁LOGO黑白">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2" cstate="print"/>
        <a:stretch>
          <a:fillRect/>
        </a:stretch>
      </xdr:blipFill>
      <xdr:spPr>
        <a:xfrm>
          <a:off x="66675" y="194033775"/>
          <a:ext cx="485775" cy="10795"/>
        </a:xfrm>
        <a:prstGeom prst="rect">
          <a:avLst/>
        </a:prstGeom>
        <a:noFill/>
        <a:ln w="9525">
          <a:noFill/>
        </a:ln>
      </xdr:spPr>
    </xdr:pic>
    <xdr:clientData/>
  </xdr:twoCellAnchor>
  <xdr:twoCellAnchor>
    <xdr:from>
      <xdr:col>0</xdr:col>
      <xdr:colOff>66675</xdr:colOff>
      <xdr:row>815</xdr:row>
      <xdr:rowOff>0</xdr:rowOff>
    </xdr:from>
    <xdr:to>
      <xdr:col>1</xdr:col>
      <xdr:colOff>133350</xdr:colOff>
      <xdr:row>815</xdr:row>
      <xdr:rowOff>10795</xdr:rowOff>
    </xdr:to>
    <xdr:pic>
      <xdr:nvPicPr>
        <xdr:cNvPr id="14" name="图片 277" descr="中铁LOGO黑白">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2" cstate="print"/>
        <a:stretch>
          <a:fillRect/>
        </a:stretch>
      </xdr:blipFill>
      <xdr:spPr>
        <a:xfrm>
          <a:off x="66675" y="194262375"/>
          <a:ext cx="485775" cy="10795"/>
        </a:xfrm>
        <a:prstGeom prst="rect">
          <a:avLst/>
        </a:prstGeom>
        <a:noFill/>
        <a:ln w="9525">
          <a:noFill/>
        </a:ln>
      </xdr:spPr>
    </xdr:pic>
    <xdr:clientData/>
  </xdr:twoCellAnchor>
  <xdr:twoCellAnchor>
    <xdr:from>
      <xdr:col>0</xdr:col>
      <xdr:colOff>66675</xdr:colOff>
      <xdr:row>815</xdr:row>
      <xdr:rowOff>0</xdr:rowOff>
    </xdr:from>
    <xdr:to>
      <xdr:col>1</xdr:col>
      <xdr:colOff>133350</xdr:colOff>
      <xdr:row>815</xdr:row>
      <xdr:rowOff>10795</xdr:rowOff>
    </xdr:to>
    <xdr:pic>
      <xdr:nvPicPr>
        <xdr:cNvPr id="15" name="图片 277" descr="中铁LOGO黑白">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2" cstate="print"/>
        <a:stretch>
          <a:fillRect/>
        </a:stretch>
      </xdr:blipFill>
      <xdr:spPr>
        <a:xfrm>
          <a:off x="66675" y="194262375"/>
          <a:ext cx="485775" cy="10795"/>
        </a:xfrm>
        <a:prstGeom prst="rect">
          <a:avLst/>
        </a:prstGeom>
        <a:noFill/>
        <a:ln w="9525">
          <a:noFill/>
        </a:ln>
      </xdr:spPr>
    </xdr:pic>
    <xdr:clientData/>
  </xdr:twoCellAnchor>
  <xdr:twoCellAnchor>
    <xdr:from>
      <xdr:col>0</xdr:col>
      <xdr:colOff>66675</xdr:colOff>
      <xdr:row>816</xdr:row>
      <xdr:rowOff>0</xdr:rowOff>
    </xdr:from>
    <xdr:to>
      <xdr:col>1</xdr:col>
      <xdr:colOff>133350</xdr:colOff>
      <xdr:row>816</xdr:row>
      <xdr:rowOff>10795</xdr:rowOff>
    </xdr:to>
    <xdr:pic>
      <xdr:nvPicPr>
        <xdr:cNvPr id="16" name="图片 277" descr="中铁LOGO黑白">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2" cstate="print"/>
        <a:stretch>
          <a:fillRect/>
        </a:stretch>
      </xdr:blipFill>
      <xdr:spPr>
        <a:xfrm>
          <a:off x="66675" y="194490975"/>
          <a:ext cx="485775" cy="10795"/>
        </a:xfrm>
        <a:prstGeom prst="rect">
          <a:avLst/>
        </a:prstGeom>
        <a:noFill/>
        <a:ln w="9525">
          <a:noFill/>
        </a:ln>
      </xdr:spPr>
    </xdr:pic>
    <xdr:clientData/>
  </xdr:twoCellAnchor>
  <xdr:twoCellAnchor>
    <xdr:from>
      <xdr:col>0</xdr:col>
      <xdr:colOff>66675</xdr:colOff>
      <xdr:row>816</xdr:row>
      <xdr:rowOff>0</xdr:rowOff>
    </xdr:from>
    <xdr:to>
      <xdr:col>1</xdr:col>
      <xdr:colOff>133350</xdr:colOff>
      <xdr:row>816</xdr:row>
      <xdr:rowOff>10795</xdr:rowOff>
    </xdr:to>
    <xdr:pic>
      <xdr:nvPicPr>
        <xdr:cNvPr id="17" name="图片 277" descr="中铁LOGO黑白">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2" cstate="print"/>
        <a:stretch>
          <a:fillRect/>
        </a:stretch>
      </xdr:blipFill>
      <xdr:spPr>
        <a:xfrm>
          <a:off x="66675" y="194490975"/>
          <a:ext cx="485775" cy="10795"/>
        </a:xfrm>
        <a:prstGeom prst="rect">
          <a:avLst/>
        </a:prstGeom>
        <a:noFill/>
        <a:ln w="9525">
          <a:noFill/>
        </a:ln>
      </xdr:spPr>
    </xdr:pic>
    <xdr:clientData/>
  </xdr:twoCellAnchor>
  <xdr:twoCellAnchor>
    <xdr:from>
      <xdr:col>0</xdr:col>
      <xdr:colOff>66675</xdr:colOff>
      <xdr:row>817</xdr:row>
      <xdr:rowOff>0</xdr:rowOff>
    </xdr:from>
    <xdr:to>
      <xdr:col>1</xdr:col>
      <xdr:colOff>133350</xdr:colOff>
      <xdr:row>817</xdr:row>
      <xdr:rowOff>10795</xdr:rowOff>
    </xdr:to>
    <xdr:pic>
      <xdr:nvPicPr>
        <xdr:cNvPr id="18" name="图片 277" descr="中铁LOGO黑白">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2" cstate="print"/>
        <a:stretch>
          <a:fillRect/>
        </a:stretch>
      </xdr:blipFill>
      <xdr:spPr>
        <a:xfrm>
          <a:off x="66675" y="194719575"/>
          <a:ext cx="485775" cy="10795"/>
        </a:xfrm>
        <a:prstGeom prst="rect">
          <a:avLst/>
        </a:prstGeom>
        <a:noFill/>
        <a:ln w="9525">
          <a:noFill/>
        </a:ln>
      </xdr:spPr>
    </xdr:pic>
    <xdr:clientData/>
  </xdr:twoCellAnchor>
  <xdr:twoCellAnchor>
    <xdr:from>
      <xdr:col>0</xdr:col>
      <xdr:colOff>66675</xdr:colOff>
      <xdr:row>817</xdr:row>
      <xdr:rowOff>0</xdr:rowOff>
    </xdr:from>
    <xdr:to>
      <xdr:col>1</xdr:col>
      <xdr:colOff>133350</xdr:colOff>
      <xdr:row>817</xdr:row>
      <xdr:rowOff>10795</xdr:rowOff>
    </xdr:to>
    <xdr:pic>
      <xdr:nvPicPr>
        <xdr:cNvPr id="19" name="图片 277" descr="中铁LOGO黑白">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2" cstate="print"/>
        <a:stretch>
          <a:fillRect/>
        </a:stretch>
      </xdr:blipFill>
      <xdr:spPr>
        <a:xfrm>
          <a:off x="66675" y="194719575"/>
          <a:ext cx="485775" cy="10795"/>
        </a:xfrm>
        <a:prstGeom prst="rect">
          <a:avLst/>
        </a:prstGeom>
        <a:noFill/>
        <a:ln w="9525">
          <a:noFill/>
        </a:ln>
      </xdr:spPr>
    </xdr:pic>
    <xdr:clientData/>
  </xdr:twoCellAnchor>
  <xdr:twoCellAnchor>
    <xdr:from>
      <xdr:col>0</xdr:col>
      <xdr:colOff>66675</xdr:colOff>
      <xdr:row>818</xdr:row>
      <xdr:rowOff>0</xdr:rowOff>
    </xdr:from>
    <xdr:to>
      <xdr:col>1</xdr:col>
      <xdr:colOff>133350</xdr:colOff>
      <xdr:row>818</xdr:row>
      <xdr:rowOff>10795</xdr:rowOff>
    </xdr:to>
    <xdr:pic>
      <xdr:nvPicPr>
        <xdr:cNvPr id="20" name="图片 277" descr="中铁LOGO黑白">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2" cstate="print"/>
        <a:stretch>
          <a:fillRect/>
        </a:stretch>
      </xdr:blipFill>
      <xdr:spPr>
        <a:xfrm>
          <a:off x="66675" y="194948175"/>
          <a:ext cx="485775" cy="10795"/>
        </a:xfrm>
        <a:prstGeom prst="rect">
          <a:avLst/>
        </a:prstGeom>
        <a:noFill/>
        <a:ln w="9525">
          <a:noFill/>
        </a:ln>
      </xdr:spPr>
    </xdr:pic>
    <xdr:clientData/>
  </xdr:twoCellAnchor>
  <xdr:twoCellAnchor>
    <xdr:from>
      <xdr:col>0</xdr:col>
      <xdr:colOff>66675</xdr:colOff>
      <xdr:row>818</xdr:row>
      <xdr:rowOff>0</xdr:rowOff>
    </xdr:from>
    <xdr:to>
      <xdr:col>1</xdr:col>
      <xdr:colOff>133350</xdr:colOff>
      <xdr:row>818</xdr:row>
      <xdr:rowOff>10795</xdr:rowOff>
    </xdr:to>
    <xdr:pic>
      <xdr:nvPicPr>
        <xdr:cNvPr id="21" name="图片 277" descr="中铁LOGO黑白">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2" cstate="print"/>
        <a:stretch>
          <a:fillRect/>
        </a:stretch>
      </xdr:blipFill>
      <xdr:spPr>
        <a:xfrm>
          <a:off x="66675" y="194948175"/>
          <a:ext cx="485775" cy="10795"/>
        </a:xfrm>
        <a:prstGeom prst="rect">
          <a:avLst/>
        </a:prstGeom>
        <a:noFill/>
        <a:ln w="9525">
          <a:noFill/>
        </a:ln>
      </xdr:spPr>
    </xdr:pic>
    <xdr:clientData/>
  </xdr:twoCellAnchor>
  <xdr:twoCellAnchor>
    <xdr:from>
      <xdr:col>0</xdr:col>
      <xdr:colOff>66675</xdr:colOff>
      <xdr:row>819</xdr:row>
      <xdr:rowOff>0</xdr:rowOff>
    </xdr:from>
    <xdr:to>
      <xdr:col>1</xdr:col>
      <xdr:colOff>133350</xdr:colOff>
      <xdr:row>819</xdr:row>
      <xdr:rowOff>10795</xdr:rowOff>
    </xdr:to>
    <xdr:pic>
      <xdr:nvPicPr>
        <xdr:cNvPr id="22" name="图片 277" descr="中铁LOGO黑白">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2" cstate="print"/>
        <a:stretch>
          <a:fillRect/>
        </a:stretch>
      </xdr:blipFill>
      <xdr:spPr>
        <a:xfrm>
          <a:off x="66675" y="195176775"/>
          <a:ext cx="485775" cy="10795"/>
        </a:xfrm>
        <a:prstGeom prst="rect">
          <a:avLst/>
        </a:prstGeom>
        <a:noFill/>
        <a:ln w="9525">
          <a:noFill/>
        </a:ln>
      </xdr:spPr>
    </xdr:pic>
    <xdr:clientData/>
  </xdr:twoCellAnchor>
  <xdr:twoCellAnchor>
    <xdr:from>
      <xdr:col>0</xdr:col>
      <xdr:colOff>66675</xdr:colOff>
      <xdr:row>819</xdr:row>
      <xdr:rowOff>0</xdr:rowOff>
    </xdr:from>
    <xdr:to>
      <xdr:col>1</xdr:col>
      <xdr:colOff>133350</xdr:colOff>
      <xdr:row>819</xdr:row>
      <xdr:rowOff>10795</xdr:rowOff>
    </xdr:to>
    <xdr:pic>
      <xdr:nvPicPr>
        <xdr:cNvPr id="23" name="图片 277" descr="中铁LOGO黑白">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2" cstate="print"/>
        <a:stretch>
          <a:fillRect/>
        </a:stretch>
      </xdr:blipFill>
      <xdr:spPr>
        <a:xfrm>
          <a:off x="66675" y="195176775"/>
          <a:ext cx="485775" cy="10795"/>
        </a:xfrm>
        <a:prstGeom prst="rect">
          <a:avLst/>
        </a:prstGeom>
        <a:noFill/>
        <a:ln w="9525">
          <a:noFill/>
        </a:ln>
      </xdr:spPr>
    </xdr:pic>
    <xdr:clientData/>
  </xdr:twoCellAnchor>
  <xdr:twoCellAnchor>
    <xdr:from>
      <xdr:col>0</xdr:col>
      <xdr:colOff>66675</xdr:colOff>
      <xdr:row>820</xdr:row>
      <xdr:rowOff>0</xdr:rowOff>
    </xdr:from>
    <xdr:to>
      <xdr:col>1</xdr:col>
      <xdr:colOff>133350</xdr:colOff>
      <xdr:row>820</xdr:row>
      <xdr:rowOff>10795</xdr:rowOff>
    </xdr:to>
    <xdr:pic>
      <xdr:nvPicPr>
        <xdr:cNvPr id="24" name="图片 277" descr="中铁LOGO黑白">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2" cstate="print"/>
        <a:stretch>
          <a:fillRect/>
        </a:stretch>
      </xdr:blipFill>
      <xdr:spPr>
        <a:xfrm>
          <a:off x="66675" y="195405375"/>
          <a:ext cx="485775" cy="10795"/>
        </a:xfrm>
        <a:prstGeom prst="rect">
          <a:avLst/>
        </a:prstGeom>
        <a:noFill/>
        <a:ln w="9525">
          <a:noFill/>
        </a:ln>
      </xdr:spPr>
    </xdr:pic>
    <xdr:clientData/>
  </xdr:twoCellAnchor>
  <xdr:twoCellAnchor>
    <xdr:from>
      <xdr:col>0</xdr:col>
      <xdr:colOff>66675</xdr:colOff>
      <xdr:row>820</xdr:row>
      <xdr:rowOff>0</xdr:rowOff>
    </xdr:from>
    <xdr:to>
      <xdr:col>1</xdr:col>
      <xdr:colOff>133350</xdr:colOff>
      <xdr:row>820</xdr:row>
      <xdr:rowOff>10795</xdr:rowOff>
    </xdr:to>
    <xdr:pic>
      <xdr:nvPicPr>
        <xdr:cNvPr id="25" name="图片 277" descr="中铁LOGO黑白">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2" cstate="print"/>
        <a:stretch>
          <a:fillRect/>
        </a:stretch>
      </xdr:blipFill>
      <xdr:spPr>
        <a:xfrm>
          <a:off x="66675" y="195405375"/>
          <a:ext cx="485775" cy="10795"/>
        </a:xfrm>
        <a:prstGeom prst="rect">
          <a:avLst/>
        </a:prstGeom>
        <a:noFill/>
        <a:ln w="9525">
          <a:noFill/>
        </a:ln>
      </xdr:spPr>
    </xdr:pic>
    <xdr:clientData/>
  </xdr:twoCellAnchor>
  <xdr:twoCellAnchor>
    <xdr:from>
      <xdr:col>0</xdr:col>
      <xdr:colOff>66675</xdr:colOff>
      <xdr:row>821</xdr:row>
      <xdr:rowOff>0</xdr:rowOff>
    </xdr:from>
    <xdr:to>
      <xdr:col>1</xdr:col>
      <xdr:colOff>133350</xdr:colOff>
      <xdr:row>821</xdr:row>
      <xdr:rowOff>10795</xdr:rowOff>
    </xdr:to>
    <xdr:pic>
      <xdr:nvPicPr>
        <xdr:cNvPr id="26" name="图片 277" descr="中铁LOGO黑白">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2" cstate="print"/>
        <a:stretch>
          <a:fillRect/>
        </a:stretch>
      </xdr:blipFill>
      <xdr:spPr>
        <a:xfrm>
          <a:off x="66675" y="195633975"/>
          <a:ext cx="485775" cy="10795"/>
        </a:xfrm>
        <a:prstGeom prst="rect">
          <a:avLst/>
        </a:prstGeom>
        <a:noFill/>
        <a:ln w="9525">
          <a:noFill/>
        </a:ln>
      </xdr:spPr>
    </xdr:pic>
    <xdr:clientData/>
  </xdr:twoCellAnchor>
  <xdr:twoCellAnchor>
    <xdr:from>
      <xdr:col>0</xdr:col>
      <xdr:colOff>66675</xdr:colOff>
      <xdr:row>821</xdr:row>
      <xdr:rowOff>0</xdr:rowOff>
    </xdr:from>
    <xdr:to>
      <xdr:col>1</xdr:col>
      <xdr:colOff>133350</xdr:colOff>
      <xdr:row>821</xdr:row>
      <xdr:rowOff>10795</xdr:rowOff>
    </xdr:to>
    <xdr:pic>
      <xdr:nvPicPr>
        <xdr:cNvPr id="27" name="图片 277" descr="中铁LOGO黑白">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2" cstate="print"/>
        <a:stretch>
          <a:fillRect/>
        </a:stretch>
      </xdr:blipFill>
      <xdr:spPr>
        <a:xfrm>
          <a:off x="66675" y="195633975"/>
          <a:ext cx="485775" cy="10795"/>
        </a:xfrm>
        <a:prstGeom prst="rect">
          <a:avLst/>
        </a:prstGeom>
        <a:noFill/>
        <a:ln w="9525">
          <a:noFill/>
        </a:ln>
      </xdr:spPr>
    </xdr:pic>
    <xdr:clientData/>
  </xdr:twoCellAnchor>
  <xdr:twoCellAnchor>
    <xdr:from>
      <xdr:col>0</xdr:col>
      <xdr:colOff>66675</xdr:colOff>
      <xdr:row>822</xdr:row>
      <xdr:rowOff>0</xdr:rowOff>
    </xdr:from>
    <xdr:to>
      <xdr:col>1</xdr:col>
      <xdr:colOff>133350</xdr:colOff>
      <xdr:row>822</xdr:row>
      <xdr:rowOff>10795</xdr:rowOff>
    </xdr:to>
    <xdr:pic>
      <xdr:nvPicPr>
        <xdr:cNvPr id="28" name="图片 277" descr="中铁LOGO黑白">
          <a:extLst>
            <a:ext uri="{FF2B5EF4-FFF2-40B4-BE49-F238E27FC236}">
              <a16:creationId xmlns="" xmlns:a16="http://schemas.microsoft.com/office/drawing/2014/main" id="{00000000-0008-0000-0000-00001C000000}"/>
            </a:ext>
          </a:extLst>
        </xdr:cNvPr>
        <xdr:cNvPicPr>
          <a:picLocks noChangeAspect="1"/>
        </xdr:cNvPicPr>
      </xdr:nvPicPr>
      <xdr:blipFill>
        <a:blip xmlns:r="http://schemas.openxmlformats.org/officeDocument/2006/relationships" r:embed="rId2" cstate="print"/>
        <a:stretch>
          <a:fillRect/>
        </a:stretch>
      </xdr:blipFill>
      <xdr:spPr>
        <a:xfrm>
          <a:off x="66675" y="195862575"/>
          <a:ext cx="485775" cy="10795"/>
        </a:xfrm>
        <a:prstGeom prst="rect">
          <a:avLst/>
        </a:prstGeom>
        <a:noFill/>
        <a:ln w="9525">
          <a:noFill/>
        </a:ln>
      </xdr:spPr>
    </xdr:pic>
    <xdr:clientData/>
  </xdr:twoCellAnchor>
  <xdr:twoCellAnchor>
    <xdr:from>
      <xdr:col>0</xdr:col>
      <xdr:colOff>66675</xdr:colOff>
      <xdr:row>822</xdr:row>
      <xdr:rowOff>0</xdr:rowOff>
    </xdr:from>
    <xdr:to>
      <xdr:col>1</xdr:col>
      <xdr:colOff>133350</xdr:colOff>
      <xdr:row>822</xdr:row>
      <xdr:rowOff>10795</xdr:rowOff>
    </xdr:to>
    <xdr:pic>
      <xdr:nvPicPr>
        <xdr:cNvPr id="29" name="图片 277" descr="中铁LOGO黑白">
          <a:extLst>
            <a:ext uri="{FF2B5EF4-FFF2-40B4-BE49-F238E27FC236}">
              <a16:creationId xmlns="" xmlns:a16="http://schemas.microsoft.com/office/drawing/2014/main" id="{00000000-0008-0000-0000-00001D000000}"/>
            </a:ext>
          </a:extLst>
        </xdr:cNvPr>
        <xdr:cNvPicPr>
          <a:picLocks noChangeAspect="1"/>
        </xdr:cNvPicPr>
      </xdr:nvPicPr>
      <xdr:blipFill>
        <a:blip xmlns:r="http://schemas.openxmlformats.org/officeDocument/2006/relationships" r:embed="rId2" cstate="print"/>
        <a:stretch>
          <a:fillRect/>
        </a:stretch>
      </xdr:blipFill>
      <xdr:spPr>
        <a:xfrm>
          <a:off x="66675" y="195862575"/>
          <a:ext cx="485775" cy="10795"/>
        </a:xfrm>
        <a:prstGeom prst="rect">
          <a:avLst/>
        </a:prstGeom>
        <a:noFill/>
        <a:ln w="9525">
          <a:noFill/>
        </a:ln>
      </xdr:spPr>
    </xdr:pic>
    <xdr:clientData/>
  </xdr:twoCellAnchor>
  <xdr:twoCellAnchor>
    <xdr:from>
      <xdr:col>0</xdr:col>
      <xdr:colOff>66675</xdr:colOff>
      <xdr:row>823</xdr:row>
      <xdr:rowOff>0</xdr:rowOff>
    </xdr:from>
    <xdr:to>
      <xdr:col>1</xdr:col>
      <xdr:colOff>133350</xdr:colOff>
      <xdr:row>823</xdr:row>
      <xdr:rowOff>10795</xdr:rowOff>
    </xdr:to>
    <xdr:pic>
      <xdr:nvPicPr>
        <xdr:cNvPr id="30" name="图片 277" descr="中铁LOGO黑白">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2" cstate="print"/>
        <a:stretch>
          <a:fillRect/>
        </a:stretch>
      </xdr:blipFill>
      <xdr:spPr>
        <a:xfrm>
          <a:off x="66675" y="196091175"/>
          <a:ext cx="485775" cy="10795"/>
        </a:xfrm>
        <a:prstGeom prst="rect">
          <a:avLst/>
        </a:prstGeom>
        <a:noFill/>
        <a:ln w="9525">
          <a:noFill/>
        </a:ln>
      </xdr:spPr>
    </xdr:pic>
    <xdr:clientData/>
  </xdr:twoCellAnchor>
  <xdr:twoCellAnchor>
    <xdr:from>
      <xdr:col>0</xdr:col>
      <xdr:colOff>66675</xdr:colOff>
      <xdr:row>823</xdr:row>
      <xdr:rowOff>0</xdr:rowOff>
    </xdr:from>
    <xdr:to>
      <xdr:col>1</xdr:col>
      <xdr:colOff>133350</xdr:colOff>
      <xdr:row>823</xdr:row>
      <xdr:rowOff>10795</xdr:rowOff>
    </xdr:to>
    <xdr:pic>
      <xdr:nvPicPr>
        <xdr:cNvPr id="31" name="图片 277" descr="中铁LOGO黑白">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2" cstate="print"/>
        <a:stretch>
          <a:fillRect/>
        </a:stretch>
      </xdr:blipFill>
      <xdr:spPr>
        <a:xfrm>
          <a:off x="66675" y="196091175"/>
          <a:ext cx="485775" cy="10795"/>
        </a:xfrm>
        <a:prstGeom prst="rect">
          <a:avLst/>
        </a:prstGeom>
        <a:noFill/>
        <a:ln w="9525">
          <a:noFill/>
        </a:ln>
      </xdr:spPr>
    </xdr:pic>
    <xdr:clientData/>
  </xdr:twoCellAnchor>
  <xdr:twoCellAnchor>
    <xdr:from>
      <xdr:col>0</xdr:col>
      <xdr:colOff>66675</xdr:colOff>
      <xdr:row>824</xdr:row>
      <xdr:rowOff>0</xdr:rowOff>
    </xdr:from>
    <xdr:to>
      <xdr:col>1</xdr:col>
      <xdr:colOff>133350</xdr:colOff>
      <xdr:row>824</xdr:row>
      <xdr:rowOff>10795</xdr:rowOff>
    </xdr:to>
    <xdr:pic>
      <xdr:nvPicPr>
        <xdr:cNvPr id="32" name="图片 277" descr="中铁LOGO黑白">
          <a:extLst>
            <a:ext uri="{FF2B5EF4-FFF2-40B4-BE49-F238E27FC236}">
              <a16:creationId xmlns="" xmlns:a16="http://schemas.microsoft.com/office/drawing/2014/main" id="{00000000-0008-0000-0000-000020000000}"/>
            </a:ext>
          </a:extLst>
        </xdr:cNvPr>
        <xdr:cNvPicPr>
          <a:picLocks noChangeAspect="1"/>
        </xdr:cNvPicPr>
      </xdr:nvPicPr>
      <xdr:blipFill>
        <a:blip xmlns:r="http://schemas.openxmlformats.org/officeDocument/2006/relationships" r:embed="rId2" cstate="print"/>
        <a:stretch>
          <a:fillRect/>
        </a:stretch>
      </xdr:blipFill>
      <xdr:spPr>
        <a:xfrm>
          <a:off x="66675" y="196319775"/>
          <a:ext cx="485775" cy="10795"/>
        </a:xfrm>
        <a:prstGeom prst="rect">
          <a:avLst/>
        </a:prstGeom>
        <a:noFill/>
        <a:ln w="9525">
          <a:noFill/>
        </a:ln>
      </xdr:spPr>
    </xdr:pic>
    <xdr:clientData/>
  </xdr:twoCellAnchor>
  <xdr:twoCellAnchor>
    <xdr:from>
      <xdr:col>0</xdr:col>
      <xdr:colOff>66675</xdr:colOff>
      <xdr:row>824</xdr:row>
      <xdr:rowOff>0</xdr:rowOff>
    </xdr:from>
    <xdr:to>
      <xdr:col>1</xdr:col>
      <xdr:colOff>133350</xdr:colOff>
      <xdr:row>824</xdr:row>
      <xdr:rowOff>10795</xdr:rowOff>
    </xdr:to>
    <xdr:pic>
      <xdr:nvPicPr>
        <xdr:cNvPr id="33" name="图片 277" descr="中铁LOGO黑白">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2" cstate="print"/>
        <a:stretch>
          <a:fillRect/>
        </a:stretch>
      </xdr:blipFill>
      <xdr:spPr>
        <a:xfrm>
          <a:off x="66675" y="196319775"/>
          <a:ext cx="485775" cy="10795"/>
        </a:xfrm>
        <a:prstGeom prst="rect">
          <a:avLst/>
        </a:prstGeom>
        <a:noFill/>
        <a:ln w="9525">
          <a:noFill/>
        </a:ln>
      </xdr:spPr>
    </xdr:pic>
    <xdr:clientData/>
  </xdr:twoCellAnchor>
  <xdr:twoCellAnchor>
    <xdr:from>
      <xdr:col>0</xdr:col>
      <xdr:colOff>66675</xdr:colOff>
      <xdr:row>825</xdr:row>
      <xdr:rowOff>0</xdr:rowOff>
    </xdr:from>
    <xdr:to>
      <xdr:col>1</xdr:col>
      <xdr:colOff>133350</xdr:colOff>
      <xdr:row>825</xdr:row>
      <xdr:rowOff>10795</xdr:rowOff>
    </xdr:to>
    <xdr:pic>
      <xdr:nvPicPr>
        <xdr:cNvPr id="34" name="图片 277" descr="中铁LOGO黑白">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2" cstate="print"/>
        <a:stretch>
          <a:fillRect/>
        </a:stretch>
      </xdr:blipFill>
      <xdr:spPr>
        <a:xfrm>
          <a:off x="66675" y="196548375"/>
          <a:ext cx="485775" cy="10795"/>
        </a:xfrm>
        <a:prstGeom prst="rect">
          <a:avLst/>
        </a:prstGeom>
        <a:noFill/>
        <a:ln w="9525">
          <a:noFill/>
        </a:ln>
      </xdr:spPr>
    </xdr:pic>
    <xdr:clientData/>
  </xdr:twoCellAnchor>
  <xdr:twoCellAnchor>
    <xdr:from>
      <xdr:col>0</xdr:col>
      <xdr:colOff>66675</xdr:colOff>
      <xdr:row>825</xdr:row>
      <xdr:rowOff>0</xdr:rowOff>
    </xdr:from>
    <xdr:to>
      <xdr:col>1</xdr:col>
      <xdr:colOff>133350</xdr:colOff>
      <xdr:row>825</xdr:row>
      <xdr:rowOff>10795</xdr:rowOff>
    </xdr:to>
    <xdr:pic>
      <xdr:nvPicPr>
        <xdr:cNvPr id="35" name="图片 277" descr="中铁LOGO黑白">
          <a:extLst>
            <a:ext uri="{FF2B5EF4-FFF2-40B4-BE49-F238E27FC236}">
              <a16:creationId xmlns="" xmlns:a16="http://schemas.microsoft.com/office/drawing/2014/main" id="{00000000-0008-0000-0000-000023000000}"/>
            </a:ext>
          </a:extLst>
        </xdr:cNvPr>
        <xdr:cNvPicPr>
          <a:picLocks noChangeAspect="1"/>
        </xdr:cNvPicPr>
      </xdr:nvPicPr>
      <xdr:blipFill>
        <a:blip xmlns:r="http://schemas.openxmlformats.org/officeDocument/2006/relationships" r:embed="rId2" cstate="print"/>
        <a:stretch>
          <a:fillRect/>
        </a:stretch>
      </xdr:blipFill>
      <xdr:spPr>
        <a:xfrm>
          <a:off x="66675" y="196548375"/>
          <a:ext cx="485775" cy="10795"/>
        </a:xfrm>
        <a:prstGeom prst="rect">
          <a:avLst/>
        </a:prstGeom>
        <a:noFill/>
        <a:ln w="9525">
          <a:noFill/>
        </a:ln>
      </xdr:spPr>
    </xdr:pic>
    <xdr:clientData/>
  </xdr:twoCellAnchor>
  <xdr:twoCellAnchor>
    <xdr:from>
      <xdr:col>0</xdr:col>
      <xdr:colOff>66675</xdr:colOff>
      <xdr:row>826</xdr:row>
      <xdr:rowOff>0</xdr:rowOff>
    </xdr:from>
    <xdr:to>
      <xdr:col>1</xdr:col>
      <xdr:colOff>133350</xdr:colOff>
      <xdr:row>826</xdr:row>
      <xdr:rowOff>10795</xdr:rowOff>
    </xdr:to>
    <xdr:pic>
      <xdr:nvPicPr>
        <xdr:cNvPr id="36" name="图片 277" descr="中铁LOGO黑白">
          <a:extLst>
            <a:ext uri="{FF2B5EF4-FFF2-40B4-BE49-F238E27FC236}">
              <a16:creationId xmlns="" xmlns:a16="http://schemas.microsoft.com/office/drawing/2014/main" id="{00000000-0008-0000-0000-000024000000}"/>
            </a:ext>
          </a:extLst>
        </xdr:cNvPr>
        <xdr:cNvPicPr>
          <a:picLocks noChangeAspect="1"/>
        </xdr:cNvPicPr>
      </xdr:nvPicPr>
      <xdr:blipFill>
        <a:blip xmlns:r="http://schemas.openxmlformats.org/officeDocument/2006/relationships" r:embed="rId2" cstate="print"/>
        <a:stretch>
          <a:fillRect/>
        </a:stretch>
      </xdr:blipFill>
      <xdr:spPr>
        <a:xfrm>
          <a:off x="66675" y="196776975"/>
          <a:ext cx="485775" cy="10795"/>
        </a:xfrm>
        <a:prstGeom prst="rect">
          <a:avLst/>
        </a:prstGeom>
        <a:noFill/>
        <a:ln w="9525">
          <a:noFill/>
        </a:ln>
      </xdr:spPr>
    </xdr:pic>
    <xdr:clientData/>
  </xdr:twoCellAnchor>
  <xdr:twoCellAnchor>
    <xdr:from>
      <xdr:col>0</xdr:col>
      <xdr:colOff>66675</xdr:colOff>
      <xdr:row>826</xdr:row>
      <xdr:rowOff>0</xdr:rowOff>
    </xdr:from>
    <xdr:to>
      <xdr:col>1</xdr:col>
      <xdr:colOff>133350</xdr:colOff>
      <xdr:row>826</xdr:row>
      <xdr:rowOff>10795</xdr:rowOff>
    </xdr:to>
    <xdr:pic>
      <xdr:nvPicPr>
        <xdr:cNvPr id="37" name="图片 277" descr="中铁LOGO黑白">
          <a:extLst>
            <a:ext uri="{FF2B5EF4-FFF2-40B4-BE49-F238E27FC236}">
              <a16:creationId xmlns="" xmlns:a16="http://schemas.microsoft.com/office/drawing/2014/main" id="{00000000-0008-0000-0000-000025000000}"/>
            </a:ext>
          </a:extLst>
        </xdr:cNvPr>
        <xdr:cNvPicPr>
          <a:picLocks noChangeAspect="1"/>
        </xdr:cNvPicPr>
      </xdr:nvPicPr>
      <xdr:blipFill>
        <a:blip xmlns:r="http://schemas.openxmlformats.org/officeDocument/2006/relationships" r:embed="rId2" cstate="print"/>
        <a:stretch>
          <a:fillRect/>
        </a:stretch>
      </xdr:blipFill>
      <xdr:spPr>
        <a:xfrm>
          <a:off x="66675" y="196776975"/>
          <a:ext cx="485775" cy="10795"/>
        </a:xfrm>
        <a:prstGeom prst="rect">
          <a:avLst/>
        </a:prstGeom>
        <a:noFill/>
        <a:ln w="9525">
          <a:noFill/>
        </a:ln>
      </xdr:spPr>
    </xdr:pic>
    <xdr:clientData/>
  </xdr:twoCellAnchor>
  <xdr:twoCellAnchor>
    <xdr:from>
      <xdr:col>0</xdr:col>
      <xdr:colOff>66675</xdr:colOff>
      <xdr:row>827</xdr:row>
      <xdr:rowOff>0</xdr:rowOff>
    </xdr:from>
    <xdr:to>
      <xdr:col>1</xdr:col>
      <xdr:colOff>133350</xdr:colOff>
      <xdr:row>827</xdr:row>
      <xdr:rowOff>10795</xdr:rowOff>
    </xdr:to>
    <xdr:pic>
      <xdr:nvPicPr>
        <xdr:cNvPr id="38" name="图片 277" descr="中铁LOGO黑白">
          <a:extLst>
            <a:ext uri="{FF2B5EF4-FFF2-40B4-BE49-F238E27FC236}">
              <a16:creationId xmlns="" xmlns:a16="http://schemas.microsoft.com/office/drawing/2014/main" id="{00000000-0008-0000-0000-000026000000}"/>
            </a:ext>
          </a:extLst>
        </xdr:cNvPr>
        <xdr:cNvPicPr>
          <a:picLocks noChangeAspect="1"/>
        </xdr:cNvPicPr>
      </xdr:nvPicPr>
      <xdr:blipFill>
        <a:blip xmlns:r="http://schemas.openxmlformats.org/officeDocument/2006/relationships" r:embed="rId2" cstate="print"/>
        <a:stretch>
          <a:fillRect/>
        </a:stretch>
      </xdr:blipFill>
      <xdr:spPr>
        <a:xfrm>
          <a:off x="66675" y="197005575"/>
          <a:ext cx="485775" cy="10795"/>
        </a:xfrm>
        <a:prstGeom prst="rect">
          <a:avLst/>
        </a:prstGeom>
        <a:noFill/>
        <a:ln w="9525">
          <a:noFill/>
        </a:ln>
      </xdr:spPr>
    </xdr:pic>
    <xdr:clientData/>
  </xdr:twoCellAnchor>
  <xdr:twoCellAnchor>
    <xdr:from>
      <xdr:col>0</xdr:col>
      <xdr:colOff>66675</xdr:colOff>
      <xdr:row>827</xdr:row>
      <xdr:rowOff>0</xdr:rowOff>
    </xdr:from>
    <xdr:to>
      <xdr:col>1</xdr:col>
      <xdr:colOff>133350</xdr:colOff>
      <xdr:row>827</xdr:row>
      <xdr:rowOff>10795</xdr:rowOff>
    </xdr:to>
    <xdr:pic>
      <xdr:nvPicPr>
        <xdr:cNvPr id="39" name="图片 277" descr="中铁LOGO黑白">
          <a:extLst>
            <a:ext uri="{FF2B5EF4-FFF2-40B4-BE49-F238E27FC236}">
              <a16:creationId xmlns="" xmlns:a16="http://schemas.microsoft.com/office/drawing/2014/main" id="{00000000-0008-0000-0000-000027000000}"/>
            </a:ext>
          </a:extLst>
        </xdr:cNvPr>
        <xdr:cNvPicPr>
          <a:picLocks noChangeAspect="1"/>
        </xdr:cNvPicPr>
      </xdr:nvPicPr>
      <xdr:blipFill>
        <a:blip xmlns:r="http://schemas.openxmlformats.org/officeDocument/2006/relationships" r:embed="rId2" cstate="print"/>
        <a:stretch>
          <a:fillRect/>
        </a:stretch>
      </xdr:blipFill>
      <xdr:spPr>
        <a:xfrm>
          <a:off x="66675" y="197005575"/>
          <a:ext cx="485775" cy="10795"/>
        </a:xfrm>
        <a:prstGeom prst="rect">
          <a:avLst/>
        </a:prstGeom>
        <a:noFill/>
        <a:ln w="9525">
          <a:noFill/>
        </a:ln>
      </xdr:spPr>
    </xdr:pic>
    <xdr:clientData/>
  </xdr:twoCellAnchor>
  <xdr:twoCellAnchor>
    <xdr:from>
      <xdr:col>0</xdr:col>
      <xdr:colOff>66675</xdr:colOff>
      <xdr:row>828</xdr:row>
      <xdr:rowOff>0</xdr:rowOff>
    </xdr:from>
    <xdr:to>
      <xdr:col>1</xdr:col>
      <xdr:colOff>133350</xdr:colOff>
      <xdr:row>828</xdr:row>
      <xdr:rowOff>10795</xdr:rowOff>
    </xdr:to>
    <xdr:pic>
      <xdr:nvPicPr>
        <xdr:cNvPr id="40" name="图片 277" descr="中铁LOGO黑白">
          <a:extLst>
            <a:ext uri="{FF2B5EF4-FFF2-40B4-BE49-F238E27FC236}">
              <a16:creationId xmlns="" xmlns:a16="http://schemas.microsoft.com/office/drawing/2014/main" id="{00000000-0008-0000-0000-000028000000}"/>
            </a:ext>
          </a:extLst>
        </xdr:cNvPr>
        <xdr:cNvPicPr>
          <a:picLocks noChangeAspect="1"/>
        </xdr:cNvPicPr>
      </xdr:nvPicPr>
      <xdr:blipFill>
        <a:blip xmlns:r="http://schemas.openxmlformats.org/officeDocument/2006/relationships" r:embed="rId2" cstate="print"/>
        <a:stretch>
          <a:fillRect/>
        </a:stretch>
      </xdr:blipFill>
      <xdr:spPr>
        <a:xfrm>
          <a:off x="66675" y="197234175"/>
          <a:ext cx="485775" cy="10795"/>
        </a:xfrm>
        <a:prstGeom prst="rect">
          <a:avLst/>
        </a:prstGeom>
        <a:noFill/>
        <a:ln w="9525">
          <a:noFill/>
        </a:ln>
      </xdr:spPr>
    </xdr:pic>
    <xdr:clientData/>
  </xdr:twoCellAnchor>
  <xdr:twoCellAnchor>
    <xdr:from>
      <xdr:col>0</xdr:col>
      <xdr:colOff>66675</xdr:colOff>
      <xdr:row>828</xdr:row>
      <xdr:rowOff>0</xdr:rowOff>
    </xdr:from>
    <xdr:to>
      <xdr:col>1</xdr:col>
      <xdr:colOff>133350</xdr:colOff>
      <xdr:row>828</xdr:row>
      <xdr:rowOff>10795</xdr:rowOff>
    </xdr:to>
    <xdr:pic>
      <xdr:nvPicPr>
        <xdr:cNvPr id="41" name="图片 277" descr="中铁LOGO黑白">
          <a:extLst>
            <a:ext uri="{FF2B5EF4-FFF2-40B4-BE49-F238E27FC236}">
              <a16:creationId xmlns="" xmlns:a16="http://schemas.microsoft.com/office/drawing/2014/main" id="{00000000-0008-0000-0000-000029000000}"/>
            </a:ext>
          </a:extLst>
        </xdr:cNvPr>
        <xdr:cNvPicPr>
          <a:picLocks noChangeAspect="1"/>
        </xdr:cNvPicPr>
      </xdr:nvPicPr>
      <xdr:blipFill>
        <a:blip xmlns:r="http://schemas.openxmlformats.org/officeDocument/2006/relationships" r:embed="rId2" cstate="print"/>
        <a:stretch>
          <a:fillRect/>
        </a:stretch>
      </xdr:blipFill>
      <xdr:spPr>
        <a:xfrm>
          <a:off x="66675" y="197234175"/>
          <a:ext cx="485775" cy="10795"/>
        </a:xfrm>
        <a:prstGeom prst="rect">
          <a:avLst/>
        </a:prstGeom>
        <a:noFill/>
        <a:ln w="9525">
          <a:noFill/>
        </a:ln>
      </xdr:spPr>
    </xdr:pic>
    <xdr:clientData/>
  </xdr:twoCellAnchor>
  <xdr:twoCellAnchor>
    <xdr:from>
      <xdr:col>0</xdr:col>
      <xdr:colOff>66675</xdr:colOff>
      <xdr:row>829</xdr:row>
      <xdr:rowOff>0</xdr:rowOff>
    </xdr:from>
    <xdr:to>
      <xdr:col>1</xdr:col>
      <xdr:colOff>133350</xdr:colOff>
      <xdr:row>829</xdr:row>
      <xdr:rowOff>10795</xdr:rowOff>
    </xdr:to>
    <xdr:pic>
      <xdr:nvPicPr>
        <xdr:cNvPr id="42" name="图片 277" descr="中铁LOGO黑白">
          <a:extLst>
            <a:ext uri="{FF2B5EF4-FFF2-40B4-BE49-F238E27FC236}">
              <a16:creationId xmlns="" xmlns:a16="http://schemas.microsoft.com/office/drawing/2014/main" id="{00000000-0008-0000-0000-00002A000000}"/>
            </a:ext>
          </a:extLst>
        </xdr:cNvPr>
        <xdr:cNvPicPr>
          <a:picLocks noChangeAspect="1"/>
        </xdr:cNvPicPr>
      </xdr:nvPicPr>
      <xdr:blipFill>
        <a:blip xmlns:r="http://schemas.openxmlformats.org/officeDocument/2006/relationships" r:embed="rId2" cstate="print"/>
        <a:stretch>
          <a:fillRect/>
        </a:stretch>
      </xdr:blipFill>
      <xdr:spPr>
        <a:xfrm>
          <a:off x="66675" y="197462775"/>
          <a:ext cx="485775" cy="10795"/>
        </a:xfrm>
        <a:prstGeom prst="rect">
          <a:avLst/>
        </a:prstGeom>
        <a:noFill/>
        <a:ln w="9525">
          <a:noFill/>
        </a:ln>
      </xdr:spPr>
    </xdr:pic>
    <xdr:clientData/>
  </xdr:twoCellAnchor>
  <xdr:twoCellAnchor>
    <xdr:from>
      <xdr:col>0</xdr:col>
      <xdr:colOff>66675</xdr:colOff>
      <xdr:row>829</xdr:row>
      <xdr:rowOff>0</xdr:rowOff>
    </xdr:from>
    <xdr:to>
      <xdr:col>1</xdr:col>
      <xdr:colOff>133350</xdr:colOff>
      <xdr:row>829</xdr:row>
      <xdr:rowOff>10795</xdr:rowOff>
    </xdr:to>
    <xdr:pic>
      <xdr:nvPicPr>
        <xdr:cNvPr id="43" name="图片 277" descr="中铁LOGO黑白">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2" cstate="print"/>
        <a:stretch>
          <a:fillRect/>
        </a:stretch>
      </xdr:blipFill>
      <xdr:spPr>
        <a:xfrm>
          <a:off x="66675" y="197462775"/>
          <a:ext cx="485775" cy="10795"/>
        </a:xfrm>
        <a:prstGeom prst="rect">
          <a:avLst/>
        </a:prstGeom>
        <a:noFill/>
        <a:ln w="9525">
          <a:noFill/>
        </a:ln>
      </xdr:spPr>
    </xdr:pic>
    <xdr:clientData/>
  </xdr:twoCellAnchor>
  <xdr:twoCellAnchor editAs="oneCell">
    <xdr:from>
      <xdr:col>2</xdr:col>
      <xdr:colOff>0</xdr:colOff>
      <xdr:row>238</xdr:row>
      <xdr:rowOff>0</xdr:rowOff>
    </xdr:from>
    <xdr:to>
      <xdr:col>2</xdr:col>
      <xdr:colOff>411480</xdr:colOff>
      <xdr:row>600</xdr:row>
      <xdr:rowOff>15240</xdr:rowOff>
    </xdr:to>
    <xdr:pic>
      <xdr:nvPicPr>
        <xdr:cNvPr id="44" name="图片 43">
          <a:extLst>
            <a:ext uri="{FF2B5EF4-FFF2-40B4-BE49-F238E27FC236}">
              <a16:creationId xmlns="" xmlns:a16="http://schemas.microsoft.com/office/drawing/2014/main" id="{00000000-0008-0000-0000-00002F000000}"/>
            </a:ext>
          </a:extLst>
        </xdr:cNvPr>
        <xdr:cNvPicPr>
          <a:picLocks noChangeAspect="1"/>
        </xdr:cNvPicPr>
      </xdr:nvPicPr>
      <xdr:blipFill>
        <a:blip xmlns:r="http://schemas.openxmlformats.org/officeDocument/2006/relationships" r:embed="rId3" r:link="rId4"/>
        <a:stretch>
          <a:fillRect/>
        </a:stretch>
      </xdr:blipFill>
      <xdr:spPr>
        <a:xfrm>
          <a:off x="1552575" y="58407300"/>
          <a:ext cx="411480" cy="15240"/>
        </a:xfrm>
        <a:prstGeom prst="rect">
          <a:avLst/>
        </a:prstGeom>
        <a:noFill/>
        <a:ln w="9525">
          <a:noFill/>
        </a:ln>
      </xdr:spPr>
    </xdr:pic>
    <xdr:clientData/>
  </xdr:twoCellAnchor>
  <xdr:twoCellAnchor>
    <xdr:from>
      <xdr:col>0</xdr:col>
      <xdr:colOff>66675</xdr:colOff>
      <xdr:row>526</xdr:row>
      <xdr:rowOff>0</xdr:rowOff>
    </xdr:from>
    <xdr:to>
      <xdr:col>1</xdr:col>
      <xdr:colOff>133350</xdr:colOff>
      <xdr:row>526</xdr:row>
      <xdr:rowOff>10795</xdr:rowOff>
    </xdr:to>
    <xdr:pic>
      <xdr:nvPicPr>
        <xdr:cNvPr id="45" name="图片 277" descr="中铁LOGO黑白">
          <a:extLst>
            <a:ext uri="{FF2B5EF4-FFF2-40B4-BE49-F238E27FC236}">
              <a16:creationId xmlns="" xmlns:a16="http://schemas.microsoft.com/office/drawing/2014/main" id="{00000000-0008-0000-0000-00003E000000}"/>
            </a:ext>
          </a:extLst>
        </xdr:cNvPr>
        <xdr:cNvPicPr>
          <a:picLocks noChangeAspect="1"/>
        </xdr:cNvPicPr>
      </xdr:nvPicPr>
      <xdr:blipFill>
        <a:blip xmlns:r="http://schemas.openxmlformats.org/officeDocument/2006/relationships" r:embed="rId2" cstate="print"/>
        <a:stretch>
          <a:fillRect/>
        </a:stretch>
      </xdr:blipFill>
      <xdr:spPr>
        <a:xfrm>
          <a:off x="66675" y="128044575"/>
          <a:ext cx="485775" cy="10795"/>
        </a:xfrm>
        <a:prstGeom prst="rect">
          <a:avLst/>
        </a:prstGeom>
        <a:noFill/>
        <a:ln w="9525">
          <a:noFill/>
        </a:ln>
      </xdr:spPr>
    </xdr:pic>
    <xdr:clientData/>
  </xdr:twoCellAnchor>
  <xdr:twoCellAnchor>
    <xdr:from>
      <xdr:col>0</xdr:col>
      <xdr:colOff>66675</xdr:colOff>
      <xdr:row>526</xdr:row>
      <xdr:rowOff>0</xdr:rowOff>
    </xdr:from>
    <xdr:to>
      <xdr:col>1</xdr:col>
      <xdr:colOff>133350</xdr:colOff>
      <xdr:row>526</xdr:row>
      <xdr:rowOff>10795</xdr:rowOff>
    </xdr:to>
    <xdr:pic>
      <xdr:nvPicPr>
        <xdr:cNvPr id="46" name="图片 277" descr="中铁LOGO黑白">
          <a:extLst>
            <a:ext uri="{FF2B5EF4-FFF2-40B4-BE49-F238E27FC236}">
              <a16:creationId xmlns="" xmlns:a16="http://schemas.microsoft.com/office/drawing/2014/main" id="{00000000-0008-0000-0000-00003F000000}"/>
            </a:ext>
          </a:extLst>
        </xdr:cNvPr>
        <xdr:cNvPicPr>
          <a:picLocks noChangeAspect="1"/>
        </xdr:cNvPicPr>
      </xdr:nvPicPr>
      <xdr:blipFill>
        <a:blip xmlns:r="http://schemas.openxmlformats.org/officeDocument/2006/relationships" r:embed="rId2" cstate="print"/>
        <a:stretch>
          <a:fillRect/>
        </a:stretch>
      </xdr:blipFill>
      <xdr:spPr>
        <a:xfrm>
          <a:off x="66675" y="128044575"/>
          <a:ext cx="485775" cy="10795"/>
        </a:xfrm>
        <a:prstGeom prst="rect">
          <a:avLst/>
        </a:prstGeom>
        <a:noFill/>
        <a:ln w="9525">
          <a:noFill/>
        </a:ln>
      </xdr:spPr>
    </xdr:pic>
    <xdr:clientData/>
  </xdr:twoCellAnchor>
  <xdr:twoCellAnchor>
    <xdr:from>
      <xdr:col>0</xdr:col>
      <xdr:colOff>66675</xdr:colOff>
      <xdr:row>527</xdr:row>
      <xdr:rowOff>0</xdr:rowOff>
    </xdr:from>
    <xdr:to>
      <xdr:col>1</xdr:col>
      <xdr:colOff>133350</xdr:colOff>
      <xdr:row>527</xdr:row>
      <xdr:rowOff>10795</xdr:rowOff>
    </xdr:to>
    <xdr:pic>
      <xdr:nvPicPr>
        <xdr:cNvPr id="47" name="图片 277" descr="中铁LOGO黑白">
          <a:extLst>
            <a:ext uri="{FF2B5EF4-FFF2-40B4-BE49-F238E27FC236}">
              <a16:creationId xmlns="" xmlns:a16="http://schemas.microsoft.com/office/drawing/2014/main" id="{00000000-0008-0000-0000-000040000000}"/>
            </a:ext>
          </a:extLst>
        </xdr:cNvPr>
        <xdr:cNvPicPr>
          <a:picLocks noChangeAspect="1"/>
        </xdr:cNvPicPr>
      </xdr:nvPicPr>
      <xdr:blipFill>
        <a:blip xmlns:r="http://schemas.openxmlformats.org/officeDocument/2006/relationships" r:embed="rId2" cstate="print"/>
        <a:stretch>
          <a:fillRect/>
        </a:stretch>
      </xdr:blipFill>
      <xdr:spPr>
        <a:xfrm>
          <a:off x="66675" y="128273175"/>
          <a:ext cx="485775" cy="10795"/>
        </a:xfrm>
        <a:prstGeom prst="rect">
          <a:avLst/>
        </a:prstGeom>
        <a:noFill/>
        <a:ln w="9525">
          <a:noFill/>
        </a:ln>
      </xdr:spPr>
    </xdr:pic>
    <xdr:clientData/>
  </xdr:twoCellAnchor>
  <xdr:twoCellAnchor>
    <xdr:from>
      <xdr:col>0</xdr:col>
      <xdr:colOff>66675</xdr:colOff>
      <xdr:row>527</xdr:row>
      <xdr:rowOff>0</xdr:rowOff>
    </xdr:from>
    <xdr:to>
      <xdr:col>1</xdr:col>
      <xdr:colOff>133350</xdr:colOff>
      <xdr:row>527</xdr:row>
      <xdr:rowOff>10795</xdr:rowOff>
    </xdr:to>
    <xdr:pic>
      <xdr:nvPicPr>
        <xdr:cNvPr id="48" name="图片 277" descr="中铁LOGO黑白">
          <a:extLst>
            <a:ext uri="{FF2B5EF4-FFF2-40B4-BE49-F238E27FC236}">
              <a16:creationId xmlns="" xmlns:a16="http://schemas.microsoft.com/office/drawing/2014/main" id="{00000000-0008-0000-0000-000041000000}"/>
            </a:ext>
          </a:extLst>
        </xdr:cNvPr>
        <xdr:cNvPicPr>
          <a:picLocks noChangeAspect="1"/>
        </xdr:cNvPicPr>
      </xdr:nvPicPr>
      <xdr:blipFill>
        <a:blip xmlns:r="http://schemas.openxmlformats.org/officeDocument/2006/relationships" r:embed="rId2" cstate="print"/>
        <a:stretch>
          <a:fillRect/>
        </a:stretch>
      </xdr:blipFill>
      <xdr:spPr>
        <a:xfrm>
          <a:off x="66675" y="128273175"/>
          <a:ext cx="485775" cy="10795"/>
        </a:xfrm>
        <a:prstGeom prst="rect">
          <a:avLst/>
        </a:prstGeom>
        <a:noFill/>
        <a:ln w="9525">
          <a:noFill/>
        </a:ln>
      </xdr:spPr>
    </xdr:pic>
    <xdr:clientData/>
  </xdr:twoCellAnchor>
  <xdr:twoCellAnchor>
    <xdr:from>
      <xdr:col>0</xdr:col>
      <xdr:colOff>66675</xdr:colOff>
      <xdr:row>528</xdr:row>
      <xdr:rowOff>0</xdr:rowOff>
    </xdr:from>
    <xdr:to>
      <xdr:col>1</xdr:col>
      <xdr:colOff>133350</xdr:colOff>
      <xdr:row>528</xdr:row>
      <xdr:rowOff>10795</xdr:rowOff>
    </xdr:to>
    <xdr:pic>
      <xdr:nvPicPr>
        <xdr:cNvPr id="49" name="图片 277" descr="中铁LOGO黑白">
          <a:extLst>
            <a:ext uri="{FF2B5EF4-FFF2-40B4-BE49-F238E27FC236}">
              <a16:creationId xmlns="" xmlns:a16="http://schemas.microsoft.com/office/drawing/2014/main" id="{00000000-0008-0000-0000-000042000000}"/>
            </a:ext>
          </a:extLst>
        </xdr:cNvPr>
        <xdr:cNvPicPr>
          <a:picLocks noChangeAspect="1"/>
        </xdr:cNvPicPr>
      </xdr:nvPicPr>
      <xdr:blipFill>
        <a:blip xmlns:r="http://schemas.openxmlformats.org/officeDocument/2006/relationships" r:embed="rId2" cstate="print"/>
        <a:stretch>
          <a:fillRect/>
        </a:stretch>
      </xdr:blipFill>
      <xdr:spPr>
        <a:xfrm>
          <a:off x="66675" y="128501775"/>
          <a:ext cx="485775" cy="10795"/>
        </a:xfrm>
        <a:prstGeom prst="rect">
          <a:avLst/>
        </a:prstGeom>
        <a:noFill/>
        <a:ln w="9525">
          <a:noFill/>
        </a:ln>
      </xdr:spPr>
    </xdr:pic>
    <xdr:clientData/>
  </xdr:twoCellAnchor>
  <xdr:twoCellAnchor>
    <xdr:from>
      <xdr:col>0</xdr:col>
      <xdr:colOff>66675</xdr:colOff>
      <xdr:row>528</xdr:row>
      <xdr:rowOff>0</xdr:rowOff>
    </xdr:from>
    <xdr:to>
      <xdr:col>1</xdr:col>
      <xdr:colOff>133350</xdr:colOff>
      <xdr:row>528</xdr:row>
      <xdr:rowOff>10795</xdr:rowOff>
    </xdr:to>
    <xdr:pic>
      <xdr:nvPicPr>
        <xdr:cNvPr id="50" name="图片 277" descr="中铁LOGO黑白">
          <a:extLst>
            <a:ext uri="{FF2B5EF4-FFF2-40B4-BE49-F238E27FC236}">
              <a16:creationId xmlns="" xmlns:a16="http://schemas.microsoft.com/office/drawing/2014/main" id="{00000000-0008-0000-0000-000043000000}"/>
            </a:ext>
          </a:extLst>
        </xdr:cNvPr>
        <xdr:cNvPicPr>
          <a:picLocks noChangeAspect="1"/>
        </xdr:cNvPicPr>
      </xdr:nvPicPr>
      <xdr:blipFill>
        <a:blip xmlns:r="http://schemas.openxmlformats.org/officeDocument/2006/relationships" r:embed="rId2" cstate="print"/>
        <a:stretch>
          <a:fillRect/>
        </a:stretch>
      </xdr:blipFill>
      <xdr:spPr>
        <a:xfrm>
          <a:off x="66675" y="128501775"/>
          <a:ext cx="485775" cy="10795"/>
        </a:xfrm>
        <a:prstGeom prst="rect">
          <a:avLst/>
        </a:prstGeom>
        <a:noFill/>
        <a:ln w="9525">
          <a:noFill/>
        </a:ln>
      </xdr:spPr>
    </xdr:pic>
    <xdr:clientData/>
  </xdr:twoCellAnchor>
  <xdr:twoCellAnchor>
    <xdr:from>
      <xdr:col>0</xdr:col>
      <xdr:colOff>66675</xdr:colOff>
      <xdr:row>527</xdr:row>
      <xdr:rowOff>0</xdr:rowOff>
    </xdr:from>
    <xdr:to>
      <xdr:col>1</xdr:col>
      <xdr:colOff>133350</xdr:colOff>
      <xdr:row>527</xdr:row>
      <xdr:rowOff>10795</xdr:rowOff>
    </xdr:to>
    <xdr:pic>
      <xdr:nvPicPr>
        <xdr:cNvPr id="51" name="图片 277" descr="中铁LOGO黑白">
          <a:extLst>
            <a:ext uri="{FF2B5EF4-FFF2-40B4-BE49-F238E27FC236}">
              <a16:creationId xmlns="" xmlns:a16="http://schemas.microsoft.com/office/drawing/2014/main" id="{00000000-0008-0000-0000-000044000000}"/>
            </a:ext>
          </a:extLst>
        </xdr:cNvPr>
        <xdr:cNvPicPr>
          <a:picLocks noChangeAspect="1"/>
        </xdr:cNvPicPr>
      </xdr:nvPicPr>
      <xdr:blipFill>
        <a:blip xmlns:r="http://schemas.openxmlformats.org/officeDocument/2006/relationships" r:embed="rId2" cstate="print"/>
        <a:stretch>
          <a:fillRect/>
        </a:stretch>
      </xdr:blipFill>
      <xdr:spPr>
        <a:xfrm>
          <a:off x="66675" y="128273175"/>
          <a:ext cx="485775" cy="10795"/>
        </a:xfrm>
        <a:prstGeom prst="rect">
          <a:avLst/>
        </a:prstGeom>
        <a:noFill/>
        <a:ln w="9525">
          <a:noFill/>
        </a:ln>
      </xdr:spPr>
    </xdr:pic>
    <xdr:clientData/>
  </xdr:twoCellAnchor>
  <xdr:twoCellAnchor>
    <xdr:from>
      <xdr:col>0</xdr:col>
      <xdr:colOff>66675</xdr:colOff>
      <xdr:row>527</xdr:row>
      <xdr:rowOff>0</xdr:rowOff>
    </xdr:from>
    <xdr:to>
      <xdr:col>1</xdr:col>
      <xdr:colOff>133350</xdr:colOff>
      <xdr:row>527</xdr:row>
      <xdr:rowOff>10795</xdr:rowOff>
    </xdr:to>
    <xdr:pic>
      <xdr:nvPicPr>
        <xdr:cNvPr id="52" name="图片 277" descr="中铁LOGO黑白">
          <a:extLst>
            <a:ext uri="{FF2B5EF4-FFF2-40B4-BE49-F238E27FC236}">
              <a16:creationId xmlns="" xmlns:a16="http://schemas.microsoft.com/office/drawing/2014/main" id="{00000000-0008-0000-0000-000045000000}"/>
            </a:ext>
          </a:extLst>
        </xdr:cNvPr>
        <xdr:cNvPicPr>
          <a:picLocks noChangeAspect="1"/>
        </xdr:cNvPicPr>
      </xdr:nvPicPr>
      <xdr:blipFill>
        <a:blip xmlns:r="http://schemas.openxmlformats.org/officeDocument/2006/relationships" r:embed="rId2" cstate="print"/>
        <a:stretch>
          <a:fillRect/>
        </a:stretch>
      </xdr:blipFill>
      <xdr:spPr>
        <a:xfrm>
          <a:off x="66675" y="128273175"/>
          <a:ext cx="485775" cy="10795"/>
        </a:xfrm>
        <a:prstGeom prst="rect">
          <a:avLst/>
        </a:prstGeom>
        <a:noFill/>
        <a:ln w="9525">
          <a:noFill/>
        </a:ln>
      </xdr:spPr>
    </xdr:pic>
    <xdr:clientData/>
  </xdr:twoCellAnchor>
  <xdr:twoCellAnchor>
    <xdr:from>
      <xdr:col>0</xdr:col>
      <xdr:colOff>66675</xdr:colOff>
      <xdr:row>529</xdr:row>
      <xdr:rowOff>0</xdr:rowOff>
    </xdr:from>
    <xdr:to>
      <xdr:col>1</xdr:col>
      <xdr:colOff>133350</xdr:colOff>
      <xdr:row>529</xdr:row>
      <xdr:rowOff>10795</xdr:rowOff>
    </xdr:to>
    <xdr:pic>
      <xdr:nvPicPr>
        <xdr:cNvPr id="53" name="图片 277" descr="中铁LOGO黑白">
          <a:extLst>
            <a:ext uri="{FF2B5EF4-FFF2-40B4-BE49-F238E27FC236}">
              <a16:creationId xmlns="" xmlns:a16="http://schemas.microsoft.com/office/drawing/2014/main" id="{00000000-0008-0000-0000-000046000000}"/>
            </a:ext>
          </a:extLst>
        </xdr:cNvPr>
        <xdr:cNvPicPr>
          <a:picLocks noChangeAspect="1"/>
        </xdr:cNvPicPr>
      </xdr:nvPicPr>
      <xdr:blipFill>
        <a:blip xmlns:r="http://schemas.openxmlformats.org/officeDocument/2006/relationships" r:embed="rId2" cstate="print"/>
        <a:stretch>
          <a:fillRect/>
        </a:stretch>
      </xdr:blipFill>
      <xdr:spPr>
        <a:xfrm>
          <a:off x="66675" y="128730375"/>
          <a:ext cx="485775" cy="10795"/>
        </a:xfrm>
        <a:prstGeom prst="rect">
          <a:avLst/>
        </a:prstGeom>
        <a:noFill/>
        <a:ln w="9525">
          <a:noFill/>
        </a:ln>
      </xdr:spPr>
    </xdr:pic>
    <xdr:clientData/>
  </xdr:twoCellAnchor>
  <xdr:twoCellAnchor>
    <xdr:from>
      <xdr:col>0</xdr:col>
      <xdr:colOff>66675</xdr:colOff>
      <xdr:row>529</xdr:row>
      <xdr:rowOff>0</xdr:rowOff>
    </xdr:from>
    <xdr:to>
      <xdr:col>1</xdr:col>
      <xdr:colOff>133350</xdr:colOff>
      <xdr:row>529</xdr:row>
      <xdr:rowOff>10795</xdr:rowOff>
    </xdr:to>
    <xdr:pic>
      <xdr:nvPicPr>
        <xdr:cNvPr id="54" name="图片 277" descr="中铁LOGO黑白">
          <a:extLst>
            <a:ext uri="{FF2B5EF4-FFF2-40B4-BE49-F238E27FC236}">
              <a16:creationId xmlns="" xmlns:a16="http://schemas.microsoft.com/office/drawing/2014/main" id="{00000000-0008-0000-0000-000047000000}"/>
            </a:ext>
          </a:extLst>
        </xdr:cNvPr>
        <xdr:cNvPicPr>
          <a:picLocks noChangeAspect="1"/>
        </xdr:cNvPicPr>
      </xdr:nvPicPr>
      <xdr:blipFill>
        <a:blip xmlns:r="http://schemas.openxmlformats.org/officeDocument/2006/relationships" r:embed="rId2" cstate="print"/>
        <a:stretch>
          <a:fillRect/>
        </a:stretch>
      </xdr:blipFill>
      <xdr:spPr>
        <a:xfrm>
          <a:off x="66675" y="128730375"/>
          <a:ext cx="485775" cy="10795"/>
        </a:xfrm>
        <a:prstGeom prst="rect">
          <a:avLst/>
        </a:prstGeom>
        <a:noFill/>
        <a:ln w="9525">
          <a:noFill/>
        </a:ln>
      </xdr:spPr>
    </xdr:pic>
    <xdr:clientData/>
  </xdr:twoCellAnchor>
  <xdr:twoCellAnchor>
    <xdr:from>
      <xdr:col>0</xdr:col>
      <xdr:colOff>66675</xdr:colOff>
      <xdr:row>530</xdr:row>
      <xdr:rowOff>0</xdr:rowOff>
    </xdr:from>
    <xdr:to>
      <xdr:col>1</xdr:col>
      <xdr:colOff>133350</xdr:colOff>
      <xdr:row>530</xdr:row>
      <xdr:rowOff>10795</xdr:rowOff>
    </xdr:to>
    <xdr:pic>
      <xdr:nvPicPr>
        <xdr:cNvPr id="55" name="图片 277" descr="中铁LOGO黑白">
          <a:extLst>
            <a:ext uri="{FF2B5EF4-FFF2-40B4-BE49-F238E27FC236}">
              <a16:creationId xmlns="" xmlns:a16="http://schemas.microsoft.com/office/drawing/2014/main" id="{00000000-0008-0000-0000-000048000000}"/>
            </a:ext>
          </a:extLst>
        </xdr:cNvPr>
        <xdr:cNvPicPr>
          <a:picLocks noChangeAspect="1"/>
        </xdr:cNvPicPr>
      </xdr:nvPicPr>
      <xdr:blipFill>
        <a:blip xmlns:r="http://schemas.openxmlformats.org/officeDocument/2006/relationships" r:embed="rId2" cstate="print"/>
        <a:stretch>
          <a:fillRect/>
        </a:stretch>
      </xdr:blipFill>
      <xdr:spPr>
        <a:xfrm>
          <a:off x="66675" y="128958975"/>
          <a:ext cx="485775" cy="10795"/>
        </a:xfrm>
        <a:prstGeom prst="rect">
          <a:avLst/>
        </a:prstGeom>
        <a:noFill/>
        <a:ln w="9525">
          <a:noFill/>
        </a:ln>
      </xdr:spPr>
    </xdr:pic>
    <xdr:clientData/>
  </xdr:twoCellAnchor>
  <xdr:twoCellAnchor>
    <xdr:from>
      <xdr:col>0</xdr:col>
      <xdr:colOff>66675</xdr:colOff>
      <xdr:row>530</xdr:row>
      <xdr:rowOff>0</xdr:rowOff>
    </xdr:from>
    <xdr:to>
      <xdr:col>1</xdr:col>
      <xdr:colOff>133350</xdr:colOff>
      <xdr:row>530</xdr:row>
      <xdr:rowOff>10795</xdr:rowOff>
    </xdr:to>
    <xdr:pic>
      <xdr:nvPicPr>
        <xdr:cNvPr id="56" name="图片 277" descr="中铁LOGO黑白">
          <a:extLst>
            <a:ext uri="{FF2B5EF4-FFF2-40B4-BE49-F238E27FC236}">
              <a16:creationId xmlns="" xmlns:a16="http://schemas.microsoft.com/office/drawing/2014/main" id="{00000000-0008-0000-0000-000049000000}"/>
            </a:ext>
          </a:extLst>
        </xdr:cNvPr>
        <xdr:cNvPicPr>
          <a:picLocks noChangeAspect="1"/>
        </xdr:cNvPicPr>
      </xdr:nvPicPr>
      <xdr:blipFill>
        <a:blip xmlns:r="http://schemas.openxmlformats.org/officeDocument/2006/relationships" r:embed="rId2" cstate="print"/>
        <a:stretch>
          <a:fillRect/>
        </a:stretch>
      </xdr:blipFill>
      <xdr:spPr>
        <a:xfrm>
          <a:off x="66675" y="128958975"/>
          <a:ext cx="485775" cy="10795"/>
        </a:xfrm>
        <a:prstGeom prst="rect">
          <a:avLst/>
        </a:prstGeom>
        <a:noFill/>
        <a:ln w="9525">
          <a:noFill/>
        </a:ln>
      </xdr:spPr>
    </xdr:pic>
    <xdr:clientData/>
  </xdr:twoCellAnchor>
  <xdr:twoCellAnchor>
    <xdr:from>
      <xdr:col>0</xdr:col>
      <xdr:colOff>66675</xdr:colOff>
      <xdr:row>833</xdr:row>
      <xdr:rowOff>0</xdr:rowOff>
    </xdr:from>
    <xdr:to>
      <xdr:col>1</xdr:col>
      <xdr:colOff>133350</xdr:colOff>
      <xdr:row>833</xdr:row>
      <xdr:rowOff>10795</xdr:rowOff>
    </xdr:to>
    <xdr:pic>
      <xdr:nvPicPr>
        <xdr:cNvPr id="57" name="图片 277" descr="中铁LOGO黑白">
          <a:extLst>
            <a:ext uri="{FF2B5EF4-FFF2-40B4-BE49-F238E27FC236}">
              <a16:creationId xmlns="" xmlns:a16="http://schemas.microsoft.com/office/drawing/2014/main" id="{00000000-0008-0000-0000-000051000000}"/>
            </a:ext>
          </a:extLst>
        </xdr:cNvPr>
        <xdr:cNvPicPr>
          <a:picLocks noChangeAspect="1"/>
        </xdr:cNvPicPr>
      </xdr:nvPicPr>
      <xdr:blipFill>
        <a:blip xmlns:r="http://schemas.openxmlformats.org/officeDocument/2006/relationships" r:embed="rId2" cstate="print"/>
        <a:stretch>
          <a:fillRect/>
        </a:stretch>
      </xdr:blipFill>
      <xdr:spPr>
        <a:xfrm>
          <a:off x="66675" y="198377175"/>
          <a:ext cx="485775" cy="10795"/>
        </a:xfrm>
        <a:prstGeom prst="rect">
          <a:avLst/>
        </a:prstGeom>
        <a:noFill/>
        <a:ln w="9525">
          <a:noFill/>
        </a:ln>
      </xdr:spPr>
    </xdr:pic>
    <xdr:clientData/>
  </xdr:twoCellAnchor>
  <xdr:twoCellAnchor>
    <xdr:from>
      <xdr:col>0</xdr:col>
      <xdr:colOff>66675</xdr:colOff>
      <xdr:row>833</xdr:row>
      <xdr:rowOff>0</xdr:rowOff>
    </xdr:from>
    <xdr:to>
      <xdr:col>1</xdr:col>
      <xdr:colOff>133350</xdr:colOff>
      <xdr:row>833</xdr:row>
      <xdr:rowOff>10795</xdr:rowOff>
    </xdr:to>
    <xdr:pic>
      <xdr:nvPicPr>
        <xdr:cNvPr id="58" name="图片 277" descr="中铁LOGO黑白">
          <a:extLst>
            <a:ext uri="{FF2B5EF4-FFF2-40B4-BE49-F238E27FC236}">
              <a16:creationId xmlns="" xmlns:a16="http://schemas.microsoft.com/office/drawing/2014/main" id="{00000000-0008-0000-0000-000052000000}"/>
            </a:ext>
          </a:extLst>
        </xdr:cNvPr>
        <xdr:cNvPicPr>
          <a:picLocks noChangeAspect="1"/>
        </xdr:cNvPicPr>
      </xdr:nvPicPr>
      <xdr:blipFill>
        <a:blip xmlns:r="http://schemas.openxmlformats.org/officeDocument/2006/relationships" r:embed="rId2" cstate="print"/>
        <a:stretch>
          <a:fillRect/>
        </a:stretch>
      </xdr:blipFill>
      <xdr:spPr>
        <a:xfrm>
          <a:off x="66675" y="198377175"/>
          <a:ext cx="485775" cy="10795"/>
        </a:xfrm>
        <a:prstGeom prst="rect">
          <a:avLst/>
        </a:prstGeom>
        <a:noFill/>
        <a:ln w="9525">
          <a:noFill/>
        </a:ln>
      </xdr:spPr>
    </xdr:pic>
    <xdr:clientData/>
  </xdr:twoCellAnchor>
  <xdr:twoCellAnchor>
    <xdr:from>
      <xdr:col>0</xdr:col>
      <xdr:colOff>66675</xdr:colOff>
      <xdr:row>834</xdr:row>
      <xdr:rowOff>0</xdr:rowOff>
    </xdr:from>
    <xdr:to>
      <xdr:col>1</xdr:col>
      <xdr:colOff>133350</xdr:colOff>
      <xdr:row>834</xdr:row>
      <xdr:rowOff>10795</xdr:rowOff>
    </xdr:to>
    <xdr:pic>
      <xdr:nvPicPr>
        <xdr:cNvPr id="59" name="图片 277" descr="中铁LOGO黑白">
          <a:extLst>
            <a:ext uri="{FF2B5EF4-FFF2-40B4-BE49-F238E27FC236}">
              <a16:creationId xmlns="" xmlns:a16="http://schemas.microsoft.com/office/drawing/2014/main" id="{00000000-0008-0000-0000-000053000000}"/>
            </a:ext>
          </a:extLst>
        </xdr:cNvPr>
        <xdr:cNvPicPr>
          <a:picLocks noChangeAspect="1"/>
        </xdr:cNvPicPr>
      </xdr:nvPicPr>
      <xdr:blipFill>
        <a:blip xmlns:r="http://schemas.openxmlformats.org/officeDocument/2006/relationships" r:embed="rId2" cstate="print"/>
        <a:stretch>
          <a:fillRect/>
        </a:stretch>
      </xdr:blipFill>
      <xdr:spPr>
        <a:xfrm>
          <a:off x="66675" y="198605775"/>
          <a:ext cx="485775" cy="10795"/>
        </a:xfrm>
        <a:prstGeom prst="rect">
          <a:avLst/>
        </a:prstGeom>
        <a:noFill/>
        <a:ln w="9525">
          <a:noFill/>
        </a:ln>
      </xdr:spPr>
    </xdr:pic>
    <xdr:clientData/>
  </xdr:twoCellAnchor>
  <xdr:twoCellAnchor>
    <xdr:from>
      <xdr:col>0</xdr:col>
      <xdr:colOff>66675</xdr:colOff>
      <xdr:row>834</xdr:row>
      <xdr:rowOff>0</xdr:rowOff>
    </xdr:from>
    <xdr:to>
      <xdr:col>1</xdr:col>
      <xdr:colOff>133350</xdr:colOff>
      <xdr:row>834</xdr:row>
      <xdr:rowOff>10795</xdr:rowOff>
    </xdr:to>
    <xdr:pic>
      <xdr:nvPicPr>
        <xdr:cNvPr id="60" name="图片 277" descr="中铁LOGO黑白">
          <a:extLst>
            <a:ext uri="{FF2B5EF4-FFF2-40B4-BE49-F238E27FC236}">
              <a16:creationId xmlns="" xmlns:a16="http://schemas.microsoft.com/office/drawing/2014/main" id="{00000000-0008-0000-0000-000054000000}"/>
            </a:ext>
          </a:extLst>
        </xdr:cNvPr>
        <xdr:cNvPicPr>
          <a:picLocks noChangeAspect="1"/>
        </xdr:cNvPicPr>
      </xdr:nvPicPr>
      <xdr:blipFill>
        <a:blip xmlns:r="http://schemas.openxmlformats.org/officeDocument/2006/relationships" r:embed="rId2" cstate="print"/>
        <a:stretch>
          <a:fillRect/>
        </a:stretch>
      </xdr:blipFill>
      <xdr:spPr>
        <a:xfrm>
          <a:off x="66675" y="198605775"/>
          <a:ext cx="485775" cy="10795"/>
        </a:xfrm>
        <a:prstGeom prst="rect">
          <a:avLst/>
        </a:prstGeom>
        <a:noFill/>
        <a:ln w="9525">
          <a:noFill/>
        </a:ln>
      </xdr:spPr>
    </xdr:pic>
    <xdr:clientData/>
  </xdr:twoCellAnchor>
  <xdr:twoCellAnchor>
    <xdr:from>
      <xdr:col>0</xdr:col>
      <xdr:colOff>66675</xdr:colOff>
      <xdr:row>835</xdr:row>
      <xdr:rowOff>0</xdr:rowOff>
    </xdr:from>
    <xdr:to>
      <xdr:col>1</xdr:col>
      <xdr:colOff>133350</xdr:colOff>
      <xdr:row>835</xdr:row>
      <xdr:rowOff>10795</xdr:rowOff>
    </xdr:to>
    <xdr:pic>
      <xdr:nvPicPr>
        <xdr:cNvPr id="61" name="图片 277" descr="中铁LOGO黑白">
          <a:extLst>
            <a:ext uri="{FF2B5EF4-FFF2-40B4-BE49-F238E27FC236}">
              <a16:creationId xmlns="" xmlns:a16="http://schemas.microsoft.com/office/drawing/2014/main" id="{00000000-0008-0000-0000-000055000000}"/>
            </a:ext>
          </a:extLst>
        </xdr:cNvPr>
        <xdr:cNvPicPr>
          <a:picLocks noChangeAspect="1"/>
        </xdr:cNvPicPr>
      </xdr:nvPicPr>
      <xdr:blipFill>
        <a:blip xmlns:r="http://schemas.openxmlformats.org/officeDocument/2006/relationships" r:embed="rId2" cstate="print"/>
        <a:stretch>
          <a:fillRect/>
        </a:stretch>
      </xdr:blipFill>
      <xdr:spPr>
        <a:xfrm>
          <a:off x="66675" y="198834375"/>
          <a:ext cx="485775" cy="10795"/>
        </a:xfrm>
        <a:prstGeom prst="rect">
          <a:avLst/>
        </a:prstGeom>
        <a:noFill/>
        <a:ln w="9525">
          <a:noFill/>
        </a:ln>
      </xdr:spPr>
    </xdr:pic>
    <xdr:clientData/>
  </xdr:twoCellAnchor>
  <xdr:twoCellAnchor>
    <xdr:from>
      <xdr:col>0</xdr:col>
      <xdr:colOff>66675</xdr:colOff>
      <xdr:row>835</xdr:row>
      <xdr:rowOff>0</xdr:rowOff>
    </xdr:from>
    <xdr:to>
      <xdr:col>1</xdr:col>
      <xdr:colOff>133350</xdr:colOff>
      <xdr:row>835</xdr:row>
      <xdr:rowOff>10795</xdr:rowOff>
    </xdr:to>
    <xdr:pic>
      <xdr:nvPicPr>
        <xdr:cNvPr id="62" name="图片 277" descr="中铁LOGO黑白">
          <a:extLst>
            <a:ext uri="{FF2B5EF4-FFF2-40B4-BE49-F238E27FC236}">
              <a16:creationId xmlns="" xmlns:a16="http://schemas.microsoft.com/office/drawing/2014/main" id="{00000000-0008-0000-0000-000056000000}"/>
            </a:ext>
          </a:extLst>
        </xdr:cNvPr>
        <xdr:cNvPicPr>
          <a:picLocks noChangeAspect="1"/>
        </xdr:cNvPicPr>
      </xdr:nvPicPr>
      <xdr:blipFill>
        <a:blip xmlns:r="http://schemas.openxmlformats.org/officeDocument/2006/relationships" r:embed="rId2" cstate="print"/>
        <a:stretch>
          <a:fillRect/>
        </a:stretch>
      </xdr:blipFill>
      <xdr:spPr>
        <a:xfrm>
          <a:off x="66675" y="198834375"/>
          <a:ext cx="485775" cy="10795"/>
        </a:xfrm>
        <a:prstGeom prst="rect">
          <a:avLst/>
        </a:prstGeom>
        <a:noFill/>
        <a:ln w="9525">
          <a:noFill/>
        </a:ln>
      </xdr:spPr>
    </xdr:pic>
    <xdr:clientData/>
  </xdr:twoCellAnchor>
  <xdr:twoCellAnchor>
    <xdr:from>
      <xdr:col>0</xdr:col>
      <xdr:colOff>66675</xdr:colOff>
      <xdr:row>836</xdr:row>
      <xdr:rowOff>0</xdr:rowOff>
    </xdr:from>
    <xdr:to>
      <xdr:col>1</xdr:col>
      <xdr:colOff>133350</xdr:colOff>
      <xdr:row>836</xdr:row>
      <xdr:rowOff>10795</xdr:rowOff>
    </xdr:to>
    <xdr:pic>
      <xdr:nvPicPr>
        <xdr:cNvPr id="63" name="图片 277" descr="中铁LOGO黑白">
          <a:extLst>
            <a:ext uri="{FF2B5EF4-FFF2-40B4-BE49-F238E27FC236}">
              <a16:creationId xmlns="" xmlns:a16="http://schemas.microsoft.com/office/drawing/2014/main" id="{00000000-0008-0000-0000-000057000000}"/>
            </a:ext>
          </a:extLst>
        </xdr:cNvPr>
        <xdr:cNvPicPr>
          <a:picLocks noChangeAspect="1"/>
        </xdr:cNvPicPr>
      </xdr:nvPicPr>
      <xdr:blipFill>
        <a:blip xmlns:r="http://schemas.openxmlformats.org/officeDocument/2006/relationships" r:embed="rId2" cstate="print"/>
        <a:stretch>
          <a:fillRect/>
        </a:stretch>
      </xdr:blipFill>
      <xdr:spPr>
        <a:xfrm>
          <a:off x="66675" y="199062975"/>
          <a:ext cx="485775" cy="10795"/>
        </a:xfrm>
        <a:prstGeom prst="rect">
          <a:avLst/>
        </a:prstGeom>
        <a:noFill/>
        <a:ln w="9525">
          <a:noFill/>
        </a:ln>
      </xdr:spPr>
    </xdr:pic>
    <xdr:clientData/>
  </xdr:twoCellAnchor>
  <xdr:twoCellAnchor>
    <xdr:from>
      <xdr:col>0</xdr:col>
      <xdr:colOff>66675</xdr:colOff>
      <xdr:row>836</xdr:row>
      <xdr:rowOff>0</xdr:rowOff>
    </xdr:from>
    <xdr:to>
      <xdr:col>1</xdr:col>
      <xdr:colOff>133350</xdr:colOff>
      <xdr:row>836</xdr:row>
      <xdr:rowOff>10795</xdr:rowOff>
    </xdr:to>
    <xdr:pic>
      <xdr:nvPicPr>
        <xdr:cNvPr id="64" name="图片 277" descr="中铁LOGO黑白">
          <a:extLst>
            <a:ext uri="{FF2B5EF4-FFF2-40B4-BE49-F238E27FC236}">
              <a16:creationId xmlns="" xmlns:a16="http://schemas.microsoft.com/office/drawing/2014/main" id="{00000000-0008-0000-0000-000058000000}"/>
            </a:ext>
          </a:extLst>
        </xdr:cNvPr>
        <xdr:cNvPicPr>
          <a:picLocks noChangeAspect="1"/>
        </xdr:cNvPicPr>
      </xdr:nvPicPr>
      <xdr:blipFill>
        <a:blip xmlns:r="http://schemas.openxmlformats.org/officeDocument/2006/relationships" r:embed="rId2" cstate="print"/>
        <a:stretch>
          <a:fillRect/>
        </a:stretch>
      </xdr:blipFill>
      <xdr:spPr>
        <a:xfrm>
          <a:off x="66675" y="199062975"/>
          <a:ext cx="485775" cy="10795"/>
        </a:xfrm>
        <a:prstGeom prst="rect">
          <a:avLst/>
        </a:prstGeom>
        <a:noFill/>
        <a:ln w="9525">
          <a:noFill/>
        </a:ln>
      </xdr:spPr>
    </xdr:pic>
    <xdr:clientData/>
  </xdr:twoCellAnchor>
  <xdr:twoCellAnchor>
    <xdr:from>
      <xdr:col>0</xdr:col>
      <xdr:colOff>66675</xdr:colOff>
      <xdr:row>837</xdr:row>
      <xdr:rowOff>0</xdr:rowOff>
    </xdr:from>
    <xdr:to>
      <xdr:col>1</xdr:col>
      <xdr:colOff>133350</xdr:colOff>
      <xdr:row>837</xdr:row>
      <xdr:rowOff>10795</xdr:rowOff>
    </xdr:to>
    <xdr:pic>
      <xdr:nvPicPr>
        <xdr:cNvPr id="65" name="图片 277" descr="中铁LOGO黑白">
          <a:extLst>
            <a:ext uri="{FF2B5EF4-FFF2-40B4-BE49-F238E27FC236}">
              <a16:creationId xmlns="" xmlns:a16="http://schemas.microsoft.com/office/drawing/2014/main" id="{00000000-0008-0000-0000-000059000000}"/>
            </a:ext>
          </a:extLst>
        </xdr:cNvPr>
        <xdr:cNvPicPr>
          <a:picLocks noChangeAspect="1"/>
        </xdr:cNvPicPr>
      </xdr:nvPicPr>
      <xdr:blipFill>
        <a:blip xmlns:r="http://schemas.openxmlformats.org/officeDocument/2006/relationships" r:embed="rId2" cstate="print"/>
        <a:stretch>
          <a:fillRect/>
        </a:stretch>
      </xdr:blipFill>
      <xdr:spPr>
        <a:xfrm>
          <a:off x="66675" y="199291575"/>
          <a:ext cx="485775" cy="10795"/>
        </a:xfrm>
        <a:prstGeom prst="rect">
          <a:avLst/>
        </a:prstGeom>
        <a:noFill/>
        <a:ln w="9525">
          <a:noFill/>
        </a:ln>
      </xdr:spPr>
    </xdr:pic>
    <xdr:clientData/>
  </xdr:twoCellAnchor>
  <xdr:twoCellAnchor>
    <xdr:from>
      <xdr:col>0</xdr:col>
      <xdr:colOff>66675</xdr:colOff>
      <xdr:row>837</xdr:row>
      <xdr:rowOff>0</xdr:rowOff>
    </xdr:from>
    <xdr:to>
      <xdr:col>1</xdr:col>
      <xdr:colOff>133350</xdr:colOff>
      <xdr:row>837</xdr:row>
      <xdr:rowOff>10795</xdr:rowOff>
    </xdr:to>
    <xdr:pic>
      <xdr:nvPicPr>
        <xdr:cNvPr id="66" name="图片 277" descr="中铁LOGO黑白">
          <a:extLst>
            <a:ext uri="{FF2B5EF4-FFF2-40B4-BE49-F238E27FC236}">
              <a16:creationId xmlns="" xmlns:a16="http://schemas.microsoft.com/office/drawing/2014/main" id="{00000000-0008-0000-0000-00005A000000}"/>
            </a:ext>
          </a:extLst>
        </xdr:cNvPr>
        <xdr:cNvPicPr>
          <a:picLocks noChangeAspect="1"/>
        </xdr:cNvPicPr>
      </xdr:nvPicPr>
      <xdr:blipFill>
        <a:blip xmlns:r="http://schemas.openxmlformats.org/officeDocument/2006/relationships" r:embed="rId2" cstate="print"/>
        <a:stretch>
          <a:fillRect/>
        </a:stretch>
      </xdr:blipFill>
      <xdr:spPr>
        <a:xfrm>
          <a:off x="66675" y="199291575"/>
          <a:ext cx="485775" cy="10795"/>
        </a:xfrm>
        <a:prstGeom prst="rect">
          <a:avLst/>
        </a:prstGeom>
        <a:noFill/>
        <a:ln w="9525">
          <a:noFill/>
        </a:ln>
      </xdr:spPr>
    </xdr:pic>
    <xdr:clientData/>
  </xdr:twoCellAnchor>
  <xdr:oneCellAnchor>
    <xdr:from>
      <xdr:col>2</xdr:col>
      <xdr:colOff>0</xdr:colOff>
      <xdr:row>239</xdr:row>
      <xdr:rowOff>0</xdr:rowOff>
    </xdr:from>
    <xdr:ext cx="411480" cy="15240"/>
    <xdr:pic>
      <xdr:nvPicPr>
        <xdr:cNvPr id="67" name="图片 66">
          <a:extLst>
            <a:ext uri="{FF2B5EF4-FFF2-40B4-BE49-F238E27FC236}">
              <a16:creationId xmlns="" xmlns:a16="http://schemas.microsoft.com/office/drawing/2014/main" id="{EE617F82-1FB7-498E-A2CD-353EF987F48C}"/>
            </a:ext>
          </a:extLst>
        </xdr:cNvPr>
        <xdr:cNvPicPr>
          <a:picLocks noChangeAspect="1"/>
        </xdr:cNvPicPr>
      </xdr:nvPicPr>
      <xdr:blipFill>
        <a:blip xmlns:r="http://schemas.openxmlformats.org/officeDocument/2006/relationships" r:embed="rId3" r:link="rId4"/>
        <a:stretch>
          <a:fillRect/>
        </a:stretch>
      </xdr:blipFill>
      <xdr:spPr>
        <a:xfrm>
          <a:off x="1552575" y="58712100"/>
          <a:ext cx="411480" cy="15240"/>
        </a:xfrm>
        <a:prstGeom prst="rect">
          <a:avLst/>
        </a:prstGeom>
        <a:noFill/>
        <a:ln w="9525">
          <a:noFill/>
        </a:ln>
      </xdr:spPr>
    </xdr:pic>
    <xdr:clientData/>
  </xdr:oneCellAnchor>
  <xdr:twoCellAnchor>
    <xdr:from>
      <xdr:col>1</xdr:col>
      <xdr:colOff>66675</xdr:colOff>
      <xdr:row>648</xdr:row>
      <xdr:rowOff>0</xdr:rowOff>
    </xdr:from>
    <xdr:to>
      <xdr:col>1</xdr:col>
      <xdr:colOff>133350</xdr:colOff>
      <xdr:row>648</xdr:row>
      <xdr:rowOff>9525</xdr:rowOff>
    </xdr:to>
    <xdr:pic>
      <xdr:nvPicPr>
        <xdr:cNvPr id="68" name="图片 277" descr="中铁LOGO黑白">
          <a:extLst>
            <a:ext uri="{FF2B5EF4-FFF2-40B4-BE49-F238E27FC236}">
              <a16:creationId xmlns="" xmlns:a16="http://schemas.microsoft.com/office/drawing/2014/main" id="{D9BFBE5C-349E-46D0-9012-D0D402F8F501}"/>
            </a:ext>
          </a:extLst>
        </xdr:cNvPr>
        <xdr:cNvPicPr>
          <a:picLocks noChangeAspect="1"/>
        </xdr:cNvPicPr>
      </xdr:nvPicPr>
      <xdr:blipFill>
        <a:blip xmlns:r="http://schemas.openxmlformats.org/officeDocument/2006/relationships" r:embed="rId5"/>
        <a:srcRect/>
        <a:stretch>
          <a:fillRect/>
        </a:stretch>
      </xdr:blipFill>
      <xdr:spPr>
        <a:xfrm>
          <a:off x="485775" y="156086175"/>
          <a:ext cx="66675" cy="9525"/>
        </a:xfrm>
        <a:prstGeom prst="rect">
          <a:avLst/>
        </a:prstGeom>
        <a:noFill/>
        <a:ln w="9525">
          <a:noFill/>
          <a:miter lim="800000"/>
          <a:headEnd/>
          <a:tailEnd/>
        </a:ln>
      </xdr:spPr>
    </xdr:pic>
    <xdr:clientData/>
  </xdr:twoCellAnchor>
  <xdr:twoCellAnchor>
    <xdr:from>
      <xdr:col>1</xdr:col>
      <xdr:colOff>66675</xdr:colOff>
      <xdr:row>648</xdr:row>
      <xdr:rowOff>0</xdr:rowOff>
    </xdr:from>
    <xdr:to>
      <xdr:col>1</xdr:col>
      <xdr:colOff>133350</xdr:colOff>
      <xdr:row>648</xdr:row>
      <xdr:rowOff>9525</xdr:rowOff>
    </xdr:to>
    <xdr:pic>
      <xdr:nvPicPr>
        <xdr:cNvPr id="69" name="图片 277" descr="中铁LOGO黑白">
          <a:extLst>
            <a:ext uri="{FF2B5EF4-FFF2-40B4-BE49-F238E27FC236}">
              <a16:creationId xmlns="" xmlns:a16="http://schemas.microsoft.com/office/drawing/2014/main" id="{813FB3FC-E428-45E7-81C9-D0484958BF93}"/>
            </a:ext>
          </a:extLst>
        </xdr:cNvPr>
        <xdr:cNvPicPr>
          <a:picLocks noChangeAspect="1"/>
        </xdr:cNvPicPr>
      </xdr:nvPicPr>
      <xdr:blipFill>
        <a:blip xmlns:r="http://schemas.openxmlformats.org/officeDocument/2006/relationships" r:embed="rId5"/>
        <a:srcRect/>
        <a:stretch>
          <a:fillRect/>
        </a:stretch>
      </xdr:blipFill>
      <xdr:spPr>
        <a:xfrm>
          <a:off x="485775" y="156086175"/>
          <a:ext cx="66675" cy="95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sheetPr filterMode="1"/>
  <dimension ref="A1:T1261"/>
  <sheetViews>
    <sheetView topLeftCell="A560" workbookViewId="0">
      <selection activeCell="H616" sqref="H616"/>
    </sheetView>
  </sheetViews>
  <sheetFormatPr defaultColWidth="9" defaultRowHeight="13.5"/>
  <cols>
    <col min="1" max="1" width="5" style="8" customWidth="1"/>
    <col min="2" max="2" width="21" style="8" customWidth="1"/>
    <col min="3" max="3" width="17" style="8" customWidth="1"/>
    <col min="4" max="4" width="7" style="8" customWidth="1"/>
    <col min="5" max="5" width="10" style="8" customWidth="1"/>
    <col min="6" max="6" width="11" style="8" customWidth="1"/>
    <col min="7" max="7" width="7" style="8" customWidth="1"/>
    <col min="8" max="9" width="9" style="8" customWidth="1"/>
    <col min="10" max="10" width="8" style="8" customWidth="1"/>
    <col min="11" max="11" width="18.375" style="8" customWidth="1"/>
    <col min="12" max="12" width="12.625" style="95" customWidth="1"/>
    <col min="13" max="13" width="15" style="95" customWidth="1"/>
    <col min="14" max="14" width="12" style="8" customWidth="1"/>
    <col min="15" max="15" width="18" style="8" customWidth="1"/>
    <col min="16" max="16" width="10" style="8" customWidth="1"/>
    <col min="17" max="18" width="18" style="8" customWidth="1"/>
    <col min="19" max="19" width="17.25" style="8" customWidth="1"/>
    <col min="20" max="20" width="10" style="8" customWidth="1"/>
    <col min="21" max="16384" width="9" style="8"/>
  </cols>
  <sheetData>
    <row r="1" spans="1:20" ht="18" customHeight="1">
      <c r="A1" s="1" t="s">
        <v>0</v>
      </c>
      <c r="B1" s="2"/>
      <c r="C1" s="2"/>
      <c r="D1" s="2"/>
      <c r="E1" s="3"/>
      <c r="F1" s="3"/>
      <c r="G1" s="2"/>
      <c r="H1" s="2"/>
      <c r="I1" s="2"/>
      <c r="J1" s="2"/>
      <c r="K1" s="2"/>
      <c r="L1" s="4"/>
      <c r="M1" s="5"/>
      <c r="N1" s="2"/>
      <c r="O1" s="6"/>
      <c r="P1" s="2"/>
      <c r="Q1" s="2"/>
      <c r="R1" s="2"/>
      <c r="S1" s="6"/>
      <c r="T1" s="7"/>
    </row>
    <row r="2" spans="1:20" ht="27">
      <c r="A2" s="1778" t="s">
        <v>1</v>
      </c>
      <c r="B2" s="1778"/>
      <c r="C2" s="1778"/>
      <c r="D2" s="1778"/>
      <c r="E2" s="1778"/>
      <c r="F2" s="1778"/>
      <c r="G2" s="1778"/>
      <c r="H2" s="1778"/>
      <c r="I2" s="1778"/>
      <c r="J2" s="1778"/>
      <c r="K2" s="1778"/>
      <c r="L2" s="1779"/>
      <c r="M2" s="1779"/>
      <c r="N2" s="1778"/>
      <c r="O2" s="1778"/>
      <c r="P2" s="1778"/>
      <c r="Q2" s="1778"/>
      <c r="R2" s="1778"/>
      <c r="S2" s="1778"/>
      <c r="T2" s="1778"/>
    </row>
    <row r="3" spans="1:20" ht="24.75" customHeight="1">
      <c r="A3" s="1780">
        <v>44621</v>
      </c>
      <c r="B3" s="1781"/>
      <c r="C3" s="1781"/>
      <c r="D3" s="1781"/>
      <c r="E3" s="1781"/>
      <c r="F3" s="1781"/>
      <c r="G3" s="1781"/>
      <c r="H3" s="1781"/>
      <c r="I3" s="1781"/>
      <c r="J3" s="1781"/>
      <c r="K3" s="1781"/>
      <c r="L3" s="1782"/>
      <c r="M3" s="1782"/>
      <c r="N3" s="1781"/>
      <c r="O3" s="1781"/>
      <c r="P3" s="1781"/>
      <c r="Q3" s="1781"/>
      <c r="R3" s="1781"/>
      <c r="S3" s="1781"/>
      <c r="T3" s="1781"/>
    </row>
    <row r="4" spans="1:20" ht="19.5" customHeight="1">
      <c r="A4" s="1783" t="s">
        <v>2</v>
      </c>
      <c r="B4" s="1784" t="s">
        <v>3</v>
      </c>
      <c r="C4" s="1784" t="s">
        <v>4</v>
      </c>
      <c r="D4" s="1783" t="s">
        <v>5</v>
      </c>
      <c r="E4" s="1785" t="s">
        <v>6</v>
      </c>
      <c r="F4" s="9" t="s">
        <v>7</v>
      </c>
      <c r="G4" s="1784" t="s">
        <v>8</v>
      </c>
      <c r="H4" s="1784" t="s">
        <v>9</v>
      </c>
      <c r="I4" s="10" t="s">
        <v>10</v>
      </c>
      <c r="J4" s="1784" t="s">
        <v>11</v>
      </c>
      <c r="K4" s="11" t="s">
        <v>12</v>
      </c>
      <c r="L4" s="12" t="s">
        <v>13</v>
      </c>
      <c r="M4" s="12" t="s">
        <v>14</v>
      </c>
      <c r="N4" s="1784" t="s">
        <v>15</v>
      </c>
      <c r="O4" s="1784" t="s">
        <v>16</v>
      </c>
      <c r="P4" s="1783" t="s">
        <v>17</v>
      </c>
      <c r="Q4" s="1784" t="s">
        <v>18</v>
      </c>
      <c r="R4" s="1784" t="s">
        <v>19</v>
      </c>
      <c r="S4" s="1783" t="s">
        <v>20</v>
      </c>
      <c r="T4" s="1783" t="s">
        <v>21</v>
      </c>
    </row>
    <row r="5" spans="1:20" ht="18" customHeight="1">
      <c r="A5" s="1783"/>
      <c r="B5" s="1784"/>
      <c r="C5" s="1784"/>
      <c r="D5" s="1783"/>
      <c r="E5" s="1785"/>
      <c r="F5" s="9" t="s">
        <v>22</v>
      </c>
      <c r="G5" s="1784"/>
      <c r="H5" s="1784"/>
      <c r="I5" s="10" t="s">
        <v>23</v>
      </c>
      <c r="J5" s="1784"/>
      <c r="K5" s="11" t="s">
        <v>24</v>
      </c>
      <c r="L5" s="12" t="s">
        <v>25</v>
      </c>
      <c r="M5" s="12" t="s">
        <v>25</v>
      </c>
      <c r="N5" s="1784"/>
      <c r="O5" s="1784"/>
      <c r="P5" s="1783"/>
      <c r="Q5" s="1784"/>
      <c r="R5" s="1784"/>
      <c r="S5" s="1783"/>
      <c r="T5" s="1783"/>
    </row>
    <row r="6" spans="1:20" s="14" customFormat="1" ht="24" hidden="1" customHeight="1">
      <c r="A6" s="11" t="s">
        <v>26</v>
      </c>
      <c r="B6" s="13" t="s">
        <v>27</v>
      </c>
      <c r="C6" s="11"/>
      <c r="D6" s="11"/>
      <c r="E6" s="9"/>
      <c r="F6" s="9"/>
      <c r="G6" s="11"/>
      <c r="H6" s="11"/>
      <c r="I6" s="11"/>
      <c r="J6" s="11"/>
      <c r="K6" s="11"/>
      <c r="L6" s="12"/>
      <c r="M6" s="12"/>
      <c r="N6" s="11"/>
      <c r="O6" s="11"/>
      <c r="P6" s="11"/>
      <c r="Q6" s="11"/>
      <c r="R6" s="11"/>
      <c r="S6" s="11"/>
      <c r="T6" s="11"/>
    </row>
    <row r="7" spans="1:20" s="14" customFormat="1" ht="24" hidden="1" customHeight="1">
      <c r="A7" s="15">
        <v>1</v>
      </c>
      <c r="B7" s="15" t="s">
        <v>28</v>
      </c>
      <c r="C7" s="11"/>
      <c r="D7" s="11"/>
      <c r="E7" s="9"/>
      <c r="F7" s="9"/>
      <c r="G7" s="11"/>
      <c r="H7" s="11"/>
      <c r="I7" s="11"/>
      <c r="J7" s="11"/>
      <c r="K7" s="11"/>
      <c r="L7" s="12"/>
      <c r="M7" s="12"/>
      <c r="N7" s="16"/>
      <c r="O7" s="11"/>
      <c r="P7" s="11"/>
      <c r="Q7" s="11"/>
      <c r="R7" s="11"/>
      <c r="S7" s="11"/>
      <c r="T7" s="11"/>
    </row>
    <row r="8" spans="1:20" s="14" customFormat="1" ht="24" hidden="1" customHeight="1">
      <c r="A8" s="15"/>
      <c r="B8" s="11" t="s">
        <v>29</v>
      </c>
      <c r="C8" s="11" t="s">
        <v>30</v>
      </c>
      <c r="D8" s="11" t="s">
        <v>31</v>
      </c>
      <c r="E8" s="9">
        <v>32</v>
      </c>
      <c r="F8" s="9">
        <v>6.67</v>
      </c>
      <c r="G8" s="11" t="s">
        <v>32</v>
      </c>
      <c r="H8" s="11" t="s">
        <v>33</v>
      </c>
      <c r="I8" s="11" t="s">
        <v>34</v>
      </c>
      <c r="J8" s="11" t="s">
        <v>34</v>
      </c>
      <c r="K8" s="11" t="s">
        <v>35</v>
      </c>
      <c r="L8" s="12">
        <v>44689</v>
      </c>
      <c r="M8" s="12">
        <v>20010</v>
      </c>
      <c r="N8" s="11">
        <v>2021.03</v>
      </c>
      <c r="O8" s="11" t="s">
        <v>36</v>
      </c>
      <c r="P8" s="11" t="s">
        <v>37</v>
      </c>
      <c r="Q8" s="11">
        <v>18631369850</v>
      </c>
      <c r="R8" s="11" t="s">
        <v>38</v>
      </c>
      <c r="S8" s="11" t="s">
        <v>39</v>
      </c>
      <c r="T8" s="11"/>
    </row>
    <row r="9" spans="1:20" ht="24" customHeight="1">
      <c r="A9" s="15"/>
      <c r="B9" s="11" t="s">
        <v>29</v>
      </c>
      <c r="C9" s="11" t="s">
        <v>40</v>
      </c>
      <c r="D9" s="11" t="s">
        <v>31</v>
      </c>
      <c r="E9" s="9">
        <v>156</v>
      </c>
      <c r="F9" s="9">
        <v>10.997999999999999</v>
      </c>
      <c r="G9" s="11" t="s">
        <v>32</v>
      </c>
      <c r="H9" s="11" t="s">
        <v>41</v>
      </c>
      <c r="I9" s="11"/>
      <c r="J9" s="11"/>
      <c r="K9" s="11" t="s">
        <v>42</v>
      </c>
      <c r="L9" s="12"/>
      <c r="M9" s="12"/>
      <c r="N9" s="11"/>
      <c r="O9" s="11" t="s">
        <v>43</v>
      </c>
      <c r="P9" s="11" t="s">
        <v>44</v>
      </c>
      <c r="Q9" s="11">
        <v>18611425182</v>
      </c>
      <c r="R9" s="11" t="s">
        <v>45</v>
      </c>
      <c r="S9" s="11" t="s">
        <v>46</v>
      </c>
      <c r="T9" s="11"/>
    </row>
    <row r="10" spans="1:20" ht="24" hidden="1" customHeight="1">
      <c r="A10" s="15"/>
      <c r="B10" s="11" t="s">
        <v>29</v>
      </c>
      <c r="C10" s="11" t="s">
        <v>40</v>
      </c>
      <c r="D10" s="11" t="s">
        <v>31</v>
      </c>
      <c r="E10" s="9">
        <v>432</v>
      </c>
      <c r="F10" s="9">
        <v>30.456</v>
      </c>
      <c r="G10" s="11" t="s">
        <v>32</v>
      </c>
      <c r="H10" s="11" t="s">
        <v>33</v>
      </c>
      <c r="I10" s="11"/>
      <c r="J10" s="11"/>
      <c r="K10" s="11" t="s">
        <v>42</v>
      </c>
      <c r="L10" s="12">
        <v>153316.79999999999</v>
      </c>
      <c r="M10" s="12"/>
      <c r="N10" s="11">
        <v>2016.6</v>
      </c>
      <c r="O10" s="11" t="s">
        <v>47</v>
      </c>
      <c r="P10" s="11" t="s">
        <v>44</v>
      </c>
      <c r="Q10" s="11">
        <v>18611425182</v>
      </c>
      <c r="R10" s="11" t="s">
        <v>45</v>
      </c>
      <c r="S10" s="11" t="s">
        <v>46</v>
      </c>
      <c r="T10" s="11"/>
    </row>
    <row r="11" spans="1:20" ht="24" hidden="1" customHeight="1">
      <c r="A11" s="15"/>
      <c r="B11" s="11" t="s">
        <v>29</v>
      </c>
      <c r="C11" s="11" t="s">
        <v>48</v>
      </c>
      <c r="D11" s="11" t="s">
        <v>31</v>
      </c>
      <c r="E11" s="9">
        <v>17</v>
      </c>
      <c r="F11" s="9">
        <v>0.82599999999999996</v>
      </c>
      <c r="G11" s="11" t="s">
        <v>32</v>
      </c>
      <c r="H11" s="11" t="s">
        <v>33</v>
      </c>
      <c r="I11" s="11"/>
      <c r="J11" s="11"/>
      <c r="K11" s="11" t="s">
        <v>42</v>
      </c>
      <c r="L11" s="12">
        <v>4077.11</v>
      </c>
      <c r="M11" s="12"/>
      <c r="N11" s="11">
        <v>2016.8</v>
      </c>
      <c r="O11" s="11" t="s">
        <v>47</v>
      </c>
      <c r="P11" s="11" t="s">
        <v>44</v>
      </c>
      <c r="Q11" s="11">
        <v>18611425182</v>
      </c>
      <c r="R11" s="11" t="s">
        <v>45</v>
      </c>
      <c r="S11" s="11" t="s">
        <v>46</v>
      </c>
      <c r="T11" s="11"/>
    </row>
    <row r="12" spans="1:20" ht="24" customHeight="1">
      <c r="A12" s="15"/>
      <c r="B12" s="11" t="s">
        <v>29</v>
      </c>
      <c r="C12" s="11" t="s">
        <v>48</v>
      </c>
      <c r="D12" s="11" t="s">
        <v>31</v>
      </c>
      <c r="E12" s="9">
        <v>28</v>
      </c>
      <c r="F12" s="9">
        <v>1.3620000000000001</v>
      </c>
      <c r="G12" s="11" t="s">
        <v>32</v>
      </c>
      <c r="H12" s="11" t="s">
        <v>41</v>
      </c>
      <c r="I12" s="11"/>
      <c r="J12" s="11"/>
      <c r="K12" s="11" t="s">
        <v>42</v>
      </c>
      <c r="L12" s="12">
        <v>6714.66</v>
      </c>
      <c r="M12" s="12"/>
      <c r="N12" s="11">
        <v>2016.8</v>
      </c>
      <c r="O12" s="11" t="s">
        <v>43</v>
      </c>
      <c r="P12" s="11" t="s">
        <v>44</v>
      </c>
      <c r="Q12" s="11">
        <v>18611425182</v>
      </c>
      <c r="R12" s="11" t="s">
        <v>45</v>
      </c>
      <c r="S12" s="11" t="s">
        <v>46</v>
      </c>
      <c r="T12" s="11"/>
    </row>
    <row r="13" spans="1:20" ht="24" customHeight="1">
      <c r="A13" s="15"/>
      <c r="B13" s="11" t="s">
        <v>29</v>
      </c>
      <c r="C13" s="11" t="s">
        <v>49</v>
      </c>
      <c r="D13" s="11" t="s">
        <v>31</v>
      </c>
      <c r="E13" s="9" t="s">
        <v>50</v>
      </c>
      <c r="F13" s="9">
        <v>25.14</v>
      </c>
      <c r="G13" s="11" t="s">
        <v>32</v>
      </c>
      <c r="H13" s="11" t="s">
        <v>41</v>
      </c>
      <c r="I13" s="11" t="s">
        <v>51</v>
      </c>
      <c r="J13" s="11"/>
      <c r="K13" s="11" t="s">
        <v>52</v>
      </c>
      <c r="L13" s="12">
        <v>59079</v>
      </c>
      <c r="M13" s="12">
        <v>38401.35</v>
      </c>
      <c r="N13" s="11">
        <v>2018.4</v>
      </c>
      <c r="O13" s="11" t="s">
        <v>43</v>
      </c>
      <c r="P13" s="11" t="s">
        <v>44</v>
      </c>
      <c r="Q13" s="11">
        <v>18611425182</v>
      </c>
      <c r="R13" s="11" t="s">
        <v>45</v>
      </c>
      <c r="S13" s="11" t="s">
        <v>46</v>
      </c>
      <c r="T13" s="11"/>
    </row>
    <row r="14" spans="1:20" ht="24" hidden="1" customHeight="1">
      <c r="A14" s="15"/>
      <c r="B14" s="11" t="s">
        <v>29</v>
      </c>
      <c r="C14" s="11" t="s">
        <v>53</v>
      </c>
      <c r="D14" s="11" t="s">
        <v>31</v>
      </c>
      <c r="E14" s="9" t="s">
        <v>54</v>
      </c>
      <c r="F14" s="9">
        <v>6.89</v>
      </c>
      <c r="G14" s="11" t="s">
        <v>32</v>
      </c>
      <c r="H14" s="11" t="s">
        <v>33</v>
      </c>
      <c r="I14" s="11" t="s">
        <v>51</v>
      </c>
      <c r="J14" s="11"/>
      <c r="K14" s="11" t="s">
        <v>52</v>
      </c>
      <c r="L14" s="12">
        <v>15508.95</v>
      </c>
      <c r="M14" s="12">
        <v>10080.82</v>
      </c>
      <c r="N14" s="11"/>
      <c r="O14" s="11" t="s">
        <v>43</v>
      </c>
      <c r="P14" s="11" t="s">
        <v>44</v>
      </c>
      <c r="Q14" s="11">
        <v>18611425182</v>
      </c>
      <c r="R14" s="11" t="s">
        <v>45</v>
      </c>
      <c r="S14" s="11" t="s">
        <v>46</v>
      </c>
      <c r="T14" s="11"/>
    </row>
    <row r="15" spans="1:20" ht="24" customHeight="1">
      <c r="A15" s="15"/>
      <c r="B15" s="11" t="s">
        <v>29</v>
      </c>
      <c r="C15" s="11" t="s">
        <v>55</v>
      </c>
      <c r="D15" s="11" t="s">
        <v>31</v>
      </c>
      <c r="E15" s="9">
        <v>501</v>
      </c>
      <c r="F15" s="9">
        <v>30.06</v>
      </c>
      <c r="G15" s="11" t="s">
        <v>32</v>
      </c>
      <c r="H15" s="11" t="s">
        <v>41</v>
      </c>
      <c r="I15" s="11" t="s">
        <v>56</v>
      </c>
      <c r="J15" s="11"/>
      <c r="K15" s="11" t="s">
        <v>57</v>
      </c>
      <c r="L15" s="12"/>
      <c r="M15" s="12">
        <v>60120</v>
      </c>
      <c r="N15" s="11">
        <v>2021.2</v>
      </c>
      <c r="O15" s="11" t="s">
        <v>43</v>
      </c>
      <c r="P15" s="11" t="s">
        <v>44</v>
      </c>
      <c r="Q15" s="11">
        <v>18611425182</v>
      </c>
      <c r="R15" s="11" t="s">
        <v>45</v>
      </c>
      <c r="S15" s="11" t="s">
        <v>46</v>
      </c>
      <c r="T15" s="11"/>
    </row>
    <row r="16" spans="1:20" ht="24" customHeight="1">
      <c r="A16" s="15"/>
      <c r="B16" s="11" t="s">
        <v>29</v>
      </c>
      <c r="C16" s="11" t="s">
        <v>58</v>
      </c>
      <c r="D16" s="11" t="s">
        <v>31</v>
      </c>
      <c r="E16" s="9">
        <v>152</v>
      </c>
      <c r="F16" s="9">
        <v>6.0039999999999996</v>
      </c>
      <c r="G16" s="11" t="s">
        <v>32</v>
      </c>
      <c r="H16" s="11" t="s">
        <v>41</v>
      </c>
      <c r="I16" s="11" t="s">
        <v>56</v>
      </c>
      <c r="J16" s="11"/>
      <c r="K16" s="11" t="s">
        <v>57</v>
      </c>
      <c r="L16" s="12"/>
      <c r="M16" s="12">
        <v>12008</v>
      </c>
      <c r="N16" s="11"/>
      <c r="O16" s="11" t="s">
        <v>43</v>
      </c>
      <c r="P16" s="11" t="s">
        <v>44</v>
      </c>
      <c r="Q16" s="11">
        <v>18611425182</v>
      </c>
      <c r="R16" s="11" t="s">
        <v>45</v>
      </c>
      <c r="S16" s="11" t="s">
        <v>46</v>
      </c>
      <c r="T16" s="11"/>
    </row>
    <row r="17" spans="1:20" ht="24" customHeight="1">
      <c r="A17" s="15"/>
      <c r="B17" s="11" t="s">
        <v>29</v>
      </c>
      <c r="C17" s="11" t="s">
        <v>59</v>
      </c>
      <c r="D17" s="11" t="s">
        <v>31</v>
      </c>
      <c r="E17" s="9">
        <v>144</v>
      </c>
      <c r="F17" s="9">
        <v>4.8959999999999999</v>
      </c>
      <c r="G17" s="11" t="s">
        <v>32</v>
      </c>
      <c r="H17" s="11" t="s">
        <v>41</v>
      </c>
      <c r="I17" s="11" t="s">
        <v>56</v>
      </c>
      <c r="J17" s="11"/>
      <c r="K17" s="11" t="s">
        <v>57</v>
      </c>
      <c r="L17" s="12"/>
      <c r="M17" s="12">
        <v>9792</v>
      </c>
      <c r="N17" s="11"/>
      <c r="O17" s="11" t="s">
        <v>43</v>
      </c>
      <c r="P17" s="11" t="s">
        <v>44</v>
      </c>
      <c r="Q17" s="11">
        <v>18611425182</v>
      </c>
      <c r="R17" s="11" t="s">
        <v>45</v>
      </c>
      <c r="S17" s="11" t="s">
        <v>46</v>
      </c>
      <c r="T17" s="11"/>
    </row>
    <row r="18" spans="1:20" ht="24" hidden="1" customHeight="1">
      <c r="A18" s="15"/>
      <c r="B18" s="11" t="s">
        <v>60</v>
      </c>
      <c r="C18" s="11" t="s">
        <v>61</v>
      </c>
      <c r="D18" s="11" t="s">
        <v>62</v>
      </c>
      <c r="E18" s="17">
        <v>23.14</v>
      </c>
      <c r="F18" s="18"/>
      <c r="G18" s="11" t="s">
        <v>32</v>
      </c>
      <c r="H18" s="11" t="s">
        <v>33</v>
      </c>
      <c r="I18" s="17"/>
      <c r="J18" s="17"/>
      <c r="K18" s="19" t="s">
        <v>63</v>
      </c>
      <c r="L18" s="20">
        <v>160956.10999999999</v>
      </c>
      <c r="M18" s="20">
        <v>181880.4</v>
      </c>
      <c r="N18" s="21" t="s">
        <v>64</v>
      </c>
      <c r="O18" s="17" t="s">
        <v>65</v>
      </c>
      <c r="P18" s="17" t="s">
        <v>66</v>
      </c>
      <c r="Q18" s="11">
        <v>13603213171</v>
      </c>
      <c r="R18" s="17" t="s">
        <v>67</v>
      </c>
      <c r="S18" s="11" t="s">
        <v>68</v>
      </c>
      <c r="T18" s="11"/>
    </row>
    <row r="19" spans="1:20" ht="24" hidden="1" customHeight="1">
      <c r="A19" s="15"/>
      <c r="B19" s="11" t="s">
        <v>60</v>
      </c>
      <c r="C19" s="11" t="s">
        <v>69</v>
      </c>
      <c r="D19" s="11" t="s">
        <v>62</v>
      </c>
      <c r="E19" s="17">
        <v>5.42</v>
      </c>
      <c r="F19" s="18"/>
      <c r="G19" s="11" t="s">
        <v>32</v>
      </c>
      <c r="H19" s="11" t="s">
        <v>33</v>
      </c>
      <c r="I19" s="17"/>
      <c r="J19" s="17"/>
      <c r="K19" s="19" t="s">
        <v>63</v>
      </c>
      <c r="L19" s="20">
        <v>38899.29</v>
      </c>
      <c r="M19" s="20">
        <v>43956.2</v>
      </c>
      <c r="N19" s="21" t="s">
        <v>70</v>
      </c>
      <c r="O19" s="17" t="s">
        <v>65</v>
      </c>
      <c r="P19" s="17" t="s">
        <v>66</v>
      </c>
      <c r="Q19" s="11">
        <v>13603213171</v>
      </c>
      <c r="R19" s="17" t="s">
        <v>67</v>
      </c>
      <c r="S19" s="11" t="s">
        <v>68</v>
      </c>
      <c r="T19" s="11"/>
    </row>
    <row r="20" spans="1:20" ht="24" customHeight="1">
      <c r="A20" s="15"/>
      <c r="B20" s="11" t="s">
        <v>71</v>
      </c>
      <c r="C20" s="11" t="s">
        <v>34</v>
      </c>
      <c r="D20" s="11" t="s">
        <v>62</v>
      </c>
      <c r="E20" s="11">
        <v>31.3</v>
      </c>
      <c r="F20" s="11">
        <v>31.3</v>
      </c>
      <c r="G20" s="11" t="s">
        <v>72</v>
      </c>
      <c r="H20" s="11" t="s">
        <v>41</v>
      </c>
      <c r="I20" s="11"/>
      <c r="J20" s="11"/>
      <c r="K20" s="11" t="s">
        <v>73</v>
      </c>
      <c r="L20" s="20">
        <v>192508.84955752199</v>
      </c>
      <c r="M20" s="20">
        <v>57752.654867257101</v>
      </c>
      <c r="N20" s="22">
        <v>2021.04</v>
      </c>
      <c r="O20" s="11" t="s">
        <v>74</v>
      </c>
      <c r="P20" s="11" t="s">
        <v>75</v>
      </c>
      <c r="Q20" s="11">
        <v>13269819378</v>
      </c>
      <c r="R20" s="11" t="s">
        <v>76</v>
      </c>
      <c r="S20" s="11" t="s">
        <v>77</v>
      </c>
      <c r="T20" s="11"/>
    </row>
    <row r="21" spans="1:20" ht="24" customHeight="1">
      <c r="A21" s="15"/>
      <c r="B21" s="11" t="s">
        <v>71</v>
      </c>
      <c r="C21" s="11" t="s">
        <v>34</v>
      </c>
      <c r="D21" s="11" t="s">
        <v>62</v>
      </c>
      <c r="E21" s="11">
        <v>31.26</v>
      </c>
      <c r="F21" s="11">
        <v>31.26</v>
      </c>
      <c r="G21" s="11" t="s">
        <v>72</v>
      </c>
      <c r="H21" s="11" t="s">
        <v>41</v>
      </c>
      <c r="I21" s="11"/>
      <c r="J21" s="11"/>
      <c r="K21" s="11" t="s">
        <v>73</v>
      </c>
      <c r="L21" s="20">
        <v>192262.83185840701</v>
      </c>
      <c r="M21" s="20">
        <v>57678.849557522102</v>
      </c>
      <c r="N21" s="22">
        <v>2021.04</v>
      </c>
      <c r="O21" s="11" t="s">
        <v>74</v>
      </c>
      <c r="P21" s="11" t="s">
        <v>75</v>
      </c>
      <c r="Q21" s="11">
        <v>13269819378</v>
      </c>
      <c r="R21" s="11" t="s">
        <v>76</v>
      </c>
      <c r="S21" s="11" t="s">
        <v>77</v>
      </c>
      <c r="T21" s="11"/>
    </row>
    <row r="22" spans="1:20" ht="24" customHeight="1">
      <c r="A22" s="15"/>
      <c r="B22" s="11" t="s">
        <v>71</v>
      </c>
      <c r="C22" s="11" t="s">
        <v>34</v>
      </c>
      <c r="D22" s="11" t="s">
        <v>62</v>
      </c>
      <c r="E22" s="11">
        <v>31.38</v>
      </c>
      <c r="F22" s="11">
        <v>31.38</v>
      </c>
      <c r="G22" s="11" t="s">
        <v>72</v>
      </c>
      <c r="H22" s="11" t="s">
        <v>41</v>
      </c>
      <c r="I22" s="11"/>
      <c r="J22" s="11"/>
      <c r="K22" s="11" t="s">
        <v>73</v>
      </c>
      <c r="L22" s="20">
        <v>193000.884955752</v>
      </c>
      <c r="M22" s="20">
        <v>57900.265486726203</v>
      </c>
      <c r="N22" s="22">
        <v>2021.04</v>
      </c>
      <c r="O22" s="11" t="s">
        <v>74</v>
      </c>
      <c r="P22" s="11" t="s">
        <v>75</v>
      </c>
      <c r="Q22" s="11">
        <v>13269819378</v>
      </c>
      <c r="R22" s="11" t="s">
        <v>76</v>
      </c>
      <c r="S22" s="11" t="s">
        <v>77</v>
      </c>
      <c r="T22" s="11"/>
    </row>
    <row r="23" spans="1:20" ht="24" customHeight="1">
      <c r="A23" s="15"/>
      <c r="B23" s="11" t="s">
        <v>71</v>
      </c>
      <c r="C23" s="11" t="s">
        <v>34</v>
      </c>
      <c r="D23" s="11" t="s">
        <v>62</v>
      </c>
      <c r="E23" s="11">
        <v>32.380000000000003</v>
      </c>
      <c r="F23" s="11">
        <v>32.380000000000003</v>
      </c>
      <c r="G23" s="11" t="s">
        <v>72</v>
      </c>
      <c r="H23" s="11" t="s">
        <v>41</v>
      </c>
      <c r="I23" s="11"/>
      <c r="J23" s="11"/>
      <c r="K23" s="11" t="s">
        <v>73</v>
      </c>
      <c r="L23" s="20">
        <v>199151.327433628</v>
      </c>
      <c r="M23" s="20">
        <v>59745.398230088402</v>
      </c>
      <c r="N23" s="22">
        <v>2021.04</v>
      </c>
      <c r="O23" s="11" t="s">
        <v>74</v>
      </c>
      <c r="P23" s="11" t="s">
        <v>75</v>
      </c>
      <c r="Q23" s="11">
        <v>13269819378</v>
      </c>
      <c r="R23" s="11" t="s">
        <v>76</v>
      </c>
      <c r="S23" s="11" t="s">
        <v>77</v>
      </c>
      <c r="T23" s="11"/>
    </row>
    <row r="24" spans="1:20" ht="24" customHeight="1">
      <c r="A24" s="15"/>
      <c r="B24" s="11" t="s">
        <v>71</v>
      </c>
      <c r="C24" s="11" t="s">
        <v>34</v>
      </c>
      <c r="D24" s="11" t="s">
        <v>62</v>
      </c>
      <c r="E24" s="11">
        <v>31.98</v>
      </c>
      <c r="F24" s="11">
        <v>31.98</v>
      </c>
      <c r="G24" s="11" t="s">
        <v>72</v>
      </c>
      <c r="H24" s="11" t="s">
        <v>41</v>
      </c>
      <c r="I24" s="11"/>
      <c r="J24" s="11"/>
      <c r="K24" s="11" t="s">
        <v>73</v>
      </c>
      <c r="L24" s="20">
        <v>196691.15044247801</v>
      </c>
      <c r="M24" s="20">
        <v>59007.345132742899</v>
      </c>
      <c r="N24" s="22">
        <v>2021.04</v>
      </c>
      <c r="O24" s="11" t="s">
        <v>74</v>
      </c>
      <c r="P24" s="11" t="s">
        <v>75</v>
      </c>
      <c r="Q24" s="11">
        <v>13269819378</v>
      </c>
      <c r="R24" s="11" t="s">
        <v>76</v>
      </c>
      <c r="S24" s="11" t="s">
        <v>77</v>
      </c>
      <c r="T24" s="11"/>
    </row>
    <row r="25" spans="1:20" ht="24" customHeight="1">
      <c r="A25" s="15"/>
      <c r="B25" s="11" t="s">
        <v>71</v>
      </c>
      <c r="C25" s="11" t="s">
        <v>34</v>
      </c>
      <c r="D25" s="11" t="s">
        <v>62</v>
      </c>
      <c r="E25" s="11">
        <v>32.340000000000003</v>
      </c>
      <c r="F25" s="11">
        <v>32.340000000000003</v>
      </c>
      <c r="G25" s="11" t="s">
        <v>72</v>
      </c>
      <c r="H25" s="11" t="s">
        <v>41</v>
      </c>
      <c r="I25" s="11"/>
      <c r="J25" s="11"/>
      <c r="K25" s="11" t="s">
        <v>73</v>
      </c>
      <c r="L25" s="20">
        <v>198905.30973451299</v>
      </c>
      <c r="M25" s="20">
        <v>59671.592920354298</v>
      </c>
      <c r="N25" s="22">
        <v>2021.04</v>
      </c>
      <c r="O25" s="11" t="s">
        <v>74</v>
      </c>
      <c r="P25" s="11" t="s">
        <v>75</v>
      </c>
      <c r="Q25" s="11">
        <v>13269819378</v>
      </c>
      <c r="R25" s="11" t="s">
        <v>76</v>
      </c>
      <c r="S25" s="11" t="s">
        <v>77</v>
      </c>
      <c r="T25" s="11"/>
    </row>
    <row r="26" spans="1:20" ht="24" customHeight="1">
      <c r="A26" s="15"/>
      <c r="B26" s="11" t="s">
        <v>71</v>
      </c>
      <c r="C26" s="11" t="s">
        <v>34</v>
      </c>
      <c r="D26" s="11" t="s">
        <v>62</v>
      </c>
      <c r="E26" s="11">
        <v>10.119999999999999</v>
      </c>
      <c r="F26" s="11">
        <v>10.119999999999999</v>
      </c>
      <c r="G26" s="11" t="s">
        <v>72</v>
      </c>
      <c r="H26" s="11" t="s">
        <v>41</v>
      </c>
      <c r="I26" s="11"/>
      <c r="J26" s="11"/>
      <c r="K26" s="11" t="s">
        <v>73</v>
      </c>
      <c r="L26" s="20">
        <v>62242.477876106197</v>
      </c>
      <c r="M26" s="20">
        <v>18672.743362831901</v>
      </c>
      <c r="N26" s="22">
        <v>2021.04</v>
      </c>
      <c r="O26" s="11" t="s">
        <v>74</v>
      </c>
      <c r="P26" s="11" t="s">
        <v>75</v>
      </c>
      <c r="Q26" s="11">
        <v>13269819378</v>
      </c>
      <c r="R26" s="11" t="s">
        <v>76</v>
      </c>
      <c r="S26" s="11" t="s">
        <v>77</v>
      </c>
      <c r="T26" s="11"/>
    </row>
    <row r="27" spans="1:20" ht="24" customHeight="1">
      <c r="A27" s="15"/>
      <c r="B27" s="11" t="s">
        <v>71</v>
      </c>
      <c r="C27" s="11" t="s">
        <v>34</v>
      </c>
      <c r="D27" s="11" t="s">
        <v>62</v>
      </c>
      <c r="E27" s="11">
        <v>32.020000000000003</v>
      </c>
      <c r="F27" s="11">
        <v>32.020000000000003</v>
      </c>
      <c r="G27" s="11" t="s">
        <v>72</v>
      </c>
      <c r="H27" s="11" t="s">
        <v>41</v>
      </c>
      <c r="I27" s="11"/>
      <c r="J27" s="11"/>
      <c r="K27" s="11" t="s">
        <v>73</v>
      </c>
      <c r="L27" s="20">
        <v>196937.16814159299</v>
      </c>
      <c r="M27" s="20">
        <v>59081.150442478</v>
      </c>
      <c r="N27" s="22">
        <v>2021.04</v>
      </c>
      <c r="O27" s="11" t="s">
        <v>74</v>
      </c>
      <c r="P27" s="11" t="s">
        <v>75</v>
      </c>
      <c r="Q27" s="11">
        <v>13269819378</v>
      </c>
      <c r="R27" s="11" t="s">
        <v>76</v>
      </c>
      <c r="S27" s="11" t="s">
        <v>77</v>
      </c>
      <c r="T27" s="11"/>
    </row>
    <row r="28" spans="1:20" ht="24" customHeight="1">
      <c r="A28" s="15"/>
      <c r="B28" s="11" t="s">
        <v>71</v>
      </c>
      <c r="C28" s="11" t="s">
        <v>34</v>
      </c>
      <c r="D28" s="11" t="s">
        <v>62</v>
      </c>
      <c r="E28" s="11">
        <v>33.020000000000003</v>
      </c>
      <c r="F28" s="11">
        <v>33.020000000000003</v>
      </c>
      <c r="G28" s="11" t="s">
        <v>72</v>
      </c>
      <c r="H28" s="11" t="s">
        <v>41</v>
      </c>
      <c r="I28" s="11"/>
      <c r="J28" s="11"/>
      <c r="K28" s="11" t="s">
        <v>73</v>
      </c>
      <c r="L28" s="20">
        <v>203087.61061946899</v>
      </c>
      <c r="M28" s="20">
        <v>60926.283185840999</v>
      </c>
      <c r="N28" s="22">
        <v>2021.04</v>
      </c>
      <c r="O28" s="11" t="s">
        <v>74</v>
      </c>
      <c r="P28" s="11" t="s">
        <v>75</v>
      </c>
      <c r="Q28" s="11">
        <v>13269819378</v>
      </c>
      <c r="R28" s="11" t="s">
        <v>76</v>
      </c>
      <c r="S28" s="11" t="s">
        <v>77</v>
      </c>
      <c r="T28" s="11"/>
    </row>
    <row r="29" spans="1:20" ht="24" customHeight="1">
      <c r="A29" s="15"/>
      <c r="B29" s="11" t="s">
        <v>71</v>
      </c>
      <c r="C29" s="11" t="s">
        <v>34</v>
      </c>
      <c r="D29" s="11" t="s">
        <v>62</v>
      </c>
      <c r="E29" s="11">
        <v>7.64</v>
      </c>
      <c r="F29" s="11">
        <v>7.64</v>
      </c>
      <c r="G29" s="11" t="s">
        <v>72</v>
      </c>
      <c r="H29" s="11" t="s">
        <v>41</v>
      </c>
      <c r="I29" s="11"/>
      <c r="J29" s="11"/>
      <c r="K29" s="11" t="s">
        <v>73</v>
      </c>
      <c r="L29" s="20">
        <v>46989.380530973503</v>
      </c>
      <c r="M29" s="20">
        <v>14096.8141592919</v>
      </c>
      <c r="N29" s="22">
        <v>2021.04</v>
      </c>
      <c r="O29" s="11" t="s">
        <v>74</v>
      </c>
      <c r="P29" s="11" t="s">
        <v>75</v>
      </c>
      <c r="Q29" s="11">
        <v>13269819378</v>
      </c>
      <c r="R29" s="11" t="s">
        <v>76</v>
      </c>
      <c r="S29" s="11" t="s">
        <v>77</v>
      </c>
      <c r="T29" s="11"/>
    </row>
    <row r="30" spans="1:20" ht="24" customHeight="1">
      <c r="A30" s="15"/>
      <c r="B30" s="11" t="s">
        <v>29</v>
      </c>
      <c r="C30" s="11" t="s">
        <v>78</v>
      </c>
      <c r="D30" s="11" t="s">
        <v>79</v>
      </c>
      <c r="E30" s="11">
        <v>5</v>
      </c>
      <c r="F30" s="11">
        <v>1.88</v>
      </c>
      <c r="G30" s="11" t="s">
        <v>72</v>
      </c>
      <c r="H30" s="11" t="s">
        <v>41</v>
      </c>
      <c r="I30" s="11"/>
      <c r="J30" s="11"/>
      <c r="K30" s="11" t="s">
        <v>80</v>
      </c>
      <c r="L30" s="20">
        <v>11579.65</v>
      </c>
      <c r="M30" s="20">
        <v>3473.89</v>
      </c>
      <c r="N30" s="22">
        <v>2020.01</v>
      </c>
      <c r="O30" s="11" t="s">
        <v>74</v>
      </c>
      <c r="P30" s="11" t="s">
        <v>75</v>
      </c>
      <c r="Q30" s="11">
        <v>13269819378</v>
      </c>
      <c r="R30" s="11" t="s">
        <v>76</v>
      </c>
      <c r="S30" s="11" t="s">
        <v>77</v>
      </c>
      <c r="T30" s="11"/>
    </row>
    <row r="31" spans="1:20" ht="24" customHeight="1">
      <c r="A31" s="15"/>
      <c r="B31" s="11" t="s">
        <v>29</v>
      </c>
      <c r="C31" s="11" t="s">
        <v>81</v>
      </c>
      <c r="D31" s="11" t="s">
        <v>79</v>
      </c>
      <c r="E31" s="11">
        <v>5</v>
      </c>
      <c r="F31" s="11">
        <v>2.38</v>
      </c>
      <c r="G31" s="11" t="s">
        <v>72</v>
      </c>
      <c r="H31" s="11" t="s">
        <v>41</v>
      </c>
      <c r="I31" s="11"/>
      <c r="J31" s="11"/>
      <c r="K31" s="11" t="s">
        <v>80</v>
      </c>
      <c r="L31" s="20">
        <v>14668.14</v>
      </c>
      <c r="M31" s="20">
        <v>4400.46</v>
      </c>
      <c r="N31" s="22">
        <v>2020.01</v>
      </c>
      <c r="O31" s="11" t="s">
        <v>74</v>
      </c>
      <c r="P31" s="11" t="s">
        <v>75</v>
      </c>
      <c r="Q31" s="11">
        <v>13269819378</v>
      </c>
      <c r="R31" s="11" t="s">
        <v>76</v>
      </c>
      <c r="S31" s="11" t="s">
        <v>77</v>
      </c>
      <c r="T31" s="11"/>
    </row>
    <row r="32" spans="1:20" ht="24" customHeight="1">
      <c r="A32" s="15"/>
      <c r="B32" s="11" t="s">
        <v>29</v>
      </c>
      <c r="C32" s="11" t="s">
        <v>82</v>
      </c>
      <c r="D32" s="11" t="s">
        <v>79</v>
      </c>
      <c r="E32" s="11">
        <v>4</v>
      </c>
      <c r="F32" s="11">
        <v>30.22</v>
      </c>
      <c r="G32" s="11" t="s">
        <v>72</v>
      </c>
      <c r="H32" s="11" t="s">
        <v>41</v>
      </c>
      <c r="I32" s="11"/>
      <c r="J32" s="11"/>
      <c r="K32" s="11" t="s">
        <v>52</v>
      </c>
      <c r="L32" s="20">
        <v>185840.71</v>
      </c>
      <c r="M32" s="20">
        <v>55752.19</v>
      </c>
      <c r="N32" s="22">
        <v>2020.11</v>
      </c>
      <c r="O32" s="11" t="s">
        <v>74</v>
      </c>
      <c r="P32" s="11" t="s">
        <v>75</v>
      </c>
      <c r="Q32" s="11">
        <v>13269819378</v>
      </c>
      <c r="R32" s="11" t="s">
        <v>76</v>
      </c>
      <c r="S32" s="11" t="s">
        <v>77</v>
      </c>
      <c r="T32" s="11"/>
    </row>
    <row r="33" spans="1:20" ht="24" customHeight="1">
      <c r="A33" s="15"/>
      <c r="B33" s="11" t="s">
        <v>29</v>
      </c>
      <c r="C33" s="11" t="s">
        <v>83</v>
      </c>
      <c r="D33" s="11" t="s">
        <v>79</v>
      </c>
      <c r="E33" s="11">
        <v>2</v>
      </c>
      <c r="F33" s="11">
        <v>17.12</v>
      </c>
      <c r="G33" s="11" t="s">
        <v>72</v>
      </c>
      <c r="H33" s="11" t="s">
        <v>41</v>
      </c>
      <c r="I33" s="11"/>
      <c r="J33" s="11"/>
      <c r="K33" s="11" t="s">
        <v>52</v>
      </c>
      <c r="L33" s="20">
        <v>105309.73</v>
      </c>
      <c r="M33" s="20">
        <v>31592.93</v>
      </c>
      <c r="N33" s="22">
        <v>2020.11</v>
      </c>
      <c r="O33" s="11" t="s">
        <v>74</v>
      </c>
      <c r="P33" s="11" t="s">
        <v>75</v>
      </c>
      <c r="Q33" s="11">
        <v>13269819378</v>
      </c>
      <c r="R33" s="11" t="s">
        <v>76</v>
      </c>
      <c r="S33" s="11" t="s">
        <v>77</v>
      </c>
      <c r="T33" s="11"/>
    </row>
    <row r="34" spans="1:20" ht="24" customHeight="1">
      <c r="A34" s="15"/>
      <c r="B34" s="11" t="s">
        <v>29</v>
      </c>
      <c r="C34" s="11" t="s">
        <v>78</v>
      </c>
      <c r="D34" s="11" t="s">
        <v>79</v>
      </c>
      <c r="E34" s="11">
        <v>10</v>
      </c>
      <c r="F34" s="11">
        <v>4.76</v>
      </c>
      <c r="G34" s="11" t="s">
        <v>72</v>
      </c>
      <c r="H34" s="11" t="s">
        <v>41</v>
      </c>
      <c r="I34" s="11"/>
      <c r="J34" s="11"/>
      <c r="K34" s="11" t="s">
        <v>80</v>
      </c>
      <c r="L34" s="20">
        <v>29247.79</v>
      </c>
      <c r="M34" s="20">
        <v>8628.1077999999998</v>
      </c>
      <c r="N34" s="22">
        <v>2021.01</v>
      </c>
      <c r="O34" s="11" t="s">
        <v>74</v>
      </c>
      <c r="P34" s="11" t="s">
        <v>75</v>
      </c>
      <c r="Q34" s="11">
        <v>13269819378</v>
      </c>
      <c r="R34" s="11" t="s">
        <v>76</v>
      </c>
      <c r="S34" s="11" t="s">
        <v>77</v>
      </c>
      <c r="T34" s="11"/>
    </row>
    <row r="35" spans="1:20" s="14" customFormat="1" ht="24" hidden="1" customHeight="1">
      <c r="A35" s="15">
        <v>2</v>
      </c>
      <c r="B35" s="15" t="s">
        <v>84</v>
      </c>
      <c r="C35" s="11"/>
      <c r="D35" s="11"/>
      <c r="E35" s="9"/>
      <c r="F35" s="9"/>
      <c r="G35" s="11"/>
      <c r="H35" s="11"/>
      <c r="I35" s="11"/>
      <c r="J35" s="11"/>
      <c r="K35" s="11"/>
      <c r="L35" s="12"/>
      <c r="M35" s="12"/>
      <c r="N35" s="11"/>
      <c r="O35" s="11"/>
      <c r="P35" s="11"/>
      <c r="Q35" s="11"/>
      <c r="R35" s="11"/>
      <c r="S35" s="11"/>
      <c r="T35" s="11"/>
    </row>
    <row r="36" spans="1:20" s="14" customFormat="1" ht="24" customHeight="1">
      <c r="A36" s="15"/>
      <c r="B36" s="9" t="s">
        <v>85</v>
      </c>
      <c r="C36" s="11" t="s">
        <v>86</v>
      </c>
      <c r="D36" s="11" t="s">
        <v>31</v>
      </c>
      <c r="E36" s="9">
        <v>240</v>
      </c>
      <c r="F36" s="9">
        <v>17.07</v>
      </c>
      <c r="G36" s="11" t="s">
        <v>87</v>
      </c>
      <c r="H36" s="11" t="s">
        <v>41</v>
      </c>
      <c r="I36" s="11"/>
      <c r="J36" s="11" t="s">
        <v>88</v>
      </c>
      <c r="K36" s="11" t="s">
        <v>89</v>
      </c>
      <c r="L36" s="20">
        <v>116776.38</v>
      </c>
      <c r="M36" s="20">
        <v>30726</v>
      </c>
      <c r="N36" s="11" t="s">
        <v>90</v>
      </c>
      <c r="O36" s="11" t="s">
        <v>91</v>
      </c>
      <c r="P36" s="11" t="s">
        <v>37</v>
      </c>
      <c r="Q36" s="11">
        <v>18631369850</v>
      </c>
      <c r="R36" s="11" t="s">
        <v>92</v>
      </c>
      <c r="S36" s="11" t="s">
        <v>93</v>
      </c>
      <c r="T36" s="11"/>
    </row>
    <row r="37" spans="1:20" s="14" customFormat="1" ht="24" customHeight="1">
      <c r="A37" s="15"/>
      <c r="B37" s="11" t="s">
        <v>94</v>
      </c>
      <c r="C37" s="11" t="s">
        <v>95</v>
      </c>
      <c r="D37" s="11" t="s">
        <v>62</v>
      </c>
      <c r="E37" s="9">
        <v>5.468</v>
      </c>
      <c r="F37" s="9"/>
      <c r="G37" s="11" t="s">
        <v>72</v>
      </c>
      <c r="H37" s="11" t="s">
        <v>41</v>
      </c>
      <c r="I37" s="11"/>
      <c r="J37" s="11"/>
      <c r="K37" s="11" t="s">
        <v>96</v>
      </c>
      <c r="L37" s="20">
        <v>38822.800000000003</v>
      </c>
      <c r="M37" s="20">
        <v>11646.84</v>
      </c>
      <c r="N37" s="23">
        <v>43556</v>
      </c>
      <c r="O37" s="11" t="s">
        <v>97</v>
      </c>
      <c r="P37" s="11" t="s">
        <v>98</v>
      </c>
      <c r="Q37" s="11">
        <v>13910285124</v>
      </c>
      <c r="R37" s="11" t="s">
        <v>99</v>
      </c>
      <c r="S37" s="11" t="s">
        <v>100</v>
      </c>
      <c r="T37" s="11" t="s">
        <v>101</v>
      </c>
    </row>
    <row r="38" spans="1:20" s="14" customFormat="1" ht="24" customHeight="1">
      <c r="A38" s="15"/>
      <c r="B38" s="11" t="s">
        <v>94</v>
      </c>
      <c r="C38" s="11" t="s">
        <v>102</v>
      </c>
      <c r="D38" s="11" t="s">
        <v>62</v>
      </c>
      <c r="E38" s="9">
        <v>5.96</v>
      </c>
      <c r="F38" s="9"/>
      <c r="G38" s="11" t="s">
        <v>72</v>
      </c>
      <c r="H38" s="11" t="s">
        <v>41</v>
      </c>
      <c r="I38" s="11"/>
      <c r="J38" s="11"/>
      <c r="K38" s="11" t="s">
        <v>96</v>
      </c>
      <c r="L38" s="20">
        <v>42316</v>
      </c>
      <c r="M38" s="20">
        <v>12694.8</v>
      </c>
      <c r="N38" s="23">
        <v>43556</v>
      </c>
      <c r="O38" s="11" t="s">
        <v>97</v>
      </c>
      <c r="P38" s="11" t="s">
        <v>98</v>
      </c>
      <c r="Q38" s="11">
        <v>13910285124</v>
      </c>
      <c r="R38" s="11" t="s">
        <v>99</v>
      </c>
      <c r="S38" s="11" t="s">
        <v>100</v>
      </c>
      <c r="T38" s="11" t="s">
        <v>101</v>
      </c>
    </row>
    <row r="39" spans="1:20" s="14" customFormat="1" ht="24" customHeight="1">
      <c r="A39" s="15"/>
      <c r="B39" s="11" t="s">
        <v>94</v>
      </c>
      <c r="C39" s="11" t="s">
        <v>103</v>
      </c>
      <c r="D39" s="11" t="s">
        <v>62</v>
      </c>
      <c r="E39" s="9">
        <v>0.49199999999999999</v>
      </c>
      <c r="F39" s="9"/>
      <c r="G39" s="11" t="s">
        <v>72</v>
      </c>
      <c r="H39" s="11" t="s">
        <v>41</v>
      </c>
      <c r="I39" s="11"/>
      <c r="J39" s="11"/>
      <c r="K39" s="11" t="s">
        <v>96</v>
      </c>
      <c r="L39" s="20">
        <v>3493.2</v>
      </c>
      <c r="M39" s="20">
        <v>1047.96</v>
      </c>
      <c r="N39" s="23">
        <v>43556</v>
      </c>
      <c r="O39" s="11" t="s">
        <v>97</v>
      </c>
      <c r="P39" s="11" t="s">
        <v>98</v>
      </c>
      <c r="Q39" s="11">
        <v>13910285124</v>
      </c>
      <c r="R39" s="11" t="s">
        <v>99</v>
      </c>
      <c r="S39" s="11" t="s">
        <v>100</v>
      </c>
      <c r="T39" s="11" t="s">
        <v>101</v>
      </c>
    </row>
    <row r="40" spans="1:20" s="14" customFormat="1" ht="24" customHeight="1">
      <c r="A40" s="15"/>
      <c r="B40" s="11" t="s">
        <v>104</v>
      </c>
      <c r="C40" s="11" t="s">
        <v>105</v>
      </c>
      <c r="D40" s="11" t="s">
        <v>62</v>
      </c>
      <c r="E40" s="9">
        <v>11.88</v>
      </c>
      <c r="F40" s="9"/>
      <c r="G40" s="11" t="s">
        <v>106</v>
      </c>
      <c r="H40" s="11" t="s">
        <v>41</v>
      </c>
      <c r="I40" s="11"/>
      <c r="J40" s="11"/>
      <c r="K40" s="11" t="s">
        <v>52</v>
      </c>
      <c r="L40" s="20">
        <v>38040</v>
      </c>
      <c r="M40" s="20">
        <v>11412</v>
      </c>
      <c r="N40" s="24">
        <v>42856</v>
      </c>
      <c r="O40" s="11" t="s">
        <v>97</v>
      </c>
      <c r="P40" s="11" t="s">
        <v>98</v>
      </c>
      <c r="Q40" s="11">
        <v>13910285124</v>
      </c>
      <c r="R40" s="11" t="s">
        <v>99</v>
      </c>
      <c r="S40" s="11" t="s">
        <v>100</v>
      </c>
      <c r="T40" s="11" t="s">
        <v>107</v>
      </c>
    </row>
    <row r="41" spans="1:20" s="14" customFormat="1" ht="24" customHeight="1">
      <c r="A41" s="15"/>
      <c r="B41" s="11" t="s">
        <v>104</v>
      </c>
      <c r="C41" s="11" t="s">
        <v>108</v>
      </c>
      <c r="D41" s="11" t="s">
        <v>62</v>
      </c>
      <c r="E41" s="9">
        <v>12.648</v>
      </c>
      <c r="F41" s="9"/>
      <c r="G41" s="11" t="s">
        <v>72</v>
      </c>
      <c r="H41" s="11" t="s">
        <v>41</v>
      </c>
      <c r="I41" s="11"/>
      <c r="J41" s="11"/>
      <c r="K41" s="11" t="s">
        <v>52</v>
      </c>
      <c r="L41" s="20">
        <v>39951</v>
      </c>
      <c r="M41" s="20">
        <v>11985.3</v>
      </c>
      <c r="N41" s="24">
        <v>42856</v>
      </c>
      <c r="O41" s="11" t="s">
        <v>97</v>
      </c>
      <c r="P41" s="11" t="s">
        <v>98</v>
      </c>
      <c r="Q41" s="11">
        <v>13910285124</v>
      </c>
      <c r="R41" s="11" t="s">
        <v>99</v>
      </c>
      <c r="S41" s="11" t="s">
        <v>100</v>
      </c>
      <c r="T41" s="11" t="s">
        <v>107</v>
      </c>
    </row>
    <row r="42" spans="1:20" s="14" customFormat="1" ht="24" hidden="1" customHeight="1">
      <c r="A42" s="15"/>
      <c r="B42" s="11" t="s">
        <v>109</v>
      </c>
      <c r="C42" s="11" t="s">
        <v>110</v>
      </c>
      <c r="D42" s="11" t="s">
        <v>79</v>
      </c>
      <c r="E42" s="9">
        <v>30</v>
      </c>
      <c r="F42" s="9">
        <v>1.2</v>
      </c>
      <c r="G42" s="11" t="s">
        <v>32</v>
      </c>
      <c r="H42" s="11" t="s">
        <v>33</v>
      </c>
      <c r="I42" s="11"/>
      <c r="J42" s="11"/>
      <c r="K42" s="11" t="s">
        <v>111</v>
      </c>
      <c r="L42" s="20">
        <v>108000</v>
      </c>
      <c r="M42" s="20">
        <v>77734.514500000005</v>
      </c>
      <c r="N42" s="24">
        <v>43658.7</v>
      </c>
      <c r="O42" s="11" t="s">
        <v>112</v>
      </c>
      <c r="P42" s="11" t="s">
        <v>113</v>
      </c>
      <c r="Q42" s="11">
        <v>13810668661</v>
      </c>
      <c r="R42" s="11" t="s">
        <v>114</v>
      </c>
      <c r="S42" s="11" t="s">
        <v>115</v>
      </c>
      <c r="T42" s="11"/>
    </row>
    <row r="43" spans="1:20" s="14" customFormat="1" ht="24" hidden="1" customHeight="1">
      <c r="A43" s="15"/>
      <c r="B43" s="11" t="s">
        <v>84</v>
      </c>
      <c r="C43" s="11" t="s">
        <v>116</v>
      </c>
      <c r="D43" s="10" t="s">
        <v>62</v>
      </c>
      <c r="E43" s="11">
        <v>23.11</v>
      </c>
      <c r="F43" s="11"/>
      <c r="G43" s="11" t="s">
        <v>32</v>
      </c>
      <c r="H43" s="11" t="s">
        <v>33</v>
      </c>
      <c r="I43" s="10" t="s">
        <v>34</v>
      </c>
      <c r="J43" s="11" t="s">
        <v>34</v>
      </c>
      <c r="K43" s="11" t="s">
        <v>117</v>
      </c>
      <c r="L43" s="20">
        <v>131911.06</v>
      </c>
      <c r="M43" s="20">
        <v>39573.39</v>
      </c>
      <c r="N43" s="11">
        <v>2020.9</v>
      </c>
      <c r="O43" s="11" t="s">
        <v>118</v>
      </c>
      <c r="P43" s="10" t="s">
        <v>119</v>
      </c>
      <c r="Q43" s="11">
        <v>18611227933</v>
      </c>
      <c r="R43" s="25" t="s">
        <v>120</v>
      </c>
      <c r="S43" s="11" t="s">
        <v>93</v>
      </c>
      <c r="T43" s="11"/>
    </row>
    <row r="44" spans="1:20" s="14" customFormat="1" ht="24" customHeight="1">
      <c r="A44" s="15"/>
      <c r="B44" s="11" t="s">
        <v>121</v>
      </c>
      <c r="C44" s="11" t="s">
        <v>122</v>
      </c>
      <c r="D44" s="11" t="s">
        <v>31</v>
      </c>
      <c r="E44" s="9">
        <v>36</v>
      </c>
      <c r="F44" s="9"/>
      <c r="G44" s="11" t="s">
        <v>32</v>
      </c>
      <c r="H44" s="11" t="s">
        <v>41</v>
      </c>
      <c r="I44" s="11"/>
      <c r="J44" s="11"/>
      <c r="K44" s="11" t="s">
        <v>123</v>
      </c>
      <c r="L44" s="20">
        <v>3662.07</v>
      </c>
      <c r="M44" s="20">
        <v>3662.07</v>
      </c>
      <c r="N44" s="11">
        <v>2018.4</v>
      </c>
      <c r="O44" s="11" t="s">
        <v>124</v>
      </c>
      <c r="P44" s="11" t="s">
        <v>125</v>
      </c>
      <c r="Q44" s="11">
        <v>15711296788</v>
      </c>
      <c r="R44" s="11" t="s">
        <v>126</v>
      </c>
      <c r="S44" s="11" t="s">
        <v>77</v>
      </c>
      <c r="T44" s="11"/>
    </row>
    <row r="45" spans="1:20" s="14" customFormat="1" ht="24" customHeight="1">
      <c r="A45" s="15"/>
      <c r="B45" s="11" t="s">
        <v>121</v>
      </c>
      <c r="C45" s="11" t="s">
        <v>127</v>
      </c>
      <c r="D45" s="11" t="s">
        <v>31</v>
      </c>
      <c r="E45" s="9">
        <v>108</v>
      </c>
      <c r="F45" s="9"/>
      <c r="G45" s="11" t="s">
        <v>32</v>
      </c>
      <c r="H45" s="11" t="s">
        <v>41</v>
      </c>
      <c r="I45" s="11"/>
      <c r="J45" s="11"/>
      <c r="K45" s="11" t="s">
        <v>123</v>
      </c>
      <c r="L45" s="20">
        <v>26441.38</v>
      </c>
      <c r="M45" s="20">
        <v>26441.38</v>
      </c>
      <c r="N45" s="11">
        <v>2018.4</v>
      </c>
      <c r="O45" s="11" t="s">
        <v>124</v>
      </c>
      <c r="P45" s="11" t="s">
        <v>125</v>
      </c>
      <c r="Q45" s="11">
        <v>15711296788</v>
      </c>
      <c r="R45" s="11" t="s">
        <v>126</v>
      </c>
      <c r="S45" s="11" t="s">
        <v>77</v>
      </c>
      <c r="T45" s="11"/>
    </row>
    <row r="46" spans="1:20" s="14" customFormat="1" ht="24" customHeight="1">
      <c r="A46" s="15"/>
      <c r="B46" s="11" t="s">
        <v>121</v>
      </c>
      <c r="C46" s="11" t="s">
        <v>128</v>
      </c>
      <c r="D46" s="11" t="s">
        <v>31</v>
      </c>
      <c r="E46" s="9">
        <v>140</v>
      </c>
      <c r="F46" s="9"/>
      <c r="G46" s="11" t="s">
        <v>32</v>
      </c>
      <c r="H46" s="11" t="s">
        <v>41</v>
      </c>
      <c r="I46" s="11"/>
      <c r="J46" s="11"/>
      <c r="K46" s="11" t="s">
        <v>123</v>
      </c>
      <c r="L46" s="20">
        <v>26310.34</v>
      </c>
      <c r="M46" s="20">
        <v>26310.34</v>
      </c>
      <c r="N46" s="11">
        <v>2018.4</v>
      </c>
      <c r="O46" s="11" t="s">
        <v>124</v>
      </c>
      <c r="P46" s="11" t="s">
        <v>125</v>
      </c>
      <c r="Q46" s="11">
        <v>15711296788</v>
      </c>
      <c r="R46" s="11" t="s">
        <v>126</v>
      </c>
      <c r="S46" s="11" t="s">
        <v>77</v>
      </c>
      <c r="T46" s="11"/>
    </row>
    <row r="47" spans="1:20" s="14" customFormat="1" ht="24" customHeight="1">
      <c r="A47" s="15"/>
      <c r="B47" s="11" t="s">
        <v>129</v>
      </c>
      <c r="C47" s="11" t="s">
        <v>130</v>
      </c>
      <c r="D47" s="11" t="s">
        <v>131</v>
      </c>
      <c r="E47" s="9">
        <v>5000</v>
      </c>
      <c r="F47" s="9">
        <v>2.67</v>
      </c>
      <c r="G47" s="11" t="s">
        <v>32</v>
      </c>
      <c r="H47" s="11" t="s">
        <v>41</v>
      </c>
      <c r="I47" s="11"/>
      <c r="J47" s="11" t="s">
        <v>132</v>
      </c>
      <c r="K47" s="11" t="s">
        <v>42</v>
      </c>
      <c r="L47" s="20">
        <v>42500</v>
      </c>
      <c r="M47" s="20"/>
      <c r="N47" s="11">
        <v>2017.3</v>
      </c>
      <c r="O47" s="11" t="s">
        <v>43</v>
      </c>
      <c r="P47" s="11" t="s">
        <v>44</v>
      </c>
      <c r="Q47" s="11">
        <v>18611425182</v>
      </c>
      <c r="R47" s="11" t="s">
        <v>45</v>
      </c>
      <c r="S47" s="11" t="s">
        <v>46</v>
      </c>
      <c r="T47" s="11"/>
    </row>
    <row r="48" spans="1:20" s="14" customFormat="1" ht="24" customHeight="1">
      <c r="A48" s="15"/>
      <c r="B48" s="11" t="s">
        <v>133</v>
      </c>
      <c r="C48" s="11" t="s">
        <v>130</v>
      </c>
      <c r="D48" s="11" t="s">
        <v>131</v>
      </c>
      <c r="E48" s="9">
        <v>5000</v>
      </c>
      <c r="F48" s="9">
        <v>4.0999999999999996</v>
      </c>
      <c r="G48" s="11" t="s">
        <v>32</v>
      </c>
      <c r="H48" s="11" t="s">
        <v>41</v>
      </c>
      <c r="I48" s="11"/>
      <c r="J48" s="11" t="s">
        <v>132</v>
      </c>
      <c r="K48" s="11" t="s">
        <v>42</v>
      </c>
      <c r="L48" s="20">
        <v>42500</v>
      </c>
      <c r="M48" s="20"/>
      <c r="N48" s="11">
        <v>2017.3</v>
      </c>
      <c r="O48" s="11" t="s">
        <v>43</v>
      </c>
      <c r="P48" s="11" t="s">
        <v>44</v>
      </c>
      <c r="Q48" s="11">
        <v>18611425182</v>
      </c>
      <c r="R48" s="11" t="s">
        <v>45</v>
      </c>
      <c r="S48" s="11" t="s">
        <v>46</v>
      </c>
      <c r="T48" s="11"/>
    </row>
    <row r="49" spans="1:20" s="14" customFormat="1" ht="24" hidden="1" customHeight="1">
      <c r="A49" s="15">
        <v>3</v>
      </c>
      <c r="B49" s="15" t="s">
        <v>134</v>
      </c>
      <c r="C49" s="11"/>
      <c r="D49" s="11"/>
      <c r="E49" s="9"/>
      <c r="F49" s="9"/>
      <c r="G49" s="11"/>
      <c r="H49" s="11"/>
      <c r="I49" s="11"/>
      <c r="J49" s="11"/>
      <c r="K49" s="11"/>
      <c r="L49" s="12"/>
      <c r="M49" s="12"/>
      <c r="N49" s="11"/>
      <c r="O49" s="11"/>
      <c r="P49" s="11"/>
      <c r="Q49" s="11"/>
      <c r="R49" s="11"/>
      <c r="S49" s="11"/>
      <c r="T49" s="11"/>
    </row>
    <row r="50" spans="1:20" s="14" customFormat="1" ht="24" hidden="1" customHeight="1">
      <c r="A50" s="15"/>
      <c r="B50" s="11" t="s">
        <v>135</v>
      </c>
      <c r="C50" s="11" t="s">
        <v>136</v>
      </c>
      <c r="D50" s="10" t="s">
        <v>62</v>
      </c>
      <c r="E50" s="26">
        <v>232.36500000000001</v>
      </c>
      <c r="F50" s="10"/>
      <c r="G50" s="11" t="s">
        <v>32</v>
      </c>
      <c r="H50" s="11" t="s">
        <v>33</v>
      </c>
      <c r="I50" s="17" t="s">
        <v>34</v>
      </c>
      <c r="J50" s="17" t="s">
        <v>34</v>
      </c>
      <c r="K50" s="11" t="s">
        <v>137</v>
      </c>
      <c r="L50" s="20">
        <v>1319750.94</v>
      </c>
      <c r="M50" s="20">
        <v>660475.46279999998</v>
      </c>
      <c r="N50" s="27">
        <v>43944</v>
      </c>
      <c r="O50" s="11" t="s">
        <v>138</v>
      </c>
      <c r="P50" s="11" t="s">
        <v>139</v>
      </c>
      <c r="Q50" s="11">
        <v>15076764689</v>
      </c>
      <c r="R50" s="11" t="s">
        <v>140</v>
      </c>
      <c r="S50" s="11" t="s">
        <v>141</v>
      </c>
      <c r="T50" s="11"/>
    </row>
    <row r="51" spans="1:20" s="14" customFormat="1" ht="24" hidden="1" customHeight="1">
      <c r="A51" s="15"/>
      <c r="B51" s="11" t="s">
        <v>135</v>
      </c>
      <c r="C51" s="11" t="s">
        <v>142</v>
      </c>
      <c r="D51" s="10" t="s">
        <v>62</v>
      </c>
      <c r="E51" s="26">
        <v>270.64999999999998</v>
      </c>
      <c r="F51" s="18"/>
      <c r="G51" s="11" t="s">
        <v>32</v>
      </c>
      <c r="H51" s="11" t="s">
        <v>33</v>
      </c>
      <c r="I51" s="17" t="s">
        <v>34</v>
      </c>
      <c r="J51" s="17" t="s">
        <v>34</v>
      </c>
      <c r="K51" s="11" t="s">
        <v>143</v>
      </c>
      <c r="L51" s="20">
        <v>1405942.92</v>
      </c>
      <c r="M51" s="20">
        <v>702971.46039999998</v>
      </c>
      <c r="N51" s="27">
        <v>43975</v>
      </c>
      <c r="O51" s="11" t="s">
        <v>138</v>
      </c>
      <c r="P51" s="11" t="s">
        <v>139</v>
      </c>
      <c r="Q51" s="11">
        <v>15076764689</v>
      </c>
      <c r="R51" s="11" t="s">
        <v>140</v>
      </c>
      <c r="S51" s="11" t="s">
        <v>141</v>
      </c>
      <c r="T51" s="11"/>
    </row>
    <row r="52" spans="1:20" s="14" customFormat="1" ht="24" hidden="1" customHeight="1">
      <c r="A52" s="15"/>
      <c r="B52" s="11" t="s">
        <v>135</v>
      </c>
      <c r="C52" s="11" t="s">
        <v>144</v>
      </c>
      <c r="D52" s="10" t="s">
        <v>62</v>
      </c>
      <c r="E52" s="26">
        <v>219.13</v>
      </c>
      <c r="F52" s="18"/>
      <c r="G52" s="11" t="s">
        <v>32</v>
      </c>
      <c r="H52" s="11" t="s">
        <v>33</v>
      </c>
      <c r="I52" s="17" t="s">
        <v>34</v>
      </c>
      <c r="J52" s="17" t="s">
        <v>34</v>
      </c>
      <c r="K52" s="11" t="s">
        <v>143</v>
      </c>
      <c r="L52" s="20">
        <v>1138312.48</v>
      </c>
      <c r="M52" s="20">
        <v>569156.23789999995</v>
      </c>
      <c r="N52" s="27">
        <v>44007</v>
      </c>
      <c r="O52" s="11" t="s">
        <v>138</v>
      </c>
      <c r="P52" s="11" t="s">
        <v>139</v>
      </c>
      <c r="Q52" s="11">
        <v>15076764689</v>
      </c>
      <c r="R52" s="11" t="s">
        <v>140</v>
      </c>
      <c r="S52" s="11" t="s">
        <v>141</v>
      </c>
      <c r="T52" s="11"/>
    </row>
    <row r="53" spans="1:20" s="14" customFormat="1" ht="24" hidden="1" customHeight="1">
      <c r="A53" s="15"/>
      <c r="B53" s="28" t="s">
        <v>135</v>
      </c>
      <c r="C53" s="29" t="s">
        <v>145</v>
      </c>
      <c r="D53" s="10" t="s">
        <v>62</v>
      </c>
      <c r="E53" s="30">
        <v>176.5</v>
      </c>
      <c r="F53" s="31"/>
      <c r="G53" s="11" t="s">
        <v>32</v>
      </c>
      <c r="H53" s="11" t="s">
        <v>33</v>
      </c>
      <c r="I53" s="17" t="s">
        <v>34</v>
      </c>
      <c r="J53" s="17" t="s">
        <v>34</v>
      </c>
      <c r="K53" s="10" t="s">
        <v>143</v>
      </c>
      <c r="L53" s="20">
        <v>998084.07</v>
      </c>
      <c r="M53" s="20">
        <v>319499.67080000002</v>
      </c>
      <c r="N53" s="32">
        <v>44124</v>
      </c>
      <c r="O53" s="11" t="s">
        <v>138</v>
      </c>
      <c r="P53" s="11" t="s">
        <v>139</v>
      </c>
      <c r="Q53" s="11">
        <v>15076764689</v>
      </c>
      <c r="R53" s="11" t="s">
        <v>140</v>
      </c>
      <c r="S53" s="11" t="s">
        <v>141</v>
      </c>
      <c r="T53" s="11"/>
    </row>
    <row r="54" spans="1:20" s="14" customFormat="1" ht="24" hidden="1" customHeight="1">
      <c r="A54" s="15"/>
      <c r="B54" s="28" t="s">
        <v>135</v>
      </c>
      <c r="C54" s="29" t="s">
        <v>146</v>
      </c>
      <c r="D54" s="10" t="s">
        <v>62</v>
      </c>
      <c r="E54" s="30">
        <v>354.77</v>
      </c>
      <c r="F54" s="31"/>
      <c r="G54" s="11" t="s">
        <v>32</v>
      </c>
      <c r="H54" s="11" t="s">
        <v>33</v>
      </c>
      <c r="I54" s="17" t="s">
        <v>34</v>
      </c>
      <c r="J54" s="17" t="s">
        <v>34</v>
      </c>
      <c r="K54" s="10" t="s">
        <v>143</v>
      </c>
      <c r="L54" s="20">
        <v>2006177.26</v>
      </c>
      <c r="M54" s="20">
        <v>535910.96</v>
      </c>
      <c r="N54" s="32">
        <v>44124</v>
      </c>
      <c r="O54" s="11" t="s">
        <v>138</v>
      </c>
      <c r="P54" s="11" t="s">
        <v>139</v>
      </c>
      <c r="Q54" s="11">
        <v>15076764689</v>
      </c>
      <c r="R54" s="11" t="s">
        <v>140</v>
      </c>
      <c r="S54" s="11" t="s">
        <v>141</v>
      </c>
      <c r="T54" s="11"/>
    </row>
    <row r="55" spans="1:20" s="14" customFormat="1" ht="24" hidden="1" customHeight="1">
      <c r="A55" s="15"/>
      <c r="B55" s="10" t="s">
        <v>135</v>
      </c>
      <c r="C55" s="11" t="s">
        <v>146</v>
      </c>
      <c r="D55" s="10" t="s">
        <v>62</v>
      </c>
      <c r="E55" s="26">
        <v>352</v>
      </c>
      <c r="F55" s="33"/>
      <c r="G55" s="11" t="s">
        <v>32</v>
      </c>
      <c r="H55" s="11" t="s">
        <v>33</v>
      </c>
      <c r="I55" s="17" t="s">
        <v>34</v>
      </c>
      <c r="J55" s="17" t="s">
        <v>34</v>
      </c>
      <c r="K55" s="10" t="s">
        <v>143</v>
      </c>
      <c r="L55" s="20">
        <v>2249280</v>
      </c>
      <c r="M55" s="20">
        <v>2249280</v>
      </c>
      <c r="N55" s="32" t="s">
        <v>147</v>
      </c>
      <c r="O55" s="11" t="s">
        <v>138</v>
      </c>
      <c r="P55" s="11" t="s">
        <v>139</v>
      </c>
      <c r="Q55" s="11">
        <v>15076764689</v>
      </c>
      <c r="R55" s="11" t="s">
        <v>140</v>
      </c>
      <c r="S55" s="11" t="s">
        <v>141</v>
      </c>
      <c r="T55" s="11"/>
    </row>
    <row r="56" spans="1:20" s="14" customFormat="1" ht="24" hidden="1" customHeight="1">
      <c r="A56" s="15"/>
      <c r="B56" s="11" t="s">
        <v>29</v>
      </c>
      <c r="C56" s="11" t="s">
        <v>148</v>
      </c>
      <c r="D56" s="11" t="s">
        <v>62</v>
      </c>
      <c r="E56" s="17">
        <v>395.11</v>
      </c>
      <c r="F56" s="18"/>
      <c r="G56" s="11" t="s">
        <v>32</v>
      </c>
      <c r="H56" s="11" t="s">
        <v>33</v>
      </c>
      <c r="I56" s="17" t="s">
        <v>34</v>
      </c>
      <c r="J56" s="17" t="s">
        <v>34</v>
      </c>
      <c r="K56" s="19" t="s">
        <v>143</v>
      </c>
      <c r="L56" s="20">
        <v>2234294.6</v>
      </c>
      <c r="M56" s="20">
        <v>255090.20180000001</v>
      </c>
      <c r="N56" s="21">
        <v>44119</v>
      </c>
      <c r="O56" s="11" t="s">
        <v>138</v>
      </c>
      <c r="P56" s="11" t="s">
        <v>139</v>
      </c>
      <c r="Q56" s="11">
        <v>15076764689</v>
      </c>
      <c r="R56" s="11" t="s">
        <v>140</v>
      </c>
      <c r="S56" s="11" t="s">
        <v>141</v>
      </c>
      <c r="T56" s="11"/>
    </row>
    <row r="57" spans="1:20" s="14" customFormat="1" ht="24" customHeight="1">
      <c r="A57" s="15"/>
      <c r="B57" s="11" t="s">
        <v>29</v>
      </c>
      <c r="C57" s="11" t="s">
        <v>149</v>
      </c>
      <c r="D57" s="11" t="s">
        <v>62</v>
      </c>
      <c r="E57" s="11">
        <v>33.68</v>
      </c>
      <c r="F57" s="11">
        <v>33.68</v>
      </c>
      <c r="G57" s="11" t="s">
        <v>72</v>
      </c>
      <c r="H57" s="11" t="s">
        <v>41</v>
      </c>
      <c r="I57" s="11"/>
      <c r="J57" s="11"/>
      <c r="K57" s="11" t="s">
        <v>73</v>
      </c>
      <c r="L57" s="20">
        <v>177341.59292035401</v>
      </c>
      <c r="M57" s="20">
        <v>53202.477876106001</v>
      </c>
      <c r="N57" s="22">
        <v>2021.03</v>
      </c>
      <c r="O57" s="11" t="s">
        <v>74</v>
      </c>
      <c r="P57" s="11" t="s">
        <v>75</v>
      </c>
      <c r="Q57" s="11">
        <v>13269819378</v>
      </c>
      <c r="R57" s="11" t="s">
        <v>76</v>
      </c>
      <c r="S57" s="11" t="s">
        <v>77</v>
      </c>
      <c r="T57" s="11"/>
    </row>
    <row r="58" spans="1:20" s="14" customFormat="1" ht="24" customHeight="1">
      <c r="A58" s="15"/>
      <c r="B58" s="11" t="s">
        <v>29</v>
      </c>
      <c r="C58" s="11" t="s">
        <v>149</v>
      </c>
      <c r="D58" s="11" t="s">
        <v>62</v>
      </c>
      <c r="E58" s="11">
        <v>28.72</v>
      </c>
      <c r="F58" s="11">
        <v>28.72</v>
      </c>
      <c r="G58" s="11" t="s">
        <v>72</v>
      </c>
      <c r="H58" s="11" t="s">
        <v>41</v>
      </c>
      <c r="I58" s="11"/>
      <c r="J58" s="11"/>
      <c r="K58" s="11" t="s">
        <v>73</v>
      </c>
      <c r="L58" s="20">
        <v>151224.77876106201</v>
      </c>
      <c r="M58" s="20">
        <v>45367.433628318999</v>
      </c>
      <c r="N58" s="22">
        <v>2021.03</v>
      </c>
      <c r="O58" s="11" t="s">
        <v>74</v>
      </c>
      <c r="P58" s="11" t="s">
        <v>75</v>
      </c>
      <c r="Q58" s="11">
        <v>13269819378</v>
      </c>
      <c r="R58" s="11" t="s">
        <v>76</v>
      </c>
      <c r="S58" s="11" t="s">
        <v>77</v>
      </c>
      <c r="T58" s="11"/>
    </row>
    <row r="59" spans="1:20" s="14" customFormat="1" ht="24" customHeight="1">
      <c r="A59" s="15"/>
      <c r="B59" s="11" t="s">
        <v>29</v>
      </c>
      <c r="C59" s="11" t="s">
        <v>149</v>
      </c>
      <c r="D59" s="11" t="s">
        <v>62</v>
      </c>
      <c r="E59" s="11">
        <v>30.64</v>
      </c>
      <c r="F59" s="11">
        <v>30.64</v>
      </c>
      <c r="G59" s="11" t="s">
        <v>72</v>
      </c>
      <c r="H59" s="11" t="s">
        <v>41</v>
      </c>
      <c r="I59" s="11"/>
      <c r="J59" s="11"/>
      <c r="K59" s="11" t="s">
        <v>73</v>
      </c>
      <c r="L59" s="20">
        <v>161334.513274336</v>
      </c>
      <c r="M59" s="20">
        <v>48400.353982301298</v>
      </c>
      <c r="N59" s="22">
        <v>2021.03</v>
      </c>
      <c r="O59" s="11" t="s">
        <v>74</v>
      </c>
      <c r="P59" s="11" t="s">
        <v>75</v>
      </c>
      <c r="Q59" s="11">
        <v>13269819378</v>
      </c>
      <c r="R59" s="11" t="s">
        <v>76</v>
      </c>
      <c r="S59" s="11" t="s">
        <v>77</v>
      </c>
      <c r="T59" s="11"/>
    </row>
    <row r="60" spans="1:20" s="14" customFormat="1" ht="24" customHeight="1">
      <c r="A60" s="15"/>
      <c r="B60" s="11" t="s">
        <v>29</v>
      </c>
      <c r="C60" s="11" t="s">
        <v>150</v>
      </c>
      <c r="D60" s="11" t="s">
        <v>62</v>
      </c>
      <c r="E60" s="11">
        <v>31.96</v>
      </c>
      <c r="F60" s="11">
        <v>31.96</v>
      </c>
      <c r="G60" s="11" t="s">
        <v>72</v>
      </c>
      <c r="H60" s="11" t="s">
        <v>41</v>
      </c>
      <c r="I60" s="11"/>
      <c r="J60" s="11"/>
      <c r="K60" s="11" t="s">
        <v>73</v>
      </c>
      <c r="L60" s="20">
        <v>168284.955752212</v>
      </c>
      <c r="M60" s="20">
        <v>50485.486725664399</v>
      </c>
      <c r="N60" s="22">
        <v>2021.03</v>
      </c>
      <c r="O60" s="11" t="s">
        <v>74</v>
      </c>
      <c r="P60" s="11" t="s">
        <v>75</v>
      </c>
      <c r="Q60" s="11">
        <v>13269819378</v>
      </c>
      <c r="R60" s="11" t="s">
        <v>76</v>
      </c>
      <c r="S60" s="11" t="s">
        <v>77</v>
      </c>
      <c r="T60" s="11"/>
    </row>
    <row r="61" spans="1:20" s="14" customFormat="1" ht="24" customHeight="1">
      <c r="A61" s="15"/>
      <c r="B61" s="11" t="s">
        <v>29</v>
      </c>
      <c r="C61" s="11" t="s">
        <v>150</v>
      </c>
      <c r="D61" s="11" t="s">
        <v>62</v>
      </c>
      <c r="E61" s="11">
        <v>26.76</v>
      </c>
      <c r="F61" s="11">
        <v>26.76</v>
      </c>
      <c r="G61" s="11" t="s">
        <v>72</v>
      </c>
      <c r="H61" s="11" t="s">
        <v>41</v>
      </c>
      <c r="I61" s="11"/>
      <c r="J61" s="11"/>
      <c r="K61" s="11" t="s">
        <v>73</v>
      </c>
      <c r="L61" s="20">
        <v>140904.42477876099</v>
      </c>
      <c r="M61" s="20">
        <v>42271.327433628401</v>
      </c>
      <c r="N61" s="22">
        <v>2021.03</v>
      </c>
      <c r="O61" s="11" t="s">
        <v>74</v>
      </c>
      <c r="P61" s="11" t="s">
        <v>75</v>
      </c>
      <c r="Q61" s="11">
        <v>13269819378</v>
      </c>
      <c r="R61" s="11" t="s">
        <v>76</v>
      </c>
      <c r="S61" s="11" t="s">
        <v>77</v>
      </c>
      <c r="T61" s="11"/>
    </row>
    <row r="62" spans="1:20" s="14" customFormat="1" ht="24" customHeight="1">
      <c r="A62" s="15"/>
      <c r="B62" s="11" t="s">
        <v>29</v>
      </c>
      <c r="C62" s="11" t="s">
        <v>149</v>
      </c>
      <c r="D62" s="11" t="s">
        <v>62</v>
      </c>
      <c r="E62" s="11">
        <v>27.96</v>
      </c>
      <c r="F62" s="11">
        <v>27.96</v>
      </c>
      <c r="G62" s="11" t="s">
        <v>72</v>
      </c>
      <c r="H62" s="11" t="s">
        <v>41</v>
      </c>
      <c r="I62" s="11"/>
      <c r="J62" s="11"/>
      <c r="K62" s="11" t="s">
        <v>73</v>
      </c>
      <c r="L62" s="20">
        <v>147223.00884955801</v>
      </c>
      <c r="M62" s="20">
        <v>44166.902654866499</v>
      </c>
      <c r="N62" s="22">
        <v>2021.03</v>
      </c>
      <c r="O62" s="11" t="s">
        <v>74</v>
      </c>
      <c r="P62" s="11" t="s">
        <v>75</v>
      </c>
      <c r="Q62" s="11">
        <v>13269819378</v>
      </c>
      <c r="R62" s="11" t="s">
        <v>76</v>
      </c>
      <c r="S62" s="11" t="s">
        <v>77</v>
      </c>
      <c r="T62" s="11"/>
    </row>
    <row r="63" spans="1:20" s="14" customFormat="1" ht="24" customHeight="1">
      <c r="A63" s="15"/>
      <c r="B63" s="11" t="s">
        <v>29</v>
      </c>
      <c r="C63" s="11" t="s">
        <v>150</v>
      </c>
      <c r="D63" s="11" t="s">
        <v>62</v>
      </c>
      <c r="E63" s="11">
        <v>32.04</v>
      </c>
      <c r="F63" s="11">
        <v>32.04</v>
      </c>
      <c r="G63" s="11" t="s">
        <v>72</v>
      </c>
      <c r="H63" s="11" t="s">
        <v>41</v>
      </c>
      <c r="I63" s="11"/>
      <c r="J63" s="11"/>
      <c r="K63" s="11" t="s">
        <v>73</v>
      </c>
      <c r="L63" s="20">
        <v>168706.19469026499</v>
      </c>
      <c r="M63" s="20">
        <v>50611.858407079497</v>
      </c>
      <c r="N63" s="22">
        <v>2021.03</v>
      </c>
      <c r="O63" s="11" t="s">
        <v>74</v>
      </c>
      <c r="P63" s="11" t="s">
        <v>75</v>
      </c>
      <c r="Q63" s="11">
        <v>13269819378</v>
      </c>
      <c r="R63" s="11" t="s">
        <v>76</v>
      </c>
      <c r="S63" s="11" t="s">
        <v>77</v>
      </c>
      <c r="T63" s="11"/>
    </row>
    <row r="64" spans="1:20" s="14" customFormat="1" ht="24" customHeight="1">
      <c r="A64" s="15"/>
      <c r="B64" s="11" t="s">
        <v>29</v>
      </c>
      <c r="C64" s="11" t="s">
        <v>151</v>
      </c>
      <c r="D64" s="11" t="s">
        <v>62</v>
      </c>
      <c r="E64" s="11">
        <v>28.12</v>
      </c>
      <c r="F64" s="11">
        <v>28.12</v>
      </c>
      <c r="G64" s="11" t="s">
        <v>72</v>
      </c>
      <c r="H64" s="11" t="s">
        <v>41</v>
      </c>
      <c r="I64" s="11"/>
      <c r="J64" s="11"/>
      <c r="K64" s="11" t="s">
        <v>73</v>
      </c>
      <c r="L64" s="20">
        <v>148065.486725664</v>
      </c>
      <c r="M64" s="20">
        <v>44419.646017698702</v>
      </c>
      <c r="N64" s="22">
        <v>2021.03</v>
      </c>
      <c r="O64" s="11" t="s">
        <v>74</v>
      </c>
      <c r="P64" s="11" t="s">
        <v>75</v>
      </c>
      <c r="Q64" s="11">
        <v>13269819378</v>
      </c>
      <c r="R64" s="11" t="s">
        <v>76</v>
      </c>
      <c r="S64" s="11" t="s">
        <v>77</v>
      </c>
      <c r="T64" s="11"/>
    </row>
    <row r="65" spans="1:20" s="14" customFormat="1" ht="24" customHeight="1">
      <c r="A65" s="15"/>
      <c r="B65" s="11" t="s">
        <v>29</v>
      </c>
      <c r="C65" s="11" t="s">
        <v>149</v>
      </c>
      <c r="D65" s="11" t="s">
        <v>62</v>
      </c>
      <c r="E65" s="11">
        <v>8.56</v>
      </c>
      <c r="F65" s="11">
        <v>8.56</v>
      </c>
      <c r="G65" s="11" t="s">
        <v>72</v>
      </c>
      <c r="H65" s="11" t="s">
        <v>41</v>
      </c>
      <c r="I65" s="11"/>
      <c r="J65" s="11"/>
      <c r="K65" s="11" t="s">
        <v>73</v>
      </c>
      <c r="L65" s="20">
        <v>52647.787610619504</v>
      </c>
      <c r="M65" s="20">
        <v>15794.336283185899</v>
      </c>
      <c r="N65" s="22">
        <v>2021.04</v>
      </c>
      <c r="O65" s="11" t="s">
        <v>74</v>
      </c>
      <c r="P65" s="11" t="s">
        <v>75</v>
      </c>
      <c r="Q65" s="11">
        <v>13269819378</v>
      </c>
      <c r="R65" s="11" t="s">
        <v>76</v>
      </c>
      <c r="S65" s="11" t="s">
        <v>77</v>
      </c>
      <c r="T65" s="11"/>
    </row>
    <row r="66" spans="1:20" s="14" customFormat="1" ht="24" customHeight="1">
      <c r="A66" s="15"/>
      <c r="B66" s="11" t="s">
        <v>29</v>
      </c>
      <c r="C66" s="11" t="s">
        <v>149</v>
      </c>
      <c r="D66" s="11" t="s">
        <v>62</v>
      </c>
      <c r="E66" s="11">
        <v>23.02</v>
      </c>
      <c r="F66" s="11">
        <v>23.02</v>
      </c>
      <c r="G66" s="11" t="s">
        <v>72</v>
      </c>
      <c r="H66" s="11" t="s">
        <v>41</v>
      </c>
      <c r="I66" s="11"/>
      <c r="J66" s="11"/>
      <c r="K66" s="11" t="s">
        <v>73</v>
      </c>
      <c r="L66" s="20">
        <v>141583.185840708</v>
      </c>
      <c r="M66" s="20">
        <v>42474.955752212401</v>
      </c>
      <c r="N66" s="22">
        <v>2021.04</v>
      </c>
      <c r="O66" s="11" t="s">
        <v>74</v>
      </c>
      <c r="P66" s="11" t="s">
        <v>75</v>
      </c>
      <c r="Q66" s="11">
        <v>13269819378</v>
      </c>
      <c r="R66" s="11" t="s">
        <v>76</v>
      </c>
      <c r="S66" s="11" t="s">
        <v>77</v>
      </c>
      <c r="T66" s="11"/>
    </row>
    <row r="67" spans="1:20" s="14" customFormat="1" ht="24" customHeight="1">
      <c r="A67" s="15"/>
      <c r="B67" s="11" t="s">
        <v>29</v>
      </c>
      <c r="C67" s="11" t="s">
        <v>151</v>
      </c>
      <c r="D67" s="11" t="s">
        <v>62</v>
      </c>
      <c r="E67" s="11">
        <v>23.82</v>
      </c>
      <c r="F67" s="11">
        <v>23.82</v>
      </c>
      <c r="G67" s="11" t="s">
        <v>72</v>
      </c>
      <c r="H67" s="11" t="s">
        <v>41</v>
      </c>
      <c r="I67" s="11"/>
      <c r="J67" s="11"/>
      <c r="K67" s="11" t="s">
        <v>73</v>
      </c>
      <c r="L67" s="20">
        <v>146503.53982300899</v>
      </c>
      <c r="M67" s="20">
        <v>43951.061946902897</v>
      </c>
      <c r="N67" s="22">
        <v>2021.04</v>
      </c>
      <c r="O67" s="11" t="s">
        <v>74</v>
      </c>
      <c r="P67" s="11" t="s">
        <v>75</v>
      </c>
      <c r="Q67" s="11">
        <v>13269819378</v>
      </c>
      <c r="R67" s="11" t="s">
        <v>76</v>
      </c>
      <c r="S67" s="11" t="s">
        <v>77</v>
      </c>
      <c r="T67" s="11"/>
    </row>
    <row r="68" spans="1:20" s="14" customFormat="1" ht="24" customHeight="1">
      <c r="A68" s="15"/>
      <c r="B68" s="11" t="s">
        <v>29</v>
      </c>
      <c r="C68" s="11" t="s">
        <v>149</v>
      </c>
      <c r="D68" s="11" t="s">
        <v>62</v>
      </c>
      <c r="E68" s="11">
        <v>31.22</v>
      </c>
      <c r="F68" s="11">
        <v>31.22</v>
      </c>
      <c r="G68" s="11" t="s">
        <v>72</v>
      </c>
      <c r="H68" s="11" t="s">
        <v>41</v>
      </c>
      <c r="I68" s="11"/>
      <c r="J68" s="11"/>
      <c r="K68" s="11" t="s">
        <v>73</v>
      </c>
      <c r="L68" s="20">
        <v>192016.814159292</v>
      </c>
      <c r="M68" s="20">
        <v>57605.044247788101</v>
      </c>
      <c r="N68" s="22">
        <v>2021.04</v>
      </c>
      <c r="O68" s="11" t="s">
        <v>74</v>
      </c>
      <c r="P68" s="11" t="s">
        <v>75</v>
      </c>
      <c r="Q68" s="11">
        <v>13269819378</v>
      </c>
      <c r="R68" s="11" t="s">
        <v>76</v>
      </c>
      <c r="S68" s="11" t="s">
        <v>77</v>
      </c>
      <c r="T68" s="11"/>
    </row>
    <row r="69" spans="1:20" s="14" customFormat="1" ht="24" customHeight="1">
      <c r="A69" s="15"/>
      <c r="B69" s="11" t="s">
        <v>29</v>
      </c>
      <c r="C69" s="11" t="s">
        <v>152</v>
      </c>
      <c r="D69" s="11" t="s">
        <v>62</v>
      </c>
      <c r="E69" s="11">
        <v>28.44</v>
      </c>
      <c r="F69" s="11">
        <v>28.44</v>
      </c>
      <c r="G69" s="11" t="s">
        <v>72</v>
      </c>
      <c r="H69" s="11" t="s">
        <v>41</v>
      </c>
      <c r="I69" s="11"/>
      <c r="J69" s="11"/>
      <c r="K69" s="11" t="s">
        <v>73</v>
      </c>
      <c r="L69" s="20">
        <v>174918.584070796</v>
      </c>
      <c r="M69" s="20">
        <v>52475.575221238498</v>
      </c>
      <c r="N69" s="22">
        <v>2021.04</v>
      </c>
      <c r="O69" s="11" t="s">
        <v>74</v>
      </c>
      <c r="P69" s="11" t="s">
        <v>75</v>
      </c>
      <c r="Q69" s="11">
        <v>13269819378</v>
      </c>
      <c r="R69" s="11" t="s">
        <v>76</v>
      </c>
      <c r="S69" s="11" t="s">
        <v>77</v>
      </c>
      <c r="T69" s="11"/>
    </row>
    <row r="70" spans="1:20" s="14" customFormat="1" ht="24" customHeight="1">
      <c r="A70" s="15"/>
      <c r="B70" s="11" t="s">
        <v>29</v>
      </c>
      <c r="C70" s="11" t="s">
        <v>149</v>
      </c>
      <c r="D70" s="11" t="s">
        <v>62</v>
      </c>
      <c r="E70" s="11">
        <v>33.06</v>
      </c>
      <c r="F70" s="11">
        <v>33.06</v>
      </c>
      <c r="G70" s="11" t="s">
        <v>72</v>
      </c>
      <c r="H70" s="11" t="s">
        <v>41</v>
      </c>
      <c r="I70" s="11"/>
      <c r="J70" s="11"/>
      <c r="K70" s="11" t="s">
        <v>73</v>
      </c>
      <c r="L70" s="20">
        <v>203333.628318584</v>
      </c>
      <c r="M70" s="20">
        <v>61000.088495575103</v>
      </c>
      <c r="N70" s="22">
        <v>2021.04</v>
      </c>
      <c r="O70" s="11" t="s">
        <v>74</v>
      </c>
      <c r="P70" s="11" t="s">
        <v>75</v>
      </c>
      <c r="Q70" s="11">
        <v>13269819378</v>
      </c>
      <c r="R70" s="11" t="s">
        <v>76</v>
      </c>
      <c r="S70" s="11" t="s">
        <v>77</v>
      </c>
      <c r="T70" s="11"/>
    </row>
    <row r="71" spans="1:20" s="14" customFormat="1" ht="24" customHeight="1">
      <c r="A71" s="15"/>
      <c r="B71" s="11" t="s">
        <v>29</v>
      </c>
      <c r="C71" s="11" t="s">
        <v>149</v>
      </c>
      <c r="D71" s="11" t="s">
        <v>62</v>
      </c>
      <c r="E71" s="11">
        <v>24.94</v>
      </c>
      <c r="F71" s="11">
        <v>24.94</v>
      </c>
      <c r="G71" s="11" t="s">
        <v>72</v>
      </c>
      <c r="H71" s="11" t="s">
        <v>41</v>
      </c>
      <c r="I71" s="11"/>
      <c r="J71" s="11"/>
      <c r="K71" s="11" t="s">
        <v>73</v>
      </c>
      <c r="L71" s="20">
        <v>153392.03539822999</v>
      </c>
      <c r="M71" s="20">
        <v>46017.610619469102</v>
      </c>
      <c r="N71" s="22">
        <v>2021.04</v>
      </c>
      <c r="O71" s="11" t="s">
        <v>74</v>
      </c>
      <c r="P71" s="11" t="s">
        <v>75</v>
      </c>
      <c r="Q71" s="11">
        <v>13269819378</v>
      </c>
      <c r="R71" s="11" t="s">
        <v>76</v>
      </c>
      <c r="S71" s="11" t="s">
        <v>77</v>
      </c>
      <c r="T71" s="11"/>
    </row>
    <row r="72" spans="1:20" s="14" customFormat="1" ht="24" customHeight="1">
      <c r="A72" s="15"/>
      <c r="B72" s="11" t="s">
        <v>29</v>
      </c>
      <c r="C72" s="11" t="s">
        <v>149</v>
      </c>
      <c r="D72" s="11" t="s">
        <v>62</v>
      </c>
      <c r="E72" s="11">
        <v>31.8</v>
      </c>
      <c r="F72" s="11">
        <v>31.8</v>
      </c>
      <c r="G72" s="11" t="s">
        <v>72</v>
      </c>
      <c r="H72" s="11" t="s">
        <v>41</v>
      </c>
      <c r="I72" s="11"/>
      <c r="J72" s="11"/>
      <c r="K72" s="11" t="s">
        <v>73</v>
      </c>
      <c r="L72" s="20">
        <v>195584.07079646</v>
      </c>
      <c r="M72" s="20">
        <v>58675.221238938197</v>
      </c>
      <c r="N72" s="22">
        <v>2021.04</v>
      </c>
      <c r="O72" s="11" t="s">
        <v>74</v>
      </c>
      <c r="P72" s="11" t="s">
        <v>75</v>
      </c>
      <c r="Q72" s="11">
        <v>13269819378</v>
      </c>
      <c r="R72" s="11" t="s">
        <v>76</v>
      </c>
      <c r="S72" s="11" t="s">
        <v>77</v>
      </c>
      <c r="T72" s="11"/>
    </row>
    <row r="73" spans="1:20" s="14" customFormat="1" ht="24" customHeight="1">
      <c r="A73" s="15"/>
      <c r="B73" s="11" t="s">
        <v>29</v>
      </c>
      <c r="C73" s="11" t="s">
        <v>153</v>
      </c>
      <c r="D73" s="11" t="s">
        <v>62</v>
      </c>
      <c r="E73" s="11">
        <v>31.66</v>
      </c>
      <c r="F73" s="11">
        <v>31.66</v>
      </c>
      <c r="G73" s="11" t="s">
        <v>72</v>
      </c>
      <c r="H73" s="11" t="s">
        <v>41</v>
      </c>
      <c r="I73" s="11"/>
      <c r="J73" s="11"/>
      <c r="K73" s="11" t="s">
        <v>73</v>
      </c>
      <c r="L73" s="20">
        <v>194723.00884955801</v>
      </c>
      <c r="M73" s="20">
        <v>58416.902654866499</v>
      </c>
      <c r="N73" s="22">
        <v>2021.04</v>
      </c>
      <c r="O73" s="11" t="s">
        <v>74</v>
      </c>
      <c r="P73" s="11" t="s">
        <v>75</v>
      </c>
      <c r="Q73" s="11">
        <v>13269819378</v>
      </c>
      <c r="R73" s="11" t="s">
        <v>76</v>
      </c>
      <c r="S73" s="11" t="s">
        <v>77</v>
      </c>
      <c r="T73" s="11"/>
    </row>
    <row r="74" spans="1:20" s="14" customFormat="1" ht="24" customHeight="1">
      <c r="A74" s="15"/>
      <c r="B74" s="11" t="s">
        <v>29</v>
      </c>
      <c r="C74" s="11" t="s">
        <v>149</v>
      </c>
      <c r="D74" s="11" t="s">
        <v>62</v>
      </c>
      <c r="E74" s="11">
        <v>31.38</v>
      </c>
      <c r="F74" s="11">
        <v>31.38</v>
      </c>
      <c r="G74" s="11" t="s">
        <v>72</v>
      </c>
      <c r="H74" s="11" t="s">
        <v>41</v>
      </c>
      <c r="I74" s="11"/>
      <c r="J74" s="11"/>
      <c r="K74" s="11" t="s">
        <v>73</v>
      </c>
      <c r="L74" s="20">
        <v>193000.884955752</v>
      </c>
      <c r="M74" s="20">
        <v>57900.265486726203</v>
      </c>
      <c r="N74" s="22">
        <v>2021.5</v>
      </c>
      <c r="O74" s="11" t="s">
        <v>74</v>
      </c>
      <c r="P74" s="11" t="s">
        <v>75</v>
      </c>
      <c r="Q74" s="11">
        <v>13269819378</v>
      </c>
      <c r="R74" s="11" t="s">
        <v>76</v>
      </c>
      <c r="S74" s="11" t="s">
        <v>77</v>
      </c>
      <c r="T74" s="11"/>
    </row>
    <row r="75" spans="1:20" s="14" customFormat="1" ht="24" customHeight="1">
      <c r="A75" s="15"/>
      <c r="B75" s="11" t="s">
        <v>29</v>
      </c>
      <c r="C75" s="11" t="s">
        <v>149</v>
      </c>
      <c r="D75" s="11" t="s">
        <v>62</v>
      </c>
      <c r="E75" s="11">
        <v>31.46</v>
      </c>
      <c r="F75" s="11">
        <v>31.46</v>
      </c>
      <c r="G75" s="11" t="s">
        <v>72</v>
      </c>
      <c r="H75" s="11" t="s">
        <v>41</v>
      </c>
      <c r="I75" s="11"/>
      <c r="J75" s="11"/>
      <c r="K75" s="11" t="s">
        <v>73</v>
      </c>
      <c r="L75" s="20">
        <v>193492.92035398199</v>
      </c>
      <c r="M75" s="20">
        <v>58047.876106195297</v>
      </c>
      <c r="N75" s="22">
        <v>2021.5</v>
      </c>
      <c r="O75" s="11" t="s">
        <v>74</v>
      </c>
      <c r="P75" s="11" t="s">
        <v>75</v>
      </c>
      <c r="Q75" s="11">
        <v>13269819378</v>
      </c>
      <c r="R75" s="11" t="s">
        <v>76</v>
      </c>
      <c r="S75" s="11" t="s">
        <v>77</v>
      </c>
      <c r="T75" s="11"/>
    </row>
    <row r="76" spans="1:20" s="14" customFormat="1" ht="24" customHeight="1">
      <c r="A76" s="15"/>
      <c r="B76" s="11" t="s">
        <v>29</v>
      </c>
      <c r="C76" s="11" t="s">
        <v>149</v>
      </c>
      <c r="D76" s="11" t="s">
        <v>62</v>
      </c>
      <c r="E76" s="11">
        <v>33.200000000000003</v>
      </c>
      <c r="F76" s="11">
        <v>33.200000000000003</v>
      </c>
      <c r="G76" s="11" t="s">
        <v>72</v>
      </c>
      <c r="H76" s="11" t="s">
        <v>41</v>
      </c>
      <c r="I76" s="11"/>
      <c r="J76" s="11"/>
      <c r="K76" s="11" t="s">
        <v>73</v>
      </c>
      <c r="L76" s="20">
        <v>204194.69026548701</v>
      </c>
      <c r="M76" s="20">
        <v>61258.407079645804</v>
      </c>
      <c r="N76" s="22">
        <v>2021.5</v>
      </c>
      <c r="O76" s="11" t="s">
        <v>74</v>
      </c>
      <c r="P76" s="11" t="s">
        <v>75</v>
      </c>
      <c r="Q76" s="11">
        <v>13269819378</v>
      </c>
      <c r="R76" s="11" t="s">
        <v>76</v>
      </c>
      <c r="S76" s="11" t="s">
        <v>77</v>
      </c>
      <c r="T76" s="11"/>
    </row>
    <row r="77" spans="1:20" s="14" customFormat="1" ht="24" customHeight="1">
      <c r="A77" s="15"/>
      <c r="B77" s="11" t="s">
        <v>29</v>
      </c>
      <c r="C77" s="11" t="s">
        <v>149</v>
      </c>
      <c r="D77" s="11" t="s">
        <v>62</v>
      </c>
      <c r="E77" s="11">
        <v>31.12</v>
      </c>
      <c r="F77" s="11">
        <v>31.12</v>
      </c>
      <c r="G77" s="11" t="s">
        <v>72</v>
      </c>
      <c r="H77" s="11" t="s">
        <v>41</v>
      </c>
      <c r="I77" s="11"/>
      <c r="J77" s="11"/>
      <c r="K77" s="11" t="s">
        <v>73</v>
      </c>
      <c r="L77" s="20">
        <v>191401.769911504</v>
      </c>
      <c r="M77" s="20">
        <v>57420.530973451401</v>
      </c>
      <c r="N77" s="22">
        <v>2021.5</v>
      </c>
      <c r="O77" s="11" t="s">
        <v>74</v>
      </c>
      <c r="P77" s="11" t="s">
        <v>75</v>
      </c>
      <c r="Q77" s="11">
        <v>13269819378</v>
      </c>
      <c r="R77" s="11" t="s">
        <v>76</v>
      </c>
      <c r="S77" s="11" t="s">
        <v>77</v>
      </c>
      <c r="T77" s="11"/>
    </row>
    <row r="78" spans="1:20" s="14" customFormat="1" ht="24" customHeight="1">
      <c r="A78" s="15"/>
      <c r="B78" s="11" t="s">
        <v>29</v>
      </c>
      <c r="C78" s="11" t="s">
        <v>149</v>
      </c>
      <c r="D78" s="11" t="s">
        <v>62</v>
      </c>
      <c r="E78" s="11">
        <v>3.4</v>
      </c>
      <c r="F78" s="11">
        <v>3.4</v>
      </c>
      <c r="G78" s="11" t="s">
        <v>72</v>
      </c>
      <c r="H78" s="11" t="s">
        <v>41</v>
      </c>
      <c r="I78" s="11"/>
      <c r="J78" s="11"/>
      <c r="K78" s="11" t="s">
        <v>73</v>
      </c>
      <c r="L78" s="20">
        <v>20911.504424778799</v>
      </c>
      <c r="M78" s="20">
        <v>6273.4513274335604</v>
      </c>
      <c r="N78" s="22">
        <v>2021.5</v>
      </c>
      <c r="O78" s="11" t="s">
        <v>74</v>
      </c>
      <c r="P78" s="11" t="s">
        <v>75</v>
      </c>
      <c r="Q78" s="11">
        <v>13269819378</v>
      </c>
      <c r="R78" s="11" t="s">
        <v>76</v>
      </c>
      <c r="S78" s="11" t="s">
        <v>77</v>
      </c>
      <c r="T78" s="11"/>
    </row>
    <row r="79" spans="1:20" s="14" customFormat="1" ht="24" customHeight="1">
      <c r="A79" s="15"/>
      <c r="B79" s="11" t="s">
        <v>29</v>
      </c>
      <c r="C79" s="11" t="s">
        <v>149</v>
      </c>
      <c r="D79" s="11" t="s">
        <v>62</v>
      </c>
      <c r="E79" s="11">
        <v>31.74</v>
      </c>
      <c r="F79" s="11">
        <v>31.74</v>
      </c>
      <c r="G79" s="11" t="s">
        <v>72</v>
      </c>
      <c r="H79" s="11" t="s">
        <v>41</v>
      </c>
      <c r="I79" s="11"/>
      <c r="J79" s="11"/>
      <c r="K79" s="11" t="s">
        <v>73</v>
      </c>
      <c r="L79" s="20">
        <v>195215.044247788</v>
      </c>
      <c r="M79" s="20">
        <v>58564.513274335601</v>
      </c>
      <c r="N79" s="22">
        <v>2021.5</v>
      </c>
      <c r="O79" s="11" t="s">
        <v>74</v>
      </c>
      <c r="P79" s="11" t="s">
        <v>75</v>
      </c>
      <c r="Q79" s="11">
        <v>13269819378</v>
      </c>
      <c r="R79" s="11" t="s">
        <v>76</v>
      </c>
      <c r="S79" s="11" t="s">
        <v>77</v>
      </c>
      <c r="T79" s="11"/>
    </row>
    <row r="80" spans="1:20" s="14" customFormat="1" ht="24" customHeight="1">
      <c r="A80" s="15"/>
      <c r="B80" s="11" t="s">
        <v>29</v>
      </c>
      <c r="C80" s="11" t="s">
        <v>149</v>
      </c>
      <c r="D80" s="11" t="s">
        <v>62</v>
      </c>
      <c r="E80" s="11">
        <v>33.94</v>
      </c>
      <c r="F80" s="11">
        <v>33.94</v>
      </c>
      <c r="G80" s="11" t="s">
        <v>72</v>
      </c>
      <c r="H80" s="11" t="s">
        <v>41</v>
      </c>
      <c r="I80" s="11"/>
      <c r="J80" s="11"/>
      <c r="K80" s="11" t="s">
        <v>73</v>
      </c>
      <c r="L80" s="20">
        <v>208746.01769911501</v>
      </c>
      <c r="M80" s="20">
        <v>62623.805309734998</v>
      </c>
      <c r="N80" s="22">
        <v>2021.5</v>
      </c>
      <c r="O80" s="11" t="s">
        <v>74</v>
      </c>
      <c r="P80" s="11" t="s">
        <v>75</v>
      </c>
      <c r="Q80" s="11">
        <v>13269819378</v>
      </c>
      <c r="R80" s="11" t="s">
        <v>76</v>
      </c>
      <c r="S80" s="11" t="s">
        <v>77</v>
      </c>
      <c r="T80" s="11"/>
    </row>
    <row r="81" spans="1:20" s="14" customFormat="1" ht="24" customHeight="1">
      <c r="A81" s="15"/>
      <c r="B81" s="11" t="s">
        <v>29</v>
      </c>
      <c r="C81" s="11" t="s">
        <v>149</v>
      </c>
      <c r="D81" s="11" t="s">
        <v>62</v>
      </c>
      <c r="E81" s="11">
        <v>8</v>
      </c>
      <c r="F81" s="11">
        <v>8</v>
      </c>
      <c r="G81" s="11" t="s">
        <v>72</v>
      </c>
      <c r="H81" s="11" t="s">
        <v>41</v>
      </c>
      <c r="I81" s="11"/>
      <c r="J81" s="11"/>
      <c r="K81" s="11" t="s">
        <v>73</v>
      </c>
      <c r="L81" s="20">
        <v>49203.539823008898</v>
      </c>
      <c r="M81" s="20">
        <v>14761.061946902701</v>
      </c>
      <c r="N81" s="22">
        <v>2021.5</v>
      </c>
      <c r="O81" s="11" t="s">
        <v>74</v>
      </c>
      <c r="P81" s="11" t="s">
        <v>75</v>
      </c>
      <c r="Q81" s="11">
        <v>13269819378</v>
      </c>
      <c r="R81" s="11" t="s">
        <v>76</v>
      </c>
      <c r="S81" s="11" t="s">
        <v>77</v>
      </c>
      <c r="T81" s="11"/>
    </row>
    <row r="82" spans="1:20" s="14" customFormat="1" ht="24" customHeight="1">
      <c r="A82" s="15"/>
      <c r="B82" s="11" t="s">
        <v>29</v>
      </c>
      <c r="C82" s="11" t="s">
        <v>149</v>
      </c>
      <c r="D82" s="11" t="s">
        <v>62</v>
      </c>
      <c r="E82" s="11">
        <v>33.06</v>
      </c>
      <c r="F82" s="11">
        <v>33.06</v>
      </c>
      <c r="G82" s="11" t="s">
        <v>72</v>
      </c>
      <c r="H82" s="11" t="s">
        <v>41</v>
      </c>
      <c r="I82" s="11"/>
      <c r="J82" s="11"/>
      <c r="K82" s="11" t="s">
        <v>73</v>
      </c>
      <c r="L82" s="20">
        <v>203333.628318584</v>
      </c>
      <c r="M82" s="20">
        <v>61000.088495575103</v>
      </c>
      <c r="N82" s="22">
        <v>2021.5</v>
      </c>
      <c r="O82" s="11" t="s">
        <v>74</v>
      </c>
      <c r="P82" s="11" t="s">
        <v>75</v>
      </c>
      <c r="Q82" s="11">
        <v>13269819378</v>
      </c>
      <c r="R82" s="11" t="s">
        <v>76</v>
      </c>
      <c r="S82" s="11" t="s">
        <v>77</v>
      </c>
      <c r="T82" s="11"/>
    </row>
    <row r="83" spans="1:20" s="14" customFormat="1" ht="24" customHeight="1">
      <c r="A83" s="15"/>
      <c r="B83" s="11" t="s">
        <v>29</v>
      </c>
      <c r="C83" s="11" t="s">
        <v>150</v>
      </c>
      <c r="D83" s="11" t="s">
        <v>62</v>
      </c>
      <c r="E83" s="11">
        <v>27.58</v>
      </c>
      <c r="F83" s="11">
        <v>27.58</v>
      </c>
      <c r="G83" s="11" t="s">
        <v>72</v>
      </c>
      <c r="H83" s="11" t="s">
        <v>41</v>
      </c>
      <c r="I83" s="11"/>
      <c r="J83" s="11"/>
      <c r="K83" s="11" t="s">
        <v>73</v>
      </c>
      <c r="L83" s="20">
        <v>169629.20353982301</v>
      </c>
      <c r="M83" s="20">
        <v>50888.761061947</v>
      </c>
      <c r="N83" s="22">
        <v>2021.5</v>
      </c>
      <c r="O83" s="11" t="s">
        <v>74</v>
      </c>
      <c r="P83" s="11" t="s">
        <v>75</v>
      </c>
      <c r="Q83" s="11">
        <v>13269819378</v>
      </c>
      <c r="R83" s="11" t="s">
        <v>76</v>
      </c>
      <c r="S83" s="11" t="s">
        <v>77</v>
      </c>
      <c r="T83" s="11"/>
    </row>
    <row r="84" spans="1:20" s="14" customFormat="1" ht="24" customHeight="1">
      <c r="A84" s="15"/>
      <c r="B84" s="11" t="s">
        <v>29</v>
      </c>
      <c r="C84" s="11" t="s">
        <v>150</v>
      </c>
      <c r="D84" s="11" t="s">
        <v>62</v>
      </c>
      <c r="E84" s="11">
        <v>26.68</v>
      </c>
      <c r="F84" s="11">
        <v>26.68</v>
      </c>
      <c r="G84" s="11" t="s">
        <v>72</v>
      </c>
      <c r="H84" s="11" t="s">
        <v>41</v>
      </c>
      <c r="I84" s="11"/>
      <c r="J84" s="11"/>
      <c r="K84" s="11" t="s">
        <v>73</v>
      </c>
      <c r="L84" s="20">
        <v>164093.80530973501</v>
      </c>
      <c r="M84" s="20">
        <v>49228.141592920503</v>
      </c>
      <c r="N84" s="22">
        <v>2021.5</v>
      </c>
      <c r="O84" s="11" t="s">
        <v>74</v>
      </c>
      <c r="P84" s="11" t="s">
        <v>75</v>
      </c>
      <c r="Q84" s="11">
        <v>13269819378</v>
      </c>
      <c r="R84" s="11" t="s">
        <v>76</v>
      </c>
      <c r="S84" s="11" t="s">
        <v>77</v>
      </c>
      <c r="T84" s="11"/>
    </row>
    <row r="85" spans="1:20" s="14" customFormat="1" ht="24" customHeight="1">
      <c r="A85" s="15"/>
      <c r="B85" s="11" t="s">
        <v>29</v>
      </c>
      <c r="C85" s="11" t="s">
        <v>150</v>
      </c>
      <c r="D85" s="11" t="s">
        <v>62</v>
      </c>
      <c r="E85" s="11">
        <v>24.98</v>
      </c>
      <c r="F85" s="11">
        <v>24.98</v>
      </c>
      <c r="G85" s="11" t="s">
        <v>72</v>
      </c>
      <c r="H85" s="11" t="s">
        <v>41</v>
      </c>
      <c r="I85" s="11"/>
      <c r="J85" s="11"/>
      <c r="K85" s="11" t="s">
        <v>73</v>
      </c>
      <c r="L85" s="20">
        <v>153638.05309734499</v>
      </c>
      <c r="M85" s="20">
        <v>46091.4159292041</v>
      </c>
      <c r="N85" s="22">
        <v>2021.5</v>
      </c>
      <c r="O85" s="11" t="s">
        <v>74</v>
      </c>
      <c r="P85" s="11" t="s">
        <v>75</v>
      </c>
      <c r="Q85" s="11">
        <v>13269819378</v>
      </c>
      <c r="R85" s="11" t="s">
        <v>76</v>
      </c>
      <c r="S85" s="11" t="s">
        <v>77</v>
      </c>
      <c r="T85" s="11"/>
    </row>
    <row r="86" spans="1:20" s="14" customFormat="1" ht="24" customHeight="1">
      <c r="A86" s="15"/>
      <c r="B86" s="11" t="s">
        <v>29</v>
      </c>
      <c r="C86" s="11" t="s">
        <v>154</v>
      </c>
      <c r="D86" s="11" t="s">
        <v>62</v>
      </c>
      <c r="E86" s="11">
        <v>34.54</v>
      </c>
      <c r="F86" s="11">
        <v>34.54</v>
      </c>
      <c r="G86" s="11" t="s">
        <v>72</v>
      </c>
      <c r="H86" s="11" t="s">
        <v>41</v>
      </c>
      <c r="I86" s="11"/>
      <c r="J86" s="11"/>
      <c r="K86" s="11" t="s">
        <v>73</v>
      </c>
      <c r="L86" s="20">
        <v>212436.28318584099</v>
      </c>
      <c r="M86" s="20">
        <v>63730.884955751702</v>
      </c>
      <c r="N86" s="22">
        <v>2021.5</v>
      </c>
      <c r="O86" s="11" t="s">
        <v>74</v>
      </c>
      <c r="P86" s="11" t="s">
        <v>75</v>
      </c>
      <c r="Q86" s="11">
        <v>13269819378</v>
      </c>
      <c r="R86" s="11" t="s">
        <v>76</v>
      </c>
      <c r="S86" s="11" t="s">
        <v>77</v>
      </c>
      <c r="T86" s="11"/>
    </row>
    <row r="87" spans="1:20" s="14" customFormat="1" ht="24" customHeight="1">
      <c r="A87" s="15"/>
      <c r="B87" s="11" t="s">
        <v>29</v>
      </c>
      <c r="C87" s="11" t="s">
        <v>153</v>
      </c>
      <c r="D87" s="11" t="s">
        <v>62</v>
      </c>
      <c r="E87" s="11">
        <v>26.18</v>
      </c>
      <c r="F87" s="11">
        <v>26.18</v>
      </c>
      <c r="G87" s="11" t="s">
        <v>72</v>
      </c>
      <c r="H87" s="11" t="s">
        <v>41</v>
      </c>
      <c r="I87" s="11"/>
      <c r="J87" s="11"/>
      <c r="K87" s="11" t="s">
        <v>73</v>
      </c>
      <c r="L87" s="20">
        <v>161018.584070796</v>
      </c>
      <c r="M87" s="20">
        <v>48305.575221238498</v>
      </c>
      <c r="N87" s="22">
        <v>2021.5</v>
      </c>
      <c r="O87" s="11" t="s">
        <v>74</v>
      </c>
      <c r="P87" s="11" t="s">
        <v>75</v>
      </c>
      <c r="Q87" s="11">
        <v>13269819378</v>
      </c>
      <c r="R87" s="11" t="s">
        <v>76</v>
      </c>
      <c r="S87" s="11" t="s">
        <v>77</v>
      </c>
      <c r="T87" s="11"/>
    </row>
    <row r="88" spans="1:20" s="14" customFormat="1" ht="24" customHeight="1">
      <c r="A88" s="15"/>
      <c r="B88" s="11" t="s">
        <v>29</v>
      </c>
      <c r="C88" s="11" t="s">
        <v>155</v>
      </c>
      <c r="D88" s="11" t="s">
        <v>62</v>
      </c>
      <c r="E88" s="11">
        <v>23.88</v>
      </c>
      <c r="F88" s="11">
        <v>23.88</v>
      </c>
      <c r="G88" s="11" t="s">
        <v>72</v>
      </c>
      <c r="H88" s="11" t="s">
        <v>41</v>
      </c>
      <c r="I88" s="11"/>
      <c r="J88" s="11"/>
      <c r="K88" s="11" t="s">
        <v>73</v>
      </c>
      <c r="L88" s="20">
        <v>146872.56637168099</v>
      </c>
      <c r="M88" s="20">
        <v>44061.769911504402</v>
      </c>
      <c r="N88" s="22">
        <v>2021.5</v>
      </c>
      <c r="O88" s="11" t="s">
        <v>74</v>
      </c>
      <c r="P88" s="11" t="s">
        <v>75</v>
      </c>
      <c r="Q88" s="11">
        <v>13269819378</v>
      </c>
      <c r="R88" s="11" t="s">
        <v>76</v>
      </c>
      <c r="S88" s="11" t="s">
        <v>77</v>
      </c>
      <c r="T88" s="11"/>
    </row>
    <row r="89" spans="1:20" s="14" customFormat="1" ht="24" customHeight="1">
      <c r="A89" s="15"/>
      <c r="B89" s="11" t="s">
        <v>29</v>
      </c>
      <c r="C89" s="11"/>
      <c r="D89" s="11" t="s">
        <v>62</v>
      </c>
      <c r="E89" s="11">
        <v>193.05</v>
      </c>
      <c r="F89" s="11">
        <v>193.05</v>
      </c>
      <c r="G89" s="11" t="s">
        <v>72</v>
      </c>
      <c r="H89" s="11" t="s">
        <v>41</v>
      </c>
      <c r="I89" s="11"/>
      <c r="J89" s="11"/>
      <c r="K89" s="11" t="s">
        <v>73</v>
      </c>
      <c r="L89" s="20">
        <v>1187342.92035398</v>
      </c>
      <c r="M89" s="20">
        <v>354601.06176990998</v>
      </c>
      <c r="N89" s="22">
        <v>2021.08</v>
      </c>
      <c r="O89" s="11" t="s">
        <v>74</v>
      </c>
      <c r="P89" s="11" t="s">
        <v>75</v>
      </c>
      <c r="Q89" s="11">
        <v>13269819378</v>
      </c>
      <c r="R89" s="11" t="s">
        <v>76</v>
      </c>
      <c r="S89" s="11" t="s">
        <v>77</v>
      </c>
      <c r="T89" s="11"/>
    </row>
    <row r="90" spans="1:20" s="14" customFormat="1" ht="24" customHeight="1">
      <c r="A90" s="15"/>
      <c r="B90" s="11" t="s">
        <v>29</v>
      </c>
      <c r="C90" s="11"/>
      <c r="D90" s="11" t="s">
        <v>62</v>
      </c>
      <c r="E90" s="11">
        <v>139.72</v>
      </c>
      <c r="F90" s="11">
        <v>139.72</v>
      </c>
      <c r="G90" s="11" t="s">
        <v>72</v>
      </c>
      <c r="H90" s="11" t="s">
        <v>41</v>
      </c>
      <c r="I90" s="11"/>
      <c r="J90" s="11"/>
      <c r="K90" s="11" t="s">
        <v>73</v>
      </c>
      <c r="L90" s="20">
        <v>859339.82300884998</v>
      </c>
      <c r="M90" s="20">
        <v>257801.94690265501</v>
      </c>
      <c r="N90" s="22">
        <v>2021.12</v>
      </c>
      <c r="O90" s="11" t="s">
        <v>74</v>
      </c>
      <c r="P90" s="11" t="s">
        <v>75</v>
      </c>
      <c r="Q90" s="11">
        <v>13269819378</v>
      </c>
      <c r="R90" s="11" t="s">
        <v>76</v>
      </c>
      <c r="S90" s="11" t="s">
        <v>77</v>
      </c>
      <c r="T90" s="11"/>
    </row>
    <row r="91" spans="1:20" s="14" customFormat="1" ht="24" customHeight="1">
      <c r="A91" s="15"/>
      <c r="B91" s="11" t="s">
        <v>135</v>
      </c>
      <c r="C91" s="11"/>
      <c r="D91" s="11" t="s">
        <v>62</v>
      </c>
      <c r="E91" s="11">
        <v>161.15</v>
      </c>
      <c r="F91" s="11">
        <v>161.15</v>
      </c>
      <c r="G91" s="11" t="s">
        <v>72</v>
      </c>
      <c r="H91" s="11" t="s">
        <v>41</v>
      </c>
      <c r="I91" s="11"/>
      <c r="J91" s="11"/>
      <c r="K91" s="11" t="s">
        <v>73</v>
      </c>
      <c r="L91" s="20">
        <v>848533.15</v>
      </c>
      <c r="M91" s="20">
        <v>250317.283</v>
      </c>
      <c r="N91" s="22">
        <v>2021.02</v>
      </c>
      <c r="O91" s="11" t="s">
        <v>74</v>
      </c>
      <c r="P91" s="11" t="s">
        <v>75</v>
      </c>
      <c r="Q91" s="11">
        <v>13269819378</v>
      </c>
      <c r="R91" s="11" t="s">
        <v>76</v>
      </c>
      <c r="S91" s="11" t="s">
        <v>77</v>
      </c>
      <c r="T91" s="11"/>
    </row>
    <row r="92" spans="1:20" s="14" customFormat="1" ht="24" customHeight="1">
      <c r="A92" s="15"/>
      <c r="B92" s="11" t="s">
        <v>60</v>
      </c>
      <c r="C92" s="11" t="s">
        <v>156</v>
      </c>
      <c r="D92" s="11" t="s">
        <v>79</v>
      </c>
      <c r="E92" s="11">
        <v>4</v>
      </c>
      <c r="F92" s="11">
        <v>31.04</v>
      </c>
      <c r="G92" s="11" t="s">
        <v>72</v>
      </c>
      <c r="H92" s="11" t="s">
        <v>41</v>
      </c>
      <c r="I92" s="11"/>
      <c r="J92" s="11"/>
      <c r="K92" s="11" t="s">
        <v>157</v>
      </c>
      <c r="L92" s="20">
        <v>190927.44</v>
      </c>
      <c r="M92" s="20">
        <v>57278.23</v>
      </c>
      <c r="N92" s="22">
        <v>2021.03</v>
      </c>
      <c r="O92" s="11" t="s">
        <v>74</v>
      </c>
      <c r="P92" s="11" t="s">
        <v>75</v>
      </c>
      <c r="Q92" s="11">
        <v>13269819378</v>
      </c>
      <c r="R92" s="11" t="s">
        <v>76</v>
      </c>
      <c r="S92" s="11" t="s">
        <v>77</v>
      </c>
      <c r="T92" s="11"/>
    </row>
    <row r="93" spans="1:20" s="14" customFormat="1" ht="24" customHeight="1">
      <c r="A93" s="15"/>
      <c r="B93" s="11" t="s">
        <v>158</v>
      </c>
      <c r="C93" s="11" t="s">
        <v>159</v>
      </c>
      <c r="D93" s="11" t="s">
        <v>79</v>
      </c>
      <c r="E93" s="11">
        <v>4</v>
      </c>
      <c r="F93" s="11">
        <v>2.85</v>
      </c>
      <c r="G93" s="11" t="s">
        <v>72</v>
      </c>
      <c r="H93" s="11" t="s">
        <v>41</v>
      </c>
      <c r="I93" s="11"/>
      <c r="J93" s="11"/>
      <c r="K93" s="11" t="s">
        <v>157</v>
      </c>
      <c r="L93" s="20">
        <v>17522.12</v>
      </c>
      <c r="M93" s="20">
        <v>5256.64</v>
      </c>
      <c r="N93" s="22">
        <v>2021.04</v>
      </c>
      <c r="O93" s="11" t="s">
        <v>74</v>
      </c>
      <c r="P93" s="11" t="s">
        <v>75</v>
      </c>
      <c r="Q93" s="11">
        <v>13269819378</v>
      </c>
      <c r="R93" s="11" t="s">
        <v>76</v>
      </c>
      <c r="S93" s="11" t="s">
        <v>77</v>
      </c>
      <c r="T93" s="11"/>
    </row>
    <row r="94" spans="1:20" s="14" customFormat="1" ht="24" customHeight="1">
      <c r="A94" s="15"/>
      <c r="B94" s="11" t="s">
        <v>135</v>
      </c>
      <c r="C94" s="11"/>
      <c r="D94" s="11" t="s">
        <v>62</v>
      </c>
      <c r="E94" s="11">
        <v>510.55</v>
      </c>
      <c r="F94" s="11">
        <v>510.55</v>
      </c>
      <c r="G94" s="11" t="s">
        <v>72</v>
      </c>
      <c r="H94" s="11" t="s">
        <v>41</v>
      </c>
      <c r="I94" s="11"/>
      <c r="J94" s="11"/>
      <c r="K94" s="11" t="s">
        <v>73</v>
      </c>
      <c r="L94" s="20">
        <v>3027154.87</v>
      </c>
      <c r="M94" s="20">
        <v>908146.46</v>
      </c>
      <c r="N94" s="22">
        <v>2021.03</v>
      </c>
      <c r="O94" s="11" t="s">
        <v>74</v>
      </c>
      <c r="P94" s="11" t="s">
        <v>75</v>
      </c>
      <c r="Q94" s="11">
        <v>13269819378</v>
      </c>
      <c r="R94" s="11" t="s">
        <v>76</v>
      </c>
      <c r="S94" s="11" t="s">
        <v>77</v>
      </c>
      <c r="T94" s="11"/>
    </row>
    <row r="95" spans="1:20" s="14" customFormat="1" ht="24" customHeight="1">
      <c r="A95" s="15"/>
      <c r="B95" s="11" t="s">
        <v>135</v>
      </c>
      <c r="C95" s="11" t="s">
        <v>160</v>
      </c>
      <c r="D95" s="11" t="s">
        <v>161</v>
      </c>
      <c r="E95" s="9">
        <v>143.9</v>
      </c>
      <c r="F95" s="9">
        <v>98.54</v>
      </c>
      <c r="G95" s="9" t="s">
        <v>32</v>
      </c>
      <c r="H95" s="11" t="s">
        <v>41</v>
      </c>
      <c r="I95" s="11" t="s">
        <v>34</v>
      </c>
      <c r="J95" s="11" t="s">
        <v>52</v>
      </c>
      <c r="K95" s="11" t="s">
        <v>162</v>
      </c>
      <c r="L95" s="12">
        <v>147810</v>
      </c>
      <c r="M95" s="12">
        <v>96076.5</v>
      </c>
      <c r="N95" s="11">
        <v>2018.12</v>
      </c>
      <c r="O95" s="11" t="s">
        <v>163</v>
      </c>
      <c r="P95" s="11" t="s">
        <v>44</v>
      </c>
      <c r="Q95" s="11">
        <v>18611425182</v>
      </c>
      <c r="R95" s="11" t="s">
        <v>45</v>
      </c>
      <c r="S95" s="11" t="s">
        <v>46</v>
      </c>
      <c r="T95" s="11"/>
    </row>
    <row r="96" spans="1:20" s="14" customFormat="1" ht="24" customHeight="1">
      <c r="A96" s="15"/>
      <c r="B96" s="11" t="s">
        <v>164</v>
      </c>
      <c r="C96" s="11" t="s">
        <v>165</v>
      </c>
      <c r="D96" s="11" t="s">
        <v>79</v>
      </c>
      <c r="E96" s="9">
        <v>2</v>
      </c>
      <c r="F96" s="9">
        <v>90.14</v>
      </c>
      <c r="G96" s="9" t="s">
        <v>32</v>
      </c>
      <c r="H96" s="11" t="s">
        <v>41</v>
      </c>
      <c r="I96" s="11" t="s">
        <v>34</v>
      </c>
      <c r="J96" s="11" t="s">
        <v>52</v>
      </c>
      <c r="K96" s="11" t="s">
        <v>162</v>
      </c>
      <c r="L96" s="12">
        <v>135210</v>
      </c>
      <c r="M96" s="12">
        <v>87886.5</v>
      </c>
      <c r="N96" s="11">
        <v>2018.12</v>
      </c>
      <c r="O96" s="11" t="s">
        <v>163</v>
      </c>
      <c r="P96" s="11" t="s">
        <v>44</v>
      </c>
      <c r="Q96" s="11">
        <v>18611425182</v>
      </c>
      <c r="R96" s="11" t="s">
        <v>45</v>
      </c>
      <c r="S96" s="11" t="s">
        <v>46</v>
      </c>
      <c r="T96" s="11"/>
    </row>
    <row r="97" spans="1:20" s="14" customFormat="1" ht="24" customHeight="1">
      <c r="A97" s="15"/>
      <c r="B97" s="11" t="s">
        <v>135</v>
      </c>
      <c r="C97" s="11" t="s">
        <v>166</v>
      </c>
      <c r="D97" s="11" t="s">
        <v>161</v>
      </c>
      <c r="E97" s="9">
        <v>23.5</v>
      </c>
      <c r="F97" s="9">
        <v>14.406000000000001</v>
      </c>
      <c r="G97" s="9" t="s">
        <v>32</v>
      </c>
      <c r="H97" s="11" t="s">
        <v>41</v>
      </c>
      <c r="I97" s="11" t="s">
        <v>34</v>
      </c>
      <c r="J97" s="11" t="s">
        <v>52</v>
      </c>
      <c r="K97" s="11" t="s">
        <v>167</v>
      </c>
      <c r="L97" s="12">
        <v>245956</v>
      </c>
      <c r="M97" s="12">
        <v>159871.4</v>
      </c>
      <c r="N97" s="11">
        <v>2018.12</v>
      </c>
      <c r="O97" s="11" t="s">
        <v>163</v>
      </c>
      <c r="P97" s="11" t="s">
        <v>44</v>
      </c>
      <c r="Q97" s="11">
        <v>18611425182</v>
      </c>
      <c r="R97" s="11" t="s">
        <v>45</v>
      </c>
      <c r="S97" s="11" t="s">
        <v>46</v>
      </c>
      <c r="T97" s="11"/>
    </row>
    <row r="98" spans="1:20" s="14" customFormat="1" ht="24" customHeight="1">
      <c r="A98" s="15"/>
      <c r="B98" s="11" t="s">
        <v>135</v>
      </c>
      <c r="C98" s="11" t="s">
        <v>168</v>
      </c>
      <c r="D98" s="11" t="s">
        <v>161</v>
      </c>
      <c r="E98" s="9">
        <v>5.4</v>
      </c>
      <c r="F98" s="9">
        <v>6.5019999999999998</v>
      </c>
      <c r="G98" s="9" t="s">
        <v>32</v>
      </c>
      <c r="H98" s="11" t="s">
        <v>41</v>
      </c>
      <c r="I98" s="11" t="s">
        <v>34</v>
      </c>
      <c r="J98" s="11" t="s">
        <v>52</v>
      </c>
      <c r="K98" s="11" t="s">
        <v>167</v>
      </c>
      <c r="L98" s="12"/>
      <c r="M98" s="12"/>
      <c r="N98" s="11">
        <v>2018.12</v>
      </c>
      <c r="O98" s="11" t="s">
        <v>163</v>
      </c>
      <c r="P98" s="11" t="s">
        <v>44</v>
      </c>
      <c r="Q98" s="11">
        <v>18611425182</v>
      </c>
      <c r="R98" s="11" t="s">
        <v>45</v>
      </c>
      <c r="S98" s="11" t="s">
        <v>46</v>
      </c>
      <c r="T98" s="11"/>
    </row>
    <row r="99" spans="1:20" s="14" customFormat="1" ht="24" customHeight="1">
      <c r="A99" s="15"/>
      <c r="B99" s="11" t="s">
        <v>135</v>
      </c>
      <c r="C99" s="11" t="s">
        <v>169</v>
      </c>
      <c r="D99" s="11" t="s">
        <v>161</v>
      </c>
      <c r="E99" s="9">
        <v>4.6500000000000004</v>
      </c>
      <c r="F99" s="9">
        <v>6.1550000000000002</v>
      </c>
      <c r="G99" s="11" t="s">
        <v>32</v>
      </c>
      <c r="H99" s="11" t="s">
        <v>41</v>
      </c>
      <c r="I99" s="11" t="s">
        <v>34</v>
      </c>
      <c r="J99" s="11" t="s">
        <v>52</v>
      </c>
      <c r="K99" s="11" t="s">
        <v>167</v>
      </c>
      <c r="L99" s="12"/>
      <c r="M99" s="12"/>
      <c r="N99" s="11">
        <v>2018.12</v>
      </c>
      <c r="O99" s="11" t="s">
        <v>163</v>
      </c>
      <c r="P99" s="11" t="s">
        <v>44</v>
      </c>
      <c r="Q99" s="11">
        <v>18611425182</v>
      </c>
      <c r="R99" s="11" t="s">
        <v>45</v>
      </c>
      <c r="S99" s="11" t="s">
        <v>46</v>
      </c>
      <c r="T99" s="11"/>
    </row>
    <row r="100" spans="1:20" s="14" customFormat="1" ht="24" customHeight="1">
      <c r="A100" s="15"/>
      <c r="B100" s="11" t="s">
        <v>135</v>
      </c>
      <c r="C100" s="11" t="s">
        <v>170</v>
      </c>
      <c r="D100" s="11" t="s">
        <v>161</v>
      </c>
      <c r="E100" s="9">
        <v>2.9</v>
      </c>
      <c r="F100" s="9">
        <v>5.5970000000000004</v>
      </c>
      <c r="G100" s="11" t="s">
        <v>32</v>
      </c>
      <c r="H100" s="11" t="s">
        <v>41</v>
      </c>
      <c r="I100" s="11" t="s">
        <v>34</v>
      </c>
      <c r="J100" s="11" t="s">
        <v>52</v>
      </c>
      <c r="K100" s="11" t="s">
        <v>167</v>
      </c>
      <c r="L100" s="34"/>
      <c r="M100" s="34"/>
      <c r="N100" s="11">
        <v>2018.12</v>
      </c>
      <c r="O100" s="11" t="s">
        <v>163</v>
      </c>
      <c r="P100" s="11" t="s">
        <v>44</v>
      </c>
      <c r="Q100" s="11">
        <v>18611425182</v>
      </c>
      <c r="R100" s="11" t="s">
        <v>45</v>
      </c>
      <c r="S100" s="11" t="s">
        <v>46</v>
      </c>
      <c r="T100" s="11"/>
    </row>
    <row r="101" spans="1:20" s="14" customFormat="1" ht="24" customHeight="1">
      <c r="A101" s="15"/>
      <c r="B101" s="11" t="s">
        <v>171</v>
      </c>
      <c r="C101" s="11" t="s">
        <v>172</v>
      </c>
      <c r="D101" s="11" t="s">
        <v>161</v>
      </c>
      <c r="E101" s="9">
        <v>170.8</v>
      </c>
      <c r="F101" s="9">
        <v>44.78</v>
      </c>
      <c r="G101" s="11" t="s">
        <v>32</v>
      </c>
      <c r="H101" s="11" t="s">
        <v>41</v>
      </c>
      <c r="I101" s="11" t="s">
        <v>34</v>
      </c>
      <c r="J101" s="11" t="s">
        <v>52</v>
      </c>
      <c r="K101" s="11" t="s">
        <v>167</v>
      </c>
      <c r="L101" s="34"/>
      <c r="M101" s="34"/>
      <c r="N101" s="11">
        <v>2018.12</v>
      </c>
      <c r="O101" s="11" t="s">
        <v>163</v>
      </c>
      <c r="P101" s="11" t="s">
        <v>44</v>
      </c>
      <c r="Q101" s="11">
        <v>18611425182</v>
      </c>
      <c r="R101" s="11" t="s">
        <v>45</v>
      </c>
      <c r="S101" s="11" t="s">
        <v>46</v>
      </c>
      <c r="T101" s="11"/>
    </row>
    <row r="102" spans="1:20" s="14" customFormat="1" ht="24" customHeight="1">
      <c r="A102" s="15"/>
      <c r="B102" s="11" t="s">
        <v>171</v>
      </c>
      <c r="C102" s="11" t="s">
        <v>173</v>
      </c>
      <c r="D102" s="11" t="s">
        <v>161</v>
      </c>
      <c r="E102" s="9">
        <v>68.7</v>
      </c>
      <c r="F102" s="9">
        <v>14.56</v>
      </c>
      <c r="G102" s="11" t="s">
        <v>32</v>
      </c>
      <c r="H102" s="11" t="s">
        <v>41</v>
      </c>
      <c r="I102" s="11" t="s">
        <v>34</v>
      </c>
      <c r="J102" s="11" t="s">
        <v>52</v>
      </c>
      <c r="K102" s="11" t="s">
        <v>167</v>
      </c>
      <c r="L102" s="34"/>
      <c r="M102" s="34"/>
      <c r="N102" s="11">
        <v>2018.12</v>
      </c>
      <c r="O102" s="11" t="s">
        <v>163</v>
      </c>
      <c r="P102" s="11" t="s">
        <v>44</v>
      </c>
      <c r="Q102" s="11">
        <v>18611425182</v>
      </c>
      <c r="R102" s="11" t="s">
        <v>45</v>
      </c>
      <c r="S102" s="11" t="s">
        <v>46</v>
      </c>
      <c r="T102" s="11"/>
    </row>
    <row r="103" spans="1:20" s="14" customFormat="1" ht="24" customHeight="1">
      <c r="A103" s="15"/>
      <c r="B103" s="11" t="s">
        <v>171</v>
      </c>
      <c r="C103" s="11" t="s">
        <v>174</v>
      </c>
      <c r="D103" s="11" t="s">
        <v>161</v>
      </c>
      <c r="E103" s="9">
        <v>140.4</v>
      </c>
      <c r="F103" s="9">
        <v>52.685000000000002</v>
      </c>
      <c r="G103" s="11" t="s">
        <v>32</v>
      </c>
      <c r="H103" s="11" t="s">
        <v>41</v>
      </c>
      <c r="I103" s="11" t="s">
        <v>34</v>
      </c>
      <c r="J103" s="11" t="s">
        <v>52</v>
      </c>
      <c r="K103" s="11" t="s">
        <v>167</v>
      </c>
      <c r="L103" s="34"/>
      <c r="M103" s="34"/>
      <c r="N103" s="11">
        <v>2018.12</v>
      </c>
      <c r="O103" s="11" t="s">
        <v>163</v>
      </c>
      <c r="P103" s="11" t="s">
        <v>44</v>
      </c>
      <c r="Q103" s="11">
        <v>18611425182</v>
      </c>
      <c r="R103" s="11" t="s">
        <v>45</v>
      </c>
      <c r="S103" s="11" t="s">
        <v>46</v>
      </c>
      <c r="T103" s="11"/>
    </row>
    <row r="104" spans="1:20" s="14" customFormat="1" ht="24" customHeight="1">
      <c r="A104" s="15"/>
      <c r="B104" s="11" t="s">
        <v>135</v>
      </c>
      <c r="C104" s="11" t="s">
        <v>166</v>
      </c>
      <c r="D104" s="11" t="s">
        <v>161</v>
      </c>
      <c r="E104" s="9">
        <v>40</v>
      </c>
      <c r="F104" s="9">
        <v>24.52</v>
      </c>
      <c r="G104" s="11" t="s">
        <v>32</v>
      </c>
      <c r="H104" s="11" t="s">
        <v>41</v>
      </c>
      <c r="I104" s="11" t="s">
        <v>34</v>
      </c>
      <c r="J104" s="11" t="s">
        <v>34</v>
      </c>
      <c r="K104" s="11" t="s">
        <v>175</v>
      </c>
      <c r="L104" s="34"/>
      <c r="M104" s="34"/>
      <c r="N104" s="11">
        <v>2018.12</v>
      </c>
      <c r="O104" s="11" t="s">
        <v>43</v>
      </c>
      <c r="P104" s="11" t="s">
        <v>44</v>
      </c>
      <c r="Q104" s="11">
        <v>18611425182</v>
      </c>
      <c r="R104" s="11" t="s">
        <v>45</v>
      </c>
      <c r="S104" s="11" t="s">
        <v>46</v>
      </c>
      <c r="T104" s="11"/>
    </row>
    <row r="105" spans="1:20" s="14" customFormat="1" ht="24" customHeight="1">
      <c r="A105" s="15"/>
      <c r="B105" s="11" t="s">
        <v>176</v>
      </c>
      <c r="C105" s="11" t="s">
        <v>166</v>
      </c>
      <c r="D105" s="11" t="s">
        <v>131</v>
      </c>
      <c r="E105" s="9">
        <v>60</v>
      </c>
      <c r="F105" s="9">
        <v>7.54</v>
      </c>
      <c r="G105" s="11" t="s">
        <v>32</v>
      </c>
      <c r="H105" s="11" t="s">
        <v>41</v>
      </c>
      <c r="I105" s="11" t="s">
        <v>34</v>
      </c>
      <c r="J105" s="11" t="s">
        <v>34</v>
      </c>
      <c r="K105" s="11" t="s">
        <v>175</v>
      </c>
      <c r="L105" s="34"/>
      <c r="M105" s="34"/>
      <c r="N105" s="11">
        <v>2018.12</v>
      </c>
      <c r="O105" s="11" t="s">
        <v>43</v>
      </c>
      <c r="P105" s="11" t="s">
        <v>44</v>
      </c>
      <c r="Q105" s="11">
        <v>18611425182</v>
      </c>
      <c r="R105" s="11" t="s">
        <v>45</v>
      </c>
      <c r="S105" s="11" t="s">
        <v>46</v>
      </c>
      <c r="T105" s="11"/>
    </row>
    <row r="106" spans="1:20" s="14" customFormat="1" ht="24" customHeight="1">
      <c r="A106" s="15"/>
      <c r="B106" s="11" t="s">
        <v>177</v>
      </c>
      <c r="C106" s="11" t="s">
        <v>178</v>
      </c>
      <c r="D106" s="11" t="s">
        <v>62</v>
      </c>
      <c r="E106" s="9">
        <v>157</v>
      </c>
      <c r="F106" s="9"/>
      <c r="G106" s="11" t="s">
        <v>87</v>
      </c>
      <c r="H106" s="11" t="s">
        <v>41</v>
      </c>
      <c r="I106" s="11" t="s">
        <v>179</v>
      </c>
      <c r="J106" s="11"/>
      <c r="K106" s="11" t="s">
        <v>180</v>
      </c>
      <c r="L106" s="12">
        <v>1138870</v>
      </c>
      <c r="M106" s="12">
        <v>285480</v>
      </c>
      <c r="N106" s="11">
        <v>2014.1</v>
      </c>
      <c r="O106" s="11" t="s">
        <v>181</v>
      </c>
      <c r="P106" s="11" t="s">
        <v>113</v>
      </c>
      <c r="Q106" s="11">
        <v>13810668661</v>
      </c>
      <c r="R106" s="11" t="s">
        <v>114</v>
      </c>
      <c r="S106" s="11" t="s">
        <v>115</v>
      </c>
      <c r="T106" s="11"/>
    </row>
    <row r="107" spans="1:20" s="14" customFormat="1" ht="24" hidden="1" customHeight="1">
      <c r="A107" s="15"/>
      <c r="B107" s="11" t="s">
        <v>182</v>
      </c>
      <c r="C107" s="11" t="s">
        <v>183</v>
      </c>
      <c r="D107" s="11" t="s">
        <v>62</v>
      </c>
      <c r="E107" s="11"/>
      <c r="F107" s="12">
        <v>85</v>
      </c>
      <c r="G107" s="11" t="s">
        <v>32</v>
      </c>
      <c r="H107" s="11" t="s">
        <v>33</v>
      </c>
      <c r="I107" s="11"/>
      <c r="J107" s="11"/>
      <c r="K107" s="11" t="s">
        <v>157</v>
      </c>
      <c r="L107" s="12">
        <v>535500</v>
      </c>
      <c r="M107" s="12">
        <v>160650</v>
      </c>
      <c r="N107" s="11">
        <v>2020.6</v>
      </c>
      <c r="O107" s="11" t="s">
        <v>184</v>
      </c>
      <c r="P107" s="11" t="s">
        <v>185</v>
      </c>
      <c r="Q107" s="11">
        <v>18600151606</v>
      </c>
      <c r="R107" s="11" t="s">
        <v>186</v>
      </c>
      <c r="S107" s="11" t="s">
        <v>187</v>
      </c>
      <c r="T107" s="11"/>
    </row>
    <row r="108" spans="1:20" s="14" customFormat="1" ht="24" hidden="1" customHeight="1">
      <c r="A108" s="15"/>
      <c r="B108" s="11" t="s">
        <v>182</v>
      </c>
      <c r="C108" s="11" t="s">
        <v>183</v>
      </c>
      <c r="D108" s="11" t="s">
        <v>62</v>
      </c>
      <c r="E108" s="11"/>
      <c r="F108" s="12">
        <v>18</v>
      </c>
      <c r="G108" s="11" t="s">
        <v>32</v>
      </c>
      <c r="H108" s="11" t="s">
        <v>33</v>
      </c>
      <c r="I108" s="11"/>
      <c r="J108" s="11"/>
      <c r="K108" s="11" t="s">
        <v>157</v>
      </c>
      <c r="L108" s="12">
        <v>113400</v>
      </c>
      <c r="M108" s="12">
        <v>34020</v>
      </c>
      <c r="N108" s="11">
        <v>2020.9</v>
      </c>
      <c r="O108" s="11" t="s">
        <v>184</v>
      </c>
      <c r="P108" s="11" t="s">
        <v>185</v>
      </c>
      <c r="Q108" s="11">
        <v>18600151606</v>
      </c>
      <c r="R108" s="11" t="s">
        <v>186</v>
      </c>
      <c r="S108" s="11" t="s">
        <v>187</v>
      </c>
      <c r="T108" s="11"/>
    </row>
    <row r="109" spans="1:20" s="14" customFormat="1" ht="24" hidden="1" customHeight="1">
      <c r="A109" s="15"/>
      <c r="B109" s="11" t="s">
        <v>188</v>
      </c>
      <c r="C109" s="11" t="s">
        <v>183</v>
      </c>
      <c r="D109" s="11" t="s">
        <v>62</v>
      </c>
      <c r="E109" s="11"/>
      <c r="F109" s="12">
        <v>85.372</v>
      </c>
      <c r="G109" s="11" t="s">
        <v>32</v>
      </c>
      <c r="H109" s="11" t="s">
        <v>33</v>
      </c>
      <c r="I109" s="11"/>
      <c r="J109" s="11"/>
      <c r="K109" s="11" t="s">
        <v>157</v>
      </c>
      <c r="L109" s="12">
        <v>537843.6</v>
      </c>
      <c r="M109" s="12">
        <v>161353.07999999999</v>
      </c>
      <c r="N109" s="11">
        <v>2020.9</v>
      </c>
      <c r="O109" s="11" t="s">
        <v>184</v>
      </c>
      <c r="P109" s="11" t="s">
        <v>185</v>
      </c>
      <c r="Q109" s="11">
        <v>18600151606</v>
      </c>
      <c r="R109" s="11" t="s">
        <v>186</v>
      </c>
      <c r="S109" s="11" t="s">
        <v>187</v>
      </c>
      <c r="T109" s="11"/>
    </row>
    <row r="110" spans="1:20" s="14" customFormat="1" ht="24" hidden="1" customHeight="1">
      <c r="A110" s="15"/>
      <c r="B110" s="11" t="s">
        <v>189</v>
      </c>
      <c r="C110" s="11" t="s">
        <v>190</v>
      </c>
      <c r="D110" s="11" t="s">
        <v>62</v>
      </c>
      <c r="E110" s="11"/>
      <c r="F110" s="12">
        <v>11</v>
      </c>
      <c r="G110" s="11" t="s">
        <v>32</v>
      </c>
      <c r="H110" s="11" t="s">
        <v>33</v>
      </c>
      <c r="I110" s="11"/>
      <c r="J110" s="11"/>
      <c r="K110" s="11" t="s">
        <v>157</v>
      </c>
      <c r="L110" s="12">
        <v>69300</v>
      </c>
      <c r="M110" s="12">
        <v>20790</v>
      </c>
      <c r="N110" s="11">
        <v>2020.6</v>
      </c>
      <c r="O110" s="11" t="s">
        <v>191</v>
      </c>
      <c r="P110" s="11" t="s">
        <v>185</v>
      </c>
      <c r="Q110" s="11">
        <v>18600151606</v>
      </c>
      <c r="R110" s="11" t="s">
        <v>186</v>
      </c>
      <c r="S110" s="11" t="s">
        <v>187</v>
      </c>
      <c r="T110" s="11"/>
    </row>
    <row r="111" spans="1:20" s="14" customFormat="1" ht="24" hidden="1" customHeight="1">
      <c r="A111" s="15"/>
      <c r="B111" s="11" t="s">
        <v>192</v>
      </c>
      <c r="C111" s="11" t="s">
        <v>193</v>
      </c>
      <c r="D111" s="11" t="s">
        <v>62</v>
      </c>
      <c r="E111" s="11"/>
      <c r="F111" s="12">
        <v>13</v>
      </c>
      <c r="G111" s="11" t="s">
        <v>32</v>
      </c>
      <c r="H111" s="11" t="s">
        <v>33</v>
      </c>
      <c r="I111" s="11"/>
      <c r="J111" s="11"/>
      <c r="K111" s="11" t="s">
        <v>157</v>
      </c>
      <c r="L111" s="12">
        <v>81900</v>
      </c>
      <c r="M111" s="12">
        <v>24570</v>
      </c>
      <c r="N111" s="11">
        <v>2020.6</v>
      </c>
      <c r="O111" s="11" t="s">
        <v>194</v>
      </c>
      <c r="P111" s="11" t="s">
        <v>185</v>
      </c>
      <c r="Q111" s="11">
        <v>18600151606</v>
      </c>
      <c r="R111" s="11" t="s">
        <v>186</v>
      </c>
      <c r="S111" s="11" t="s">
        <v>187</v>
      </c>
      <c r="T111" s="11"/>
    </row>
    <row r="112" spans="1:20" s="14" customFormat="1" ht="24" hidden="1" customHeight="1">
      <c r="A112" s="15"/>
      <c r="B112" s="11" t="s">
        <v>192</v>
      </c>
      <c r="C112" s="11" t="s">
        <v>195</v>
      </c>
      <c r="D112" s="11" t="s">
        <v>62</v>
      </c>
      <c r="E112" s="11"/>
      <c r="F112" s="12">
        <v>13</v>
      </c>
      <c r="G112" s="11" t="s">
        <v>32</v>
      </c>
      <c r="H112" s="11" t="s">
        <v>33</v>
      </c>
      <c r="I112" s="11"/>
      <c r="J112" s="11"/>
      <c r="K112" s="11" t="s">
        <v>157</v>
      </c>
      <c r="L112" s="12">
        <v>81900</v>
      </c>
      <c r="M112" s="12">
        <v>24570</v>
      </c>
      <c r="N112" s="11">
        <v>2020.6</v>
      </c>
      <c r="O112" s="11" t="s">
        <v>184</v>
      </c>
      <c r="P112" s="11" t="s">
        <v>185</v>
      </c>
      <c r="Q112" s="11">
        <v>18600151606</v>
      </c>
      <c r="R112" s="11" t="s">
        <v>186</v>
      </c>
      <c r="S112" s="11" t="s">
        <v>187</v>
      </c>
      <c r="T112" s="11"/>
    </row>
    <row r="113" spans="1:20" s="14" customFormat="1" ht="24" hidden="1" customHeight="1">
      <c r="A113" s="15"/>
      <c r="B113" s="11" t="s">
        <v>135</v>
      </c>
      <c r="C113" s="11" t="s">
        <v>196</v>
      </c>
      <c r="D113" s="11" t="s">
        <v>62</v>
      </c>
      <c r="E113" s="11"/>
      <c r="F113" s="35">
        <v>68</v>
      </c>
      <c r="G113" s="11" t="s">
        <v>32</v>
      </c>
      <c r="H113" s="11" t="s">
        <v>33</v>
      </c>
      <c r="I113" s="11"/>
      <c r="J113" s="11"/>
      <c r="K113" s="11" t="s">
        <v>63</v>
      </c>
      <c r="L113" s="12">
        <v>428400</v>
      </c>
      <c r="M113" s="12">
        <v>278460</v>
      </c>
      <c r="N113" s="36" t="s">
        <v>197</v>
      </c>
      <c r="O113" s="11" t="s">
        <v>184</v>
      </c>
      <c r="P113" s="11" t="s">
        <v>185</v>
      </c>
      <c r="Q113" s="11">
        <v>18600151606</v>
      </c>
      <c r="R113" s="11" t="s">
        <v>186</v>
      </c>
      <c r="S113" s="11" t="s">
        <v>187</v>
      </c>
      <c r="T113" s="11"/>
    </row>
    <row r="114" spans="1:20" s="14" customFormat="1" ht="24" hidden="1" customHeight="1">
      <c r="A114" s="15"/>
      <c r="B114" s="11" t="s">
        <v>198</v>
      </c>
      <c r="C114" s="11" t="s">
        <v>199</v>
      </c>
      <c r="D114" s="11" t="s">
        <v>62</v>
      </c>
      <c r="E114" s="11"/>
      <c r="F114" s="11">
        <v>24.09</v>
      </c>
      <c r="G114" s="11" t="s">
        <v>32</v>
      </c>
      <c r="H114" s="11" t="s">
        <v>33</v>
      </c>
      <c r="I114" s="11"/>
      <c r="J114" s="11"/>
      <c r="K114" s="11" t="s">
        <v>63</v>
      </c>
      <c r="L114" s="12">
        <v>186842.04</v>
      </c>
      <c r="M114" s="12">
        <v>121447.326</v>
      </c>
      <c r="N114" s="36" t="s">
        <v>197</v>
      </c>
      <c r="O114" s="11" t="s">
        <v>184</v>
      </c>
      <c r="P114" s="11" t="s">
        <v>185</v>
      </c>
      <c r="Q114" s="11">
        <v>18600151606</v>
      </c>
      <c r="R114" s="11" t="s">
        <v>186</v>
      </c>
      <c r="S114" s="11" t="s">
        <v>187</v>
      </c>
      <c r="T114" s="11"/>
    </row>
    <row r="115" spans="1:20" s="14" customFormat="1" ht="24" hidden="1" customHeight="1">
      <c r="A115" s="15"/>
      <c r="B115" s="11" t="s">
        <v>198</v>
      </c>
      <c r="C115" s="11" t="s">
        <v>200</v>
      </c>
      <c r="D115" s="11" t="s">
        <v>62</v>
      </c>
      <c r="E115" s="11"/>
      <c r="F115" s="11">
        <v>13.84</v>
      </c>
      <c r="G115" s="11" t="s">
        <v>32</v>
      </c>
      <c r="H115" s="11" t="s">
        <v>33</v>
      </c>
      <c r="I115" s="11"/>
      <c r="J115" s="11"/>
      <c r="K115" s="11" t="s">
        <v>63</v>
      </c>
      <c r="L115" s="12">
        <v>107343.03999999999</v>
      </c>
      <c r="M115" s="12">
        <v>69772.975999999995</v>
      </c>
      <c r="N115" s="36" t="s">
        <v>197</v>
      </c>
      <c r="O115" s="11" t="s">
        <v>184</v>
      </c>
      <c r="P115" s="11" t="s">
        <v>185</v>
      </c>
      <c r="Q115" s="11">
        <v>18600151606</v>
      </c>
      <c r="R115" s="11" t="s">
        <v>186</v>
      </c>
      <c r="S115" s="11" t="s">
        <v>187</v>
      </c>
      <c r="T115" s="11"/>
    </row>
    <row r="116" spans="1:20" s="14" customFormat="1" ht="24" hidden="1" customHeight="1">
      <c r="A116" s="15"/>
      <c r="B116" s="11" t="s">
        <v>104</v>
      </c>
      <c r="C116" s="11" t="s">
        <v>201</v>
      </c>
      <c r="D116" s="11" t="s">
        <v>62</v>
      </c>
      <c r="E116" s="11"/>
      <c r="F116" s="11">
        <v>16.21</v>
      </c>
      <c r="G116" s="11" t="s">
        <v>32</v>
      </c>
      <c r="H116" s="11" t="s">
        <v>33</v>
      </c>
      <c r="I116" s="11"/>
      <c r="J116" s="11"/>
      <c r="K116" s="11" t="s">
        <v>63</v>
      </c>
      <c r="L116" s="12">
        <v>125724.76</v>
      </c>
      <c r="M116" s="12">
        <v>83636.826000000001</v>
      </c>
      <c r="N116" s="36" t="s">
        <v>197</v>
      </c>
      <c r="O116" s="11" t="s">
        <v>184</v>
      </c>
      <c r="P116" s="11" t="s">
        <v>185</v>
      </c>
      <c r="Q116" s="11">
        <v>18600151606</v>
      </c>
      <c r="R116" s="11" t="s">
        <v>186</v>
      </c>
      <c r="S116" s="11" t="s">
        <v>187</v>
      </c>
      <c r="T116" s="11"/>
    </row>
    <row r="117" spans="1:20" s="14" customFormat="1" ht="24" hidden="1" customHeight="1">
      <c r="A117" s="15"/>
      <c r="B117" s="11" t="s">
        <v>202</v>
      </c>
      <c r="C117" s="11"/>
      <c r="D117" s="11" t="s">
        <v>62</v>
      </c>
      <c r="E117" s="11"/>
      <c r="F117" s="11">
        <v>26</v>
      </c>
      <c r="G117" s="11" t="s">
        <v>32</v>
      </c>
      <c r="H117" s="11" t="s">
        <v>33</v>
      </c>
      <c r="I117" s="11"/>
      <c r="J117" s="11"/>
      <c r="K117" s="11" t="s">
        <v>63</v>
      </c>
      <c r="L117" s="12">
        <v>201656</v>
      </c>
      <c r="M117" s="12">
        <v>131076.4</v>
      </c>
      <c r="N117" s="36" t="s">
        <v>197</v>
      </c>
      <c r="O117" s="11" t="s">
        <v>184</v>
      </c>
      <c r="P117" s="11" t="s">
        <v>185</v>
      </c>
      <c r="Q117" s="11">
        <v>18600151606</v>
      </c>
      <c r="R117" s="11" t="s">
        <v>186</v>
      </c>
      <c r="S117" s="11" t="s">
        <v>187</v>
      </c>
      <c r="T117" s="11"/>
    </row>
    <row r="118" spans="1:20" s="14" customFormat="1" ht="24" hidden="1" customHeight="1">
      <c r="A118" s="15"/>
      <c r="B118" s="10" t="s">
        <v>171</v>
      </c>
      <c r="C118" s="11" t="s">
        <v>203</v>
      </c>
      <c r="D118" s="11" t="s">
        <v>62</v>
      </c>
      <c r="E118" s="11"/>
      <c r="F118" s="11">
        <v>79.02</v>
      </c>
      <c r="G118" s="25" t="s">
        <v>32</v>
      </c>
      <c r="H118" s="25" t="s">
        <v>33</v>
      </c>
      <c r="I118" s="10"/>
      <c r="J118" s="10"/>
      <c r="K118" s="11" t="s">
        <v>204</v>
      </c>
      <c r="L118" s="20">
        <v>647964</v>
      </c>
      <c r="M118" s="20">
        <v>421176.6</v>
      </c>
      <c r="N118" s="36" t="s">
        <v>205</v>
      </c>
      <c r="O118" s="25" t="s">
        <v>191</v>
      </c>
      <c r="P118" s="37" t="s">
        <v>185</v>
      </c>
      <c r="Q118" s="38">
        <v>18600151607</v>
      </c>
      <c r="R118" s="11" t="s">
        <v>186</v>
      </c>
      <c r="S118" s="38" t="s">
        <v>187</v>
      </c>
      <c r="T118" s="39"/>
    </row>
    <row r="119" spans="1:20" s="14" customFormat="1" ht="24" hidden="1" customHeight="1">
      <c r="A119" s="15"/>
      <c r="B119" s="10" t="s">
        <v>135</v>
      </c>
      <c r="C119" s="11" t="s">
        <v>206</v>
      </c>
      <c r="D119" s="11" t="s">
        <v>62</v>
      </c>
      <c r="E119" s="11"/>
      <c r="F119" s="11">
        <v>23.1</v>
      </c>
      <c r="G119" s="25" t="s">
        <v>32</v>
      </c>
      <c r="H119" s="25" t="s">
        <v>33</v>
      </c>
      <c r="I119" s="10"/>
      <c r="J119" s="10"/>
      <c r="K119" s="11" t="s">
        <v>207</v>
      </c>
      <c r="L119" s="20">
        <v>57750</v>
      </c>
      <c r="M119" s="20">
        <v>57750</v>
      </c>
      <c r="N119" s="36" t="s">
        <v>208</v>
      </c>
      <c r="O119" s="25" t="s">
        <v>194</v>
      </c>
      <c r="P119" s="37" t="s">
        <v>185</v>
      </c>
      <c r="Q119" s="38">
        <v>18600151608</v>
      </c>
      <c r="R119" s="11" t="s">
        <v>186</v>
      </c>
      <c r="S119" s="38" t="s">
        <v>187</v>
      </c>
      <c r="T119" s="39"/>
    </row>
    <row r="120" spans="1:20" s="14" customFormat="1" ht="24" hidden="1" customHeight="1">
      <c r="A120" s="15"/>
      <c r="B120" s="10" t="s">
        <v>135</v>
      </c>
      <c r="C120" s="11" t="s">
        <v>209</v>
      </c>
      <c r="D120" s="11" t="s">
        <v>62</v>
      </c>
      <c r="E120" s="11"/>
      <c r="F120" s="11">
        <v>40.04</v>
      </c>
      <c r="G120" s="25" t="s">
        <v>32</v>
      </c>
      <c r="H120" s="25" t="s">
        <v>33</v>
      </c>
      <c r="I120" s="10"/>
      <c r="J120" s="10"/>
      <c r="K120" s="11" t="s">
        <v>207</v>
      </c>
      <c r="L120" s="20">
        <v>100100</v>
      </c>
      <c r="M120" s="20">
        <v>100100</v>
      </c>
      <c r="N120" s="36" t="s">
        <v>208</v>
      </c>
      <c r="O120" s="25" t="s">
        <v>210</v>
      </c>
      <c r="P120" s="37" t="s">
        <v>185</v>
      </c>
      <c r="Q120" s="38">
        <v>18600151609</v>
      </c>
      <c r="R120" s="11" t="s">
        <v>186</v>
      </c>
      <c r="S120" s="38" t="s">
        <v>187</v>
      </c>
      <c r="T120" s="39"/>
    </row>
    <row r="121" spans="1:20" s="14" customFormat="1" ht="24" customHeight="1">
      <c r="A121" s="15"/>
      <c r="B121" s="11" t="s">
        <v>211</v>
      </c>
      <c r="C121" s="11" t="s">
        <v>212</v>
      </c>
      <c r="D121" s="11" t="s">
        <v>62</v>
      </c>
      <c r="E121" s="9">
        <v>66.760000000000005</v>
      </c>
      <c r="F121" s="9"/>
      <c r="G121" s="11" t="s">
        <v>87</v>
      </c>
      <c r="H121" s="11" t="s">
        <v>41</v>
      </c>
      <c r="I121" s="11" t="s">
        <v>213</v>
      </c>
      <c r="J121" s="11" t="s">
        <v>214</v>
      </c>
      <c r="K121" s="11" t="s">
        <v>215</v>
      </c>
      <c r="L121" s="12">
        <v>186928</v>
      </c>
      <c r="M121" s="12">
        <v>56078.400000000001</v>
      </c>
      <c r="N121" s="23">
        <v>41852</v>
      </c>
      <c r="O121" s="11" t="s">
        <v>216</v>
      </c>
      <c r="P121" s="11" t="s">
        <v>217</v>
      </c>
      <c r="Q121" s="11">
        <v>13911525139</v>
      </c>
      <c r="R121" s="11" t="s">
        <v>218</v>
      </c>
      <c r="S121" s="11" t="s">
        <v>77</v>
      </c>
      <c r="T121" s="11"/>
    </row>
    <row r="122" spans="1:20" s="14" customFormat="1" ht="24" customHeight="1">
      <c r="A122" s="15"/>
      <c r="B122" s="11" t="s">
        <v>219</v>
      </c>
      <c r="C122" s="11" t="s">
        <v>220</v>
      </c>
      <c r="D122" s="11" t="s">
        <v>62</v>
      </c>
      <c r="E122" s="9">
        <v>18.72</v>
      </c>
      <c r="F122" s="9"/>
      <c r="G122" s="11" t="s">
        <v>87</v>
      </c>
      <c r="H122" s="11" t="s">
        <v>41</v>
      </c>
      <c r="I122" s="11" t="s">
        <v>213</v>
      </c>
      <c r="J122" s="11" t="s">
        <v>214</v>
      </c>
      <c r="K122" s="11" t="s">
        <v>215</v>
      </c>
      <c r="L122" s="12">
        <v>52416</v>
      </c>
      <c r="M122" s="12">
        <v>15724.8</v>
      </c>
      <c r="N122" s="23">
        <v>41852</v>
      </c>
      <c r="O122" s="11" t="s">
        <v>216</v>
      </c>
      <c r="P122" s="11" t="s">
        <v>217</v>
      </c>
      <c r="Q122" s="11">
        <v>13911525139</v>
      </c>
      <c r="R122" s="11" t="s">
        <v>218</v>
      </c>
      <c r="S122" s="11" t="s">
        <v>77</v>
      </c>
      <c r="T122" s="11"/>
    </row>
    <row r="123" spans="1:20" s="14" customFormat="1" ht="24" customHeight="1">
      <c r="A123" s="15"/>
      <c r="B123" s="11" t="s">
        <v>221</v>
      </c>
      <c r="C123" s="11" t="s">
        <v>222</v>
      </c>
      <c r="D123" s="11" t="s">
        <v>62</v>
      </c>
      <c r="E123" s="9">
        <v>45.12</v>
      </c>
      <c r="F123" s="9"/>
      <c r="G123" s="11" t="s">
        <v>87</v>
      </c>
      <c r="H123" s="11" t="s">
        <v>41</v>
      </c>
      <c r="I123" s="11" t="s">
        <v>213</v>
      </c>
      <c r="J123" s="11" t="s">
        <v>214</v>
      </c>
      <c r="K123" s="11" t="s">
        <v>215</v>
      </c>
      <c r="L123" s="12">
        <v>126336</v>
      </c>
      <c r="M123" s="12">
        <v>37900.800000000003</v>
      </c>
      <c r="N123" s="23">
        <v>41913</v>
      </c>
      <c r="O123" s="11" t="s">
        <v>216</v>
      </c>
      <c r="P123" s="11" t="s">
        <v>217</v>
      </c>
      <c r="Q123" s="11">
        <v>13911525139</v>
      </c>
      <c r="R123" s="11" t="s">
        <v>218</v>
      </c>
      <c r="S123" s="11" t="s">
        <v>77</v>
      </c>
      <c r="T123" s="11"/>
    </row>
    <row r="124" spans="1:20" s="14" customFormat="1" ht="24" customHeight="1">
      <c r="A124" s="15"/>
      <c r="B124" s="11" t="s">
        <v>135</v>
      </c>
      <c r="C124" s="11" t="s">
        <v>223</v>
      </c>
      <c r="D124" s="11" t="s">
        <v>62</v>
      </c>
      <c r="E124" s="9">
        <v>84.96</v>
      </c>
      <c r="F124" s="9"/>
      <c r="G124" s="11" t="s">
        <v>87</v>
      </c>
      <c r="H124" s="11" t="s">
        <v>41</v>
      </c>
      <c r="I124" s="11" t="s">
        <v>213</v>
      </c>
      <c r="J124" s="11" t="s">
        <v>214</v>
      </c>
      <c r="K124" s="11" t="s">
        <v>215</v>
      </c>
      <c r="L124" s="12">
        <v>237888</v>
      </c>
      <c r="M124" s="12">
        <v>71366.399999999994</v>
      </c>
      <c r="N124" s="23">
        <v>41913</v>
      </c>
      <c r="O124" s="11" t="s">
        <v>216</v>
      </c>
      <c r="P124" s="11" t="s">
        <v>217</v>
      </c>
      <c r="Q124" s="11">
        <v>13911525139</v>
      </c>
      <c r="R124" s="11" t="s">
        <v>218</v>
      </c>
      <c r="S124" s="11" t="s">
        <v>77</v>
      </c>
      <c r="T124" s="11"/>
    </row>
    <row r="125" spans="1:20" s="14" customFormat="1" ht="24" customHeight="1">
      <c r="A125" s="15"/>
      <c r="B125" s="11" t="s">
        <v>171</v>
      </c>
      <c r="C125" s="11" t="s">
        <v>174</v>
      </c>
      <c r="D125" s="11" t="s">
        <v>62</v>
      </c>
      <c r="E125" s="9">
        <v>28</v>
      </c>
      <c r="F125" s="9"/>
      <c r="G125" s="11" t="s">
        <v>87</v>
      </c>
      <c r="H125" s="11" t="s">
        <v>41</v>
      </c>
      <c r="I125" s="11" t="s">
        <v>213</v>
      </c>
      <c r="J125" s="11" t="s">
        <v>214</v>
      </c>
      <c r="K125" s="11" t="s">
        <v>215</v>
      </c>
      <c r="L125" s="12">
        <v>179200</v>
      </c>
      <c r="M125" s="12">
        <v>53760</v>
      </c>
      <c r="N125" s="23">
        <v>41913</v>
      </c>
      <c r="O125" s="11" t="s">
        <v>216</v>
      </c>
      <c r="P125" s="11" t="s">
        <v>217</v>
      </c>
      <c r="Q125" s="11">
        <v>13911525139</v>
      </c>
      <c r="R125" s="11" t="s">
        <v>218</v>
      </c>
      <c r="S125" s="11" t="s">
        <v>77</v>
      </c>
      <c r="T125" s="11"/>
    </row>
    <row r="126" spans="1:20" s="14" customFormat="1" ht="24" customHeight="1">
      <c r="A126" s="15"/>
      <c r="B126" s="11" t="s">
        <v>171</v>
      </c>
      <c r="C126" s="11" t="s">
        <v>174</v>
      </c>
      <c r="D126" s="11" t="s">
        <v>62</v>
      </c>
      <c r="E126" s="9">
        <v>83.77</v>
      </c>
      <c r="F126" s="9"/>
      <c r="G126" s="11" t="s">
        <v>87</v>
      </c>
      <c r="H126" s="11" t="s">
        <v>41</v>
      </c>
      <c r="I126" s="11" t="s">
        <v>213</v>
      </c>
      <c r="J126" s="11" t="s">
        <v>214</v>
      </c>
      <c r="K126" s="11" t="s">
        <v>215</v>
      </c>
      <c r="L126" s="12">
        <v>536128</v>
      </c>
      <c r="M126" s="12">
        <v>160838.39999999999</v>
      </c>
      <c r="N126" s="23">
        <v>42299</v>
      </c>
      <c r="O126" s="11" t="s">
        <v>216</v>
      </c>
      <c r="P126" s="11" t="s">
        <v>217</v>
      </c>
      <c r="Q126" s="11">
        <v>13911525139</v>
      </c>
      <c r="R126" s="11" t="s">
        <v>218</v>
      </c>
      <c r="S126" s="11" t="s">
        <v>77</v>
      </c>
      <c r="T126" s="11"/>
    </row>
    <row r="127" spans="1:20" s="14" customFormat="1" ht="24" customHeight="1">
      <c r="A127" s="15"/>
      <c r="B127" s="11" t="s">
        <v>171</v>
      </c>
      <c r="C127" s="11" t="s">
        <v>174</v>
      </c>
      <c r="D127" s="11" t="s">
        <v>62</v>
      </c>
      <c r="E127" s="9">
        <v>86</v>
      </c>
      <c r="F127" s="9"/>
      <c r="G127" s="11" t="s">
        <v>87</v>
      </c>
      <c r="H127" s="11" t="s">
        <v>41</v>
      </c>
      <c r="I127" s="11" t="s">
        <v>213</v>
      </c>
      <c r="J127" s="11" t="s">
        <v>214</v>
      </c>
      <c r="K127" s="11" t="s">
        <v>215</v>
      </c>
      <c r="L127" s="12">
        <v>550400</v>
      </c>
      <c r="M127" s="12">
        <v>165120</v>
      </c>
      <c r="N127" s="23">
        <v>42430</v>
      </c>
      <c r="O127" s="11" t="s">
        <v>216</v>
      </c>
      <c r="P127" s="11" t="s">
        <v>217</v>
      </c>
      <c r="Q127" s="11">
        <v>13911525139</v>
      </c>
      <c r="R127" s="11" t="s">
        <v>218</v>
      </c>
      <c r="S127" s="11" t="s">
        <v>77</v>
      </c>
      <c r="T127" s="11"/>
    </row>
    <row r="128" spans="1:20" s="14" customFormat="1" ht="24" customHeight="1">
      <c r="A128" s="15"/>
      <c r="B128" s="11" t="s">
        <v>171</v>
      </c>
      <c r="C128" s="11" t="s">
        <v>174</v>
      </c>
      <c r="D128" s="11" t="s">
        <v>62</v>
      </c>
      <c r="E128" s="9">
        <v>19.98</v>
      </c>
      <c r="F128" s="9"/>
      <c r="G128" s="11" t="s">
        <v>87</v>
      </c>
      <c r="H128" s="11" t="s">
        <v>41</v>
      </c>
      <c r="I128" s="11" t="s">
        <v>213</v>
      </c>
      <c r="J128" s="11" t="s">
        <v>214</v>
      </c>
      <c r="K128" s="11" t="s">
        <v>215</v>
      </c>
      <c r="L128" s="12">
        <v>99900</v>
      </c>
      <c r="M128" s="12">
        <v>29970</v>
      </c>
      <c r="N128" s="23">
        <v>42705</v>
      </c>
      <c r="O128" s="11" t="s">
        <v>216</v>
      </c>
      <c r="P128" s="11" t="s">
        <v>217</v>
      </c>
      <c r="Q128" s="11">
        <v>13911525139</v>
      </c>
      <c r="R128" s="11" t="s">
        <v>218</v>
      </c>
      <c r="S128" s="11" t="s">
        <v>77</v>
      </c>
      <c r="T128" s="11"/>
    </row>
    <row r="129" spans="1:20" s="14" customFormat="1" ht="24" customHeight="1">
      <c r="A129" s="15"/>
      <c r="B129" s="11" t="s">
        <v>171</v>
      </c>
      <c r="C129" s="11" t="s">
        <v>174</v>
      </c>
      <c r="D129" s="11" t="s">
        <v>62</v>
      </c>
      <c r="E129" s="9">
        <v>12.18</v>
      </c>
      <c r="F129" s="9"/>
      <c r="G129" s="11" t="s">
        <v>87</v>
      </c>
      <c r="H129" s="11" t="s">
        <v>41</v>
      </c>
      <c r="I129" s="11" t="s">
        <v>213</v>
      </c>
      <c r="J129" s="11" t="s">
        <v>214</v>
      </c>
      <c r="K129" s="11" t="s">
        <v>215</v>
      </c>
      <c r="L129" s="12">
        <v>60900</v>
      </c>
      <c r="M129" s="12">
        <v>18270</v>
      </c>
      <c r="N129" s="23">
        <v>42705</v>
      </c>
      <c r="O129" s="11" t="s">
        <v>216</v>
      </c>
      <c r="P129" s="11" t="s">
        <v>217</v>
      </c>
      <c r="Q129" s="11">
        <v>13911525139</v>
      </c>
      <c r="R129" s="11" t="s">
        <v>218</v>
      </c>
      <c r="S129" s="11" t="s">
        <v>77</v>
      </c>
      <c r="T129" s="11"/>
    </row>
    <row r="130" spans="1:20" ht="24" hidden="1" customHeight="1">
      <c r="A130" s="15"/>
      <c r="B130" s="11" t="s">
        <v>224</v>
      </c>
      <c r="C130" s="11" t="s">
        <v>225</v>
      </c>
      <c r="D130" s="11" t="s">
        <v>62</v>
      </c>
      <c r="E130" s="9">
        <v>3.36</v>
      </c>
      <c r="F130" s="9"/>
      <c r="G130" s="11" t="s">
        <v>32</v>
      </c>
      <c r="H130" s="11" t="s">
        <v>33</v>
      </c>
      <c r="I130" s="11" t="s">
        <v>34</v>
      </c>
      <c r="J130" s="11" t="s">
        <v>34</v>
      </c>
      <c r="K130" s="11" t="s">
        <v>226</v>
      </c>
      <c r="L130" s="12">
        <v>25368</v>
      </c>
      <c r="M130" s="12">
        <v>22449.557522123901</v>
      </c>
      <c r="N130" s="11">
        <v>2021.9</v>
      </c>
      <c r="O130" s="11" t="s">
        <v>227</v>
      </c>
      <c r="P130" s="11" t="s">
        <v>119</v>
      </c>
      <c r="Q130" s="11">
        <v>18611227933</v>
      </c>
      <c r="R130" s="11" t="s">
        <v>120</v>
      </c>
      <c r="S130" s="11" t="s">
        <v>93</v>
      </c>
      <c r="T130" s="11"/>
    </row>
    <row r="131" spans="1:20" ht="24" hidden="1" customHeight="1">
      <c r="A131" s="15"/>
      <c r="B131" s="11" t="s">
        <v>228</v>
      </c>
      <c r="C131" s="11" t="s">
        <v>34</v>
      </c>
      <c r="D131" s="10" t="s">
        <v>62</v>
      </c>
      <c r="E131" s="11">
        <v>56.18</v>
      </c>
      <c r="F131" s="11"/>
      <c r="G131" s="11" t="s">
        <v>32</v>
      </c>
      <c r="H131" s="11" t="s">
        <v>33</v>
      </c>
      <c r="I131" s="10"/>
      <c r="J131" s="11"/>
      <c r="K131" s="11" t="s">
        <v>229</v>
      </c>
      <c r="L131" s="12">
        <v>325645.13274336298</v>
      </c>
      <c r="M131" s="40"/>
      <c r="N131" s="11">
        <v>2020.12</v>
      </c>
      <c r="O131" s="11" t="s">
        <v>118</v>
      </c>
      <c r="P131" s="10" t="s">
        <v>119</v>
      </c>
      <c r="Q131" s="11">
        <v>18611227933</v>
      </c>
      <c r="R131" s="25" t="s">
        <v>120</v>
      </c>
      <c r="S131" s="11" t="s">
        <v>93</v>
      </c>
      <c r="T131" s="11"/>
    </row>
    <row r="132" spans="1:20" s="14" customFormat="1" ht="24" customHeight="1">
      <c r="A132" s="15"/>
      <c r="B132" s="11" t="s">
        <v>171</v>
      </c>
      <c r="C132" s="11" t="s">
        <v>172</v>
      </c>
      <c r="D132" s="11" t="s">
        <v>62</v>
      </c>
      <c r="E132" s="9">
        <v>146.88</v>
      </c>
      <c r="F132" s="9"/>
      <c r="G132" s="11" t="s">
        <v>32</v>
      </c>
      <c r="H132" s="11" t="s">
        <v>41</v>
      </c>
      <c r="I132" s="11" t="s">
        <v>179</v>
      </c>
      <c r="J132" s="11" t="s">
        <v>179</v>
      </c>
      <c r="K132" s="11" t="s">
        <v>226</v>
      </c>
      <c r="L132" s="12">
        <v>951597</v>
      </c>
      <c r="M132" s="12">
        <v>252638.37</v>
      </c>
      <c r="N132" s="24">
        <v>43770</v>
      </c>
      <c r="O132" s="11" t="s">
        <v>230</v>
      </c>
      <c r="P132" s="11" t="s">
        <v>231</v>
      </c>
      <c r="Q132" s="11">
        <v>13303675352</v>
      </c>
      <c r="R132" s="11" t="s">
        <v>232</v>
      </c>
      <c r="S132" s="11" t="s">
        <v>39</v>
      </c>
      <c r="T132" s="11"/>
    </row>
    <row r="133" spans="1:20" s="14" customFormat="1" ht="24" customHeight="1">
      <c r="A133" s="15"/>
      <c r="B133" s="11" t="s">
        <v>233</v>
      </c>
      <c r="C133" s="11" t="s">
        <v>234</v>
      </c>
      <c r="D133" s="11" t="s">
        <v>62</v>
      </c>
      <c r="E133" s="9">
        <v>50.04</v>
      </c>
      <c r="F133" s="9"/>
      <c r="G133" s="11" t="s">
        <v>32</v>
      </c>
      <c r="H133" s="11" t="s">
        <v>41</v>
      </c>
      <c r="I133" s="11" t="s">
        <v>179</v>
      </c>
      <c r="J133" s="11" t="s">
        <v>179</v>
      </c>
      <c r="K133" s="11" t="s">
        <v>235</v>
      </c>
      <c r="L133" s="12">
        <v>357285.6</v>
      </c>
      <c r="M133" s="12">
        <v>94854.59</v>
      </c>
      <c r="N133" s="24">
        <v>43800</v>
      </c>
      <c r="O133" s="11" t="s">
        <v>236</v>
      </c>
      <c r="P133" s="11" t="s">
        <v>231</v>
      </c>
      <c r="Q133" s="11">
        <v>13303675352</v>
      </c>
      <c r="R133" s="11" t="s">
        <v>232</v>
      </c>
      <c r="S133" s="11" t="s">
        <v>39</v>
      </c>
      <c r="T133" s="11"/>
    </row>
    <row r="134" spans="1:20" s="14" customFormat="1" ht="24" customHeight="1">
      <c r="A134" s="15"/>
      <c r="B134" s="11" t="s">
        <v>237</v>
      </c>
      <c r="C134" s="11" t="s">
        <v>238</v>
      </c>
      <c r="D134" s="11" t="s">
        <v>62</v>
      </c>
      <c r="E134" s="9">
        <v>49.56</v>
      </c>
      <c r="F134" s="9"/>
      <c r="G134" s="11" t="s">
        <v>32</v>
      </c>
      <c r="H134" s="11" t="s">
        <v>41</v>
      </c>
      <c r="I134" s="11" t="s">
        <v>179</v>
      </c>
      <c r="J134" s="11" t="s">
        <v>179</v>
      </c>
      <c r="K134" s="11" t="s">
        <v>226</v>
      </c>
      <c r="L134" s="12">
        <v>337008</v>
      </c>
      <c r="M134" s="12">
        <v>89471.15</v>
      </c>
      <c r="N134" s="24">
        <v>43983</v>
      </c>
      <c r="O134" s="11" t="s">
        <v>236</v>
      </c>
      <c r="P134" s="11" t="s">
        <v>231</v>
      </c>
      <c r="Q134" s="11">
        <v>13303675352</v>
      </c>
      <c r="R134" s="11" t="s">
        <v>232</v>
      </c>
      <c r="S134" s="11" t="s">
        <v>39</v>
      </c>
      <c r="T134" s="11"/>
    </row>
    <row r="135" spans="1:20" s="14" customFormat="1" ht="24" customHeight="1">
      <c r="A135" s="15"/>
      <c r="B135" s="11" t="s">
        <v>135</v>
      </c>
      <c r="C135" s="11" t="s">
        <v>239</v>
      </c>
      <c r="D135" s="11" t="s">
        <v>62</v>
      </c>
      <c r="E135" s="9">
        <v>59.1</v>
      </c>
      <c r="F135" s="9"/>
      <c r="G135" s="11" t="s">
        <v>32</v>
      </c>
      <c r="H135" s="11" t="s">
        <v>41</v>
      </c>
      <c r="I135" s="11" t="s">
        <v>179</v>
      </c>
      <c r="J135" s="11" t="s">
        <v>179</v>
      </c>
      <c r="K135" s="11" t="s">
        <v>240</v>
      </c>
      <c r="L135" s="12">
        <v>350415.92</v>
      </c>
      <c r="M135" s="12">
        <v>105124.78</v>
      </c>
      <c r="N135" s="24">
        <v>44013</v>
      </c>
      <c r="O135" s="11" t="s">
        <v>236</v>
      </c>
      <c r="P135" s="11" t="s">
        <v>231</v>
      </c>
      <c r="Q135" s="11">
        <v>13303675352</v>
      </c>
      <c r="R135" s="11" t="s">
        <v>232</v>
      </c>
      <c r="S135" s="11" t="s">
        <v>39</v>
      </c>
      <c r="T135" s="11"/>
    </row>
    <row r="136" spans="1:20" s="14" customFormat="1" ht="24" customHeight="1">
      <c r="A136" s="15"/>
      <c r="B136" s="11" t="s">
        <v>241</v>
      </c>
      <c r="C136" s="11" t="s">
        <v>239</v>
      </c>
      <c r="D136" s="11" t="s">
        <v>62</v>
      </c>
      <c r="E136" s="9">
        <v>29.56</v>
      </c>
      <c r="F136" s="9"/>
      <c r="G136" s="11" t="s">
        <v>32</v>
      </c>
      <c r="H136" s="11" t="s">
        <v>41</v>
      </c>
      <c r="I136" s="11" t="s">
        <v>179</v>
      </c>
      <c r="J136" s="11" t="s">
        <v>179</v>
      </c>
      <c r="K136" s="11" t="s">
        <v>240</v>
      </c>
      <c r="L136" s="12">
        <v>169512.21</v>
      </c>
      <c r="M136" s="12">
        <v>50853.66</v>
      </c>
      <c r="N136" s="24">
        <v>44044</v>
      </c>
      <c r="O136" s="11" t="s">
        <v>236</v>
      </c>
      <c r="P136" s="11" t="s">
        <v>231</v>
      </c>
      <c r="Q136" s="11">
        <v>13303675352</v>
      </c>
      <c r="R136" s="11" t="s">
        <v>232</v>
      </c>
      <c r="S136" s="11" t="s">
        <v>39</v>
      </c>
      <c r="T136" s="11"/>
    </row>
    <row r="137" spans="1:20" s="14" customFormat="1" ht="24" customHeight="1">
      <c r="A137" s="15"/>
      <c r="B137" s="11" t="s">
        <v>135</v>
      </c>
      <c r="C137" s="11" t="s">
        <v>239</v>
      </c>
      <c r="D137" s="11" t="s">
        <v>62</v>
      </c>
      <c r="E137" s="9">
        <v>58.124000000000002</v>
      </c>
      <c r="F137" s="9"/>
      <c r="G137" s="11" t="s">
        <v>32</v>
      </c>
      <c r="H137" s="11" t="s">
        <v>41</v>
      </c>
      <c r="I137" s="11" t="s">
        <v>179</v>
      </c>
      <c r="J137" s="11" t="s">
        <v>179</v>
      </c>
      <c r="K137" s="11" t="s">
        <v>235</v>
      </c>
      <c r="L137" s="12">
        <v>338773.8</v>
      </c>
      <c r="M137" s="12">
        <v>101632.14</v>
      </c>
      <c r="N137" s="24">
        <v>44044</v>
      </c>
      <c r="O137" s="11" t="s">
        <v>236</v>
      </c>
      <c r="P137" s="11" t="s">
        <v>231</v>
      </c>
      <c r="Q137" s="11">
        <v>13303675352</v>
      </c>
      <c r="R137" s="11" t="s">
        <v>232</v>
      </c>
      <c r="S137" s="11" t="s">
        <v>39</v>
      </c>
      <c r="T137" s="11"/>
    </row>
    <row r="138" spans="1:20" s="14" customFormat="1" ht="24" customHeight="1">
      <c r="A138" s="15"/>
      <c r="B138" s="11" t="s">
        <v>237</v>
      </c>
      <c r="C138" s="11" t="s">
        <v>239</v>
      </c>
      <c r="D138" s="11" t="s">
        <v>62</v>
      </c>
      <c r="E138" s="9">
        <v>9.7799999999999994</v>
      </c>
      <c r="F138" s="9"/>
      <c r="G138" s="11" t="s">
        <v>32</v>
      </c>
      <c r="H138" s="11" t="s">
        <v>41</v>
      </c>
      <c r="I138" s="11" t="s">
        <v>179</v>
      </c>
      <c r="J138" s="11" t="s">
        <v>179</v>
      </c>
      <c r="K138" s="11" t="s">
        <v>240</v>
      </c>
      <c r="L138" s="12">
        <v>56083.54</v>
      </c>
      <c r="M138" s="12">
        <v>1705.06</v>
      </c>
      <c r="N138" s="24">
        <v>44166</v>
      </c>
      <c r="O138" s="11" t="s">
        <v>242</v>
      </c>
      <c r="P138" s="11" t="s">
        <v>231</v>
      </c>
      <c r="Q138" s="11">
        <v>13303675352</v>
      </c>
      <c r="R138" s="11" t="s">
        <v>232</v>
      </c>
      <c r="S138" s="11" t="s">
        <v>39</v>
      </c>
      <c r="T138" s="11"/>
    </row>
    <row r="139" spans="1:20" s="14" customFormat="1" ht="24" customHeight="1">
      <c r="A139" s="15"/>
      <c r="B139" s="11" t="s">
        <v>171</v>
      </c>
      <c r="C139" s="11" t="s">
        <v>172</v>
      </c>
      <c r="D139" s="11" t="s">
        <v>62</v>
      </c>
      <c r="E139" s="9">
        <v>42.52</v>
      </c>
      <c r="F139" s="9"/>
      <c r="G139" s="11" t="s">
        <v>32</v>
      </c>
      <c r="H139" s="11" t="s">
        <v>41</v>
      </c>
      <c r="I139" s="11" t="s">
        <v>179</v>
      </c>
      <c r="J139" s="11" t="s">
        <v>179</v>
      </c>
      <c r="K139" s="11" t="s">
        <v>226</v>
      </c>
      <c r="L139" s="12">
        <v>250228.32</v>
      </c>
      <c r="M139" s="12">
        <v>75068.5</v>
      </c>
      <c r="N139" s="24">
        <v>44044</v>
      </c>
      <c r="O139" s="11" t="s">
        <v>242</v>
      </c>
      <c r="P139" s="11" t="s">
        <v>231</v>
      </c>
      <c r="Q139" s="11">
        <v>13303675352</v>
      </c>
      <c r="R139" s="11" t="s">
        <v>232</v>
      </c>
      <c r="S139" s="11" t="s">
        <v>39</v>
      </c>
      <c r="T139" s="11"/>
    </row>
    <row r="140" spans="1:20" s="14" customFormat="1" ht="24" customHeight="1">
      <c r="A140" s="15"/>
      <c r="B140" s="11" t="s">
        <v>237</v>
      </c>
      <c r="C140" s="11" t="s">
        <v>239</v>
      </c>
      <c r="D140" s="11" t="s">
        <v>62</v>
      </c>
      <c r="E140" s="9">
        <v>41.17</v>
      </c>
      <c r="F140" s="9"/>
      <c r="G140" s="11" t="s">
        <v>32</v>
      </c>
      <c r="H140" s="11" t="s">
        <v>41</v>
      </c>
      <c r="I140" s="11" t="s">
        <v>179</v>
      </c>
      <c r="J140" s="11" t="s">
        <v>179</v>
      </c>
      <c r="K140" s="11" t="s">
        <v>240</v>
      </c>
      <c r="L140" s="12">
        <v>327301.5</v>
      </c>
      <c r="M140" s="12">
        <v>98190.45</v>
      </c>
      <c r="N140" s="24">
        <v>44287</v>
      </c>
      <c r="O140" s="11" t="s">
        <v>236</v>
      </c>
      <c r="P140" s="11" t="s">
        <v>231</v>
      </c>
      <c r="Q140" s="11">
        <v>13303675352</v>
      </c>
      <c r="R140" s="11" t="s">
        <v>232</v>
      </c>
      <c r="S140" s="11" t="s">
        <v>39</v>
      </c>
      <c r="T140" s="11"/>
    </row>
    <row r="141" spans="1:20" s="14" customFormat="1" ht="24" customHeight="1">
      <c r="A141" s="15"/>
      <c r="B141" s="11" t="s">
        <v>243</v>
      </c>
      <c r="C141" s="11" t="s">
        <v>239</v>
      </c>
      <c r="D141" s="11" t="s">
        <v>62</v>
      </c>
      <c r="E141" s="9">
        <v>19.309999999999999</v>
      </c>
      <c r="F141" s="9"/>
      <c r="G141" s="11" t="s">
        <v>32</v>
      </c>
      <c r="H141" s="11" t="s">
        <v>41</v>
      </c>
      <c r="I141" s="11" t="s">
        <v>179</v>
      </c>
      <c r="J141" s="11" t="s">
        <v>179</v>
      </c>
      <c r="K141" s="11" t="s">
        <v>226</v>
      </c>
      <c r="L141" s="12">
        <v>293674.93</v>
      </c>
      <c r="M141" s="12">
        <v>88102.49</v>
      </c>
      <c r="N141" s="24">
        <v>44013</v>
      </c>
      <c r="O141" s="11" t="s">
        <v>244</v>
      </c>
      <c r="P141" s="11" t="s">
        <v>231</v>
      </c>
      <c r="Q141" s="11">
        <v>13303675352</v>
      </c>
      <c r="R141" s="11" t="s">
        <v>232</v>
      </c>
      <c r="S141" s="11" t="s">
        <v>39</v>
      </c>
      <c r="T141" s="11"/>
    </row>
    <row r="142" spans="1:20" s="14" customFormat="1" ht="24" hidden="1" customHeight="1">
      <c r="A142" s="15"/>
      <c r="B142" s="11" t="s">
        <v>135</v>
      </c>
      <c r="C142" s="11" t="s">
        <v>245</v>
      </c>
      <c r="D142" s="11" t="s">
        <v>62</v>
      </c>
      <c r="E142" s="9">
        <v>13.19</v>
      </c>
      <c r="F142" s="9"/>
      <c r="G142" s="11" t="s">
        <v>32</v>
      </c>
      <c r="H142" s="11" t="s">
        <v>33</v>
      </c>
      <c r="I142" s="11"/>
      <c r="J142" s="11"/>
      <c r="K142" s="11" t="s">
        <v>246</v>
      </c>
      <c r="L142" s="12">
        <v>39570</v>
      </c>
      <c r="M142" s="12">
        <v>39570</v>
      </c>
      <c r="N142" s="24" t="s">
        <v>247</v>
      </c>
      <c r="O142" s="11" t="s">
        <v>248</v>
      </c>
      <c r="P142" s="11" t="s">
        <v>249</v>
      </c>
      <c r="Q142" s="11">
        <v>17731886959</v>
      </c>
      <c r="R142" s="11" t="s">
        <v>250</v>
      </c>
      <c r="S142" s="11" t="s">
        <v>46</v>
      </c>
      <c r="T142" s="11"/>
    </row>
    <row r="143" spans="1:20" s="14" customFormat="1" ht="24" hidden="1" customHeight="1">
      <c r="A143" s="15"/>
      <c r="B143" s="11" t="s">
        <v>135</v>
      </c>
      <c r="C143" s="11" t="s">
        <v>245</v>
      </c>
      <c r="D143" s="11" t="s">
        <v>62</v>
      </c>
      <c r="E143" s="9">
        <v>11.446</v>
      </c>
      <c r="F143" s="9"/>
      <c r="G143" s="11" t="s">
        <v>32</v>
      </c>
      <c r="H143" s="11" t="s">
        <v>33</v>
      </c>
      <c r="I143" s="11"/>
      <c r="J143" s="11"/>
      <c r="K143" s="11" t="s">
        <v>246</v>
      </c>
      <c r="L143" s="12">
        <v>34338</v>
      </c>
      <c r="M143" s="12">
        <v>34338</v>
      </c>
      <c r="N143" s="24" t="s">
        <v>247</v>
      </c>
      <c r="O143" s="11" t="s">
        <v>248</v>
      </c>
      <c r="P143" s="11" t="s">
        <v>249</v>
      </c>
      <c r="Q143" s="11">
        <v>17731886959</v>
      </c>
      <c r="R143" s="11" t="s">
        <v>250</v>
      </c>
      <c r="S143" s="11" t="s">
        <v>46</v>
      </c>
      <c r="T143" s="11"/>
    </row>
    <row r="144" spans="1:20" s="14" customFormat="1" ht="24" hidden="1" customHeight="1">
      <c r="A144" s="15"/>
      <c r="B144" s="11" t="s">
        <v>135</v>
      </c>
      <c r="C144" s="11" t="s">
        <v>251</v>
      </c>
      <c r="D144" s="11" t="s">
        <v>62</v>
      </c>
      <c r="E144" s="9">
        <v>9.5399999999999991</v>
      </c>
      <c r="F144" s="9"/>
      <c r="G144" s="11" t="s">
        <v>32</v>
      </c>
      <c r="H144" s="11" t="s">
        <v>33</v>
      </c>
      <c r="I144" s="11" t="s">
        <v>252</v>
      </c>
      <c r="J144" s="11" t="s">
        <v>253</v>
      </c>
      <c r="K144" s="11" t="s">
        <v>254</v>
      </c>
      <c r="L144" s="12"/>
      <c r="M144" s="12"/>
      <c r="N144" s="11" t="s">
        <v>255</v>
      </c>
      <c r="O144" s="11" t="s">
        <v>256</v>
      </c>
      <c r="P144" s="11" t="s">
        <v>249</v>
      </c>
      <c r="Q144" s="11">
        <v>17731886959</v>
      </c>
      <c r="R144" s="11" t="s">
        <v>250</v>
      </c>
      <c r="S144" s="11" t="s">
        <v>46</v>
      </c>
      <c r="T144" s="11" t="s">
        <v>257</v>
      </c>
    </row>
    <row r="145" spans="1:20" s="14" customFormat="1" ht="24" hidden="1" customHeight="1">
      <c r="A145" s="15"/>
      <c r="B145" s="11" t="s">
        <v>135</v>
      </c>
      <c r="C145" s="11" t="s">
        <v>251</v>
      </c>
      <c r="D145" s="11" t="s">
        <v>62</v>
      </c>
      <c r="E145" s="9">
        <v>10.68</v>
      </c>
      <c r="F145" s="9"/>
      <c r="G145" s="11" t="s">
        <v>32</v>
      </c>
      <c r="H145" s="11" t="s">
        <v>33</v>
      </c>
      <c r="I145" s="11" t="s">
        <v>252</v>
      </c>
      <c r="J145" s="11" t="s">
        <v>253</v>
      </c>
      <c r="K145" s="11" t="s">
        <v>254</v>
      </c>
      <c r="L145" s="12"/>
      <c r="M145" s="12"/>
      <c r="N145" s="11" t="s">
        <v>255</v>
      </c>
      <c r="O145" s="11" t="s">
        <v>256</v>
      </c>
      <c r="P145" s="11" t="s">
        <v>249</v>
      </c>
      <c r="Q145" s="11">
        <v>17731886959</v>
      </c>
      <c r="R145" s="11" t="s">
        <v>250</v>
      </c>
      <c r="S145" s="11" t="s">
        <v>46</v>
      </c>
      <c r="T145" s="11" t="s">
        <v>257</v>
      </c>
    </row>
    <row r="146" spans="1:20" s="14" customFormat="1" ht="24" hidden="1" customHeight="1">
      <c r="A146" s="15"/>
      <c r="B146" s="11" t="s">
        <v>135</v>
      </c>
      <c r="C146" s="11" t="s">
        <v>251</v>
      </c>
      <c r="D146" s="11" t="s">
        <v>62</v>
      </c>
      <c r="E146" s="9">
        <v>9.44</v>
      </c>
      <c r="F146" s="9"/>
      <c r="G146" s="11" t="s">
        <v>32</v>
      </c>
      <c r="H146" s="11" t="s">
        <v>33</v>
      </c>
      <c r="I146" s="11" t="s">
        <v>252</v>
      </c>
      <c r="J146" s="11" t="s">
        <v>253</v>
      </c>
      <c r="K146" s="11" t="s">
        <v>254</v>
      </c>
      <c r="L146" s="12"/>
      <c r="M146" s="12"/>
      <c r="N146" s="11" t="s">
        <v>258</v>
      </c>
      <c r="O146" s="11" t="s">
        <v>256</v>
      </c>
      <c r="P146" s="11" t="s">
        <v>249</v>
      </c>
      <c r="Q146" s="11">
        <v>17731886959</v>
      </c>
      <c r="R146" s="11" t="s">
        <v>250</v>
      </c>
      <c r="S146" s="11" t="s">
        <v>46</v>
      </c>
      <c r="T146" s="11" t="s">
        <v>257</v>
      </c>
    </row>
    <row r="147" spans="1:20" s="14" customFormat="1" ht="24" hidden="1" customHeight="1">
      <c r="A147" s="15"/>
      <c r="B147" s="11" t="s">
        <v>135</v>
      </c>
      <c r="C147" s="11" t="s">
        <v>259</v>
      </c>
      <c r="D147" s="11" t="s">
        <v>62</v>
      </c>
      <c r="E147" s="9">
        <v>15.34</v>
      </c>
      <c r="F147" s="9"/>
      <c r="G147" s="11" t="s">
        <v>32</v>
      </c>
      <c r="H147" s="11" t="s">
        <v>33</v>
      </c>
      <c r="I147" s="11" t="s">
        <v>252</v>
      </c>
      <c r="J147" s="11" t="s">
        <v>253</v>
      </c>
      <c r="K147" s="11" t="s">
        <v>254</v>
      </c>
      <c r="L147" s="12"/>
      <c r="M147" s="12"/>
      <c r="N147" s="11" t="s">
        <v>260</v>
      </c>
      <c r="O147" s="11" t="s">
        <v>256</v>
      </c>
      <c r="P147" s="11" t="s">
        <v>249</v>
      </c>
      <c r="Q147" s="11">
        <v>17731886959</v>
      </c>
      <c r="R147" s="11" t="s">
        <v>250</v>
      </c>
      <c r="S147" s="11" t="s">
        <v>46</v>
      </c>
      <c r="T147" s="11"/>
    </row>
    <row r="148" spans="1:20" s="14" customFormat="1" ht="24" hidden="1" customHeight="1">
      <c r="A148" s="15"/>
      <c r="B148" s="11" t="s">
        <v>261</v>
      </c>
      <c r="C148" s="11" t="s">
        <v>262</v>
      </c>
      <c r="D148" s="11" t="s">
        <v>79</v>
      </c>
      <c r="E148" s="9">
        <v>2</v>
      </c>
      <c r="F148" s="9">
        <v>114.92</v>
      </c>
      <c r="G148" s="11" t="s">
        <v>32</v>
      </c>
      <c r="H148" s="11" t="s">
        <v>33</v>
      </c>
      <c r="I148" s="11" t="s">
        <v>263</v>
      </c>
      <c r="J148" s="11" t="s">
        <v>253</v>
      </c>
      <c r="K148" s="11" t="s">
        <v>204</v>
      </c>
      <c r="L148" s="12">
        <v>132696</v>
      </c>
      <c r="M148" s="12">
        <v>132696</v>
      </c>
      <c r="N148" s="11" t="s">
        <v>264</v>
      </c>
      <c r="O148" s="11" t="s">
        <v>265</v>
      </c>
      <c r="P148" s="11" t="s">
        <v>249</v>
      </c>
      <c r="Q148" s="11">
        <v>17731886959</v>
      </c>
      <c r="R148" s="11" t="s">
        <v>250</v>
      </c>
      <c r="S148" s="11" t="s">
        <v>46</v>
      </c>
      <c r="T148" s="11"/>
    </row>
    <row r="149" spans="1:20" s="14" customFormat="1" ht="24" hidden="1" customHeight="1">
      <c r="A149" s="15"/>
      <c r="B149" s="11" t="s">
        <v>266</v>
      </c>
      <c r="C149" s="11" t="s">
        <v>266</v>
      </c>
      <c r="D149" s="11" t="s">
        <v>79</v>
      </c>
      <c r="E149" s="9">
        <v>2</v>
      </c>
      <c r="F149" s="9"/>
      <c r="G149" s="11" t="s">
        <v>32</v>
      </c>
      <c r="H149" s="11" t="s">
        <v>33</v>
      </c>
      <c r="I149" s="11" t="s">
        <v>263</v>
      </c>
      <c r="J149" s="11" t="s">
        <v>253</v>
      </c>
      <c r="K149" s="11" t="s">
        <v>204</v>
      </c>
      <c r="L149" s="12">
        <v>290000</v>
      </c>
      <c r="M149" s="12">
        <v>290000</v>
      </c>
      <c r="N149" s="11" t="s">
        <v>264</v>
      </c>
      <c r="O149" s="11" t="s">
        <v>265</v>
      </c>
      <c r="P149" s="11" t="s">
        <v>249</v>
      </c>
      <c r="Q149" s="11">
        <v>17731886959</v>
      </c>
      <c r="R149" s="11" t="s">
        <v>250</v>
      </c>
      <c r="S149" s="11" t="s">
        <v>46</v>
      </c>
      <c r="T149" s="11"/>
    </row>
    <row r="150" spans="1:20" s="14" customFormat="1" ht="24" hidden="1" customHeight="1">
      <c r="A150" s="15"/>
      <c r="B150" s="11" t="s">
        <v>261</v>
      </c>
      <c r="C150" s="11" t="s">
        <v>267</v>
      </c>
      <c r="D150" s="11" t="s">
        <v>79</v>
      </c>
      <c r="E150" s="9">
        <v>4</v>
      </c>
      <c r="F150" s="9">
        <v>230.08</v>
      </c>
      <c r="G150" s="11" t="s">
        <v>32</v>
      </c>
      <c r="H150" s="11" t="s">
        <v>33</v>
      </c>
      <c r="I150" s="11" t="s">
        <v>263</v>
      </c>
      <c r="J150" s="11" t="s">
        <v>253</v>
      </c>
      <c r="K150" s="11" t="s">
        <v>204</v>
      </c>
      <c r="L150" s="12">
        <v>2098329.6000000001</v>
      </c>
      <c r="M150" s="12">
        <v>2098329.6000000001</v>
      </c>
      <c r="N150" s="11" t="s">
        <v>268</v>
      </c>
      <c r="O150" s="11" t="s">
        <v>265</v>
      </c>
      <c r="P150" s="11" t="s">
        <v>249</v>
      </c>
      <c r="Q150" s="11">
        <v>17731886959</v>
      </c>
      <c r="R150" s="11" t="s">
        <v>250</v>
      </c>
      <c r="S150" s="11" t="s">
        <v>46</v>
      </c>
      <c r="T150" s="1784" t="s">
        <v>269</v>
      </c>
    </row>
    <row r="151" spans="1:20" s="14" customFormat="1" ht="24" hidden="1" customHeight="1">
      <c r="A151" s="15"/>
      <c r="B151" s="11" t="s">
        <v>266</v>
      </c>
      <c r="C151" s="11" t="s">
        <v>270</v>
      </c>
      <c r="D151" s="11" t="s">
        <v>79</v>
      </c>
      <c r="E151" s="9">
        <v>2</v>
      </c>
      <c r="F151" s="9"/>
      <c r="G151" s="11" t="s">
        <v>32</v>
      </c>
      <c r="H151" s="11" t="s">
        <v>33</v>
      </c>
      <c r="I151" s="11" t="s">
        <v>263</v>
      </c>
      <c r="J151" s="11" t="s">
        <v>253</v>
      </c>
      <c r="K151" s="11" t="s">
        <v>204</v>
      </c>
      <c r="L151" s="12">
        <v>267000</v>
      </c>
      <c r="M151" s="12">
        <v>267000</v>
      </c>
      <c r="N151" s="11" t="s">
        <v>271</v>
      </c>
      <c r="O151" s="11" t="s">
        <v>265</v>
      </c>
      <c r="P151" s="11" t="s">
        <v>249</v>
      </c>
      <c r="Q151" s="11">
        <v>17731886959</v>
      </c>
      <c r="R151" s="11" t="s">
        <v>250</v>
      </c>
      <c r="S151" s="11" t="s">
        <v>46</v>
      </c>
      <c r="T151" s="1791"/>
    </row>
    <row r="152" spans="1:20" s="14" customFormat="1" ht="24" hidden="1" customHeight="1">
      <c r="A152" s="15"/>
      <c r="B152" s="11" t="s">
        <v>266</v>
      </c>
      <c r="C152" s="11" t="s">
        <v>272</v>
      </c>
      <c r="D152" s="11" t="s">
        <v>79</v>
      </c>
      <c r="E152" s="9">
        <v>2</v>
      </c>
      <c r="F152" s="9"/>
      <c r="G152" s="11" t="s">
        <v>32</v>
      </c>
      <c r="H152" s="11" t="s">
        <v>33</v>
      </c>
      <c r="I152" s="11" t="s">
        <v>263</v>
      </c>
      <c r="J152" s="11" t="s">
        <v>253</v>
      </c>
      <c r="K152" s="11" t="s">
        <v>204</v>
      </c>
      <c r="L152" s="12">
        <v>267000</v>
      </c>
      <c r="M152" s="12">
        <v>267000</v>
      </c>
      <c r="N152" s="11" t="s">
        <v>271</v>
      </c>
      <c r="O152" s="11" t="s">
        <v>265</v>
      </c>
      <c r="P152" s="11" t="s">
        <v>249</v>
      </c>
      <c r="Q152" s="11">
        <v>17731886959</v>
      </c>
      <c r="R152" s="11" t="s">
        <v>250</v>
      </c>
      <c r="S152" s="11" t="s">
        <v>46</v>
      </c>
      <c r="T152" s="1792"/>
    </row>
    <row r="153" spans="1:20" s="14" customFormat="1" ht="24" hidden="1" customHeight="1">
      <c r="A153" s="15"/>
      <c r="B153" s="11" t="s">
        <v>261</v>
      </c>
      <c r="C153" s="11" t="s">
        <v>273</v>
      </c>
      <c r="D153" s="11" t="s">
        <v>79</v>
      </c>
      <c r="E153" s="9">
        <v>6</v>
      </c>
      <c r="F153" s="9">
        <v>348.22</v>
      </c>
      <c r="G153" s="11" t="s">
        <v>32</v>
      </c>
      <c r="H153" s="11" t="s">
        <v>33</v>
      </c>
      <c r="I153" s="11" t="s">
        <v>263</v>
      </c>
      <c r="J153" s="11" t="s">
        <v>253</v>
      </c>
      <c r="K153" s="11" t="s">
        <v>204</v>
      </c>
      <c r="L153" s="12">
        <v>2844957.4</v>
      </c>
      <c r="M153" s="12">
        <v>2844957.4</v>
      </c>
      <c r="N153" s="11" t="s">
        <v>274</v>
      </c>
      <c r="O153" s="11" t="s">
        <v>265</v>
      </c>
      <c r="P153" s="11" t="s">
        <v>249</v>
      </c>
      <c r="Q153" s="11">
        <v>17731886959</v>
      </c>
      <c r="R153" s="11" t="s">
        <v>250</v>
      </c>
      <c r="S153" s="11" t="s">
        <v>46</v>
      </c>
      <c r="T153" s="1784" t="s">
        <v>275</v>
      </c>
    </row>
    <row r="154" spans="1:20" s="14" customFormat="1" ht="24" hidden="1" customHeight="1">
      <c r="A154" s="15"/>
      <c r="B154" s="11" t="s">
        <v>266</v>
      </c>
      <c r="C154" s="11" t="s">
        <v>270</v>
      </c>
      <c r="D154" s="11" t="s">
        <v>79</v>
      </c>
      <c r="E154" s="9">
        <v>2</v>
      </c>
      <c r="F154" s="9"/>
      <c r="G154" s="11" t="s">
        <v>32</v>
      </c>
      <c r="H154" s="11" t="s">
        <v>33</v>
      </c>
      <c r="I154" s="11" t="s">
        <v>263</v>
      </c>
      <c r="J154" s="11" t="s">
        <v>253</v>
      </c>
      <c r="K154" s="11" t="s">
        <v>204</v>
      </c>
      <c r="L154" s="12">
        <v>267000</v>
      </c>
      <c r="M154" s="12">
        <v>267000</v>
      </c>
      <c r="N154" s="11" t="s">
        <v>274</v>
      </c>
      <c r="O154" s="11" t="s">
        <v>265</v>
      </c>
      <c r="P154" s="11" t="s">
        <v>249</v>
      </c>
      <c r="Q154" s="11">
        <v>17731886959</v>
      </c>
      <c r="R154" s="11" t="s">
        <v>250</v>
      </c>
      <c r="S154" s="11" t="s">
        <v>46</v>
      </c>
      <c r="T154" s="1791"/>
    </row>
    <row r="155" spans="1:20" s="14" customFormat="1" ht="24" hidden="1" customHeight="1">
      <c r="A155" s="15"/>
      <c r="B155" s="11" t="s">
        <v>266</v>
      </c>
      <c r="C155" s="11" t="s">
        <v>272</v>
      </c>
      <c r="D155" s="11" t="s">
        <v>79</v>
      </c>
      <c r="E155" s="9">
        <v>4</v>
      </c>
      <c r="F155" s="9"/>
      <c r="G155" s="11" t="s">
        <v>32</v>
      </c>
      <c r="H155" s="11" t="s">
        <v>33</v>
      </c>
      <c r="I155" s="11" t="s">
        <v>263</v>
      </c>
      <c r="J155" s="11" t="s">
        <v>253</v>
      </c>
      <c r="K155" s="11" t="s">
        <v>204</v>
      </c>
      <c r="L155" s="12">
        <v>534000</v>
      </c>
      <c r="M155" s="12">
        <v>534000</v>
      </c>
      <c r="N155" s="11" t="s">
        <v>274</v>
      </c>
      <c r="O155" s="11" t="s">
        <v>265</v>
      </c>
      <c r="P155" s="11" t="s">
        <v>249</v>
      </c>
      <c r="Q155" s="11">
        <v>17731886959</v>
      </c>
      <c r="R155" s="11" t="s">
        <v>250</v>
      </c>
      <c r="S155" s="11" t="s">
        <v>46</v>
      </c>
      <c r="T155" s="1792"/>
    </row>
    <row r="156" spans="1:20" s="14" customFormat="1" ht="24" hidden="1" customHeight="1">
      <c r="A156" s="15"/>
      <c r="B156" s="11" t="s">
        <v>276</v>
      </c>
      <c r="C156" s="11"/>
      <c r="D156" s="11" t="s">
        <v>62</v>
      </c>
      <c r="E156" s="9">
        <v>188.62</v>
      </c>
      <c r="F156" s="9"/>
      <c r="G156" s="11" t="s">
        <v>32</v>
      </c>
      <c r="H156" s="11" t="s">
        <v>33</v>
      </c>
      <c r="I156" s="11" t="s">
        <v>277</v>
      </c>
      <c r="J156" s="11" t="s">
        <v>253</v>
      </c>
      <c r="K156" s="11" t="s">
        <v>278</v>
      </c>
      <c r="L156" s="12">
        <v>1584408</v>
      </c>
      <c r="M156" s="12">
        <v>1584408</v>
      </c>
      <c r="N156" s="11" t="s">
        <v>279</v>
      </c>
      <c r="O156" s="11" t="s">
        <v>280</v>
      </c>
      <c r="P156" s="11" t="s">
        <v>249</v>
      </c>
      <c r="Q156" s="11">
        <v>17731886959</v>
      </c>
      <c r="R156" s="11" t="s">
        <v>250</v>
      </c>
      <c r="S156" s="11" t="s">
        <v>46</v>
      </c>
      <c r="T156" s="11"/>
    </row>
    <row r="157" spans="1:20" s="14" customFormat="1" ht="24" customHeight="1">
      <c r="A157" s="15"/>
      <c r="B157" s="11" t="s">
        <v>281</v>
      </c>
      <c r="C157" s="11" t="s">
        <v>282</v>
      </c>
      <c r="D157" s="11" t="s">
        <v>62</v>
      </c>
      <c r="E157" s="9">
        <v>24.18</v>
      </c>
      <c r="F157" s="9">
        <v>24.18</v>
      </c>
      <c r="G157" s="11" t="s">
        <v>32</v>
      </c>
      <c r="H157" s="11" t="s">
        <v>41</v>
      </c>
      <c r="I157" s="11"/>
      <c r="J157" s="11" t="s">
        <v>283</v>
      </c>
      <c r="K157" s="11" t="s">
        <v>284</v>
      </c>
      <c r="L157" s="12">
        <v>152584.137931034</v>
      </c>
      <c r="M157" s="12">
        <v>45775.241379310202</v>
      </c>
      <c r="N157" s="11" t="s">
        <v>285</v>
      </c>
      <c r="O157" s="11" t="s">
        <v>286</v>
      </c>
      <c r="P157" s="11" t="s">
        <v>287</v>
      </c>
      <c r="Q157" s="11">
        <v>18610091092</v>
      </c>
      <c r="R157" s="11" t="s">
        <v>288</v>
      </c>
      <c r="S157" s="11" t="s">
        <v>115</v>
      </c>
      <c r="T157" s="11"/>
    </row>
    <row r="158" spans="1:20" s="14" customFormat="1" ht="24" customHeight="1">
      <c r="A158" s="15"/>
      <c r="B158" s="11" t="s">
        <v>281</v>
      </c>
      <c r="C158" s="11" t="s">
        <v>289</v>
      </c>
      <c r="D158" s="11" t="s">
        <v>62</v>
      </c>
      <c r="E158" s="9">
        <v>24.15</v>
      </c>
      <c r="F158" s="9">
        <v>24.15</v>
      </c>
      <c r="G158" s="11" t="s">
        <v>32</v>
      </c>
      <c r="H158" s="11" t="s">
        <v>41</v>
      </c>
      <c r="I158" s="11"/>
      <c r="J158" s="11" t="s">
        <v>283</v>
      </c>
      <c r="K158" s="11" t="s">
        <v>284</v>
      </c>
      <c r="L158" s="12">
        <v>152394.82758620699</v>
      </c>
      <c r="M158" s="12">
        <v>45718.448275862102</v>
      </c>
      <c r="N158" s="11" t="s">
        <v>285</v>
      </c>
      <c r="O158" s="11" t="s">
        <v>286</v>
      </c>
      <c r="P158" s="11" t="s">
        <v>287</v>
      </c>
      <c r="Q158" s="11">
        <v>18610091092</v>
      </c>
      <c r="R158" s="11" t="s">
        <v>288</v>
      </c>
      <c r="S158" s="11" t="s">
        <v>115</v>
      </c>
      <c r="T158" s="11"/>
    </row>
    <row r="159" spans="1:20" s="14" customFormat="1" ht="24" customHeight="1">
      <c r="A159" s="15"/>
      <c r="B159" s="11" t="s">
        <v>281</v>
      </c>
      <c r="C159" s="11" t="s">
        <v>290</v>
      </c>
      <c r="D159" s="11" t="s">
        <v>62</v>
      </c>
      <c r="E159" s="9">
        <v>27.34</v>
      </c>
      <c r="F159" s="9">
        <v>27.34</v>
      </c>
      <c r="G159" s="11" t="s">
        <v>32</v>
      </c>
      <c r="H159" s="11" t="s">
        <v>41</v>
      </c>
      <c r="I159" s="11"/>
      <c r="J159" s="11" t="s">
        <v>283</v>
      </c>
      <c r="K159" s="11" t="s">
        <v>284</v>
      </c>
      <c r="L159" s="12">
        <v>172524.82758620699</v>
      </c>
      <c r="M159" s="12">
        <v>51757.448275862102</v>
      </c>
      <c r="N159" s="11" t="s">
        <v>291</v>
      </c>
      <c r="O159" s="11" t="s">
        <v>286</v>
      </c>
      <c r="P159" s="11" t="s">
        <v>287</v>
      </c>
      <c r="Q159" s="11">
        <v>18610091092</v>
      </c>
      <c r="R159" s="11" t="s">
        <v>288</v>
      </c>
      <c r="S159" s="11" t="s">
        <v>115</v>
      </c>
      <c r="T159" s="11"/>
    </row>
    <row r="160" spans="1:20" s="14" customFormat="1" ht="24" customHeight="1">
      <c r="A160" s="15"/>
      <c r="B160" s="11" t="s">
        <v>281</v>
      </c>
      <c r="C160" s="11" t="s">
        <v>292</v>
      </c>
      <c r="D160" s="11" t="s">
        <v>62</v>
      </c>
      <c r="E160" s="9">
        <v>23.62</v>
      </c>
      <c r="F160" s="9">
        <v>23.62</v>
      </c>
      <c r="G160" s="11" t="s">
        <v>32</v>
      </c>
      <c r="H160" s="11" t="s">
        <v>41</v>
      </c>
      <c r="I160" s="11"/>
      <c r="J160" s="11" t="s">
        <v>283</v>
      </c>
      <c r="K160" s="11" t="s">
        <v>284</v>
      </c>
      <c r="L160" s="12">
        <v>149050.344827586</v>
      </c>
      <c r="M160" s="12">
        <v>44715.103448275797</v>
      </c>
      <c r="N160" s="11" t="s">
        <v>291</v>
      </c>
      <c r="O160" s="11" t="s">
        <v>286</v>
      </c>
      <c r="P160" s="11" t="s">
        <v>287</v>
      </c>
      <c r="Q160" s="11">
        <v>18610091092</v>
      </c>
      <c r="R160" s="11" t="s">
        <v>288</v>
      </c>
      <c r="S160" s="11" t="s">
        <v>115</v>
      </c>
      <c r="T160" s="11"/>
    </row>
    <row r="161" spans="1:20" s="14" customFormat="1" ht="24" customHeight="1">
      <c r="A161" s="15"/>
      <c r="B161" s="11" t="s">
        <v>281</v>
      </c>
      <c r="C161" s="11" t="s">
        <v>293</v>
      </c>
      <c r="D161" s="11" t="s">
        <v>62</v>
      </c>
      <c r="E161" s="9">
        <v>13.2</v>
      </c>
      <c r="F161" s="9">
        <v>13.2</v>
      </c>
      <c r="G161" s="11" t="s">
        <v>32</v>
      </c>
      <c r="H161" s="11" t="s">
        <v>41</v>
      </c>
      <c r="I161" s="11"/>
      <c r="J161" s="11" t="s">
        <v>283</v>
      </c>
      <c r="K161" s="11" t="s">
        <v>284</v>
      </c>
      <c r="L161" s="12">
        <v>83296.551724137898</v>
      </c>
      <c r="M161" s="12">
        <v>24988.965517241399</v>
      </c>
      <c r="N161" s="11" t="s">
        <v>294</v>
      </c>
      <c r="O161" s="11" t="s">
        <v>286</v>
      </c>
      <c r="P161" s="11" t="s">
        <v>287</v>
      </c>
      <c r="Q161" s="11">
        <v>18610091092</v>
      </c>
      <c r="R161" s="11" t="s">
        <v>288</v>
      </c>
      <c r="S161" s="11" t="s">
        <v>115</v>
      </c>
      <c r="T161" s="11"/>
    </row>
    <row r="162" spans="1:20" s="14" customFormat="1" ht="24" customHeight="1">
      <c r="A162" s="15"/>
      <c r="B162" s="11" t="s">
        <v>281</v>
      </c>
      <c r="C162" s="11" t="s">
        <v>295</v>
      </c>
      <c r="D162" s="11" t="s">
        <v>62</v>
      </c>
      <c r="E162" s="9">
        <v>23.04</v>
      </c>
      <c r="F162" s="9">
        <v>23.04</v>
      </c>
      <c r="G162" s="11" t="s">
        <v>32</v>
      </c>
      <c r="H162" s="11" t="s">
        <v>41</v>
      </c>
      <c r="I162" s="11"/>
      <c r="J162" s="11" t="s">
        <v>283</v>
      </c>
      <c r="K162" s="11" t="s">
        <v>284</v>
      </c>
      <c r="L162" s="12">
        <v>143006.896551724</v>
      </c>
      <c r="M162" s="12">
        <v>42902.068965517203</v>
      </c>
      <c r="N162" s="11" t="s">
        <v>296</v>
      </c>
      <c r="O162" s="11" t="s">
        <v>286</v>
      </c>
      <c r="P162" s="11" t="s">
        <v>287</v>
      </c>
      <c r="Q162" s="11">
        <v>18610091092</v>
      </c>
      <c r="R162" s="11" t="s">
        <v>288</v>
      </c>
      <c r="S162" s="11" t="s">
        <v>115</v>
      </c>
      <c r="T162" s="11"/>
    </row>
    <row r="163" spans="1:20" s="14" customFormat="1" ht="24" customHeight="1">
      <c r="A163" s="15"/>
      <c r="B163" s="11" t="s">
        <v>281</v>
      </c>
      <c r="C163" s="11" t="s">
        <v>297</v>
      </c>
      <c r="D163" s="11" t="s">
        <v>62</v>
      </c>
      <c r="E163" s="9">
        <v>19.61</v>
      </c>
      <c r="F163" s="9">
        <v>19.61</v>
      </c>
      <c r="G163" s="11" t="s">
        <v>32</v>
      </c>
      <c r="H163" s="11" t="s">
        <v>41</v>
      </c>
      <c r="I163" s="11"/>
      <c r="J163" s="11" t="s">
        <v>283</v>
      </c>
      <c r="K163" s="11" t="s">
        <v>284</v>
      </c>
      <c r="L163" s="12">
        <v>121717.24137931</v>
      </c>
      <c r="M163" s="12">
        <v>36515.172413793</v>
      </c>
      <c r="N163" s="11" t="s">
        <v>298</v>
      </c>
      <c r="O163" s="11" t="s">
        <v>286</v>
      </c>
      <c r="P163" s="11" t="s">
        <v>287</v>
      </c>
      <c r="Q163" s="11">
        <v>18610091092</v>
      </c>
      <c r="R163" s="11" t="s">
        <v>288</v>
      </c>
      <c r="S163" s="11" t="s">
        <v>115</v>
      </c>
      <c r="T163" s="11"/>
    </row>
    <row r="164" spans="1:20" s="14" customFormat="1" ht="24" customHeight="1">
      <c r="A164" s="15"/>
      <c r="B164" s="11" t="s">
        <v>281</v>
      </c>
      <c r="C164" s="11" t="s">
        <v>297</v>
      </c>
      <c r="D164" s="11" t="s">
        <v>62</v>
      </c>
      <c r="E164" s="9">
        <v>6.87</v>
      </c>
      <c r="F164" s="9">
        <v>6.87</v>
      </c>
      <c r="G164" s="11" t="s">
        <v>32</v>
      </c>
      <c r="H164" s="11" t="s">
        <v>41</v>
      </c>
      <c r="I164" s="11"/>
      <c r="J164" s="11" t="s">
        <v>283</v>
      </c>
      <c r="K164" s="11" t="s">
        <v>284</v>
      </c>
      <c r="L164" s="12">
        <v>42641.379310344797</v>
      </c>
      <c r="M164" s="12">
        <v>12792.4137931034</v>
      </c>
      <c r="N164" s="11" t="s">
        <v>299</v>
      </c>
      <c r="O164" s="11" t="s">
        <v>286</v>
      </c>
      <c r="P164" s="11" t="s">
        <v>287</v>
      </c>
      <c r="Q164" s="11">
        <v>18610091092</v>
      </c>
      <c r="R164" s="11" t="s">
        <v>288</v>
      </c>
      <c r="S164" s="11" t="s">
        <v>115</v>
      </c>
      <c r="T164" s="11"/>
    </row>
    <row r="165" spans="1:20" s="14" customFormat="1" ht="24" customHeight="1">
      <c r="A165" s="15"/>
      <c r="B165" s="11" t="s">
        <v>281</v>
      </c>
      <c r="C165" s="11" t="s">
        <v>300</v>
      </c>
      <c r="D165" s="11" t="s">
        <v>62</v>
      </c>
      <c r="E165" s="9">
        <v>24.81</v>
      </c>
      <c r="F165" s="9">
        <v>24.81</v>
      </c>
      <c r="G165" s="11" t="s">
        <v>32</v>
      </c>
      <c r="H165" s="11" t="s">
        <v>41</v>
      </c>
      <c r="I165" s="11"/>
      <c r="J165" s="11" t="s">
        <v>283</v>
      </c>
      <c r="K165" s="11" t="s">
        <v>284</v>
      </c>
      <c r="L165" s="12">
        <v>153351.46551724101</v>
      </c>
      <c r="M165" s="12">
        <v>46005.439655172297</v>
      </c>
      <c r="N165" s="11" t="s">
        <v>301</v>
      </c>
      <c r="O165" s="11" t="s">
        <v>286</v>
      </c>
      <c r="P165" s="11" t="s">
        <v>287</v>
      </c>
      <c r="Q165" s="11">
        <v>18610091092</v>
      </c>
      <c r="R165" s="11" t="s">
        <v>288</v>
      </c>
      <c r="S165" s="11" t="s">
        <v>115</v>
      </c>
      <c r="T165" s="11"/>
    </row>
    <row r="166" spans="1:20" s="14" customFormat="1" ht="24" customHeight="1">
      <c r="A166" s="15"/>
      <c r="B166" s="11" t="s">
        <v>281</v>
      </c>
      <c r="C166" s="11" t="s">
        <v>300</v>
      </c>
      <c r="D166" s="11" t="s">
        <v>62</v>
      </c>
      <c r="E166" s="9">
        <v>24.54</v>
      </c>
      <c r="F166" s="9">
        <v>24.54</v>
      </c>
      <c r="G166" s="11" t="s">
        <v>32</v>
      </c>
      <c r="H166" s="11" t="s">
        <v>41</v>
      </c>
      <c r="I166" s="11"/>
      <c r="J166" s="11" t="s">
        <v>283</v>
      </c>
      <c r="K166" s="11" t="s">
        <v>284</v>
      </c>
      <c r="L166" s="12">
        <v>151682.58620689699</v>
      </c>
      <c r="M166" s="12">
        <v>45504.775862069102</v>
      </c>
      <c r="N166" s="11" t="s">
        <v>302</v>
      </c>
      <c r="O166" s="11" t="s">
        <v>286</v>
      </c>
      <c r="P166" s="11" t="s">
        <v>287</v>
      </c>
      <c r="Q166" s="11">
        <v>18610091092</v>
      </c>
      <c r="R166" s="11" t="s">
        <v>288</v>
      </c>
      <c r="S166" s="11" t="s">
        <v>115</v>
      </c>
      <c r="T166" s="11"/>
    </row>
    <row r="167" spans="1:20" s="14" customFormat="1" ht="24" customHeight="1">
      <c r="A167" s="15"/>
      <c r="B167" s="11" t="s">
        <v>281</v>
      </c>
      <c r="C167" s="11" t="s">
        <v>300</v>
      </c>
      <c r="D167" s="11" t="s">
        <v>62</v>
      </c>
      <c r="E167" s="9">
        <v>18</v>
      </c>
      <c r="F167" s="9">
        <v>18</v>
      </c>
      <c r="G167" s="11" t="s">
        <v>32</v>
      </c>
      <c r="H167" s="11" t="s">
        <v>41</v>
      </c>
      <c r="I167" s="11"/>
      <c r="J167" s="11" t="s">
        <v>283</v>
      </c>
      <c r="K167" s="11" t="s">
        <v>284</v>
      </c>
      <c r="L167" s="12">
        <v>111258.620689655</v>
      </c>
      <c r="M167" s="12">
        <v>33377.5862068965</v>
      </c>
      <c r="N167" s="11" t="s">
        <v>303</v>
      </c>
      <c r="O167" s="11" t="s">
        <v>286</v>
      </c>
      <c r="P167" s="11" t="s">
        <v>287</v>
      </c>
      <c r="Q167" s="11">
        <v>18610091092</v>
      </c>
      <c r="R167" s="11" t="s">
        <v>288</v>
      </c>
      <c r="S167" s="11" t="s">
        <v>115</v>
      </c>
      <c r="T167" s="11"/>
    </row>
    <row r="168" spans="1:20" s="14" customFormat="1" ht="24" customHeight="1">
      <c r="A168" s="15"/>
      <c r="B168" s="11" t="s">
        <v>281</v>
      </c>
      <c r="C168" s="11" t="s">
        <v>304</v>
      </c>
      <c r="D168" s="11" t="s">
        <v>62</v>
      </c>
      <c r="E168" s="9">
        <v>19.649999999999999</v>
      </c>
      <c r="F168" s="9">
        <v>19.649999999999999</v>
      </c>
      <c r="G168" s="11" t="s">
        <v>32</v>
      </c>
      <c r="H168" s="11" t="s">
        <v>41</v>
      </c>
      <c r="I168" s="11"/>
      <c r="J168" s="11" t="s">
        <v>283</v>
      </c>
      <c r="K168" s="11" t="s">
        <v>284</v>
      </c>
      <c r="L168" s="12">
        <v>121457.327586207</v>
      </c>
      <c r="M168" s="12">
        <v>36437.198275862102</v>
      </c>
      <c r="N168" s="11" t="s">
        <v>305</v>
      </c>
      <c r="O168" s="11" t="s">
        <v>286</v>
      </c>
      <c r="P168" s="11" t="s">
        <v>287</v>
      </c>
      <c r="Q168" s="11">
        <v>18610091092</v>
      </c>
      <c r="R168" s="11" t="s">
        <v>288</v>
      </c>
      <c r="S168" s="11" t="s">
        <v>115</v>
      </c>
      <c r="T168" s="11"/>
    </row>
    <row r="169" spans="1:20" s="14" customFormat="1" ht="24" customHeight="1">
      <c r="A169" s="15"/>
      <c r="B169" s="11" t="s">
        <v>281</v>
      </c>
      <c r="C169" s="11" t="s">
        <v>306</v>
      </c>
      <c r="D169" s="11" t="s">
        <v>62</v>
      </c>
      <c r="E169" s="9">
        <v>26.71</v>
      </c>
      <c r="F169" s="9">
        <v>26.71</v>
      </c>
      <c r="G169" s="11" t="s">
        <v>32</v>
      </c>
      <c r="H169" s="11" t="s">
        <v>41</v>
      </c>
      <c r="I169" s="11"/>
      <c r="J169" s="11" t="s">
        <v>283</v>
      </c>
      <c r="K169" s="11" t="s">
        <v>284</v>
      </c>
      <c r="L169" s="12">
        <v>165095.43103448299</v>
      </c>
      <c r="M169" s="12">
        <v>49528.629310344899</v>
      </c>
      <c r="N169" s="11" t="s">
        <v>307</v>
      </c>
      <c r="O169" s="11" t="s">
        <v>286</v>
      </c>
      <c r="P169" s="11" t="s">
        <v>287</v>
      </c>
      <c r="Q169" s="11">
        <v>18610091092</v>
      </c>
      <c r="R169" s="11" t="s">
        <v>288</v>
      </c>
      <c r="S169" s="11" t="s">
        <v>115</v>
      </c>
      <c r="T169" s="11"/>
    </row>
    <row r="170" spans="1:20" s="14" customFormat="1" ht="24" customHeight="1">
      <c r="A170" s="15"/>
      <c r="B170" s="11" t="s">
        <v>281</v>
      </c>
      <c r="C170" s="11" t="s">
        <v>308</v>
      </c>
      <c r="D170" s="11" t="s">
        <v>62</v>
      </c>
      <c r="E170" s="9">
        <v>29.89</v>
      </c>
      <c r="F170" s="9">
        <v>29.89</v>
      </c>
      <c r="G170" s="11" t="s">
        <v>32</v>
      </c>
      <c r="H170" s="11" t="s">
        <v>41</v>
      </c>
      <c r="I170" s="11"/>
      <c r="J170" s="11" t="s">
        <v>283</v>
      </c>
      <c r="K170" s="11" t="s">
        <v>284</v>
      </c>
      <c r="L170" s="12">
        <v>189131.551724138</v>
      </c>
      <c r="M170" s="12">
        <v>56739.465517241399</v>
      </c>
      <c r="N170" s="11" t="s">
        <v>305</v>
      </c>
      <c r="O170" s="11" t="s">
        <v>286</v>
      </c>
      <c r="P170" s="11" t="s">
        <v>287</v>
      </c>
      <c r="Q170" s="11">
        <v>18610091092</v>
      </c>
      <c r="R170" s="11" t="s">
        <v>288</v>
      </c>
      <c r="S170" s="11" t="s">
        <v>115</v>
      </c>
      <c r="T170" s="11"/>
    </row>
    <row r="171" spans="1:20" s="14" customFormat="1" ht="24" customHeight="1">
      <c r="A171" s="15"/>
      <c r="B171" s="11" t="s">
        <v>281</v>
      </c>
      <c r="C171" s="11" t="s">
        <v>308</v>
      </c>
      <c r="D171" s="11" t="s">
        <v>62</v>
      </c>
      <c r="E171" s="9">
        <v>14.15</v>
      </c>
      <c r="F171" s="9">
        <v>14.15</v>
      </c>
      <c r="G171" s="11" t="s">
        <v>32</v>
      </c>
      <c r="H171" s="11" t="s">
        <v>41</v>
      </c>
      <c r="I171" s="11"/>
      <c r="J171" s="11" t="s">
        <v>283</v>
      </c>
      <c r="K171" s="11" t="s">
        <v>284</v>
      </c>
      <c r="L171" s="12">
        <v>89535.344827586203</v>
      </c>
      <c r="M171" s="12">
        <v>26860.603448275899</v>
      </c>
      <c r="N171" s="11" t="s">
        <v>309</v>
      </c>
      <c r="O171" s="11" t="s">
        <v>286</v>
      </c>
      <c r="P171" s="11" t="s">
        <v>287</v>
      </c>
      <c r="Q171" s="11">
        <v>18610091092</v>
      </c>
      <c r="R171" s="11" t="s">
        <v>288</v>
      </c>
      <c r="S171" s="11" t="s">
        <v>115</v>
      </c>
      <c r="T171" s="11"/>
    </row>
    <row r="172" spans="1:20" s="14" customFormat="1" ht="24" customHeight="1">
      <c r="A172" s="15"/>
      <c r="B172" s="11" t="s">
        <v>281</v>
      </c>
      <c r="C172" s="11" t="s">
        <v>310</v>
      </c>
      <c r="D172" s="11" t="s">
        <v>62</v>
      </c>
      <c r="E172" s="9">
        <v>27.05</v>
      </c>
      <c r="F172" s="9">
        <v>27.05</v>
      </c>
      <c r="G172" s="11" t="s">
        <v>32</v>
      </c>
      <c r="H172" s="11" t="s">
        <v>41</v>
      </c>
      <c r="I172" s="11"/>
      <c r="J172" s="11" t="s">
        <v>283</v>
      </c>
      <c r="K172" s="11" t="s">
        <v>284</v>
      </c>
      <c r="L172" s="12">
        <v>171161.206896552</v>
      </c>
      <c r="M172" s="12">
        <v>51348.362068965602</v>
      </c>
      <c r="N172" s="11" t="s">
        <v>311</v>
      </c>
      <c r="O172" s="11" t="s">
        <v>286</v>
      </c>
      <c r="P172" s="11" t="s">
        <v>287</v>
      </c>
      <c r="Q172" s="11">
        <v>18610091092</v>
      </c>
      <c r="R172" s="11" t="s">
        <v>288</v>
      </c>
      <c r="S172" s="11" t="s">
        <v>115</v>
      </c>
      <c r="T172" s="11"/>
    </row>
    <row r="173" spans="1:20" s="14" customFormat="1" ht="24" customHeight="1">
      <c r="A173" s="15"/>
      <c r="B173" s="11" t="s">
        <v>281</v>
      </c>
      <c r="C173" s="11" t="s">
        <v>282</v>
      </c>
      <c r="D173" s="11" t="s">
        <v>62</v>
      </c>
      <c r="E173" s="9">
        <v>27.69</v>
      </c>
      <c r="F173" s="9">
        <v>27.69</v>
      </c>
      <c r="G173" s="11" t="s">
        <v>32</v>
      </c>
      <c r="H173" s="11" t="s">
        <v>41</v>
      </c>
      <c r="I173" s="11"/>
      <c r="J173" s="11" t="s">
        <v>283</v>
      </c>
      <c r="K173" s="11" t="s">
        <v>284</v>
      </c>
      <c r="L173" s="12">
        <v>175210.862068966</v>
      </c>
      <c r="M173" s="12">
        <v>52563.258620689703</v>
      </c>
      <c r="N173" s="11" t="s">
        <v>311</v>
      </c>
      <c r="O173" s="11" t="s">
        <v>286</v>
      </c>
      <c r="P173" s="11" t="s">
        <v>287</v>
      </c>
      <c r="Q173" s="11">
        <v>18610091092</v>
      </c>
      <c r="R173" s="11" t="s">
        <v>288</v>
      </c>
      <c r="S173" s="11" t="s">
        <v>115</v>
      </c>
      <c r="T173" s="11"/>
    </row>
    <row r="174" spans="1:20" s="14" customFormat="1" ht="24" customHeight="1">
      <c r="A174" s="15"/>
      <c r="B174" s="11" t="s">
        <v>281</v>
      </c>
      <c r="C174" s="11" t="s">
        <v>312</v>
      </c>
      <c r="D174" s="11" t="s">
        <v>62</v>
      </c>
      <c r="E174" s="9">
        <v>14.94</v>
      </c>
      <c r="F174" s="9">
        <v>14.94</v>
      </c>
      <c r="G174" s="11" t="s">
        <v>32</v>
      </c>
      <c r="H174" s="11" t="s">
        <v>41</v>
      </c>
      <c r="I174" s="11"/>
      <c r="J174" s="11" t="s">
        <v>283</v>
      </c>
      <c r="K174" s="11" t="s">
        <v>284</v>
      </c>
      <c r="L174" s="12">
        <v>94534.137931034493</v>
      </c>
      <c r="M174" s="12">
        <v>28360.241379310301</v>
      </c>
      <c r="N174" s="11" t="s">
        <v>311</v>
      </c>
      <c r="O174" s="11" t="s">
        <v>286</v>
      </c>
      <c r="P174" s="11" t="s">
        <v>287</v>
      </c>
      <c r="Q174" s="11">
        <v>18610091092</v>
      </c>
      <c r="R174" s="11" t="s">
        <v>288</v>
      </c>
      <c r="S174" s="11" t="s">
        <v>115</v>
      </c>
      <c r="T174" s="11"/>
    </row>
    <row r="175" spans="1:20" s="14" customFormat="1" ht="24" customHeight="1">
      <c r="A175" s="15"/>
      <c r="B175" s="11" t="s">
        <v>281</v>
      </c>
      <c r="C175" s="11" t="s">
        <v>282</v>
      </c>
      <c r="D175" s="11" t="s">
        <v>62</v>
      </c>
      <c r="E175" s="9">
        <v>27.62</v>
      </c>
      <c r="F175" s="9">
        <v>27.62</v>
      </c>
      <c r="G175" s="11" t="s">
        <v>32</v>
      </c>
      <c r="H175" s="11" t="s">
        <v>41</v>
      </c>
      <c r="I175" s="11"/>
      <c r="J175" s="11" t="s">
        <v>283</v>
      </c>
      <c r="K175" s="11" t="s">
        <v>284</v>
      </c>
      <c r="L175" s="12">
        <v>174767.93103448299</v>
      </c>
      <c r="M175" s="12">
        <v>52430.379310344899</v>
      </c>
      <c r="N175" s="11" t="s">
        <v>311</v>
      </c>
      <c r="O175" s="11" t="s">
        <v>286</v>
      </c>
      <c r="P175" s="11" t="s">
        <v>287</v>
      </c>
      <c r="Q175" s="11">
        <v>18610091092</v>
      </c>
      <c r="R175" s="11" t="s">
        <v>288</v>
      </c>
      <c r="S175" s="11" t="s">
        <v>115</v>
      </c>
      <c r="T175" s="11"/>
    </row>
    <row r="176" spans="1:20" s="14" customFormat="1" ht="24" hidden="1" customHeight="1">
      <c r="A176" s="15"/>
      <c r="B176" s="11" t="s">
        <v>281</v>
      </c>
      <c r="C176" s="11" t="s">
        <v>313</v>
      </c>
      <c r="D176" s="11" t="s">
        <v>62</v>
      </c>
      <c r="E176" s="9">
        <v>22.26</v>
      </c>
      <c r="F176" s="9">
        <v>22.26</v>
      </c>
      <c r="G176" s="11" t="s">
        <v>32</v>
      </c>
      <c r="H176" s="11" t="s">
        <v>33</v>
      </c>
      <c r="I176" s="11"/>
      <c r="J176" s="11" t="s">
        <v>283</v>
      </c>
      <c r="K176" s="11" t="s">
        <v>284</v>
      </c>
      <c r="L176" s="12">
        <v>140852.06896551701</v>
      </c>
      <c r="M176" s="12">
        <v>42255.620689655101</v>
      </c>
      <c r="N176" s="11" t="s">
        <v>311</v>
      </c>
      <c r="O176" s="11" t="s">
        <v>286</v>
      </c>
      <c r="P176" s="11" t="s">
        <v>287</v>
      </c>
      <c r="Q176" s="11">
        <v>18610091092</v>
      </c>
      <c r="R176" s="11" t="s">
        <v>288</v>
      </c>
      <c r="S176" s="11" t="s">
        <v>115</v>
      </c>
      <c r="T176" s="11"/>
    </row>
    <row r="177" spans="1:20" s="14" customFormat="1" ht="24" customHeight="1">
      <c r="A177" s="15"/>
      <c r="B177" s="11" t="s">
        <v>281</v>
      </c>
      <c r="C177" s="11" t="s">
        <v>314</v>
      </c>
      <c r="D177" s="11" t="s">
        <v>62</v>
      </c>
      <c r="E177" s="9">
        <v>196.96</v>
      </c>
      <c r="F177" s="9">
        <v>196.96</v>
      </c>
      <c r="G177" s="11" t="s">
        <v>32</v>
      </c>
      <c r="H177" s="11" t="s">
        <v>41</v>
      </c>
      <c r="I177" s="11"/>
      <c r="J177" s="11" t="s">
        <v>283</v>
      </c>
      <c r="K177" s="11" t="s">
        <v>137</v>
      </c>
      <c r="L177" s="12">
        <v>1285333.79310345</v>
      </c>
      <c r="M177" s="12">
        <v>385600.13793103403</v>
      </c>
      <c r="N177" s="11" t="s">
        <v>315</v>
      </c>
      <c r="O177" s="11" t="s">
        <v>286</v>
      </c>
      <c r="P177" s="11" t="s">
        <v>287</v>
      </c>
      <c r="Q177" s="11">
        <v>18610091092</v>
      </c>
      <c r="R177" s="11" t="s">
        <v>288</v>
      </c>
      <c r="S177" s="11" t="s">
        <v>115</v>
      </c>
      <c r="T177" s="11"/>
    </row>
    <row r="178" spans="1:20" s="14" customFormat="1" ht="24" hidden="1" customHeight="1">
      <c r="A178" s="15"/>
      <c r="B178" s="11" t="s">
        <v>281</v>
      </c>
      <c r="C178" s="11" t="s">
        <v>316</v>
      </c>
      <c r="D178" s="11" t="s">
        <v>62</v>
      </c>
      <c r="E178" s="9">
        <v>390.21</v>
      </c>
      <c r="F178" s="9">
        <v>390.21</v>
      </c>
      <c r="G178" s="11" t="s">
        <v>32</v>
      </c>
      <c r="H178" s="11" t="s">
        <v>33</v>
      </c>
      <c r="I178" s="11"/>
      <c r="J178" s="11" t="s">
        <v>283</v>
      </c>
      <c r="K178" s="11" t="s">
        <v>137</v>
      </c>
      <c r="L178" s="12">
        <v>2546456.6379310298</v>
      </c>
      <c r="M178" s="12">
        <v>763936.99137931003</v>
      </c>
      <c r="N178" s="11" t="s">
        <v>317</v>
      </c>
      <c r="O178" s="11" t="s">
        <v>286</v>
      </c>
      <c r="P178" s="11" t="s">
        <v>287</v>
      </c>
      <c r="Q178" s="11">
        <v>18610091092</v>
      </c>
      <c r="R178" s="11" t="s">
        <v>288</v>
      </c>
      <c r="S178" s="11" t="s">
        <v>115</v>
      </c>
      <c r="T178" s="11"/>
    </row>
    <row r="179" spans="1:20" s="14" customFormat="1" ht="24" customHeight="1">
      <c r="A179" s="15"/>
      <c r="B179" s="11" t="s">
        <v>281</v>
      </c>
      <c r="C179" s="11" t="s">
        <v>318</v>
      </c>
      <c r="D179" s="11" t="s">
        <v>62</v>
      </c>
      <c r="E179" s="9">
        <v>222.88</v>
      </c>
      <c r="F179" s="9">
        <v>222.88</v>
      </c>
      <c r="G179" s="11" t="s">
        <v>32</v>
      </c>
      <c r="H179" s="11" t="s">
        <v>41</v>
      </c>
      <c r="I179" s="11"/>
      <c r="J179" s="11" t="s">
        <v>283</v>
      </c>
      <c r="K179" s="11" t="s">
        <v>137</v>
      </c>
      <c r="L179" s="12">
        <v>1454484.13793103</v>
      </c>
      <c r="M179" s="12">
        <v>436345.24137931003</v>
      </c>
      <c r="N179" s="11" t="s">
        <v>319</v>
      </c>
      <c r="O179" s="11" t="s">
        <v>286</v>
      </c>
      <c r="P179" s="11" t="s">
        <v>287</v>
      </c>
      <c r="Q179" s="11">
        <v>18610091092</v>
      </c>
      <c r="R179" s="11" t="s">
        <v>288</v>
      </c>
      <c r="S179" s="11" t="s">
        <v>115</v>
      </c>
      <c r="T179" s="11"/>
    </row>
    <row r="180" spans="1:20" s="14" customFormat="1" ht="24" customHeight="1">
      <c r="A180" s="15"/>
      <c r="B180" s="11" t="s">
        <v>281</v>
      </c>
      <c r="C180" s="11" t="s">
        <v>289</v>
      </c>
      <c r="D180" s="11" t="s">
        <v>62</v>
      </c>
      <c r="E180" s="9">
        <v>46.6</v>
      </c>
      <c r="F180" s="9">
        <v>46.6</v>
      </c>
      <c r="G180" s="11" t="s">
        <v>32</v>
      </c>
      <c r="H180" s="11" t="s">
        <v>41</v>
      </c>
      <c r="I180" s="11"/>
      <c r="J180" s="11" t="s">
        <v>283</v>
      </c>
      <c r="K180" s="11" t="s">
        <v>284</v>
      </c>
      <c r="L180" s="12">
        <v>281249.55752212403</v>
      </c>
      <c r="M180" s="12">
        <v>84374.867256637197</v>
      </c>
      <c r="N180" s="11" t="s">
        <v>320</v>
      </c>
      <c r="O180" s="11" t="s">
        <v>286</v>
      </c>
      <c r="P180" s="11" t="s">
        <v>321</v>
      </c>
      <c r="Q180" s="11">
        <v>18500041080</v>
      </c>
      <c r="R180" s="11" t="s">
        <v>288</v>
      </c>
      <c r="S180" s="11" t="s">
        <v>115</v>
      </c>
      <c r="T180" s="11"/>
    </row>
    <row r="181" spans="1:20" s="14" customFormat="1" ht="24" customHeight="1">
      <c r="A181" s="15"/>
      <c r="B181" s="11" t="s">
        <v>281</v>
      </c>
      <c r="C181" s="11" t="s">
        <v>322</v>
      </c>
      <c r="D181" s="11" t="s">
        <v>62</v>
      </c>
      <c r="E181" s="9">
        <v>12.33</v>
      </c>
      <c r="F181" s="9">
        <v>12.33</v>
      </c>
      <c r="G181" s="11" t="s">
        <v>32</v>
      </c>
      <c r="H181" s="11" t="s">
        <v>41</v>
      </c>
      <c r="I181" s="11"/>
      <c r="J181" s="11" t="s">
        <v>283</v>
      </c>
      <c r="K181" s="11" t="s">
        <v>284</v>
      </c>
      <c r="L181" s="12">
        <v>75180.265486725693</v>
      </c>
      <c r="M181" s="12">
        <v>22554.079646017701</v>
      </c>
      <c r="N181" s="11" t="s">
        <v>323</v>
      </c>
      <c r="O181" s="11" t="s">
        <v>286</v>
      </c>
      <c r="P181" s="11" t="s">
        <v>321</v>
      </c>
      <c r="Q181" s="11">
        <v>18500041080</v>
      </c>
      <c r="R181" s="11" t="s">
        <v>288</v>
      </c>
      <c r="S181" s="11" t="s">
        <v>115</v>
      </c>
      <c r="T181" s="11"/>
    </row>
    <row r="182" spans="1:20" s="14" customFormat="1" ht="24" customHeight="1">
      <c r="A182" s="15"/>
      <c r="B182" s="11" t="s">
        <v>281</v>
      </c>
      <c r="C182" s="11" t="s">
        <v>324</v>
      </c>
      <c r="D182" s="11" t="s">
        <v>62</v>
      </c>
      <c r="E182" s="9">
        <v>57</v>
      </c>
      <c r="F182" s="9">
        <v>57</v>
      </c>
      <c r="G182" s="11" t="s">
        <v>32</v>
      </c>
      <c r="H182" s="11" t="s">
        <v>41</v>
      </c>
      <c r="I182" s="11"/>
      <c r="J182" s="11" t="s">
        <v>283</v>
      </c>
      <c r="K182" s="11" t="s">
        <v>137</v>
      </c>
      <c r="L182" s="12">
        <v>360663.71681415901</v>
      </c>
      <c r="M182" s="12">
        <v>108199.115044248</v>
      </c>
      <c r="N182" s="11" t="s">
        <v>325</v>
      </c>
      <c r="O182" s="11" t="s">
        <v>286</v>
      </c>
      <c r="P182" s="11" t="s">
        <v>321</v>
      </c>
      <c r="Q182" s="11">
        <v>18500041080</v>
      </c>
      <c r="R182" s="11" t="s">
        <v>288</v>
      </c>
      <c r="S182" s="11" t="s">
        <v>115</v>
      </c>
      <c r="T182" s="11"/>
    </row>
    <row r="183" spans="1:20" s="14" customFormat="1" ht="24" customHeight="1">
      <c r="A183" s="15"/>
      <c r="B183" s="11" t="s">
        <v>281</v>
      </c>
      <c r="C183" s="11" t="s">
        <v>326</v>
      </c>
      <c r="D183" s="11" t="s">
        <v>62</v>
      </c>
      <c r="E183" s="9">
        <v>236.97</v>
      </c>
      <c r="F183" s="9">
        <v>236.97</v>
      </c>
      <c r="G183" s="11" t="s">
        <v>32</v>
      </c>
      <c r="H183" s="11" t="s">
        <v>41</v>
      </c>
      <c r="I183" s="11"/>
      <c r="J183" s="11" t="s">
        <v>283</v>
      </c>
      <c r="K183" s="11" t="s">
        <v>137</v>
      </c>
      <c r="L183" s="12">
        <v>1503606.1061946901</v>
      </c>
      <c r="M183" s="12">
        <v>451081.83185840701</v>
      </c>
      <c r="N183" s="11" t="s">
        <v>327</v>
      </c>
      <c r="O183" s="11" t="s">
        <v>286</v>
      </c>
      <c r="P183" s="11" t="s">
        <v>321</v>
      </c>
      <c r="Q183" s="11">
        <v>18500041080</v>
      </c>
      <c r="R183" s="11" t="s">
        <v>288</v>
      </c>
      <c r="S183" s="11" t="s">
        <v>115</v>
      </c>
      <c r="T183" s="11"/>
    </row>
    <row r="184" spans="1:20" s="14" customFormat="1" ht="24" customHeight="1">
      <c r="A184" s="15"/>
      <c r="B184" s="11" t="s">
        <v>281</v>
      </c>
      <c r="C184" s="11" t="s">
        <v>328</v>
      </c>
      <c r="D184" s="11" t="s">
        <v>62</v>
      </c>
      <c r="E184" s="9">
        <v>240.73</v>
      </c>
      <c r="F184" s="9">
        <v>240.73</v>
      </c>
      <c r="G184" s="11" t="s">
        <v>32</v>
      </c>
      <c r="H184" s="11" t="s">
        <v>41</v>
      </c>
      <c r="I184" s="11"/>
      <c r="J184" s="11" t="s">
        <v>283</v>
      </c>
      <c r="K184" s="11" t="s">
        <v>137</v>
      </c>
      <c r="L184" s="12">
        <v>1540245.9292035401</v>
      </c>
      <c r="M184" s="12">
        <v>462073.77876106201</v>
      </c>
      <c r="N184" s="11" t="s">
        <v>329</v>
      </c>
      <c r="O184" s="11" t="s">
        <v>286</v>
      </c>
      <c r="P184" s="11" t="s">
        <v>321</v>
      </c>
      <c r="Q184" s="11">
        <v>18500041080</v>
      </c>
      <c r="R184" s="11" t="s">
        <v>288</v>
      </c>
      <c r="S184" s="11" t="s">
        <v>115</v>
      </c>
      <c r="T184" s="11"/>
    </row>
    <row r="185" spans="1:20" s="14" customFormat="1" ht="24" customHeight="1">
      <c r="A185" s="15"/>
      <c r="B185" s="11" t="s">
        <v>281</v>
      </c>
      <c r="C185" s="11" t="s">
        <v>330</v>
      </c>
      <c r="D185" s="11" t="s">
        <v>62</v>
      </c>
      <c r="E185" s="9">
        <v>53.1</v>
      </c>
      <c r="F185" s="9">
        <v>53.1</v>
      </c>
      <c r="G185" s="11" t="s">
        <v>32</v>
      </c>
      <c r="H185" s="11" t="s">
        <v>41</v>
      </c>
      <c r="I185" s="11"/>
      <c r="J185" s="11" t="s">
        <v>283</v>
      </c>
      <c r="K185" s="11" t="s">
        <v>137</v>
      </c>
      <c r="L185" s="12">
        <v>343975.22123893799</v>
      </c>
      <c r="M185" s="12">
        <v>103192.56637168099</v>
      </c>
      <c r="N185" s="11" t="s">
        <v>331</v>
      </c>
      <c r="O185" s="11" t="s">
        <v>286</v>
      </c>
      <c r="P185" s="11" t="s">
        <v>321</v>
      </c>
      <c r="Q185" s="11">
        <v>18500041080</v>
      </c>
      <c r="R185" s="11" t="s">
        <v>288</v>
      </c>
      <c r="S185" s="11" t="s">
        <v>115</v>
      </c>
      <c r="T185" s="11"/>
    </row>
    <row r="186" spans="1:20" s="14" customFormat="1" ht="24" customHeight="1">
      <c r="A186" s="15"/>
      <c r="B186" s="11" t="s">
        <v>281</v>
      </c>
      <c r="C186" s="11" t="s">
        <v>332</v>
      </c>
      <c r="D186" s="11" t="s">
        <v>62</v>
      </c>
      <c r="E186" s="9">
        <v>194.6</v>
      </c>
      <c r="F186" s="9">
        <v>194.6</v>
      </c>
      <c r="G186" s="11" t="s">
        <v>32</v>
      </c>
      <c r="H186" s="11" t="s">
        <v>41</v>
      </c>
      <c r="I186" s="11"/>
      <c r="J186" s="11" t="s">
        <v>283</v>
      </c>
      <c r="K186" s="11" t="s">
        <v>137</v>
      </c>
      <c r="L186" s="12">
        <v>1264038.9380530999</v>
      </c>
      <c r="M186" s="12">
        <v>573589.28018042701</v>
      </c>
      <c r="N186" s="11" t="s">
        <v>333</v>
      </c>
      <c r="O186" s="11" t="s">
        <v>286</v>
      </c>
      <c r="P186" s="11" t="s">
        <v>321</v>
      </c>
      <c r="Q186" s="11">
        <v>18500041080</v>
      </c>
      <c r="R186" s="11" t="s">
        <v>288</v>
      </c>
      <c r="S186" s="11" t="s">
        <v>115</v>
      </c>
      <c r="T186" s="11"/>
    </row>
    <row r="187" spans="1:20" s="14" customFormat="1" ht="24" customHeight="1">
      <c r="A187" s="15"/>
      <c r="B187" s="11" t="s">
        <v>281</v>
      </c>
      <c r="C187" s="11" t="s">
        <v>334</v>
      </c>
      <c r="D187" s="11" t="s">
        <v>62</v>
      </c>
      <c r="E187" s="9">
        <v>89.88</v>
      </c>
      <c r="F187" s="9">
        <v>89.88</v>
      </c>
      <c r="G187" s="11" t="s">
        <v>32</v>
      </c>
      <c r="H187" s="11" t="s">
        <v>41</v>
      </c>
      <c r="I187" s="11"/>
      <c r="J187" s="11" t="s">
        <v>283</v>
      </c>
      <c r="K187" s="11" t="s">
        <v>137</v>
      </c>
      <c r="L187" s="12">
        <v>570300.53097345098</v>
      </c>
      <c r="M187" s="12">
        <v>304160.29097345099</v>
      </c>
      <c r="N187" s="11" t="s">
        <v>333</v>
      </c>
      <c r="O187" s="11" t="s">
        <v>286</v>
      </c>
      <c r="P187" s="11" t="s">
        <v>321</v>
      </c>
      <c r="Q187" s="11">
        <v>18500041080</v>
      </c>
      <c r="R187" s="11" t="s">
        <v>288</v>
      </c>
      <c r="S187" s="11" t="s">
        <v>115</v>
      </c>
      <c r="T187" s="11"/>
    </row>
    <row r="188" spans="1:20" s="14" customFormat="1" ht="24" customHeight="1">
      <c r="A188" s="15"/>
      <c r="B188" s="11" t="s">
        <v>281</v>
      </c>
      <c r="C188" s="11" t="s">
        <v>310</v>
      </c>
      <c r="D188" s="11" t="s">
        <v>62</v>
      </c>
      <c r="E188" s="9">
        <v>25.36</v>
      </c>
      <c r="F188" s="9">
        <v>25.36</v>
      </c>
      <c r="G188" s="11" t="s">
        <v>32</v>
      </c>
      <c r="H188" s="11" t="s">
        <v>41</v>
      </c>
      <c r="I188" s="11"/>
      <c r="J188" s="11" t="s">
        <v>283</v>
      </c>
      <c r="K188" s="11" t="s">
        <v>284</v>
      </c>
      <c r="L188" s="12">
        <v>155750.79646017699</v>
      </c>
      <c r="M188" s="12">
        <v>83067.096460176996</v>
      </c>
      <c r="N188" s="11" t="s">
        <v>333</v>
      </c>
      <c r="O188" s="11" t="s">
        <v>286</v>
      </c>
      <c r="P188" s="11" t="s">
        <v>321</v>
      </c>
      <c r="Q188" s="11">
        <v>18500041080</v>
      </c>
      <c r="R188" s="11" t="s">
        <v>288</v>
      </c>
      <c r="S188" s="11" t="s">
        <v>115</v>
      </c>
      <c r="T188" s="11"/>
    </row>
    <row r="189" spans="1:20" s="14" customFormat="1" ht="24" customHeight="1">
      <c r="A189" s="15"/>
      <c r="B189" s="11" t="s">
        <v>281</v>
      </c>
      <c r="C189" s="11" t="s">
        <v>335</v>
      </c>
      <c r="D189" s="11" t="s">
        <v>62</v>
      </c>
      <c r="E189" s="9">
        <v>61.24</v>
      </c>
      <c r="F189" s="9">
        <v>61.24</v>
      </c>
      <c r="G189" s="11" t="s">
        <v>32</v>
      </c>
      <c r="H189" s="11" t="s">
        <v>41</v>
      </c>
      <c r="I189" s="11"/>
      <c r="J189" s="11" t="s">
        <v>283</v>
      </c>
      <c r="K189" s="11" t="s">
        <v>137</v>
      </c>
      <c r="L189" s="12">
        <v>398330.97345132701</v>
      </c>
      <c r="M189" s="12">
        <v>212443.19345132701</v>
      </c>
      <c r="N189" s="11" t="s">
        <v>336</v>
      </c>
      <c r="O189" s="11" t="s">
        <v>286</v>
      </c>
      <c r="P189" s="11" t="s">
        <v>321</v>
      </c>
      <c r="Q189" s="11">
        <v>18500041080</v>
      </c>
      <c r="R189" s="11" t="s">
        <v>288</v>
      </c>
      <c r="S189" s="11" t="s">
        <v>115</v>
      </c>
      <c r="T189" s="11"/>
    </row>
    <row r="190" spans="1:20" s="14" customFormat="1" ht="24" customHeight="1">
      <c r="A190" s="15"/>
      <c r="B190" s="11" t="s">
        <v>281</v>
      </c>
      <c r="C190" s="11" t="s">
        <v>337</v>
      </c>
      <c r="D190" s="11" t="s">
        <v>62</v>
      </c>
      <c r="E190" s="9">
        <v>78.89</v>
      </c>
      <c r="F190" s="9">
        <v>78.89</v>
      </c>
      <c r="G190" s="11" t="s">
        <v>32</v>
      </c>
      <c r="H190" s="11" t="s">
        <v>41</v>
      </c>
      <c r="I190" s="11"/>
      <c r="J190" s="11" t="s">
        <v>283</v>
      </c>
      <c r="K190" s="11" t="s">
        <v>137</v>
      </c>
      <c r="L190" s="12">
        <v>511039.64601769898</v>
      </c>
      <c r="M190" s="12">
        <v>272554.46601769899</v>
      </c>
      <c r="N190" s="11" t="s">
        <v>336</v>
      </c>
      <c r="O190" s="11" t="s">
        <v>286</v>
      </c>
      <c r="P190" s="11" t="s">
        <v>321</v>
      </c>
      <c r="Q190" s="11">
        <v>18500041080</v>
      </c>
      <c r="R190" s="11" t="s">
        <v>288</v>
      </c>
      <c r="S190" s="11" t="s">
        <v>115</v>
      </c>
      <c r="T190" s="11"/>
    </row>
    <row r="191" spans="1:20" s="14" customFormat="1" ht="24" hidden="1" customHeight="1">
      <c r="A191" s="15"/>
      <c r="B191" s="11" t="s">
        <v>281</v>
      </c>
      <c r="C191" s="11" t="s">
        <v>338</v>
      </c>
      <c r="D191" s="11" t="s">
        <v>62</v>
      </c>
      <c r="E191" s="9">
        <v>170.08</v>
      </c>
      <c r="F191" s="9">
        <v>170.08</v>
      </c>
      <c r="G191" s="11" t="s">
        <v>32</v>
      </c>
      <c r="H191" s="11" t="s">
        <v>33</v>
      </c>
      <c r="I191" s="11"/>
      <c r="J191" s="11" t="s">
        <v>283</v>
      </c>
      <c r="K191" s="11" t="s">
        <v>137</v>
      </c>
      <c r="L191" s="12">
        <v>1079180.17699115</v>
      </c>
      <c r="M191" s="12">
        <v>575562.75699115102</v>
      </c>
      <c r="N191" s="11" t="s">
        <v>336</v>
      </c>
      <c r="O191" s="11" t="s">
        <v>286</v>
      </c>
      <c r="P191" s="11" t="s">
        <v>321</v>
      </c>
      <c r="Q191" s="11">
        <v>18500041080</v>
      </c>
      <c r="R191" s="11" t="s">
        <v>288</v>
      </c>
      <c r="S191" s="11" t="s">
        <v>115</v>
      </c>
      <c r="T191" s="11"/>
    </row>
    <row r="192" spans="1:20" s="14" customFormat="1" ht="24" customHeight="1">
      <c r="A192" s="15"/>
      <c r="B192" s="11" t="s">
        <v>281</v>
      </c>
      <c r="C192" s="11" t="s">
        <v>339</v>
      </c>
      <c r="D192" s="11" t="s">
        <v>62</v>
      </c>
      <c r="E192" s="9">
        <v>25.2</v>
      </c>
      <c r="F192" s="9">
        <v>25.2</v>
      </c>
      <c r="G192" s="11" t="s">
        <v>32</v>
      </c>
      <c r="H192" s="11" t="s">
        <v>41</v>
      </c>
      <c r="I192" s="11"/>
      <c r="J192" s="11" t="s">
        <v>283</v>
      </c>
      <c r="K192" s="11" t="s">
        <v>137</v>
      </c>
      <c r="L192" s="12">
        <v>163911.50442477901</v>
      </c>
      <c r="M192" s="12">
        <v>87419.464424778795</v>
      </c>
      <c r="N192" s="11" t="s">
        <v>340</v>
      </c>
      <c r="O192" s="11" t="s">
        <v>286</v>
      </c>
      <c r="P192" s="11" t="s">
        <v>321</v>
      </c>
      <c r="Q192" s="11">
        <v>18500041080</v>
      </c>
      <c r="R192" s="11" t="s">
        <v>288</v>
      </c>
      <c r="S192" s="11" t="s">
        <v>115</v>
      </c>
      <c r="T192" s="11"/>
    </row>
    <row r="193" spans="1:20" s="14" customFormat="1" ht="24" customHeight="1">
      <c r="A193" s="15"/>
      <c r="B193" s="11" t="s">
        <v>341</v>
      </c>
      <c r="C193" s="11" t="s">
        <v>342</v>
      </c>
      <c r="D193" s="11" t="s">
        <v>62</v>
      </c>
      <c r="E193" s="9">
        <v>72.95</v>
      </c>
      <c r="F193" s="9">
        <v>72.95</v>
      </c>
      <c r="G193" s="11" t="s">
        <v>32</v>
      </c>
      <c r="H193" s="11" t="s">
        <v>41</v>
      </c>
      <c r="I193" s="11"/>
      <c r="J193" s="11" t="s">
        <v>283</v>
      </c>
      <c r="K193" s="11" t="s">
        <v>343</v>
      </c>
      <c r="L193" s="12">
        <v>444155.75221238902</v>
      </c>
      <c r="M193" s="12">
        <v>207272.68654867299</v>
      </c>
      <c r="N193" s="11" t="s">
        <v>344</v>
      </c>
      <c r="O193" s="11" t="s">
        <v>286</v>
      </c>
      <c r="P193" s="11" t="s">
        <v>321</v>
      </c>
      <c r="Q193" s="11">
        <v>18500041080</v>
      </c>
      <c r="R193" s="11" t="s">
        <v>288</v>
      </c>
      <c r="S193" s="11" t="s">
        <v>115</v>
      </c>
      <c r="T193" s="11"/>
    </row>
    <row r="194" spans="1:20" s="14" customFormat="1" ht="24" hidden="1" customHeight="1">
      <c r="A194" s="15"/>
      <c r="B194" s="11" t="s">
        <v>341</v>
      </c>
      <c r="C194" s="11" t="s">
        <v>345</v>
      </c>
      <c r="D194" s="11" t="s">
        <v>62</v>
      </c>
      <c r="E194" s="9">
        <v>57.52</v>
      </c>
      <c r="F194" s="9">
        <v>57.52</v>
      </c>
      <c r="G194" s="11" t="s">
        <v>32</v>
      </c>
      <c r="H194" s="11" t="s">
        <v>33</v>
      </c>
      <c r="I194" s="11"/>
      <c r="J194" s="11" t="s">
        <v>283</v>
      </c>
      <c r="K194" s="11" t="s">
        <v>343</v>
      </c>
      <c r="L194" s="12">
        <v>345629.03</v>
      </c>
      <c r="M194" s="12">
        <v>161293.55100000001</v>
      </c>
      <c r="N194" s="11" t="s">
        <v>346</v>
      </c>
      <c r="O194" s="11" t="s">
        <v>286</v>
      </c>
      <c r="P194" s="11" t="s">
        <v>321</v>
      </c>
      <c r="Q194" s="11">
        <v>18500041080</v>
      </c>
      <c r="R194" s="11" t="s">
        <v>288</v>
      </c>
      <c r="S194" s="11" t="s">
        <v>115</v>
      </c>
      <c r="T194" s="11"/>
    </row>
    <row r="195" spans="1:20" s="14" customFormat="1" ht="24" customHeight="1">
      <c r="A195" s="15"/>
      <c r="B195" s="11" t="s">
        <v>347</v>
      </c>
      <c r="C195" s="11" t="s">
        <v>348</v>
      </c>
      <c r="D195" s="11" t="s">
        <v>62</v>
      </c>
      <c r="E195" s="9">
        <v>75.87</v>
      </c>
      <c r="F195" s="9">
        <v>75.87</v>
      </c>
      <c r="G195" s="11" t="s">
        <v>32</v>
      </c>
      <c r="H195" s="11" t="s">
        <v>41</v>
      </c>
      <c r="I195" s="11"/>
      <c r="J195" s="11" t="s">
        <v>283</v>
      </c>
      <c r="K195" s="11" t="s">
        <v>343</v>
      </c>
      <c r="L195" s="12">
        <v>480062.38938053098</v>
      </c>
      <c r="M195" s="12">
        <v>256033.289380531</v>
      </c>
      <c r="N195" s="11" t="s">
        <v>349</v>
      </c>
      <c r="O195" s="11" t="s">
        <v>286</v>
      </c>
      <c r="P195" s="11" t="s">
        <v>321</v>
      </c>
      <c r="Q195" s="11">
        <v>18500041080</v>
      </c>
      <c r="R195" s="11" t="s">
        <v>288</v>
      </c>
      <c r="S195" s="11" t="s">
        <v>115</v>
      </c>
      <c r="T195" s="11"/>
    </row>
    <row r="196" spans="1:20" s="14" customFormat="1" ht="24" hidden="1" customHeight="1">
      <c r="A196" s="15"/>
      <c r="B196" s="11" t="s">
        <v>281</v>
      </c>
      <c r="C196" s="11" t="s">
        <v>350</v>
      </c>
      <c r="D196" s="11" t="s">
        <v>62</v>
      </c>
      <c r="E196" s="9">
        <v>93</v>
      </c>
      <c r="F196" s="9">
        <v>93</v>
      </c>
      <c r="G196" s="11" t="s">
        <v>32</v>
      </c>
      <c r="H196" s="11" t="s">
        <v>33</v>
      </c>
      <c r="I196" s="11"/>
      <c r="J196" s="11" t="s">
        <v>283</v>
      </c>
      <c r="K196" s="11" t="s">
        <v>343</v>
      </c>
      <c r="L196" s="12">
        <v>581044.24778761098</v>
      </c>
      <c r="M196" s="12">
        <v>309890.267787611</v>
      </c>
      <c r="N196" s="11" t="s">
        <v>349</v>
      </c>
      <c r="O196" s="11" t="s">
        <v>286</v>
      </c>
      <c r="P196" s="11" t="s">
        <v>321</v>
      </c>
      <c r="Q196" s="11">
        <v>18500041080</v>
      </c>
      <c r="R196" s="11" t="s">
        <v>288</v>
      </c>
      <c r="S196" s="11" t="s">
        <v>115</v>
      </c>
      <c r="T196" s="11"/>
    </row>
    <row r="197" spans="1:20" s="14" customFormat="1" ht="24" hidden="1" customHeight="1">
      <c r="A197" s="15"/>
      <c r="B197" s="11" t="s">
        <v>281</v>
      </c>
      <c r="C197" s="11" t="s">
        <v>351</v>
      </c>
      <c r="D197" s="11" t="s">
        <v>62</v>
      </c>
      <c r="E197" s="9">
        <v>205.232</v>
      </c>
      <c r="F197" s="9">
        <v>205.232</v>
      </c>
      <c r="G197" s="11" t="s">
        <v>32</v>
      </c>
      <c r="H197" s="11" t="s">
        <v>33</v>
      </c>
      <c r="I197" s="11"/>
      <c r="J197" s="11" t="s">
        <v>283</v>
      </c>
      <c r="K197" s="11" t="s">
        <v>343</v>
      </c>
      <c r="L197" s="12">
        <v>1313121.55752212</v>
      </c>
      <c r="M197" s="12">
        <v>700331.49752212397</v>
      </c>
      <c r="N197" s="11" t="s">
        <v>349</v>
      </c>
      <c r="O197" s="11" t="s">
        <v>286</v>
      </c>
      <c r="P197" s="11" t="s">
        <v>321</v>
      </c>
      <c r="Q197" s="11">
        <v>18500041080</v>
      </c>
      <c r="R197" s="11" t="s">
        <v>288</v>
      </c>
      <c r="S197" s="11" t="s">
        <v>115</v>
      </c>
      <c r="T197" s="11"/>
    </row>
    <row r="198" spans="1:20" s="14" customFormat="1" ht="24" customHeight="1">
      <c r="A198" s="15"/>
      <c r="B198" s="11" t="s">
        <v>281</v>
      </c>
      <c r="C198" s="11" t="s">
        <v>352</v>
      </c>
      <c r="D198" s="11" t="s">
        <v>62</v>
      </c>
      <c r="E198" s="9">
        <v>62.49</v>
      </c>
      <c r="F198" s="9">
        <v>62.49</v>
      </c>
      <c r="G198" s="11" t="s">
        <v>32</v>
      </c>
      <c r="H198" s="11" t="s">
        <v>41</v>
      </c>
      <c r="I198" s="11"/>
      <c r="J198" s="11" t="s">
        <v>283</v>
      </c>
      <c r="K198" s="11" t="s">
        <v>343</v>
      </c>
      <c r="L198" s="12">
        <v>399825.39823008899</v>
      </c>
      <c r="M198" s="12">
        <v>213240.218230089</v>
      </c>
      <c r="N198" s="11" t="s">
        <v>349</v>
      </c>
      <c r="O198" s="11" t="s">
        <v>286</v>
      </c>
      <c r="P198" s="11" t="s">
        <v>321</v>
      </c>
      <c r="Q198" s="11">
        <v>18500041080</v>
      </c>
      <c r="R198" s="11" t="s">
        <v>288</v>
      </c>
      <c r="S198" s="11" t="s">
        <v>115</v>
      </c>
      <c r="T198" s="11"/>
    </row>
    <row r="199" spans="1:20" s="14" customFormat="1" ht="24" customHeight="1">
      <c r="A199" s="15"/>
      <c r="B199" s="11" t="s">
        <v>353</v>
      </c>
      <c r="C199" s="11" t="s">
        <v>354</v>
      </c>
      <c r="D199" s="11" t="s">
        <v>79</v>
      </c>
      <c r="E199" s="9">
        <v>2</v>
      </c>
      <c r="F199" s="9">
        <v>30.64</v>
      </c>
      <c r="G199" s="11" t="s">
        <v>32</v>
      </c>
      <c r="H199" s="11" t="s">
        <v>41</v>
      </c>
      <c r="I199" s="11"/>
      <c r="J199" s="11" t="s">
        <v>283</v>
      </c>
      <c r="K199" s="11" t="s">
        <v>343</v>
      </c>
      <c r="L199" s="12">
        <v>213876.10619468999</v>
      </c>
      <c r="M199" s="12">
        <v>99808.844336283204</v>
      </c>
      <c r="N199" s="11" t="s">
        <v>355</v>
      </c>
      <c r="O199" s="11" t="s">
        <v>286</v>
      </c>
      <c r="P199" s="11" t="s">
        <v>321</v>
      </c>
      <c r="Q199" s="11">
        <v>18500041080</v>
      </c>
      <c r="R199" s="11" t="s">
        <v>288</v>
      </c>
      <c r="S199" s="11" t="s">
        <v>115</v>
      </c>
      <c r="T199" s="11"/>
    </row>
    <row r="200" spans="1:20" s="14" customFormat="1" ht="24" customHeight="1">
      <c r="A200" s="15"/>
      <c r="B200" s="11" t="s">
        <v>281</v>
      </c>
      <c r="C200" s="11" t="s">
        <v>356</v>
      </c>
      <c r="D200" s="11" t="s">
        <v>62</v>
      </c>
      <c r="E200" s="9">
        <v>74.680000000000007</v>
      </c>
      <c r="F200" s="9">
        <v>74.680000000000007</v>
      </c>
      <c r="G200" s="11" t="s">
        <v>32</v>
      </c>
      <c r="H200" s="11" t="s">
        <v>41</v>
      </c>
      <c r="I200" s="11"/>
      <c r="J200" s="11" t="s">
        <v>283</v>
      </c>
      <c r="K200" s="11" t="s">
        <v>343</v>
      </c>
      <c r="L200" s="12">
        <v>451384.42477876099</v>
      </c>
      <c r="M200" s="12">
        <v>210646.06489675501</v>
      </c>
      <c r="N200" s="11" t="s">
        <v>357</v>
      </c>
      <c r="O200" s="11" t="s">
        <v>286</v>
      </c>
      <c r="P200" s="11" t="s">
        <v>321</v>
      </c>
      <c r="Q200" s="11">
        <v>18500041080</v>
      </c>
      <c r="R200" s="11" t="s">
        <v>288</v>
      </c>
      <c r="S200" s="11" t="s">
        <v>115</v>
      </c>
      <c r="T200" s="11"/>
    </row>
    <row r="201" spans="1:20" s="14" customFormat="1" ht="24" customHeight="1">
      <c r="A201" s="15"/>
      <c r="B201" s="11" t="s">
        <v>281</v>
      </c>
      <c r="C201" s="11" t="s">
        <v>358</v>
      </c>
      <c r="D201" s="11" t="s">
        <v>62</v>
      </c>
      <c r="E201" s="9">
        <v>26.72</v>
      </c>
      <c r="F201" s="9">
        <v>26.72</v>
      </c>
      <c r="G201" s="11" t="s">
        <v>32</v>
      </c>
      <c r="H201" s="11" t="s">
        <v>41</v>
      </c>
      <c r="I201" s="11"/>
      <c r="J201" s="11" t="s">
        <v>283</v>
      </c>
      <c r="K201" s="11" t="s">
        <v>343</v>
      </c>
      <c r="L201" s="12">
        <v>169778.40707964599</v>
      </c>
      <c r="M201" s="12">
        <v>79229.923303834803</v>
      </c>
      <c r="N201" s="11" t="s">
        <v>357</v>
      </c>
      <c r="O201" s="11" t="s">
        <v>286</v>
      </c>
      <c r="P201" s="11" t="s">
        <v>321</v>
      </c>
      <c r="Q201" s="11">
        <v>18500041080</v>
      </c>
      <c r="R201" s="11" t="s">
        <v>288</v>
      </c>
      <c r="S201" s="11" t="s">
        <v>115</v>
      </c>
      <c r="T201" s="11"/>
    </row>
    <row r="202" spans="1:20" s="14" customFormat="1" ht="24" customHeight="1">
      <c r="A202" s="15"/>
      <c r="B202" s="11" t="s">
        <v>281</v>
      </c>
      <c r="C202" s="11" t="s">
        <v>359</v>
      </c>
      <c r="D202" s="11" t="s">
        <v>62</v>
      </c>
      <c r="E202" s="9">
        <v>101.08</v>
      </c>
      <c r="F202" s="9">
        <v>101.08</v>
      </c>
      <c r="G202" s="11" t="s">
        <v>32</v>
      </c>
      <c r="H202" s="11" t="s">
        <v>41</v>
      </c>
      <c r="I202" s="11"/>
      <c r="J202" s="11" t="s">
        <v>283</v>
      </c>
      <c r="K202" s="11" t="s">
        <v>343</v>
      </c>
      <c r="L202" s="12">
        <v>601112.92035398202</v>
      </c>
      <c r="M202" s="12">
        <v>280519.36283185799</v>
      </c>
      <c r="N202" s="11" t="s">
        <v>357</v>
      </c>
      <c r="O202" s="11" t="s">
        <v>286</v>
      </c>
      <c r="P202" s="11" t="s">
        <v>321</v>
      </c>
      <c r="Q202" s="11">
        <v>18500041080</v>
      </c>
      <c r="R202" s="11" t="s">
        <v>288</v>
      </c>
      <c r="S202" s="11" t="s">
        <v>115</v>
      </c>
      <c r="T202" s="11"/>
    </row>
    <row r="203" spans="1:20" s="14" customFormat="1" ht="24" customHeight="1">
      <c r="A203" s="15"/>
      <c r="B203" s="11" t="s">
        <v>281</v>
      </c>
      <c r="C203" s="11" t="s">
        <v>360</v>
      </c>
      <c r="D203" s="11" t="s">
        <v>62</v>
      </c>
      <c r="E203" s="9">
        <v>61.48</v>
      </c>
      <c r="F203" s="9">
        <v>61.48</v>
      </c>
      <c r="G203" s="11" t="s">
        <v>32</v>
      </c>
      <c r="H203" s="11" t="s">
        <v>41</v>
      </c>
      <c r="I203" s="11"/>
      <c r="J203" s="11" t="s">
        <v>283</v>
      </c>
      <c r="K203" s="11" t="s">
        <v>343</v>
      </c>
      <c r="L203" s="12">
        <v>367791.85840708</v>
      </c>
      <c r="M203" s="12">
        <v>171636.20058997101</v>
      </c>
      <c r="N203" s="11" t="s">
        <v>357</v>
      </c>
      <c r="O203" s="11" t="s">
        <v>286</v>
      </c>
      <c r="P203" s="11" t="s">
        <v>321</v>
      </c>
      <c r="Q203" s="11">
        <v>18500041080</v>
      </c>
      <c r="R203" s="11" t="s">
        <v>288</v>
      </c>
      <c r="S203" s="11" t="s">
        <v>115</v>
      </c>
      <c r="T203" s="11"/>
    </row>
    <row r="204" spans="1:20" s="14" customFormat="1" ht="24" customHeight="1">
      <c r="A204" s="15"/>
      <c r="B204" s="11" t="s">
        <v>281</v>
      </c>
      <c r="C204" s="11" t="s">
        <v>361</v>
      </c>
      <c r="D204" s="11" t="s">
        <v>62</v>
      </c>
      <c r="E204" s="9">
        <v>36.89</v>
      </c>
      <c r="F204" s="9">
        <v>36.89</v>
      </c>
      <c r="G204" s="11" t="s">
        <v>32</v>
      </c>
      <c r="H204" s="11" t="s">
        <v>41</v>
      </c>
      <c r="I204" s="11"/>
      <c r="J204" s="11" t="s">
        <v>283</v>
      </c>
      <c r="K204" s="11" t="s">
        <v>343</v>
      </c>
      <c r="L204" s="12">
        <v>219381.23893805299</v>
      </c>
      <c r="M204" s="12">
        <v>102377.91150442501</v>
      </c>
      <c r="N204" s="11" t="s">
        <v>357</v>
      </c>
      <c r="O204" s="11" t="s">
        <v>286</v>
      </c>
      <c r="P204" s="11" t="s">
        <v>321</v>
      </c>
      <c r="Q204" s="11">
        <v>18500041080</v>
      </c>
      <c r="R204" s="11" t="s">
        <v>288</v>
      </c>
      <c r="S204" s="11" t="s">
        <v>115</v>
      </c>
      <c r="T204" s="11"/>
    </row>
    <row r="205" spans="1:20" s="14" customFormat="1" ht="24" customHeight="1">
      <c r="A205" s="15"/>
      <c r="B205" s="11" t="s">
        <v>281</v>
      </c>
      <c r="C205" s="11" t="s">
        <v>362</v>
      </c>
      <c r="D205" s="11" t="s">
        <v>62</v>
      </c>
      <c r="E205" s="9">
        <v>28.55</v>
      </c>
      <c r="F205" s="9">
        <v>28.55</v>
      </c>
      <c r="G205" s="11" t="s">
        <v>32</v>
      </c>
      <c r="H205" s="11" t="s">
        <v>41</v>
      </c>
      <c r="I205" s="11"/>
      <c r="J205" s="11" t="s">
        <v>283</v>
      </c>
      <c r="K205" s="11" t="s">
        <v>343</v>
      </c>
      <c r="L205" s="12">
        <v>169784.07079646</v>
      </c>
      <c r="M205" s="12">
        <v>79232.566371681402</v>
      </c>
      <c r="N205" s="11" t="s">
        <v>357</v>
      </c>
      <c r="O205" s="11" t="s">
        <v>286</v>
      </c>
      <c r="P205" s="11" t="s">
        <v>321</v>
      </c>
      <c r="Q205" s="11">
        <v>18500041080</v>
      </c>
      <c r="R205" s="11" t="s">
        <v>288</v>
      </c>
      <c r="S205" s="11" t="s">
        <v>115</v>
      </c>
      <c r="T205" s="11"/>
    </row>
    <row r="206" spans="1:20" s="14" customFormat="1" ht="24" customHeight="1">
      <c r="A206" s="15"/>
      <c r="B206" s="11" t="s">
        <v>281</v>
      </c>
      <c r="C206" s="11" t="s">
        <v>363</v>
      </c>
      <c r="D206" s="11" t="s">
        <v>62</v>
      </c>
      <c r="E206" s="9">
        <v>21.66</v>
      </c>
      <c r="F206" s="9">
        <v>21.66</v>
      </c>
      <c r="G206" s="11" t="s">
        <v>32</v>
      </c>
      <c r="H206" s="11" t="s">
        <v>41</v>
      </c>
      <c r="I206" s="11"/>
      <c r="J206" s="11" t="s">
        <v>283</v>
      </c>
      <c r="K206" s="11" t="s">
        <v>343</v>
      </c>
      <c r="L206" s="12">
        <v>128809.91150442501</v>
      </c>
      <c r="M206" s="12">
        <v>60111.292035398197</v>
      </c>
      <c r="N206" s="11" t="s">
        <v>357</v>
      </c>
      <c r="O206" s="11" t="s">
        <v>286</v>
      </c>
      <c r="P206" s="11" t="s">
        <v>321</v>
      </c>
      <c r="Q206" s="11">
        <v>18500041080</v>
      </c>
      <c r="R206" s="11" t="s">
        <v>288</v>
      </c>
      <c r="S206" s="11" t="s">
        <v>115</v>
      </c>
      <c r="T206" s="11"/>
    </row>
    <row r="207" spans="1:20" s="14" customFormat="1" ht="24" customHeight="1">
      <c r="A207" s="15"/>
      <c r="B207" s="11" t="s">
        <v>281</v>
      </c>
      <c r="C207" s="11" t="s">
        <v>364</v>
      </c>
      <c r="D207" s="11" t="s">
        <v>62</v>
      </c>
      <c r="E207" s="9">
        <v>77.98</v>
      </c>
      <c r="F207" s="9">
        <v>77.98</v>
      </c>
      <c r="G207" s="11" t="s">
        <v>32</v>
      </c>
      <c r="H207" s="11" t="s">
        <v>41</v>
      </c>
      <c r="I207" s="11"/>
      <c r="J207" s="11" t="s">
        <v>283</v>
      </c>
      <c r="K207" s="11" t="s">
        <v>343</v>
      </c>
      <c r="L207" s="12">
        <v>497553.80530973501</v>
      </c>
      <c r="M207" s="12">
        <v>232191.77581121001</v>
      </c>
      <c r="N207" s="11" t="s">
        <v>357</v>
      </c>
      <c r="O207" s="11" t="s">
        <v>286</v>
      </c>
      <c r="P207" s="11" t="s">
        <v>321</v>
      </c>
      <c r="Q207" s="11">
        <v>18500041080</v>
      </c>
      <c r="R207" s="11" t="s">
        <v>288</v>
      </c>
      <c r="S207" s="11" t="s">
        <v>115</v>
      </c>
      <c r="T207" s="11"/>
    </row>
    <row r="208" spans="1:20" s="14" customFormat="1" ht="24" customHeight="1">
      <c r="A208" s="15"/>
      <c r="B208" s="11" t="s">
        <v>281</v>
      </c>
      <c r="C208" s="11" t="s">
        <v>365</v>
      </c>
      <c r="D208" s="11" t="s">
        <v>62</v>
      </c>
      <c r="E208" s="9">
        <v>109.86</v>
      </c>
      <c r="F208" s="9">
        <v>109.86</v>
      </c>
      <c r="G208" s="11" t="s">
        <v>32</v>
      </c>
      <c r="H208" s="11" t="s">
        <v>41</v>
      </c>
      <c r="I208" s="11"/>
      <c r="J208" s="11" t="s">
        <v>283</v>
      </c>
      <c r="K208" s="11" t="s">
        <v>343</v>
      </c>
      <c r="L208" s="12">
        <v>686381.94690265495</v>
      </c>
      <c r="M208" s="12">
        <v>366070.36690265499</v>
      </c>
      <c r="N208" s="11" t="s">
        <v>366</v>
      </c>
      <c r="O208" s="11" t="s">
        <v>286</v>
      </c>
      <c r="P208" s="11" t="s">
        <v>321</v>
      </c>
      <c r="Q208" s="11">
        <v>18500041080</v>
      </c>
      <c r="R208" s="11" t="s">
        <v>288</v>
      </c>
      <c r="S208" s="11" t="s">
        <v>115</v>
      </c>
      <c r="T208" s="11"/>
    </row>
    <row r="209" spans="1:20" s="14" customFormat="1" ht="24" customHeight="1">
      <c r="A209" s="15"/>
      <c r="B209" s="11" t="s">
        <v>281</v>
      </c>
      <c r="C209" s="11" t="s">
        <v>367</v>
      </c>
      <c r="D209" s="11" t="s">
        <v>62</v>
      </c>
      <c r="E209" s="9">
        <v>19.809999999999999</v>
      </c>
      <c r="F209" s="9">
        <v>19.809999999999999</v>
      </c>
      <c r="G209" s="11" t="s">
        <v>32</v>
      </c>
      <c r="H209" s="11" t="s">
        <v>41</v>
      </c>
      <c r="I209" s="11"/>
      <c r="J209" s="11" t="s">
        <v>283</v>
      </c>
      <c r="K209" s="11" t="s">
        <v>343</v>
      </c>
      <c r="L209" s="12">
        <v>123768.672566372</v>
      </c>
      <c r="M209" s="12">
        <v>66009.952566371707</v>
      </c>
      <c r="N209" s="11" t="s">
        <v>366</v>
      </c>
      <c r="O209" s="11" t="s">
        <v>286</v>
      </c>
      <c r="P209" s="11" t="s">
        <v>321</v>
      </c>
      <c r="Q209" s="11">
        <v>18500041080</v>
      </c>
      <c r="R209" s="11" t="s">
        <v>288</v>
      </c>
      <c r="S209" s="11" t="s">
        <v>115</v>
      </c>
      <c r="T209" s="11"/>
    </row>
    <row r="210" spans="1:20" s="14" customFormat="1" ht="24" hidden="1" customHeight="1">
      <c r="A210" s="15"/>
      <c r="B210" s="11" t="s">
        <v>281</v>
      </c>
      <c r="C210" s="11" t="s">
        <v>368</v>
      </c>
      <c r="D210" s="11" t="s">
        <v>62</v>
      </c>
      <c r="E210" s="9">
        <v>176.25</v>
      </c>
      <c r="F210" s="9">
        <v>176.25</v>
      </c>
      <c r="G210" s="11" t="s">
        <v>32</v>
      </c>
      <c r="H210" s="11" t="s">
        <v>33</v>
      </c>
      <c r="I210" s="11"/>
      <c r="J210" s="11" t="s">
        <v>283</v>
      </c>
      <c r="K210" s="11" t="s">
        <v>343</v>
      </c>
      <c r="L210" s="12">
        <v>1101172.56637168</v>
      </c>
      <c r="M210" s="12">
        <v>587292.02637168195</v>
      </c>
      <c r="N210" s="11" t="s">
        <v>366</v>
      </c>
      <c r="O210" s="11" t="s">
        <v>286</v>
      </c>
      <c r="P210" s="11" t="s">
        <v>321</v>
      </c>
      <c r="Q210" s="11">
        <v>18500041080</v>
      </c>
      <c r="R210" s="11" t="s">
        <v>288</v>
      </c>
      <c r="S210" s="11" t="s">
        <v>115</v>
      </c>
      <c r="T210" s="11"/>
    </row>
    <row r="211" spans="1:20" s="14" customFormat="1" ht="24" hidden="1" customHeight="1">
      <c r="A211" s="15"/>
      <c r="B211" s="11" t="s">
        <v>281</v>
      </c>
      <c r="C211" s="11" t="s">
        <v>369</v>
      </c>
      <c r="D211" s="11" t="s">
        <v>62</v>
      </c>
      <c r="E211" s="9">
        <v>124.59</v>
      </c>
      <c r="F211" s="9">
        <v>124.59</v>
      </c>
      <c r="G211" s="11" t="s">
        <v>32</v>
      </c>
      <c r="H211" s="11" t="s">
        <v>33</v>
      </c>
      <c r="I211" s="11"/>
      <c r="J211" s="11" t="s">
        <v>283</v>
      </c>
      <c r="K211" s="11" t="s">
        <v>343</v>
      </c>
      <c r="L211" s="12">
        <v>797155.486725664</v>
      </c>
      <c r="M211" s="12">
        <v>425149.58672566398</v>
      </c>
      <c r="N211" s="11" t="s">
        <v>366</v>
      </c>
      <c r="O211" s="11" t="s">
        <v>286</v>
      </c>
      <c r="P211" s="11" t="s">
        <v>321</v>
      </c>
      <c r="Q211" s="11">
        <v>18500041080</v>
      </c>
      <c r="R211" s="11" t="s">
        <v>288</v>
      </c>
      <c r="S211" s="11" t="s">
        <v>115</v>
      </c>
      <c r="T211" s="11"/>
    </row>
    <row r="212" spans="1:20" s="14" customFormat="1" ht="24" customHeight="1">
      <c r="A212" s="15"/>
      <c r="B212" s="11" t="s">
        <v>281</v>
      </c>
      <c r="C212" s="11" t="s">
        <v>370</v>
      </c>
      <c r="D212" s="11" t="s">
        <v>62</v>
      </c>
      <c r="E212" s="9">
        <v>3.14</v>
      </c>
      <c r="F212" s="9">
        <v>3.14</v>
      </c>
      <c r="G212" s="11" t="s">
        <v>32</v>
      </c>
      <c r="H212" s="11" t="s">
        <v>41</v>
      </c>
      <c r="I212" s="11"/>
      <c r="J212" s="11" t="s">
        <v>283</v>
      </c>
      <c r="K212" s="11" t="s">
        <v>343</v>
      </c>
      <c r="L212" s="12">
        <v>20090.442477876099</v>
      </c>
      <c r="M212" s="12">
        <v>10714.9024778761</v>
      </c>
      <c r="N212" s="11" t="s">
        <v>366</v>
      </c>
      <c r="O212" s="11" t="s">
        <v>286</v>
      </c>
      <c r="P212" s="11" t="s">
        <v>321</v>
      </c>
      <c r="Q212" s="11">
        <v>18500041080</v>
      </c>
      <c r="R212" s="11" t="s">
        <v>288</v>
      </c>
      <c r="S212" s="11" t="s">
        <v>115</v>
      </c>
      <c r="T212" s="11"/>
    </row>
    <row r="213" spans="1:20" s="14" customFormat="1" ht="24" customHeight="1">
      <c r="A213" s="15"/>
      <c r="B213" s="11" t="s">
        <v>281</v>
      </c>
      <c r="C213" s="11" t="s">
        <v>352</v>
      </c>
      <c r="D213" s="11" t="s">
        <v>62</v>
      </c>
      <c r="E213" s="9">
        <v>72.959999999999994</v>
      </c>
      <c r="F213" s="9">
        <v>72.959999999999994</v>
      </c>
      <c r="G213" s="11" t="s">
        <v>32</v>
      </c>
      <c r="H213" s="11" t="s">
        <v>41</v>
      </c>
      <c r="I213" s="11"/>
      <c r="J213" s="11" t="s">
        <v>283</v>
      </c>
      <c r="K213" s="11" t="s">
        <v>343</v>
      </c>
      <c r="L213" s="12">
        <v>459712.56637168099</v>
      </c>
      <c r="M213" s="12">
        <v>245180.02637168099</v>
      </c>
      <c r="N213" s="11" t="s">
        <v>366</v>
      </c>
      <c r="O213" s="11" t="s">
        <v>286</v>
      </c>
      <c r="P213" s="11" t="s">
        <v>321</v>
      </c>
      <c r="Q213" s="11">
        <v>18500041080</v>
      </c>
      <c r="R213" s="11" t="s">
        <v>288</v>
      </c>
      <c r="S213" s="11" t="s">
        <v>115</v>
      </c>
      <c r="T213" s="11"/>
    </row>
    <row r="214" spans="1:20" s="14" customFormat="1" ht="24" customHeight="1">
      <c r="A214" s="15"/>
      <c r="B214" s="11" t="s">
        <v>341</v>
      </c>
      <c r="C214" s="11" t="s">
        <v>371</v>
      </c>
      <c r="D214" s="11" t="s">
        <v>62</v>
      </c>
      <c r="E214" s="9">
        <v>71.14</v>
      </c>
      <c r="F214" s="9">
        <v>71.14</v>
      </c>
      <c r="G214" s="11" t="s">
        <v>32</v>
      </c>
      <c r="H214" s="11" t="s">
        <v>41</v>
      </c>
      <c r="I214" s="11"/>
      <c r="J214" s="11" t="s">
        <v>283</v>
      </c>
      <c r="K214" s="11" t="s">
        <v>343</v>
      </c>
      <c r="L214" s="12">
        <v>433135.57522123901</v>
      </c>
      <c r="M214" s="12">
        <v>245443.49017699101</v>
      </c>
      <c r="N214" s="11" t="s">
        <v>372</v>
      </c>
      <c r="O214" s="11" t="s">
        <v>286</v>
      </c>
      <c r="P214" s="11" t="s">
        <v>321</v>
      </c>
      <c r="Q214" s="11">
        <v>18500041080</v>
      </c>
      <c r="R214" s="11" t="s">
        <v>288</v>
      </c>
      <c r="S214" s="11" t="s">
        <v>115</v>
      </c>
      <c r="T214" s="11"/>
    </row>
    <row r="215" spans="1:20" s="14" customFormat="1" ht="24" customHeight="1">
      <c r="A215" s="15"/>
      <c r="B215" s="11" t="s">
        <v>135</v>
      </c>
      <c r="C215" s="11" t="s">
        <v>373</v>
      </c>
      <c r="D215" s="11" t="s">
        <v>62</v>
      </c>
      <c r="E215" s="9">
        <v>2.69</v>
      </c>
      <c r="F215" s="9">
        <v>2.69</v>
      </c>
      <c r="G215" s="11" t="s">
        <v>32</v>
      </c>
      <c r="H215" s="11" t="s">
        <v>41</v>
      </c>
      <c r="I215" s="11"/>
      <c r="J215" s="11" t="s">
        <v>283</v>
      </c>
      <c r="K215" s="11" t="s">
        <v>343</v>
      </c>
      <c r="L215" s="12">
        <v>15997.1681415929</v>
      </c>
      <c r="M215" s="12">
        <v>9065.0645132743393</v>
      </c>
      <c r="N215" s="11" t="s">
        <v>374</v>
      </c>
      <c r="O215" s="11" t="s">
        <v>286</v>
      </c>
      <c r="P215" s="11" t="s">
        <v>321</v>
      </c>
      <c r="Q215" s="11">
        <v>18500041080</v>
      </c>
      <c r="R215" s="11" t="s">
        <v>288</v>
      </c>
      <c r="S215" s="11" t="s">
        <v>115</v>
      </c>
      <c r="T215" s="11"/>
    </row>
    <row r="216" spans="1:20" s="14" customFormat="1" ht="24" customHeight="1">
      <c r="A216" s="15"/>
      <c r="B216" s="11" t="s">
        <v>135</v>
      </c>
      <c r="C216" s="11" t="s">
        <v>363</v>
      </c>
      <c r="D216" s="11" t="s">
        <v>62</v>
      </c>
      <c r="E216" s="9">
        <v>11.9</v>
      </c>
      <c r="F216" s="9">
        <v>11.9</v>
      </c>
      <c r="G216" s="11" t="s">
        <v>32</v>
      </c>
      <c r="H216" s="11" t="s">
        <v>41</v>
      </c>
      <c r="I216" s="11"/>
      <c r="J216" s="11" t="s">
        <v>283</v>
      </c>
      <c r="K216" s="11" t="s">
        <v>343</v>
      </c>
      <c r="L216" s="12">
        <v>70768.141592920394</v>
      </c>
      <c r="M216" s="12">
        <v>40101.9432743363</v>
      </c>
      <c r="N216" s="11" t="s">
        <v>375</v>
      </c>
      <c r="O216" s="11" t="s">
        <v>286</v>
      </c>
      <c r="P216" s="11" t="s">
        <v>321</v>
      </c>
      <c r="Q216" s="11">
        <v>18500041080</v>
      </c>
      <c r="R216" s="11" t="s">
        <v>288</v>
      </c>
      <c r="S216" s="11" t="s">
        <v>115</v>
      </c>
      <c r="T216" s="11"/>
    </row>
    <row r="217" spans="1:20" s="14" customFormat="1" ht="24" customHeight="1">
      <c r="A217" s="15"/>
      <c r="B217" s="11" t="s">
        <v>135</v>
      </c>
      <c r="C217" s="11" t="s">
        <v>376</v>
      </c>
      <c r="D217" s="11" t="s">
        <v>62</v>
      </c>
      <c r="E217" s="9">
        <v>3.95</v>
      </c>
      <c r="F217" s="9">
        <v>3.95</v>
      </c>
      <c r="G217" s="11" t="s">
        <v>32</v>
      </c>
      <c r="H217" s="11" t="s">
        <v>41</v>
      </c>
      <c r="I217" s="11"/>
      <c r="J217" s="11" t="s">
        <v>283</v>
      </c>
      <c r="K217" s="11" t="s">
        <v>343</v>
      </c>
      <c r="L217" s="12">
        <v>25203.097345132701</v>
      </c>
      <c r="M217" s="12">
        <v>14281.7578761062</v>
      </c>
      <c r="N217" s="11" t="s">
        <v>377</v>
      </c>
      <c r="O217" s="11" t="s">
        <v>286</v>
      </c>
      <c r="P217" s="11" t="s">
        <v>321</v>
      </c>
      <c r="Q217" s="11">
        <v>18500041080</v>
      </c>
      <c r="R217" s="11" t="s">
        <v>288</v>
      </c>
      <c r="S217" s="11" t="s">
        <v>115</v>
      </c>
      <c r="T217" s="11"/>
    </row>
    <row r="218" spans="1:20" s="14" customFormat="1" ht="24" customHeight="1">
      <c r="A218" s="15"/>
      <c r="B218" s="11" t="s">
        <v>135</v>
      </c>
      <c r="C218" s="11" t="s">
        <v>378</v>
      </c>
      <c r="D218" s="11" t="s">
        <v>62</v>
      </c>
      <c r="E218" s="9">
        <v>77</v>
      </c>
      <c r="F218" s="9">
        <v>77</v>
      </c>
      <c r="G218" s="11" t="s">
        <v>32</v>
      </c>
      <c r="H218" s="11" t="s">
        <v>41</v>
      </c>
      <c r="I218" s="11"/>
      <c r="J218" s="11" t="s">
        <v>283</v>
      </c>
      <c r="K218" s="11" t="s">
        <v>343</v>
      </c>
      <c r="L218" s="12">
        <v>491300.884955752</v>
      </c>
      <c r="M218" s="12">
        <v>278403.83796460199</v>
      </c>
      <c r="N218" s="11" t="s">
        <v>374</v>
      </c>
      <c r="O218" s="11" t="s">
        <v>286</v>
      </c>
      <c r="P218" s="11" t="s">
        <v>321</v>
      </c>
      <c r="Q218" s="11">
        <v>18500041080</v>
      </c>
      <c r="R218" s="11" t="s">
        <v>288</v>
      </c>
      <c r="S218" s="11" t="s">
        <v>115</v>
      </c>
      <c r="T218" s="11"/>
    </row>
    <row r="219" spans="1:20" s="14" customFormat="1" ht="24" customHeight="1">
      <c r="A219" s="15"/>
      <c r="B219" s="11" t="s">
        <v>135</v>
      </c>
      <c r="C219" s="11" t="s">
        <v>379</v>
      </c>
      <c r="D219" s="11" t="s">
        <v>62</v>
      </c>
      <c r="E219" s="9">
        <v>29.3</v>
      </c>
      <c r="F219" s="9">
        <v>29.3</v>
      </c>
      <c r="G219" s="11" t="s">
        <v>32</v>
      </c>
      <c r="H219" s="11" t="s">
        <v>41</v>
      </c>
      <c r="I219" s="11"/>
      <c r="J219" s="11" t="s">
        <v>283</v>
      </c>
      <c r="K219" s="11" t="s">
        <v>343</v>
      </c>
      <c r="L219" s="12">
        <v>186949.557522124</v>
      </c>
      <c r="M219" s="12">
        <v>105938.086017699</v>
      </c>
      <c r="N219" s="11" t="s">
        <v>380</v>
      </c>
      <c r="O219" s="11" t="s">
        <v>286</v>
      </c>
      <c r="P219" s="11" t="s">
        <v>321</v>
      </c>
      <c r="Q219" s="11">
        <v>18500041080</v>
      </c>
      <c r="R219" s="11" t="s">
        <v>288</v>
      </c>
      <c r="S219" s="11" t="s">
        <v>115</v>
      </c>
      <c r="T219" s="11"/>
    </row>
    <row r="220" spans="1:20" s="14" customFormat="1" ht="24" customHeight="1">
      <c r="A220" s="15"/>
      <c r="B220" s="11" t="s">
        <v>135</v>
      </c>
      <c r="C220" s="11" t="s">
        <v>381</v>
      </c>
      <c r="D220" s="11" t="s">
        <v>62</v>
      </c>
      <c r="E220" s="9">
        <v>13.33</v>
      </c>
      <c r="F220" s="9">
        <v>13.33</v>
      </c>
      <c r="G220" s="11" t="s">
        <v>32</v>
      </c>
      <c r="H220" s="11" t="s">
        <v>41</v>
      </c>
      <c r="I220" s="11"/>
      <c r="J220" s="11" t="s">
        <v>283</v>
      </c>
      <c r="K220" s="11" t="s">
        <v>343</v>
      </c>
      <c r="L220" s="12">
        <v>79272.212389380496</v>
      </c>
      <c r="M220" s="12">
        <v>44920.919911504403</v>
      </c>
      <c r="N220" s="11" t="s">
        <v>382</v>
      </c>
      <c r="O220" s="11" t="s">
        <v>286</v>
      </c>
      <c r="P220" s="11" t="s">
        <v>321</v>
      </c>
      <c r="Q220" s="11">
        <v>18500041080</v>
      </c>
      <c r="R220" s="11" t="s">
        <v>288</v>
      </c>
      <c r="S220" s="11" t="s">
        <v>115</v>
      </c>
      <c r="T220" s="11"/>
    </row>
    <row r="221" spans="1:20" s="14" customFormat="1" ht="24" customHeight="1">
      <c r="A221" s="15"/>
      <c r="B221" s="11" t="s">
        <v>135</v>
      </c>
      <c r="C221" s="11" t="s">
        <v>383</v>
      </c>
      <c r="D221" s="11" t="s">
        <v>62</v>
      </c>
      <c r="E221" s="9">
        <v>29.78</v>
      </c>
      <c r="F221" s="9">
        <v>29.78</v>
      </c>
      <c r="G221" s="11" t="s">
        <v>32</v>
      </c>
      <c r="H221" s="11" t="s">
        <v>41</v>
      </c>
      <c r="I221" s="11"/>
      <c r="J221" s="11" t="s">
        <v>283</v>
      </c>
      <c r="K221" s="11" t="s">
        <v>343</v>
      </c>
      <c r="L221" s="12">
        <v>190012.21238938099</v>
      </c>
      <c r="M221" s="12">
        <v>107673.58991150399</v>
      </c>
      <c r="N221" s="11" t="s">
        <v>384</v>
      </c>
      <c r="O221" s="11" t="s">
        <v>286</v>
      </c>
      <c r="P221" s="11" t="s">
        <v>321</v>
      </c>
      <c r="Q221" s="11">
        <v>18500041080</v>
      </c>
      <c r="R221" s="11" t="s">
        <v>288</v>
      </c>
      <c r="S221" s="11" t="s">
        <v>115</v>
      </c>
      <c r="T221" s="11"/>
    </row>
    <row r="222" spans="1:20" s="14" customFormat="1" ht="24" customHeight="1">
      <c r="A222" s="15"/>
      <c r="B222" s="11" t="s">
        <v>135</v>
      </c>
      <c r="C222" s="11" t="s">
        <v>385</v>
      </c>
      <c r="D222" s="11" t="s">
        <v>62</v>
      </c>
      <c r="E222" s="9">
        <v>47.36</v>
      </c>
      <c r="F222" s="9">
        <v>47.36</v>
      </c>
      <c r="G222" s="11" t="s">
        <v>32</v>
      </c>
      <c r="H222" s="11" t="s">
        <v>41</v>
      </c>
      <c r="I222" s="11"/>
      <c r="J222" s="11" t="s">
        <v>283</v>
      </c>
      <c r="K222" s="11" t="s">
        <v>343</v>
      </c>
      <c r="L222" s="12">
        <v>297990.79646017699</v>
      </c>
      <c r="M222" s="12">
        <v>168861.44716814201</v>
      </c>
      <c r="N222" s="11" t="s">
        <v>386</v>
      </c>
      <c r="O222" s="11" t="s">
        <v>286</v>
      </c>
      <c r="P222" s="11" t="s">
        <v>321</v>
      </c>
      <c r="Q222" s="11">
        <v>18500041080</v>
      </c>
      <c r="R222" s="11" t="s">
        <v>288</v>
      </c>
      <c r="S222" s="11" t="s">
        <v>115</v>
      </c>
      <c r="T222" s="11"/>
    </row>
    <row r="223" spans="1:20" s="14" customFormat="1" ht="24" customHeight="1">
      <c r="A223" s="15"/>
      <c r="B223" s="11" t="s">
        <v>135</v>
      </c>
      <c r="C223" s="11" t="s">
        <v>387</v>
      </c>
      <c r="D223" s="11" t="s">
        <v>62</v>
      </c>
      <c r="E223" s="9">
        <v>16.170000000000002</v>
      </c>
      <c r="F223" s="9">
        <v>16.170000000000002</v>
      </c>
      <c r="G223" s="11" t="s">
        <v>32</v>
      </c>
      <c r="H223" s="11" t="s">
        <v>41</v>
      </c>
      <c r="I223" s="11"/>
      <c r="J223" s="11" t="s">
        <v>283</v>
      </c>
      <c r="K223" s="11" t="s">
        <v>343</v>
      </c>
      <c r="L223" s="12">
        <v>101599.115044248</v>
      </c>
      <c r="M223" s="12">
        <v>57572.832035398198</v>
      </c>
      <c r="N223" s="11" t="s">
        <v>388</v>
      </c>
      <c r="O223" s="11" t="s">
        <v>286</v>
      </c>
      <c r="P223" s="11" t="s">
        <v>321</v>
      </c>
      <c r="Q223" s="11">
        <v>18500041080</v>
      </c>
      <c r="R223" s="11" t="s">
        <v>288</v>
      </c>
      <c r="S223" s="11" t="s">
        <v>115</v>
      </c>
      <c r="T223" s="11"/>
    </row>
    <row r="224" spans="1:20" s="14" customFormat="1" ht="24" customHeight="1">
      <c r="A224" s="15"/>
      <c r="B224" s="11" t="s">
        <v>135</v>
      </c>
      <c r="C224" s="11" t="s">
        <v>376</v>
      </c>
      <c r="D224" s="11" t="s">
        <v>62</v>
      </c>
      <c r="E224" s="9">
        <v>12.83</v>
      </c>
      <c r="F224" s="9">
        <v>12.83</v>
      </c>
      <c r="G224" s="11" t="s">
        <v>32</v>
      </c>
      <c r="H224" s="11" t="s">
        <v>41</v>
      </c>
      <c r="I224" s="11"/>
      <c r="J224" s="11" t="s">
        <v>283</v>
      </c>
      <c r="K224" s="11" t="s">
        <v>343</v>
      </c>
      <c r="L224" s="12">
        <v>81862.212389380496</v>
      </c>
      <c r="M224" s="12">
        <v>46388.589911504401</v>
      </c>
      <c r="N224" s="11" t="s">
        <v>389</v>
      </c>
      <c r="O224" s="11" t="s">
        <v>286</v>
      </c>
      <c r="P224" s="11" t="s">
        <v>321</v>
      </c>
      <c r="Q224" s="11">
        <v>18500041080</v>
      </c>
      <c r="R224" s="11" t="s">
        <v>288</v>
      </c>
      <c r="S224" s="11" t="s">
        <v>115</v>
      </c>
      <c r="T224" s="11"/>
    </row>
    <row r="225" spans="1:20" s="14" customFormat="1" ht="24" customHeight="1">
      <c r="A225" s="15"/>
      <c r="B225" s="11" t="s">
        <v>135</v>
      </c>
      <c r="C225" s="11" t="s">
        <v>376</v>
      </c>
      <c r="D225" s="11" t="s">
        <v>62</v>
      </c>
      <c r="E225" s="9">
        <v>2.8</v>
      </c>
      <c r="F225" s="9">
        <v>2.8</v>
      </c>
      <c r="G225" s="11" t="s">
        <v>32</v>
      </c>
      <c r="H225" s="11" t="s">
        <v>41</v>
      </c>
      <c r="I225" s="11"/>
      <c r="J225" s="11" t="s">
        <v>283</v>
      </c>
      <c r="K225" s="11" t="s">
        <v>343</v>
      </c>
      <c r="L225" s="12">
        <v>17865.486725663701</v>
      </c>
      <c r="M225" s="12">
        <v>10123.779380530999</v>
      </c>
      <c r="N225" s="11" t="s">
        <v>390</v>
      </c>
      <c r="O225" s="11" t="s">
        <v>286</v>
      </c>
      <c r="P225" s="11" t="s">
        <v>321</v>
      </c>
      <c r="Q225" s="11">
        <v>18500041080</v>
      </c>
      <c r="R225" s="11" t="s">
        <v>288</v>
      </c>
      <c r="S225" s="11" t="s">
        <v>115</v>
      </c>
      <c r="T225" s="11"/>
    </row>
    <row r="226" spans="1:20" s="14" customFormat="1" ht="24" customHeight="1">
      <c r="A226" s="15"/>
      <c r="B226" s="11" t="s">
        <v>135</v>
      </c>
      <c r="C226" s="11" t="s">
        <v>376</v>
      </c>
      <c r="D226" s="11" t="s">
        <v>62</v>
      </c>
      <c r="E226" s="9">
        <v>10.75</v>
      </c>
      <c r="F226" s="9">
        <v>10.75</v>
      </c>
      <c r="G226" s="11" t="s">
        <v>32</v>
      </c>
      <c r="H226" s="11" t="s">
        <v>41</v>
      </c>
      <c r="I226" s="11"/>
      <c r="J226" s="11" t="s">
        <v>283</v>
      </c>
      <c r="K226" s="11" t="s">
        <v>343</v>
      </c>
      <c r="L226" s="12">
        <v>68590.707964601796</v>
      </c>
      <c r="M226" s="12">
        <v>38868.066371681402</v>
      </c>
      <c r="N226" s="11" t="s">
        <v>391</v>
      </c>
      <c r="O226" s="11" t="s">
        <v>286</v>
      </c>
      <c r="P226" s="11" t="s">
        <v>392</v>
      </c>
      <c r="Q226" s="11">
        <v>18601194039</v>
      </c>
      <c r="R226" s="11" t="s">
        <v>288</v>
      </c>
      <c r="S226" s="11" t="s">
        <v>115</v>
      </c>
      <c r="T226" s="11"/>
    </row>
    <row r="227" spans="1:20" s="14" customFormat="1" ht="24" customHeight="1">
      <c r="A227" s="15"/>
      <c r="B227" s="11" t="s">
        <v>135</v>
      </c>
      <c r="C227" s="11" t="s">
        <v>376</v>
      </c>
      <c r="D227" s="11" t="s">
        <v>62</v>
      </c>
      <c r="E227" s="9">
        <v>11.68</v>
      </c>
      <c r="F227" s="9">
        <v>11.68</v>
      </c>
      <c r="G227" s="11" t="s">
        <v>32</v>
      </c>
      <c r="H227" s="11" t="s">
        <v>41</v>
      </c>
      <c r="I227" s="11"/>
      <c r="J227" s="11" t="s">
        <v>283</v>
      </c>
      <c r="K227" s="11" t="s">
        <v>343</v>
      </c>
      <c r="L227" s="12">
        <v>74524.601769911504</v>
      </c>
      <c r="M227" s="12">
        <v>42230.611415929197</v>
      </c>
      <c r="N227" s="11" t="s">
        <v>393</v>
      </c>
      <c r="O227" s="11" t="s">
        <v>286</v>
      </c>
      <c r="P227" s="11" t="s">
        <v>392</v>
      </c>
      <c r="Q227" s="11">
        <v>18601194039</v>
      </c>
      <c r="R227" s="11" t="s">
        <v>288</v>
      </c>
      <c r="S227" s="11" t="s">
        <v>115</v>
      </c>
      <c r="T227" s="11"/>
    </row>
    <row r="228" spans="1:20" s="14" customFormat="1" ht="24" hidden="1" customHeight="1">
      <c r="A228" s="15"/>
      <c r="B228" s="11" t="s">
        <v>135</v>
      </c>
      <c r="C228" s="11" t="s">
        <v>350</v>
      </c>
      <c r="D228" s="11" t="s">
        <v>62</v>
      </c>
      <c r="E228" s="9">
        <v>6.64</v>
      </c>
      <c r="F228" s="9">
        <v>6.64</v>
      </c>
      <c r="G228" s="11" t="s">
        <v>32</v>
      </c>
      <c r="H228" s="11" t="s">
        <v>33</v>
      </c>
      <c r="I228" s="11"/>
      <c r="J228" s="11" t="s">
        <v>283</v>
      </c>
      <c r="K228" s="11" t="s">
        <v>343</v>
      </c>
      <c r="L228" s="12">
        <v>42484.247787610599</v>
      </c>
      <c r="M228" s="12">
        <v>12745.274336283201</v>
      </c>
      <c r="N228" s="11" t="s">
        <v>394</v>
      </c>
      <c r="O228" s="11" t="s">
        <v>286</v>
      </c>
      <c r="P228" s="11" t="s">
        <v>392</v>
      </c>
      <c r="Q228" s="11">
        <v>18601194039</v>
      </c>
      <c r="R228" s="11" t="s">
        <v>288</v>
      </c>
      <c r="S228" s="11" t="s">
        <v>115</v>
      </c>
      <c r="T228" s="11"/>
    </row>
    <row r="229" spans="1:20" s="14" customFormat="1" ht="24" customHeight="1">
      <c r="A229" s="15"/>
      <c r="B229" s="11" t="s">
        <v>135</v>
      </c>
      <c r="C229" s="11" t="s">
        <v>387</v>
      </c>
      <c r="D229" s="11" t="s">
        <v>62</v>
      </c>
      <c r="E229" s="9">
        <v>125.21</v>
      </c>
      <c r="F229" s="9">
        <v>125.21</v>
      </c>
      <c r="G229" s="11" t="s">
        <v>32</v>
      </c>
      <c r="H229" s="11" t="s">
        <v>41</v>
      </c>
      <c r="I229" s="11"/>
      <c r="J229" s="11" t="s">
        <v>283</v>
      </c>
      <c r="K229" s="11" t="s">
        <v>343</v>
      </c>
      <c r="L229" s="12">
        <v>786717.69911504397</v>
      </c>
      <c r="M229" s="12">
        <v>393358.84955752199</v>
      </c>
      <c r="N229" s="11" t="s">
        <v>395</v>
      </c>
      <c r="O229" s="11" t="s">
        <v>286</v>
      </c>
      <c r="P229" s="11" t="s">
        <v>392</v>
      </c>
      <c r="Q229" s="11">
        <v>18601194039</v>
      </c>
      <c r="R229" s="11" t="s">
        <v>288</v>
      </c>
      <c r="S229" s="11" t="s">
        <v>115</v>
      </c>
      <c r="T229" s="11"/>
    </row>
    <row r="230" spans="1:20" s="14" customFormat="1" ht="24" customHeight="1">
      <c r="A230" s="15"/>
      <c r="B230" s="11" t="s">
        <v>135</v>
      </c>
      <c r="C230" s="11" t="s">
        <v>396</v>
      </c>
      <c r="D230" s="11" t="s">
        <v>62</v>
      </c>
      <c r="E230" s="9">
        <v>5.36</v>
      </c>
      <c r="F230" s="9">
        <v>5.36</v>
      </c>
      <c r="G230" s="11" t="s">
        <v>32</v>
      </c>
      <c r="H230" s="11" t="s">
        <v>41</v>
      </c>
      <c r="I230" s="11"/>
      <c r="J230" s="11" t="s">
        <v>283</v>
      </c>
      <c r="K230" s="11" t="s">
        <v>343</v>
      </c>
      <c r="L230" s="12">
        <v>34199.646017699102</v>
      </c>
      <c r="M230" s="12">
        <v>17099.823008849598</v>
      </c>
      <c r="N230" s="11" t="s">
        <v>397</v>
      </c>
      <c r="O230" s="11" t="s">
        <v>286</v>
      </c>
      <c r="P230" s="11" t="s">
        <v>392</v>
      </c>
      <c r="Q230" s="11">
        <v>18601194039</v>
      </c>
      <c r="R230" s="11" t="s">
        <v>288</v>
      </c>
      <c r="S230" s="11" t="s">
        <v>115</v>
      </c>
      <c r="T230" s="11"/>
    </row>
    <row r="231" spans="1:20" s="14" customFormat="1" ht="24" hidden="1" customHeight="1">
      <c r="A231" s="15"/>
      <c r="B231" s="11" t="s">
        <v>398</v>
      </c>
      <c r="C231" s="11" t="s">
        <v>399</v>
      </c>
      <c r="D231" s="11" t="s">
        <v>62</v>
      </c>
      <c r="E231" s="9">
        <v>28.68</v>
      </c>
      <c r="F231" s="9">
        <v>28.68</v>
      </c>
      <c r="G231" s="11" t="s">
        <v>32</v>
      </c>
      <c r="H231" s="11" t="s">
        <v>33</v>
      </c>
      <c r="I231" s="11"/>
      <c r="J231" s="11" t="s">
        <v>283</v>
      </c>
      <c r="K231" s="11" t="s">
        <v>343</v>
      </c>
      <c r="L231" s="12">
        <v>213876.10619468999</v>
      </c>
      <c r="M231" s="12">
        <v>64162.831858407102</v>
      </c>
      <c r="N231" s="11" t="s">
        <v>400</v>
      </c>
      <c r="O231" s="11" t="s">
        <v>286</v>
      </c>
      <c r="P231" s="11" t="s">
        <v>392</v>
      </c>
      <c r="Q231" s="11">
        <v>18601194039</v>
      </c>
      <c r="R231" s="11" t="s">
        <v>288</v>
      </c>
      <c r="S231" s="11" t="s">
        <v>115</v>
      </c>
      <c r="T231" s="11"/>
    </row>
    <row r="232" spans="1:20" s="14" customFormat="1" ht="24" hidden="1" customHeight="1">
      <c r="A232" s="15"/>
      <c r="B232" s="11" t="s">
        <v>398</v>
      </c>
      <c r="C232" s="11" t="s">
        <v>371</v>
      </c>
      <c r="D232" s="11" t="s">
        <v>62</v>
      </c>
      <c r="E232" s="9">
        <v>9.31</v>
      </c>
      <c r="F232" s="9">
        <v>9.31</v>
      </c>
      <c r="G232" s="11" t="s">
        <v>32</v>
      </c>
      <c r="H232" s="11" t="s">
        <v>33</v>
      </c>
      <c r="I232" s="11"/>
      <c r="J232" s="11" t="s">
        <v>283</v>
      </c>
      <c r="K232" s="11" t="s">
        <v>343</v>
      </c>
      <c r="L232" s="12">
        <v>60144.247787610599</v>
      </c>
      <c r="M232" s="12">
        <v>18043.274336283201</v>
      </c>
      <c r="N232" s="11"/>
      <c r="O232" s="11" t="s">
        <v>286</v>
      </c>
      <c r="P232" s="11" t="s">
        <v>392</v>
      </c>
      <c r="Q232" s="11">
        <v>18601194039</v>
      </c>
      <c r="R232" s="11" t="s">
        <v>288</v>
      </c>
      <c r="S232" s="11" t="s">
        <v>115</v>
      </c>
      <c r="T232" s="11"/>
    </row>
    <row r="233" spans="1:20" s="14" customFormat="1" ht="24" hidden="1" customHeight="1">
      <c r="A233" s="15"/>
      <c r="B233" s="11" t="s">
        <v>341</v>
      </c>
      <c r="C233" s="11" t="s">
        <v>401</v>
      </c>
      <c r="D233" s="11" t="s">
        <v>62</v>
      </c>
      <c r="E233" s="9">
        <v>104.48</v>
      </c>
      <c r="F233" s="9">
        <v>104.48</v>
      </c>
      <c r="G233" s="11" t="s">
        <v>32</v>
      </c>
      <c r="H233" s="11" t="s">
        <v>33</v>
      </c>
      <c r="I233" s="11"/>
      <c r="J233" s="11" t="s">
        <v>283</v>
      </c>
      <c r="K233" s="11" t="s">
        <v>343</v>
      </c>
      <c r="L233" s="12">
        <v>620222.86725663696</v>
      </c>
      <c r="M233" s="12">
        <v>248089.14690265499</v>
      </c>
      <c r="N233" s="11" t="s">
        <v>402</v>
      </c>
      <c r="O233" s="11" t="s">
        <v>286</v>
      </c>
      <c r="P233" s="11" t="s">
        <v>392</v>
      </c>
      <c r="Q233" s="11">
        <v>18601194039</v>
      </c>
      <c r="R233" s="11" t="s">
        <v>288</v>
      </c>
      <c r="S233" s="11" t="s">
        <v>115</v>
      </c>
      <c r="T233" s="11"/>
    </row>
    <row r="234" spans="1:20" s="14" customFormat="1" ht="24" hidden="1" customHeight="1">
      <c r="A234" s="15"/>
      <c r="B234" s="11" t="s">
        <v>341</v>
      </c>
      <c r="C234" s="11" t="s">
        <v>403</v>
      </c>
      <c r="D234" s="11" t="s">
        <v>62</v>
      </c>
      <c r="E234" s="9">
        <v>169.34</v>
      </c>
      <c r="F234" s="9">
        <v>169.34</v>
      </c>
      <c r="G234" s="11" t="s">
        <v>32</v>
      </c>
      <c r="H234" s="11" t="s">
        <v>33</v>
      </c>
      <c r="I234" s="11" t="s">
        <v>404</v>
      </c>
      <c r="J234" s="11" t="s">
        <v>283</v>
      </c>
      <c r="K234" s="11" t="s">
        <v>405</v>
      </c>
      <c r="L234" s="12">
        <v>1047210.54867257</v>
      </c>
      <c r="M234" s="12">
        <v>418884.21946902701</v>
      </c>
      <c r="N234" s="11" t="s">
        <v>402</v>
      </c>
      <c r="O234" s="11" t="s">
        <v>286</v>
      </c>
      <c r="P234" s="11" t="s">
        <v>321</v>
      </c>
      <c r="Q234" s="11">
        <v>18500041080</v>
      </c>
      <c r="R234" s="11" t="s">
        <v>288</v>
      </c>
      <c r="S234" s="11" t="s">
        <v>115</v>
      </c>
      <c r="T234" s="11"/>
    </row>
    <row r="235" spans="1:20" s="14" customFormat="1" ht="24" customHeight="1">
      <c r="A235" s="15"/>
      <c r="B235" s="11" t="s">
        <v>341</v>
      </c>
      <c r="C235" s="11" t="s">
        <v>406</v>
      </c>
      <c r="D235" s="11" t="s">
        <v>62</v>
      </c>
      <c r="E235" s="9">
        <v>117.7</v>
      </c>
      <c r="F235" s="9">
        <v>117.7</v>
      </c>
      <c r="G235" s="11" t="s">
        <v>32</v>
      </c>
      <c r="H235" s="11" t="s">
        <v>41</v>
      </c>
      <c r="I235" s="11" t="s">
        <v>404</v>
      </c>
      <c r="J235" s="11" t="s">
        <v>283</v>
      </c>
      <c r="K235" s="11" t="s">
        <v>52</v>
      </c>
      <c r="L235" s="12">
        <v>698700.53097345098</v>
      </c>
      <c r="M235" s="12">
        <v>557241.659512282</v>
      </c>
      <c r="N235" s="11" t="s">
        <v>402</v>
      </c>
      <c r="O235" s="11" t="s">
        <v>286</v>
      </c>
      <c r="P235" s="11" t="s">
        <v>321</v>
      </c>
      <c r="Q235" s="11">
        <v>18500041080</v>
      </c>
      <c r="R235" s="11" t="s">
        <v>288</v>
      </c>
      <c r="S235" s="11" t="s">
        <v>115</v>
      </c>
      <c r="T235" s="11"/>
    </row>
    <row r="236" spans="1:20" s="14" customFormat="1" ht="24" customHeight="1">
      <c r="A236" s="15"/>
      <c r="B236" s="11" t="s">
        <v>341</v>
      </c>
      <c r="C236" s="11" t="s">
        <v>406</v>
      </c>
      <c r="D236" s="11" t="s">
        <v>62</v>
      </c>
      <c r="E236" s="9">
        <v>50.2</v>
      </c>
      <c r="F236" s="9">
        <v>50.2</v>
      </c>
      <c r="G236" s="11" t="s">
        <v>32</v>
      </c>
      <c r="H236" s="11" t="s">
        <v>41</v>
      </c>
      <c r="I236" s="11" t="s">
        <v>404</v>
      </c>
      <c r="J236" s="11" t="s">
        <v>283</v>
      </c>
      <c r="K236" s="11" t="s">
        <v>407</v>
      </c>
      <c r="L236" s="12">
        <v>312217.34513274301</v>
      </c>
      <c r="M236" s="12">
        <v>312217.34513274301</v>
      </c>
      <c r="N236" s="11" t="s">
        <v>402</v>
      </c>
      <c r="O236" s="11" t="s">
        <v>286</v>
      </c>
      <c r="P236" s="11" t="s">
        <v>321</v>
      </c>
      <c r="Q236" s="11">
        <v>18500041080</v>
      </c>
      <c r="R236" s="11" t="s">
        <v>288</v>
      </c>
      <c r="S236" s="11" t="s">
        <v>115</v>
      </c>
      <c r="T236" s="11"/>
    </row>
    <row r="237" spans="1:20" s="14" customFormat="1" ht="24" customHeight="1">
      <c r="A237" s="15"/>
      <c r="B237" s="11" t="s">
        <v>135</v>
      </c>
      <c r="C237" s="11" t="s">
        <v>387</v>
      </c>
      <c r="D237" s="11" t="s">
        <v>62</v>
      </c>
      <c r="E237" s="9">
        <v>21.8</v>
      </c>
      <c r="F237" s="9">
        <v>21.8</v>
      </c>
      <c r="G237" s="11" t="s">
        <v>32</v>
      </c>
      <c r="H237" s="11" t="s">
        <v>41</v>
      </c>
      <c r="I237" s="11" t="s">
        <v>404</v>
      </c>
      <c r="J237" s="11" t="s">
        <v>283</v>
      </c>
      <c r="K237" s="11" t="s">
        <v>408</v>
      </c>
      <c r="L237" s="12">
        <v>136973.45132743401</v>
      </c>
      <c r="M237" s="12">
        <v>136973.45132743401</v>
      </c>
      <c r="N237" s="11" t="s">
        <v>409</v>
      </c>
      <c r="O237" s="11" t="s">
        <v>286</v>
      </c>
      <c r="P237" s="11" t="s">
        <v>321</v>
      </c>
      <c r="Q237" s="11">
        <v>18500041080</v>
      </c>
      <c r="R237" s="11" t="s">
        <v>288</v>
      </c>
      <c r="S237" s="11" t="s">
        <v>115</v>
      </c>
      <c r="T237" s="11"/>
    </row>
    <row r="238" spans="1:20" s="14" customFormat="1" ht="24" customHeight="1">
      <c r="A238" s="15"/>
      <c r="B238" s="11" t="s">
        <v>135</v>
      </c>
      <c r="C238" s="11" t="s">
        <v>410</v>
      </c>
      <c r="D238" s="11" t="s">
        <v>62</v>
      </c>
      <c r="E238" s="9">
        <v>239.72</v>
      </c>
      <c r="F238" s="9">
        <v>239.72</v>
      </c>
      <c r="G238" s="11" t="s">
        <v>32</v>
      </c>
      <c r="H238" s="11" t="s">
        <v>41</v>
      </c>
      <c r="I238" s="11" t="s">
        <v>404</v>
      </c>
      <c r="J238" s="11" t="s">
        <v>283</v>
      </c>
      <c r="K238" s="11" t="s">
        <v>408</v>
      </c>
      <c r="L238" s="12">
        <v>1538026.5486725699</v>
      </c>
      <c r="M238" s="12">
        <v>1538026.5486725699</v>
      </c>
      <c r="N238" s="11" t="s">
        <v>411</v>
      </c>
      <c r="O238" s="11" t="s">
        <v>286</v>
      </c>
      <c r="P238" s="11" t="s">
        <v>321</v>
      </c>
      <c r="Q238" s="11">
        <v>18500041080</v>
      </c>
      <c r="R238" s="11" t="s">
        <v>288</v>
      </c>
      <c r="S238" s="11" t="s">
        <v>115</v>
      </c>
      <c r="T238" s="11"/>
    </row>
    <row r="239" spans="1:20" s="14" customFormat="1" ht="24" customHeight="1">
      <c r="A239" s="15"/>
      <c r="B239" s="11" t="s">
        <v>135</v>
      </c>
      <c r="C239" s="11" t="s">
        <v>412</v>
      </c>
      <c r="D239" s="11" t="s">
        <v>62</v>
      </c>
      <c r="E239" s="9">
        <v>3.52</v>
      </c>
      <c r="F239" s="9">
        <v>3.52</v>
      </c>
      <c r="G239" s="11" t="s">
        <v>32</v>
      </c>
      <c r="H239" s="11" t="s">
        <v>41</v>
      </c>
      <c r="I239" s="11" t="s">
        <v>404</v>
      </c>
      <c r="J239" s="11" t="s">
        <v>283</v>
      </c>
      <c r="K239" s="11" t="s">
        <v>408</v>
      </c>
      <c r="L239" s="12">
        <v>23456.283185840701</v>
      </c>
      <c r="M239" s="12">
        <v>23456.283185840701</v>
      </c>
      <c r="N239" s="11" t="s">
        <v>413</v>
      </c>
      <c r="O239" s="11" t="s">
        <v>286</v>
      </c>
      <c r="P239" s="11" t="s">
        <v>321</v>
      </c>
      <c r="Q239" s="11">
        <v>18500041080</v>
      </c>
      <c r="R239" s="11" t="s">
        <v>288</v>
      </c>
      <c r="S239" s="11" t="s">
        <v>115</v>
      </c>
      <c r="T239" s="11"/>
    </row>
    <row r="240" spans="1:20" s="14" customFormat="1" ht="24" customHeight="1">
      <c r="A240" s="15"/>
      <c r="B240" s="11" t="s">
        <v>414</v>
      </c>
      <c r="C240" s="11" t="s">
        <v>415</v>
      </c>
      <c r="D240" s="11" t="s">
        <v>62</v>
      </c>
      <c r="E240" s="9">
        <v>6.93</v>
      </c>
      <c r="F240" s="9">
        <v>6.93</v>
      </c>
      <c r="G240" s="11" t="s">
        <v>32</v>
      </c>
      <c r="H240" s="11" t="s">
        <v>41</v>
      </c>
      <c r="I240" s="11" t="s">
        <v>404</v>
      </c>
      <c r="J240" s="11" t="s">
        <v>283</v>
      </c>
      <c r="K240" s="11" t="s">
        <v>407</v>
      </c>
      <c r="L240" s="12">
        <v>58261.061946902701</v>
      </c>
      <c r="M240" s="12">
        <v>58261.061946902701</v>
      </c>
      <c r="N240" s="11">
        <v>43983</v>
      </c>
      <c r="O240" s="11" t="s">
        <v>286</v>
      </c>
      <c r="P240" s="11" t="s">
        <v>321</v>
      </c>
      <c r="Q240" s="11">
        <v>18500041080</v>
      </c>
      <c r="R240" s="11" t="s">
        <v>288</v>
      </c>
      <c r="S240" s="11" t="s">
        <v>115</v>
      </c>
      <c r="T240" s="11"/>
    </row>
    <row r="241" spans="1:20" s="14" customFormat="1" ht="24" customHeight="1">
      <c r="A241" s="15"/>
      <c r="B241" s="11" t="s">
        <v>135</v>
      </c>
      <c r="C241" s="11" t="s">
        <v>410</v>
      </c>
      <c r="D241" s="11" t="s">
        <v>62</v>
      </c>
      <c r="E241" s="9">
        <v>11.09</v>
      </c>
      <c r="F241" s="9">
        <v>11.09</v>
      </c>
      <c r="G241" s="11" t="s">
        <v>32</v>
      </c>
      <c r="H241" s="11" t="s">
        <v>41</v>
      </c>
      <c r="I241" s="11" t="s">
        <v>404</v>
      </c>
      <c r="J241" s="11" t="s">
        <v>283</v>
      </c>
      <c r="K241" s="11" t="s">
        <v>407</v>
      </c>
      <c r="L241" s="12">
        <v>71152.654867256599</v>
      </c>
      <c r="M241" s="12">
        <v>71152.654867256599</v>
      </c>
      <c r="N241" s="11">
        <v>43983</v>
      </c>
      <c r="O241" s="11" t="s">
        <v>286</v>
      </c>
      <c r="P241" s="11" t="s">
        <v>392</v>
      </c>
      <c r="Q241" s="11">
        <v>18601194039</v>
      </c>
      <c r="R241" s="11" t="s">
        <v>288</v>
      </c>
      <c r="S241" s="11" t="s">
        <v>115</v>
      </c>
      <c r="T241" s="11"/>
    </row>
    <row r="242" spans="1:20" s="14" customFormat="1" ht="24" customHeight="1">
      <c r="A242" s="15"/>
      <c r="B242" s="11" t="s">
        <v>135</v>
      </c>
      <c r="C242" s="11" t="s">
        <v>358</v>
      </c>
      <c r="D242" s="11" t="s">
        <v>62</v>
      </c>
      <c r="E242" s="9">
        <v>11.05</v>
      </c>
      <c r="F242" s="9">
        <v>11.05</v>
      </c>
      <c r="G242" s="11" t="s">
        <v>32</v>
      </c>
      <c r="H242" s="11" t="s">
        <v>41</v>
      </c>
      <c r="I242" s="11" t="s">
        <v>404</v>
      </c>
      <c r="J242" s="11" t="s">
        <v>283</v>
      </c>
      <c r="K242" s="11" t="s">
        <v>63</v>
      </c>
      <c r="L242" s="12">
        <v>72069.469026548701</v>
      </c>
      <c r="M242" s="12">
        <v>72069.469026548701</v>
      </c>
      <c r="N242" s="11">
        <v>43983</v>
      </c>
      <c r="O242" s="11" t="s">
        <v>286</v>
      </c>
      <c r="P242" s="11" t="s">
        <v>392</v>
      </c>
      <c r="Q242" s="11">
        <v>18601194039</v>
      </c>
      <c r="R242" s="11" t="s">
        <v>288</v>
      </c>
      <c r="S242" s="11" t="s">
        <v>115</v>
      </c>
      <c r="T242" s="11"/>
    </row>
    <row r="243" spans="1:20" s="14" customFormat="1" ht="24" customHeight="1">
      <c r="A243" s="15"/>
      <c r="B243" s="11" t="s">
        <v>341</v>
      </c>
      <c r="C243" s="11" t="s">
        <v>371</v>
      </c>
      <c r="D243" s="11" t="s">
        <v>62</v>
      </c>
      <c r="E243" s="9">
        <v>115.8</v>
      </c>
      <c r="F243" s="9">
        <v>115.8</v>
      </c>
      <c r="G243" s="11" t="s">
        <v>32</v>
      </c>
      <c r="H243" s="11" t="s">
        <v>41</v>
      </c>
      <c r="I243" s="11" t="s">
        <v>404</v>
      </c>
      <c r="J243" s="11" t="s">
        <v>283</v>
      </c>
      <c r="K243" s="11" t="s">
        <v>63</v>
      </c>
      <c r="L243" s="12">
        <v>712836.10619468999</v>
      </c>
      <c r="M243" s="12">
        <v>712836.10619468999</v>
      </c>
      <c r="N243" s="23">
        <v>43983</v>
      </c>
      <c r="O243" s="11" t="s">
        <v>286</v>
      </c>
      <c r="P243" s="11" t="s">
        <v>392</v>
      </c>
      <c r="Q243" s="11">
        <v>18601194039</v>
      </c>
      <c r="R243" s="11" t="s">
        <v>288</v>
      </c>
      <c r="S243" s="11" t="s">
        <v>115</v>
      </c>
      <c r="T243" s="11"/>
    </row>
    <row r="244" spans="1:20" s="14" customFormat="1" ht="24" customHeight="1">
      <c r="A244" s="15"/>
      <c r="B244" s="11" t="s">
        <v>341</v>
      </c>
      <c r="C244" s="11" t="s">
        <v>403</v>
      </c>
      <c r="D244" s="11" t="s">
        <v>62</v>
      </c>
      <c r="E244" s="9">
        <v>169.84</v>
      </c>
      <c r="F244" s="9">
        <v>169.84</v>
      </c>
      <c r="G244" s="11" t="s">
        <v>32</v>
      </c>
      <c r="H244" s="11" t="s">
        <v>41</v>
      </c>
      <c r="I244" s="11" t="s">
        <v>404</v>
      </c>
      <c r="J244" s="11" t="s">
        <v>283</v>
      </c>
      <c r="K244" s="11" t="s">
        <v>63</v>
      </c>
      <c r="L244" s="12">
        <v>1043989.94690266</v>
      </c>
      <c r="M244" s="12">
        <v>1043989.94690266</v>
      </c>
      <c r="N244" s="23">
        <v>43983</v>
      </c>
      <c r="O244" s="11" t="s">
        <v>286</v>
      </c>
      <c r="P244" s="11" t="s">
        <v>392</v>
      </c>
      <c r="Q244" s="11">
        <v>18601194039</v>
      </c>
      <c r="R244" s="11" t="s">
        <v>288</v>
      </c>
      <c r="S244" s="11" t="s">
        <v>115</v>
      </c>
      <c r="T244" s="11"/>
    </row>
    <row r="245" spans="1:20" s="14" customFormat="1" ht="24" customHeight="1">
      <c r="A245" s="15"/>
      <c r="B245" s="11" t="s">
        <v>341</v>
      </c>
      <c r="C245" s="11" t="s">
        <v>416</v>
      </c>
      <c r="D245" s="11" t="s">
        <v>62</v>
      </c>
      <c r="E245" s="9">
        <v>104.48</v>
      </c>
      <c r="F245" s="9">
        <v>104.48</v>
      </c>
      <c r="G245" s="11" t="s">
        <v>32</v>
      </c>
      <c r="H245" s="11" t="s">
        <v>41</v>
      </c>
      <c r="I245" s="11" t="s">
        <v>404</v>
      </c>
      <c r="J245" s="11" t="s">
        <v>283</v>
      </c>
      <c r="K245" s="11" t="s">
        <v>63</v>
      </c>
      <c r="L245" s="12">
        <v>654248.21238938102</v>
      </c>
      <c r="M245" s="12">
        <v>654248.21238938102</v>
      </c>
      <c r="N245" s="23">
        <v>43983</v>
      </c>
      <c r="O245" s="11" t="s">
        <v>286</v>
      </c>
      <c r="P245" s="11" t="s">
        <v>392</v>
      </c>
      <c r="Q245" s="11">
        <v>18601194039</v>
      </c>
      <c r="R245" s="11" t="s">
        <v>288</v>
      </c>
      <c r="S245" s="11" t="s">
        <v>115</v>
      </c>
      <c r="T245" s="11"/>
    </row>
    <row r="246" spans="1:20" s="14" customFormat="1" ht="24" customHeight="1">
      <c r="A246" s="15"/>
      <c r="B246" s="11" t="s">
        <v>398</v>
      </c>
      <c r="C246" s="11" t="s">
        <v>406</v>
      </c>
      <c r="D246" s="11" t="s">
        <v>62</v>
      </c>
      <c r="E246" s="9">
        <v>88</v>
      </c>
      <c r="F246" s="9">
        <v>88</v>
      </c>
      <c r="G246" s="11" t="s">
        <v>32</v>
      </c>
      <c r="H246" s="11" t="s">
        <v>41</v>
      </c>
      <c r="I246" s="11" t="s">
        <v>404</v>
      </c>
      <c r="J246" s="11" t="s">
        <v>283</v>
      </c>
      <c r="K246" s="11" t="s">
        <v>407</v>
      </c>
      <c r="L246" s="12">
        <v>568495.57522123901</v>
      </c>
      <c r="M246" s="12">
        <v>568495.57522123901</v>
      </c>
      <c r="N246" s="23">
        <v>43983</v>
      </c>
      <c r="O246" s="11" t="s">
        <v>286</v>
      </c>
      <c r="P246" s="11" t="s">
        <v>392</v>
      </c>
      <c r="Q246" s="11">
        <v>18601194039</v>
      </c>
      <c r="R246" s="11" t="s">
        <v>288</v>
      </c>
      <c r="S246" s="11" t="s">
        <v>115</v>
      </c>
      <c r="T246" s="11"/>
    </row>
    <row r="247" spans="1:20" s="14" customFormat="1" ht="24" customHeight="1">
      <c r="A247" s="15"/>
      <c r="B247" s="11" t="s">
        <v>281</v>
      </c>
      <c r="C247" s="11" t="s">
        <v>378</v>
      </c>
      <c r="D247" s="11" t="s">
        <v>62</v>
      </c>
      <c r="E247" s="9">
        <v>78.66</v>
      </c>
      <c r="F247" s="9">
        <v>78.66</v>
      </c>
      <c r="G247" s="11" t="s">
        <v>32</v>
      </c>
      <c r="H247" s="11" t="s">
        <v>41</v>
      </c>
      <c r="I247" s="11" t="s">
        <v>404</v>
      </c>
      <c r="J247" s="11" t="s">
        <v>283</v>
      </c>
      <c r="K247" s="11" t="s">
        <v>343</v>
      </c>
      <c r="L247" s="12">
        <v>586121.41592920397</v>
      </c>
      <c r="M247" s="12">
        <v>586121.41592920397</v>
      </c>
      <c r="N247" s="23">
        <v>43983</v>
      </c>
      <c r="O247" s="11" t="s">
        <v>286</v>
      </c>
      <c r="P247" s="11" t="s">
        <v>392</v>
      </c>
      <c r="Q247" s="11">
        <v>18601194039</v>
      </c>
      <c r="R247" s="11" t="s">
        <v>288</v>
      </c>
      <c r="S247" s="11" t="s">
        <v>115</v>
      </c>
      <c r="T247" s="11"/>
    </row>
    <row r="248" spans="1:20" s="14" customFormat="1" ht="24" customHeight="1">
      <c r="A248" s="15"/>
      <c r="B248" s="11" t="s">
        <v>281</v>
      </c>
      <c r="C248" s="11" t="s">
        <v>417</v>
      </c>
      <c r="D248" s="11" t="s">
        <v>62</v>
      </c>
      <c r="E248" s="9">
        <v>25.76</v>
      </c>
      <c r="F248" s="9">
        <v>25.76</v>
      </c>
      <c r="G248" s="11" t="s">
        <v>32</v>
      </c>
      <c r="H248" s="11" t="s">
        <v>41</v>
      </c>
      <c r="I248" s="11" t="s">
        <v>404</v>
      </c>
      <c r="J248" s="11" t="s">
        <v>283</v>
      </c>
      <c r="K248" s="11" t="s">
        <v>343</v>
      </c>
      <c r="L248" s="12">
        <v>194225.84070796499</v>
      </c>
      <c r="M248" s="12">
        <v>194225.84070796499</v>
      </c>
      <c r="N248" s="23">
        <v>43983</v>
      </c>
      <c r="O248" s="11" t="s">
        <v>286</v>
      </c>
      <c r="P248" s="11" t="s">
        <v>392</v>
      </c>
      <c r="Q248" s="11">
        <v>18601194039</v>
      </c>
      <c r="R248" s="11" t="s">
        <v>288</v>
      </c>
      <c r="S248" s="11" t="s">
        <v>115</v>
      </c>
      <c r="T248" s="11"/>
    </row>
    <row r="249" spans="1:20" s="14" customFormat="1" ht="24" customHeight="1">
      <c r="A249" s="15"/>
      <c r="B249" s="11" t="s">
        <v>281</v>
      </c>
      <c r="C249" s="11" t="s">
        <v>418</v>
      </c>
      <c r="D249" s="11" t="s">
        <v>62</v>
      </c>
      <c r="E249" s="9">
        <v>7.45</v>
      </c>
      <c r="F249" s="9">
        <v>7.45</v>
      </c>
      <c r="G249" s="11" t="s">
        <v>32</v>
      </c>
      <c r="H249" s="11" t="s">
        <v>41</v>
      </c>
      <c r="I249" s="11" t="s">
        <v>404</v>
      </c>
      <c r="J249" s="11" t="s">
        <v>283</v>
      </c>
      <c r="K249" s="11" t="s">
        <v>343</v>
      </c>
      <c r="L249" s="12">
        <v>55446.460176991197</v>
      </c>
      <c r="M249" s="12">
        <v>55446.460176991197</v>
      </c>
      <c r="N249" s="23">
        <v>43983</v>
      </c>
      <c r="O249" s="11" t="s">
        <v>286</v>
      </c>
      <c r="P249" s="11" t="s">
        <v>392</v>
      </c>
      <c r="Q249" s="11">
        <v>18601194039</v>
      </c>
      <c r="R249" s="11" t="s">
        <v>288</v>
      </c>
      <c r="S249" s="11" t="s">
        <v>115</v>
      </c>
      <c r="T249" s="11"/>
    </row>
    <row r="250" spans="1:20" s="14" customFormat="1" ht="24" customHeight="1">
      <c r="A250" s="15"/>
      <c r="B250" s="11" t="s">
        <v>399</v>
      </c>
      <c r="C250" s="11">
        <v>64</v>
      </c>
      <c r="D250" s="11" t="s">
        <v>62</v>
      </c>
      <c r="E250" s="9">
        <v>28.68</v>
      </c>
      <c r="F250" s="9">
        <v>28.68</v>
      </c>
      <c r="G250" s="11" t="s">
        <v>32</v>
      </c>
      <c r="H250" s="11" t="s">
        <v>41</v>
      </c>
      <c r="I250" s="11" t="s">
        <v>404</v>
      </c>
      <c r="J250" s="11" t="s">
        <v>283</v>
      </c>
      <c r="K250" s="11" t="s">
        <v>407</v>
      </c>
      <c r="L250" s="12">
        <v>241115.044247788</v>
      </c>
      <c r="M250" s="12">
        <v>241115.044247788</v>
      </c>
      <c r="N250" s="23">
        <v>43983</v>
      </c>
      <c r="O250" s="11" t="s">
        <v>286</v>
      </c>
      <c r="P250" s="11" t="s">
        <v>392</v>
      </c>
      <c r="Q250" s="11">
        <v>18601194039</v>
      </c>
      <c r="R250" s="11" t="s">
        <v>288</v>
      </c>
      <c r="S250" s="11" t="s">
        <v>115</v>
      </c>
      <c r="T250" s="11"/>
    </row>
    <row r="251" spans="1:20" s="14" customFormat="1" ht="24" customHeight="1">
      <c r="A251" s="15"/>
      <c r="B251" s="11" t="s">
        <v>399</v>
      </c>
      <c r="C251" s="11">
        <v>72</v>
      </c>
      <c r="D251" s="11" t="s">
        <v>62</v>
      </c>
      <c r="E251" s="9">
        <v>35.25</v>
      </c>
      <c r="F251" s="9">
        <v>35.25</v>
      </c>
      <c r="G251" s="11" t="s">
        <v>32</v>
      </c>
      <c r="H251" s="11" t="s">
        <v>41</v>
      </c>
      <c r="I251" s="11" t="s">
        <v>404</v>
      </c>
      <c r="J251" s="11" t="s">
        <v>283</v>
      </c>
      <c r="K251" s="11" t="s">
        <v>407</v>
      </c>
      <c r="L251" s="12">
        <v>305707.96460176999</v>
      </c>
      <c r="M251" s="12">
        <v>305707.96460176999</v>
      </c>
      <c r="N251" s="23">
        <v>43983</v>
      </c>
      <c r="O251" s="11" t="s">
        <v>286</v>
      </c>
      <c r="P251" s="11" t="s">
        <v>392</v>
      </c>
      <c r="Q251" s="11">
        <v>18601194039</v>
      </c>
      <c r="R251" s="11" t="s">
        <v>288</v>
      </c>
      <c r="S251" s="11" t="s">
        <v>115</v>
      </c>
      <c r="T251" s="11"/>
    </row>
    <row r="252" spans="1:20" s="14" customFormat="1" ht="24" customHeight="1">
      <c r="A252" s="15"/>
      <c r="B252" s="11" t="s">
        <v>281</v>
      </c>
      <c r="C252" s="11" t="s">
        <v>419</v>
      </c>
      <c r="D252" s="11" t="s">
        <v>62</v>
      </c>
      <c r="E252" s="9">
        <v>20.28</v>
      </c>
      <c r="F252" s="9">
        <v>20.28</v>
      </c>
      <c r="G252" s="11" t="s">
        <v>32</v>
      </c>
      <c r="H252" s="11" t="s">
        <v>41</v>
      </c>
      <c r="I252" s="11" t="s">
        <v>404</v>
      </c>
      <c r="J252" s="11" t="s">
        <v>283</v>
      </c>
      <c r="K252" s="11" t="s">
        <v>343</v>
      </c>
      <c r="L252" s="12">
        <v>161881.06194690301</v>
      </c>
      <c r="M252" s="12">
        <v>161881.06194690301</v>
      </c>
      <c r="N252" s="23">
        <v>43983</v>
      </c>
      <c r="O252" s="11" t="s">
        <v>286</v>
      </c>
      <c r="P252" s="11" t="s">
        <v>392</v>
      </c>
      <c r="Q252" s="11">
        <v>18601194039</v>
      </c>
      <c r="R252" s="11" t="s">
        <v>288</v>
      </c>
      <c r="S252" s="11" t="s">
        <v>115</v>
      </c>
      <c r="T252" s="11"/>
    </row>
    <row r="253" spans="1:20" s="14" customFormat="1" ht="24" customHeight="1">
      <c r="A253" s="15"/>
      <c r="B253" s="11" t="s">
        <v>281</v>
      </c>
      <c r="C253" s="11" t="s">
        <v>376</v>
      </c>
      <c r="D253" s="11" t="s">
        <v>62</v>
      </c>
      <c r="E253" s="9">
        <v>12.72</v>
      </c>
      <c r="F253" s="9">
        <v>12.72</v>
      </c>
      <c r="G253" s="11" t="s">
        <v>32</v>
      </c>
      <c r="H253" s="11" t="s">
        <v>41</v>
      </c>
      <c r="I253" s="11" t="s">
        <v>404</v>
      </c>
      <c r="J253" s="11" t="s">
        <v>283</v>
      </c>
      <c r="K253" s="11" t="s">
        <v>407</v>
      </c>
      <c r="L253" s="12">
        <v>100071.50442477901</v>
      </c>
      <c r="M253" s="12">
        <v>100071.50442477901</v>
      </c>
      <c r="N253" s="23">
        <v>43983</v>
      </c>
      <c r="O253" s="11" t="s">
        <v>286</v>
      </c>
      <c r="P253" s="11" t="s">
        <v>392</v>
      </c>
      <c r="Q253" s="11">
        <v>18601194039</v>
      </c>
      <c r="R253" s="11" t="s">
        <v>288</v>
      </c>
      <c r="S253" s="11" t="s">
        <v>115</v>
      </c>
      <c r="T253" s="11"/>
    </row>
    <row r="254" spans="1:20" s="14" customFormat="1" ht="24" customHeight="1">
      <c r="A254" s="15"/>
      <c r="B254" s="11" t="s">
        <v>281</v>
      </c>
      <c r="C254" s="11" t="s">
        <v>420</v>
      </c>
      <c r="D254" s="11" t="s">
        <v>62</v>
      </c>
      <c r="E254" s="9">
        <v>2.88</v>
      </c>
      <c r="F254" s="9">
        <v>2.88</v>
      </c>
      <c r="G254" s="11" t="s">
        <v>32</v>
      </c>
      <c r="H254" s="11" t="s">
        <v>41</v>
      </c>
      <c r="I254" s="11" t="s">
        <v>404</v>
      </c>
      <c r="J254" s="11" t="s">
        <v>283</v>
      </c>
      <c r="K254" s="11" t="s">
        <v>407</v>
      </c>
      <c r="L254" s="12">
        <v>22275.3982300885</v>
      </c>
      <c r="M254" s="12">
        <v>22275.3982300885</v>
      </c>
      <c r="N254" s="23">
        <v>43983</v>
      </c>
      <c r="O254" s="11" t="s">
        <v>286</v>
      </c>
      <c r="P254" s="11" t="s">
        <v>392</v>
      </c>
      <c r="Q254" s="11">
        <v>18601194039</v>
      </c>
      <c r="R254" s="11" t="s">
        <v>288</v>
      </c>
      <c r="S254" s="11" t="s">
        <v>115</v>
      </c>
      <c r="T254" s="11"/>
    </row>
    <row r="255" spans="1:20" s="14" customFormat="1" ht="24" customHeight="1">
      <c r="A255" s="15"/>
      <c r="B255" s="11" t="s">
        <v>281</v>
      </c>
      <c r="C255" s="11" t="s">
        <v>421</v>
      </c>
      <c r="D255" s="11" t="s">
        <v>62</v>
      </c>
      <c r="E255" s="9">
        <v>22.03</v>
      </c>
      <c r="F255" s="9">
        <v>22.03</v>
      </c>
      <c r="G255" s="11" t="s">
        <v>32</v>
      </c>
      <c r="H255" s="11" t="s">
        <v>41</v>
      </c>
      <c r="I255" s="11" t="s">
        <v>404</v>
      </c>
      <c r="J255" s="11" t="s">
        <v>283</v>
      </c>
      <c r="K255" s="11" t="s">
        <v>343</v>
      </c>
      <c r="L255" s="12">
        <v>170586.28318584099</v>
      </c>
      <c r="M255" s="12">
        <v>170586.28318584099</v>
      </c>
      <c r="N255" s="23">
        <v>43983</v>
      </c>
      <c r="O255" s="11" t="s">
        <v>286</v>
      </c>
      <c r="P255" s="11" t="s">
        <v>392</v>
      </c>
      <c r="Q255" s="11">
        <v>18601194039</v>
      </c>
      <c r="R255" s="11" t="s">
        <v>288</v>
      </c>
      <c r="S255" s="11" t="s">
        <v>115</v>
      </c>
      <c r="T255" s="11"/>
    </row>
    <row r="256" spans="1:20" s="14" customFormat="1" ht="24" customHeight="1">
      <c r="A256" s="15"/>
      <c r="B256" s="11" t="s">
        <v>281</v>
      </c>
      <c r="C256" s="11" t="s">
        <v>422</v>
      </c>
      <c r="D256" s="11" t="s">
        <v>62</v>
      </c>
      <c r="E256" s="9">
        <v>29.54</v>
      </c>
      <c r="F256" s="9">
        <v>29.54</v>
      </c>
      <c r="G256" s="11" t="s">
        <v>32</v>
      </c>
      <c r="H256" s="11" t="s">
        <v>41</v>
      </c>
      <c r="I256" s="11" t="s">
        <v>404</v>
      </c>
      <c r="J256" s="11" t="s">
        <v>283</v>
      </c>
      <c r="K256" s="11" t="s">
        <v>407</v>
      </c>
      <c r="L256" s="12">
        <v>227170.442477876</v>
      </c>
      <c r="M256" s="12">
        <v>227170.442477876</v>
      </c>
      <c r="N256" s="23">
        <v>43983</v>
      </c>
      <c r="O256" s="11" t="s">
        <v>286</v>
      </c>
      <c r="P256" s="11" t="s">
        <v>392</v>
      </c>
      <c r="Q256" s="11">
        <v>18601194039</v>
      </c>
      <c r="R256" s="11" t="s">
        <v>288</v>
      </c>
      <c r="S256" s="11" t="s">
        <v>115</v>
      </c>
      <c r="T256" s="11"/>
    </row>
    <row r="257" spans="1:20" s="14" customFormat="1" ht="24" customHeight="1">
      <c r="A257" s="15"/>
      <c r="B257" s="11" t="s">
        <v>281</v>
      </c>
      <c r="C257" s="11" t="s">
        <v>423</v>
      </c>
      <c r="D257" s="11" t="s">
        <v>62</v>
      </c>
      <c r="E257" s="9">
        <v>32.409999999999997</v>
      </c>
      <c r="F257" s="9">
        <v>32.409999999999997</v>
      </c>
      <c r="G257" s="11" t="s">
        <v>32</v>
      </c>
      <c r="H257" s="11" t="s">
        <v>41</v>
      </c>
      <c r="I257" s="11" t="s">
        <v>404</v>
      </c>
      <c r="J257" s="11" t="s">
        <v>283</v>
      </c>
      <c r="K257" s="11" t="s">
        <v>407</v>
      </c>
      <c r="L257" s="12">
        <v>251822.83185840701</v>
      </c>
      <c r="M257" s="12">
        <v>251822.83185840701</v>
      </c>
      <c r="N257" s="23">
        <v>43983</v>
      </c>
      <c r="O257" s="11" t="s">
        <v>286</v>
      </c>
      <c r="P257" s="11" t="s">
        <v>392</v>
      </c>
      <c r="Q257" s="11">
        <v>18601194039</v>
      </c>
      <c r="R257" s="11" t="s">
        <v>288</v>
      </c>
      <c r="S257" s="11" t="s">
        <v>115</v>
      </c>
      <c r="T257" s="11"/>
    </row>
    <row r="258" spans="1:20" s="14" customFormat="1" ht="24" customHeight="1">
      <c r="A258" s="15"/>
      <c r="B258" s="11" t="s">
        <v>281</v>
      </c>
      <c r="C258" s="11" t="s">
        <v>424</v>
      </c>
      <c r="D258" s="11" t="s">
        <v>62</v>
      </c>
      <c r="E258" s="9">
        <v>22.16</v>
      </c>
      <c r="F258" s="9">
        <v>22.16</v>
      </c>
      <c r="G258" s="11" t="s">
        <v>32</v>
      </c>
      <c r="H258" s="11" t="s">
        <v>41</v>
      </c>
      <c r="I258" s="11" t="s">
        <v>404</v>
      </c>
      <c r="J258" s="11" t="s">
        <v>283</v>
      </c>
      <c r="K258" s="11" t="s">
        <v>343</v>
      </c>
      <c r="L258" s="12">
        <v>176495.57522123901</v>
      </c>
      <c r="M258" s="12">
        <v>176495.57522123901</v>
      </c>
      <c r="N258" s="23" t="s">
        <v>425</v>
      </c>
      <c r="O258" s="11" t="s">
        <v>286</v>
      </c>
      <c r="P258" s="11" t="s">
        <v>392</v>
      </c>
      <c r="Q258" s="11">
        <v>18601194039</v>
      </c>
      <c r="R258" s="11" t="s">
        <v>288</v>
      </c>
      <c r="S258" s="11" t="s">
        <v>115</v>
      </c>
      <c r="T258" s="11"/>
    </row>
    <row r="259" spans="1:20" s="14" customFormat="1" ht="24" customHeight="1">
      <c r="A259" s="15"/>
      <c r="B259" s="11" t="s">
        <v>281</v>
      </c>
      <c r="C259" s="11" t="s">
        <v>426</v>
      </c>
      <c r="D259" s="11" t="s">
        <v>62</v>
      </c>
      <c r="E259" s="9">
        <v>2.52</v>
      </c>
      <c r="F259" s="9">
        <v>2.52</v>
      </c>
      <c r="G259" s="11" t="s">
        <v>32</v>
      </c>
      <c r="H259" s="11" t="s">
        <v>41</v>
      </c>
      <c r="I259" s="11" t="s">
        <v>404</v>
      </c>
      <c r="J259" s="11" t="s">
        <v>283</v>
      </c>
      <c r="K259" s="11" t="s">
        <v>343</v>
      </c>
      <c r="L259" s="12">
        <v>18019.115044247799</v>
      </c>
      <c r="M259" s="12">
        <v>18019.115044247799</v>
      </c>
      <c r="N259" s="23" t="s">
        <v>427</v>
      </c>
      <c r="O259" s="11" t="s">
        <v>286</v>
      </c>
      <c r="P259" s="11" t="s">
        <v>392</v>
      </c>
      <c r="Q259" s="11">
        <v>18601194039</v>
      </c>
      <c r="R259" s="11" t="s">
        <v>288</v>
      </c>
      <c r="S259" s="11" t="s">
        <v>115</v>
      </c>
      <c r="T259" s="11"/>
    </row>
    <row r="260" spans="1:20" s="14" customFormat="1" ht="24" customHeight="1">
      <c r="A260" s="15"/>
      <c r="B260" s="11" t="s">
        <v>281</v>
      </c>
      <c r="C260" s="11" t="s">
        <v>428</v>
      </c>
      <c r="D260" s="11" t="s">
        <v>62</v>
      </c>
      <c r="E260" s="9">
        <v>58.33</v>
      </c>
      <c r="F260" s="9">
        <v>58.33</v>
      </c>
      <c r="G260" s="11" t="s">
        <v>32</v>
      </c>
      <c r="H260" s="11" t="s">
        <v>41</v>
      </c>
      <c r="I260" s="11" t="s">
        <v>404</v>
      </c>
      <c r="J260" s="11" t="s">
        <v>283</v>
      </c>
      <c r="K260" s="11" t="s">
        <v>343</v>
      </c>
      <c r="L260" s="12">
        <v>279106.46902654902</v>
      </c>
      <c r="M260" s="12">
        <v>279106.46902654902</v>
      </c>
      <c r="N260" s="23" t="s">
        <v>429</v>
      </c>
      <c r="O260" s="11" t="s">
        <v>286</v>
      </c>
      <c r="P260" s="11" t="s">
        <v>392</v>
      </c>
      <c r="Q260" s="11">
        <v>18601194039</v>
      </c>
      <c r="R260" s="11" t="s">
        <v>288</v>
      </c>
      <c r="S260" s="11" t="s">
        <v>115</v>
      </c>
      <c r="T260" s="11"/>
    </row>
    <row r="261" spans="1:20" s="14" customFormat="1" ht="24" hidden="1" customHeight="1">
      <c r="A261" s="15"/>
      <c r="B261" s="11" t="s">
        <v>341</v>
      </c>
      <c r="C261" s="11" t="s">
        <v>428</v>
      </c>
      <c r="D261" s="11" t="s">
        <v>62</v>
      </c>
      <c r="E261" s="9">
        <v>53.95</v>
      </c>
      <c r="F261" s="9">
        <v>53.95</v>
      </c>
      <c r="G261" s="11" t="s">
        <v>32</v>
      </c>
      <c r="H261" s="11" t="s">
        <v>33</v>
      </c>
      <c r="I261" s="11" t="s">
        <v>34</v>
      </c>
      <c r="J261" s="11" t="s">
        <v>34</v>
      </c>
      <c r="K261" s="11" t="s">
        <v>63</v>
      </c>
      <c r="L261" s="12">
        <v>418613.805309291</v>
      </c>
      <c r="M261" s="12">
        <v>418613.805309291</v>
      </c>
      <c r="N261" s="23">
        <v>43983</v>
      </c>
      <c r="O261" s="11" t="s">
        <v>286</v>
      </c>
      <c r="P261" s="11" t="s">
        <v>392</v>
      </c>
      <c r="Q261" s="11">
        <v>18601194039</v>
      </c>
      <c r="R261" s="11" t="s">
        <v>288</v>
      </c>
      <c r="S261" s="11" t="s">
        <v>115</v>
      </c>
      <c r="T261" s="11"/>
    </row>
    <row r="262" spans="1:20" s="14" customFormat="1" ht="24" hidden="1" customHeight="1">
      <c r="A262" s="15"/>
      <c r="B262" s="11" t="s">
        <v>341</v>
      </c>
      <c r="C262" s="11" t="s">
        <v>428</v>
      </c>
      <c r="D262" s="11" t="s">
        <v>62</v>
      </c>
      <c r="E262" s="9">
        <v>27.9</v>
      </c>
      <c r="F262" s="9">
        <v>27.9</v>
      </c>
      <c r="G262" s="11" t="s">
        <v>32</v>
      </c>
      <c r="H262" s="11" t="s">
        <v>33</v>
      </c>
      <c r="I262" s="11" t="s">
        <v>34</v>
      </c>
      <c r="J262" s="11" t="s">
        <v>34</v>
      </c>
      <c r="K262" s="11" t="s">
        <v>63</v>
      </c>
      <c r="L262" s="12">
        <v>216484.247787381</v>
      </c>
      <c r="M262" s="12">
        <v>216484.247787381</v>
      </c>
      <c r="N262" s="23">
        <v>43983</v>
      </c>
      <c r="O262" s="11" t="s">
        <v>286</v>
      </c>
      <c r="P262" s="11" t="s">
        <v>392</v>
      </c>
      <c r="Q262" s="11">
        <v>18601194039</v>
      </c>
      <c r="R262" s="11" t="s">
        <v>288</v>
      </c>
      <c r="S262" s="11" t="s">
        <v>115</v>
      </c>
      <c r="T262" s="11"/>
    </row>
    <row r="263" spans="1:20" s="14" customFormat="1" ht="24" hidden="1" customHeight="1">
      <c r="A263" s="15"/>
      <c r="B263" s="11" t="s">
        <v>341</v>
      </c>
      <c r="C263" s="11" t="s">
        <v>428</v>
      </c>
      <c r="D263" s="11" t="s">
        <v>62</v>
      </c>
      <c r="E263" s="9">
        <v>4.18</v>
      </c>
      <c r="F263" s="9">
        <v>4.18</v>
      </c>
      <c r="G263" s="11" t="s">
        <v>32</v>
      </c>
      <c r="H263" s="11" t="s">
        <v>33</v>
      </c>
      <c r="I263" s="11" t="s">
        <v>34</v>
      </c>
      <c r="J263" s="11" t="s">
        <v>34</v>
      </c>
      <c r="K263" s="11" t="s">
        <v>63</v>
      </c>
      <c r="L263" s="12">
        <v>33136.672566335801</v>
      </c>
      <c r="M263" s="12">
        <v>33136.672566335801</v>
      </c>
      <c r="N263" s="23">
        <v>43983</v>
      </c>
      <c r="O263" s="11" t="s">
        <v>286</v>
      </c>
      <c r="P263" s="11" t="s">
        <v>392</v>
      </c>
      <c r="Q263" s="11">
        <v>18601194039</v>
      </c>
      <c r="R263" s="11" t="s">
        <v>288</v>
      </c>
      <c r="S263" s="11" t="s">
        <v>115</v>
      </c>
      <c r="T263" s="11"/>
    </row>
    <row r="264" spans="1:20" s="14" customFormat="1" ht="24" hidden="1" customHeight="1">
      <c r="A264" s="15"/>
      <c r="B264" s="11" t="s">
        <v>341</v>
      </c>
      <c r="C264" s="11" t="s">
        <v>428</v>
      </c>
      <c r="D264" s="11" t="s">
        <v>62</v>
      </c>
      <c r="E264" s="9">
        <v>18.91</v>
      </c>
      <c r="F264" s="9">
        <v>18.91</v>
      </c>
      <c r="G264" s="11" t="s">
        <v>32</v>
      </c>
      <c r="H264" s="11" t="s">
        <v>33</v>
      </c>
      <c r="I264" s="11" t="s">
        <v>34</v>
      </c>
      <c r="J264" s="11" t="s">
        <v>34</v>
      </c>
      <c r="K264" s="11" t="s">
        <v>63</v>
      </c>
      <c r="L264" s="12">
        <v>149907.76991134201</v>
      </c>
      <c r="M264" s="12">
        <v>149907.76991134201</v>
      </c>
      <c r="N264" s="23">
        <v>43983</v>
      </c>
      <c r="O264" s="11" t="s">
        <v>286</v>
      </c>
      <c r="P264" s="11" t="s">
        <v>392</v>
      </c>
      <c r="Q264" s="11">
        <v>18601194039</v>
      </c>
      <c r="R264" s="11" t="s">
        <v>288</v>
      </c>
      <c r="S264" s="11" t="s">
        <v>115</v>
      </c>
      <c r="T264" s="11"/>
    </row>
    <row r="265" spans="1:20" s="14" customFormat="1" ht="24" hidden="1" customHeight="1">
      <c r="A265" s="15"/>
      <c r="B265" s="11" t="s">
        <v>341</v>
      </c>
      <c r="C265" s="11" t="s">
        <v>428</v>
      </c>
      <c r="D265" s="11" t="s">
        <v>62</v>
      </c>
      <c r="E265" s="9">
        <v>60</v>
      </c>
      <c r="F265" s="9">
        <v>60</v>
      </c>
      <c r="G265" s="11" t="s">
        <v>32</v>
      </c>
      <c r="H265" s="11" t="s">
        <v>33</v>
      </c>
      <c r="I265" s="11" t="s">
        <v>34</v>
      </c>
      <c r="J265" s="11" t="s">
        <v>34</v>
      </c>
      <c r="K265" s="11" t="s">
        <v>63</v>
      </c>
      <c r="L265" s="12">
        <v>465557.52212340001</v>
      </c>
      <c r="M265" s="12">
        <v>465557.52212340001</v>
      </c>
      <c r="N265" s="23">
        <v>43983</v>
      </c>
      <c r="O265" s="11" t="s">
        <v>286</v>
      </c>
      <c r="P265" s="11" t="s">
        <v>392</v>
      </c>
      <c r="Q265" s="11">
        <v>18601194039</v>
      </c>
      <c r="R265" s="11" t="s">
        <v>288</v>
      </c>
      <c r="S265" s="11" t="s">
        <v>115</v>
      </c>
      <c r="T265" s="11"/>
    </row>
    <row r="266" spans="1:20" s="14" customFormat="1" ht="24" hidden="1" customHeight="1">
      <c r="A266" s="15"/>
      <c r="B266" s="11" t="s">
        <v>341</v>
      </c>
      <c r="C266" s="11" t="s">
        <v>428</v>
      </c>
      <c r="D266" s="11" t="s">
        <v>62</v>
      </c>
      <c r="E266" s="9">
        <v>32.01</v>
      </c>
      <c r="F266" s="9">
        <v>32.01</v>
      </c>
      <c r="G266" s="11" t="s">
        <v>32</v>
      </c>
      <c r="H266" s="11" t="s">
        <v>33</v>
      </c>
      <c r="I266" s="11" t="s">
        <v>34</v>
      </c>
      <c r="J266" s="11" t="s">
        <v>34</v>
      </c>
      <c r="K266" s="11" t="s">
        <v>63</v>
      </c>
      <c r="L266" s="12">
        <v>248374.93805283401</v>
      </c>
      <c r="M266" s="12">
        <v>248374.93805283401</v>
      </c>
      <c r="N266" s="23">
        <v>43983</v>
      </c>
      <c r="O266" s="11" t="s">
        <v>286</v>
      </c>
      <c r="P266" s="11" t="s">
        <v>392</v>
      </c>
      <c r="Q266" s="11">
        <v>18601194039</v>
      </c>
      <c r="R266" s="11" t="s">
        <v>288</v>
      </c>
      <c r="S266" s="11" t="s">
        <v>115</v>
      </c>
      <c r="T266" s="11"/>
    </row>
    <row r="267" spans="1:20" s="14" customFormat="1" ht="24" hidden="1" customHeight="1">
      <c r="A267" s="15"/>
      <c r="B267" s="11" t="s">
        <v>341</v>
      </c>
      <c r="C267" s="11" t="s">
        <v>428</v>
      </c>
      <c r="D267" s="11" t="s">
        <v>62</v>
      </c>
      <c r="E267" s="9">
        <v>32.86</v>
      </c>
      <c r="F267" s="9">
        <v>32.86</v>
      </c>
      <c r="G267" s="11" t="s">
        <v>32</v>
      </c>
      <c r="H267" s="11" t="s">
        <v>33</v>
      </c>
      <c r="I267" s="11" t="s">
        <v>34</v>
      </c>
      <c r="J267" s="11" t="s">
        <v>34</v>
      </c>
      <c r="K267" s="11" t="s">
        <v>63</v>
      </c>
      <c r="L267" s="12">
        <v>254970.336282915</v>
      </c>
      <c r="M267" s="12">
        <v>254970.336282915</v>
      </c>
      <c r="N267" s="23">
        <v>43983</v>
      </c>
      <c r="O267" s="11" t="s">
        <v>286</v>
      </c>
      <c r="P267" s="11" t="s">
        <v>392</v>
      </c>
      <c r="Q267" s="11">
        <v>18601194039</v>
      </c>
      <c r="R267" s="11" t="s">
        <v>288</v>
      </c>
      <c r="S267" s="11" t="s">
        <v>115</v>
      </c>
      <c r="T267" s="11"/>
    </row>
    <row r="268" spans="1:20" s="14" customFormat="1" ht="24" hidden="1" customHeight="1">
      <c r="A268" s="15"/>
      <c r="B268" s="11" t="s">
        <v>341</v>
      </c>
      <c r="C268" s="11" t="s">
        <v>428</v>
      </c>
      <c r="D268" s="11" t="s">
        <v>62</v>
      </c>
      <c r="E268" s="9">
        <v>8.68</v>
      </c>
      <c r="F268" s="9">
        <v>8.68</v>
      </c>
      <c r="G268" s="11" t="s">
        <v>32</v>
      </c>
      <c r="H268" s="11" t="s">
        <v>33</v>
      </c>
      <c r="I268" s="11" t="s">
        <v>34</v>
      </c>
      <c r="J268" s="11" t="s">
        <v>34</v>
      </c>
      <c r="K268" s="11" t="s">
        <v>343</v>
      </c>
      <c r="L268" s="12">
        <v>61435.964601769898</v>
      </c>
      <c r="M268" s="12">
        <v>61435.964601769898</v>
      </c>
      <c r="N268" s="23">
        <v>43983</v>
      </c>
      <c r="O268" s="11" t="s">
        <v>286</v>
      </c>
      <c r="P268" s="11" t="s">
        <v>392</v>
      </c>
      <c r="Q268" s="11">
        <v>18601194039</v>
      </c>
      <c r="R268" s="11" t="s">
        <v>288</v>
      </c>
      <c r="S268" s="11" t="s">
        <v>115</v>
      </c>
      <c r="T268" s="11"/>
    </row>
    <row r="269" spans="1:20" s="14" customFormat="1" ht="24" hidden="1" customHeight="1">
      <c r="A269" s="15"/>
      <c r="B269" s="11" t="s">
        <v>430</v>
      </c>
      <c r="C269" s="11" t="s">
        <v>431</v>
      </c>
      <c r="D269" s="11" t="s">
        <v>62</v>
      </c>
      <c r="E269" s="9">
        <v>3.6930000000000001</v>
      </c>
      <c r="F269" s="9"/>
      <c r="G269" s="11" t="s">
        <v>72</v>
      </c>
      <c r="H269" s="11" t="s">
        <v>33</v>
      </c>
      <c r="I269" s="11"/>
      <c r="J269" s="11"/>
      <c r="K269" s="11" t="s">
        <v>96</v>
      </c>
      <c r="L269" s="12">
        <v>26220.3</v>
      </c>
      <c r="M269" s="12">
        <v>7866.09</v>
      </c>
      <c r="N269" s="41">
        <v>43556</v>
      </c>
      <c r="O269" s="11" t="s">
        <v>97</v>
      </c>
      <c r="P269" s="11" t="s">
        <v>98</v>
      </c>
      <c r="Q269" s="11">
        <v>13910285124</v>
      </c>
      <c r="R269" s="11" t="s">
        <v>99</v>
      </c>
      <c r="S269" s="11" t="s">
        <v>100</v>
      </c>
      <c r="T269" s="11" t="s">
        <v>101</v>
      </c>
    </row>
    <row r="270" spans="1:20" s="14" customFormat="1" ht="24" hidden="1" customHeight="1">
      <c r="A270" s="15"/>
      <c r="B270" s="11" t="s">
        <v>430</v>
      </c>
      <c r="C270" s="11" t="s">
        <v>432</v>
      </c>
      <c r="D270" s="11" t="s">
        <v>62</v>
      </c>
      <c r="E270" s="9">
        <v>1.4999999999999999E-2</v>
      </c>
      <c r="F270" s="9"/>
      <c r="G270" s="11" t="s">
        <v>72</v>
      </c>
      <c r="H270" s="11" t="s">
        <v>33</v>
      </c>
      <c r="I270" s="11"/>
      <c r="J270" s="11"/>
      <c r="K270" s="11" t="s">
        <v>96</v>
      </c>
      <c r="L270" s="12">
        <v>106.5</v>
      </c>
      <c r="M270" s="12">
        <v>31.95</v>
      </c>
      <c r="N270" s="41">
        <v>43556</v>
      </c>
      <c r="O270" s="11" t="s">
        <v>97</v>
      </c>
      <c r="P270" s="11" t="s">
        <v>98</v>
      </c>
      <c r="Q270" s="11">
        <v>13910285124</v>
      </c>
      <c r="R270" s="11" t="s">
        <v>99</v>
      </c>
      <c r="S270" s="11" t="s">
        <v>100</v>
      </c>
      <c r="T270" s="11" t="s">
        <v>101</v>
      </c>
    </row>
    <row r="271" spans="1:20" s="14" customFormat="1" ht="24" hidden="1" customHeight="1">
      <c r="A271" s="15"/>
      <c r="B271" s="11" t="s">
        <v>433</v>
      </c>
      <c r="C271" s="11" t="s">
        <v>434</v>
      </c>
      <c r="D271" s="11" t="s">
        <v>62</v>
      </c>
      <c r="E271" s="9">
        <v>3.1720000000000002</v>
      </c>
      <c r="F271" s="9"/>
      <c r="G271" s="11" t="s">
        <v>72</v>
      </c>
      <c r="H271" s="11" t="s">
        <v>33</v>
      </c>
      <c r="I271" s="11"/>
      <c r="J271" s="11"/>
      <c r="K271" s="11" t="s">
        <v>96</v>
      </c>
      <c r="L271" s="12">
        <v>22204</v>
      </c>
      <c r="M271" s="12">
        <v>6661.2</v>
      </c>
      <c r="N271" s="41">
        <v>43556</v>
      </c>
      <c r="O271" s="11" t="s">
        <v>97</v>
      </c>
      <c r="P271" s="11" t="s">
        <v>98</v>
      </c>
      <c r="Q271" s="11">
        <v>13910285124</v>
      </c>
      <c r="R271" s="11" t="s">
        <v>99</v>
      </c>
      <c r="S271" s="11" t="s">
        <v>100</v>
      </c>
      <c r="T271" s="11" t="s">
        <v>101</v>
      </c>
    </row>
    <row r="272" spans="1:20" s="14" customFormat="1" ht="24" hidden="1" customHeight="1">
      <c r="A272" s="15"/>
      <c r="B272" s="11" t="s">
        <v>433</v>
      </c>
      <c r="C272" s="11" t="s">
        <v>435</v>
      </c>
      <c r="D272" s="11" t="s">
        <v>62</v>
      </c>
      <c r="E272" s="9">
        <v>2.1139999999999999</v>
      </c>
      <c r="F272" s="9"/>
      <c r="G272" s="11" t="s">
        <v>72</v>
      </c>
      <c r="H272" s="11" t="s">
        <v>33</v>
      </c>
      <c r="I272" s="11"/>
      <c r="J272" s="11"/>
      <c r="K272" s="11" t="s">
        <v>96</v>
      </c>
      <c r="L272" s="12">
        <v>14798</v>
      </c>
      <c r="M272" s="12">
        <v>4439.3999999999996</v>
      </c>
      <c r="N272" s="41">
        <v>43556</v>
      </c>
      <c r="O272" s="11" t="s">
        <v>97</v>
      </c>
      <c r="P272" s="11" t="s">
        <v>98</v>
      </c>
      <c r="Q272" s="11">
        <v>13910285124</v>
      </c>
      <c r="R272" s="11" t="s">
        <v>99</v>
      </c>
      <c r="S272" s="11" t="s">
        <v>100</v>
      </c>
      <c r="T272" s="11" t="s">
        <v>101</v>
      </c>
    </row>
    <row r="273" spans="1:20" s="14" customFormat="1" ht="24" hidden="1" customHeight="1">
      <c r="A273" s="15"/>
      <c r="B273" s="11" t="s">
        <v>243</v>
      </c>
      <c r="C273" s="11" t="s">
        <v>436</v>
      </c>
      <c r="D273" s="11" t="s">
        <v>62</v>
      </c>
      <c r="E273" s="9">
        <v>5.4740000000000002</v>
      </c>
      <c r="F273" s="9"/>
      <c r="G273" s="11" t="s">
        <v>72</v>
      </c>
      <c r="H273" s="11" t="s">
        <v>33</v>
      </c>
      <c r="I273" s="11"/>
      <c r="J273" s="11"/>
      <c r="K273" s="11" t="s">
        <v>96</v>
      </c>
      <c r="L273" s="12">
        <v>38865.4</v>
      </c>
      <c r="M273" s="12">
        <v>11659.62</v>
      </c>
      <c r="N273" s="41">
        <v>43556</v>
      </c>
      <c r="O273" s="11" t="s">
        <v>97</v>
      </c>
      <c r="P273" s="11" t="s">
        <v>98</v>
      </c>
      <c r="Q273" s="11">
        <v>13910285124</v>
      </c>
      <c r="R273" s="11" t="s">
        <v>99</v>
      </c>
      <c r="S273" s="11" t="s">
        <v>100</v>
      </c>
      <c r="T273" s="11" t="s">
        <v>101</v>
      </c>
    </row>
    <row r="274" spans="1:20" s="14" customFormat="1" ht="24" hidden="1" customHeight="1">
      <c r="A274" s="15"/>
      <c r="B274" s="11" t="s">
        <v>243</v>
      </c>
      <c r="C274" s="11" t="s">
        <v>437</v>
      </c>
      <c r="D274" s="11" t="s">
        <v>62</v>
      </c>
      <c r="E274" s="9">
        <v>5.4740000000000002</v>
      </c>
      <c r="F274" s="9"/>
      <c r="G274" s="11" t="s">
        <v>72</v>
      </c>
      <c r="H274" s="11" t="s">
        <v>33</v>
      </c>
      <c r="I274" s="11"/>
      <c r="J274" s="11"/>
      <c r="K274" s="11" t="s">
        <v>96</v>
      </c>
      <c r="L274" s="12">
        <v>38865.4</v>
      </c>
      <c r="M274" s="12">
        <v>11659.62</v>
      </c>
      <c r="N274" s="41">
        <v>43556</v>
      </c>
      <c r="O274" s="11" t="s">
        <v>97</v>
      </c>
      <c r="P274" s="11" t="s">
        <v>98</v>
      </c>
      <c r="Q274" s="11">
        <v>13910285124</v>
      </c>
      <c r="R274" s="11" t="s">
        <v>99</v>
      </c>
      <c r="S274" s="11" t="s">
        <v>100</v>
      </c>
      <c r="T274" s="11" t="s">
        <v>101</v>
      </c>
    </row>
    <row r="275" spans="1:20" s="14" customFormat="1" ht="24" hidden="1" customHeight="1">
      <c r="A275" s="15"/>
      <c r="B275" s="11" t="s">
        <v>176</v>
      </c>
      <c r="C275" s="11" t="s">
        <v>438</v>
      </c>
      <c r="D275" s="11" t="s">
        <v>62</v>
      </c>
      <c r="E275" s="9">
        <v>3.4369999999999998</v>
      </c>
      <c r="F275" s="9"/>
      <c r="G275" s="11" t="s">
        <v>72</v>
      </c>
      <c r="H275" s="11" t="s">
        <v>33</v>
      </c>
      <c r="I275" s="11"/>
      <c r="J275" s="11"/>
      <c r="K275" s="11" t="s">
        <v>96</v>
      </c>
      <c r="L275" s="12">
        <v>24402.7</v>
      </c>
      <c r="M275" s="12">
        <v>7320.81</v>
      </c>
      <c r="N275" s="41">
        <v>43556</v>
      </c>
      <c r="O275" s="11" t="s">
        <v>97</v>
      </c>
      <c r="P275" s="11" t="s">
        <v>98</v>
      </c>
      <c r="Q275" s="11">
        <v>13910285124</v>
      </c>
      <c r="R275" s="11" t="s">
        <v>99</v>
      </c>
      <c r="S275" s="11" t="s">
        <v>100</v>
      </c>
      <c r="T275" s="11" t="s">
        <v>101</v>
      </c>
    </row>
    <row r="276" spans="1:20" s="14" customFormat="1" ht="24" hidden="1" customHeight="1">
      <c r="A276" s="15"/>
      <c r="B276" s="11" t="s">
        <v>439</v>
      </c>
      <c r="C276" s="11" t="s">
        <v>440</v>
      </c>
      <c r="D276" s="11" t="s">
        <v>62</v>
      </c>
      <c r="E276" s="9">
        <v>9.4510000000000005</v>
      </c>
      <c r="F276" s="9"/>
      <c r="G276" s="11" t="s">
        <v>72</v>
      </c>
      <c r="H276" s="11" t="s">
        <v>33</v>
      </c>
      <c r="I276" s="11"/>
      <c r="J276" s="11"/>
      <c r="K276" s="11" t="s">
        <v>96</v>
      </c>
      <c r="L276" s="12">
        <v>67102.100000000006</v>
      </c>
      <c r="M276" s="12">
        <v>20130.63</v>
      </c>
      <c r="N276" s="41">
        <v>43556</v>
      </c>
      <c r="O276" s="11" t="s">
        <v>97</v>
      </c>
      <c r="P276" s="11" t="s">
        <v>98</v>
      </c>
      <c r="Q276" s="11">
        <v>13910285124</v>
      </c>
      <c r="R276" s="11" t="s">
        <v>99</v>
      </c>
      <c r="S276" s="11" t="s">
        <v>100</v>
      </c>
      <c r="T276" s="11" t="s">
        <v>101</v>
      </c>
    </row>
    <row r="277" spans="1:20" s="14" customFormat="1" ht="24" hidden="1" customHeight="1">
      <c r="A277" s="15"/>
      <c r="B277" s="11" t="s">
        <v>135</v>
      </c>
      <c r="C277" s="11" t="s">
        <v>438</v>
      </c>
      <c r="D277" s="11" t="s">
        <v>62</v>
      </c>
      <c r="E277" s="9">
        <v>22.37</v>
      </c>
      <c r="F277" s="9"/>
      <c r="G277" s="11" t="s">
        <v>72</v>
      </c>
      <c r="H277" s="11" t="s">
        <v>33</v>
      </c>
      <c r="I277" s="11"/>
      <c r="J277" s="11"/>
      <c r="K277" s="11" t="s">
        <v>441</v>
      </c>
      <c r="L277" s="12">
        <v>47424.4</v>
      </c>
      <c r="M277" s="12">
        <v>14227.32</v>
      </c>
      <c r="N277" s="41">
        <v>43344</v>
      </c>
      <c r="O277" s="11" t="s">
        <v>97</v>
      </c>
      <c r="P277" s="11" t="s">
        <v>98</v>
      </c>
      <c r="Q277" s="11">
        <v>13910285124</v>
      </c>
      <c r="R277" s="11" t="s">
        <v>99</v>
      </c>
      <c r="S277" s="11" t="s">
        <v>100</v>
      </c>
      <c r="T277" s="11" t="s">
        <v>441</v>
      </c>
    </row>
    <row r="278" spans="1:20" s="14" customFormat="1" ht="24" hidden="1" customHeight="1">
      <c r="A278" s="15"/>
      <c r="B278" s="11" t="s">
        <v>176</v>
      </c>
      <c r="C278" s="11" t="s">
        <v>438</v>
      </c>
      <c r="D278" s="11" t="s">
        <v>62</v>
      </c>
      <c r="E278" s="9">
        <v>0.59599999999999997</v>
      </c>
      <c r="F278" s="9"/>
      <c r="G278" s="11" t="s">
        <v>72</v>
      </c>
      <c r="H278" s="11" t="s">
        <v>33</v>
      </c>
      <c r="I278" s="11"/>
      <c r="J278" s="11"/>
      <c r="K278" s="11" t="s">
        <v>441</v>
      </c>
      <c r="L278" s="12">
        <v>1263.52</v>
      </c>
      <c r="M278" s="12">
        <v>379.05599999999998</v>
      </c>
      <c r="N278" s="41">
        <v>43344</v>
      </c>
      <c r="O278" s="11" t="s">
        <v>97</v>
      </c>
      <c r="P278" s="11" t="s">
        <v>98</v>
      </c>
      <c r="Q278" s="11">
        <v>13910285124</v>
      </c>
      <c r="R278" s="11" t="s">
        <v>99</v>
      </c>
      <c r="S278" s="11" t="s">
        <v>100</v>
      </c>
      <c r="T278" s="11" t="s">
        <v>441</v>
      </c>
    </row>
    <row r="279" spans="1:20" s="14" customFormat="1" ht="24" hidden="1" customHeight="1">
      <c r="A279" s="15"/>
      <c r="B279" s="11" t="s">
        <v>135</v>
      </c>
      <c r="C279" s="11" t="s">
        <v>442</v>
      </c>
      <c r="D279" s="11" t="s">
        <v>62</v>
      </c>
      <c r="E279" s="9">
        <v>1</v>
      </c>
      <c r="F279" s="9"/>
      <c r="G279" s="11" t="s">
        <v>32</v>
      </c>
      <c r="H279" s="11" t="s">
        <v>33</v>
      </c>
      <c r="I279" s="11"/>
      <c r="J279" s="11"/>
      <c r="K279" s="11" t="s">
        <v>157</v>
      </c>
      <c r="L279" s="12">
        <v>112904</v>
      </c>
      <c r="M279" s="12"/>
      <c r="N279" s="11">
        <v>2021.08</v>
      </c>
      <c r="O279" s="11" t="s">
        <v>443</v>
      </c>
      <c r="P279" s="11" t="s">
        <v>444</v>
      </c>
      <c r="Q279" s="11">
        <v>13126862881</v>
      </c>
      <c r="R279" s="11" t="s">
        <v>445</v>
      </c>
      <c r="S279" s="11" t="s">
        <v>100</v>
      </c>
      <c r="T279" s="11"/>
    </row>
    <row r="280" spans="1:20" s="14" customFormat="1" ht="24" hidden="1" customHeight="1">
      <c r="A280" s="15"/>
      <c r="B280" s="11" t="s">
        <v>446</v>
      </c>
      <c r="C280" s="11" t="s">
        <v>447</v>
      </c>
      <c r="D280" s="11" t="s">
        <v>62</v>
      </c>
      <c r="E280" s="9">
        <v>39</v>
      </c>
      <c r="F280" s="9"/>
      <c r="G280" s="11" t="s">
        <v>32</v>
      </c>
      <c r="H280" s="11" t="s">
        <v>33</v>
      </c>
      <c r="I280" s="11"/>
      <c r="J280" s="11"/>
      <c r="K280" s="11" t="s">
        <v>240</v>
      </c>
      <c r="L280" s="12">
        <v>325650</v>
      </c>
      <c r="M280" s="12">
        <v>325650</v>
      </c>
      <c r="N280" s="11" t="s">
        <v>448</v>
      </c>
      <c r="O280" s="11" t="s">
        <v>36</v>
      </c>
      <c r="P280" s="11" t="s">
        <v>37</v>
      </c>
      <c r="Q280" s="11">
        <v>18631369850</v>
      </c>
      <c r="R280" s="11" t="s">
        <v>38</v>
      </c>
      <c r="S280" s="11" t="s">
        <v>39</v>
      </c>
      <c r="T280" s="11"/>
    </row>
    <row r="281" spans="1:20" s="14" customFormat="1" ht="24" hidden="1" customHeight="1">
      <c r="A281" s="15"/>
      <c r="B281" s="11" t="s">
        <v>446</v>
      </c>
      <c r="C281" s="11" t="s">
        <v>447</v>
      </c>
      <c r="D281" s="11" t="s">
        <v>62</v>
      </c>
      <c r="E281" s="9">
        <v>39</v>
      </c>
      <c r="F281" s="9"/>
      <c r="G281" s="11" t="s">
        <v>32</v>
      </c>
      <c r="H281" s="11" t="s">
        <v>33</v>
      </c>
      <c r="I281" s="11"/>
      <c r="J281" s="11"/>
      <c r="K281" s="11" t="s">
        <v>240</v>
      </c>
      <c r="L281" s="12">
        <v>325650</v>
      </c>
      <c r="M281" s="12">
        <v>325650</v>
      </c>
      <c r="N281" s="23">
        <v>44348</v>
      </c>
      <c r="O281" s="11" t="s">
        <v>36</v>
      </c>
      <c r="P281" s="11" t="s">
        <v>37</v>
      </c>
      <c r="Q281" s="11">
        <v>18631369850</v>
      </c>
      <c r="R281" s="11" t="s">
        <v>38</v>
      </c>
      <c r="S281" s="11" t="s">
        <v>39</v>
      </c>
      <c r="T281" s="11"/>
    </row>
    <row r="282" spans="1:20" s="14" customFormat="1" ht="24" hidden="1" customHeight="1">
      <c r="A282" s="15"/>
      <c r="B282" s="11" t="s">
        <v>449</v>
      </c>
      <c r="C282" s="11"/>
      <c r="D282" s="11" t="s">
        <v>79</v>
      </c>
      <c r="E282" s="9">
        <v>1</v>
      </c>
      <c r="F282" s="9"/>
      <c r="G282" s="11"/>
      <c r="H282" s="11"/>
      <c r="I282" s="11"/>
      <c r="J282" s="11"/>
      <c r="K282" s="11" t="s">
        <v>407</v>
      </c>
      <c r="L282" s="12">
        <v>186153</v>
      </c>
      <c r="M282" s="12">
        <v>186153</v>
      </c>
      <c r="N282" s="23" t="s">
        <v>450</v>
      </c>
      <c r="O282" s="11" t="s">
        <v>36</v>
      </c>
      <c r="P282" s="11" t="s">
        <v>37</v>
      </c>
      <c r="Q282" s="11">
        <v>18631369850</v>
      </c>
      <c r="R282" s="11" t="s">
        <v>38</v>
      </c>
      <c r="S282" s="11" t="s">
        <v>39</v>
      </c>
      <c r="T282" s="11"/>
    </row>
    <row r="283" spans="1:20" s="14" customFormat="1" ht="24" hidden="1" customHeight="1">
      <c r="A283" s="15"/>
      <c r="B283" s="11" t="s">
        <v>451</v>
      </c>
      <c r="C283" s="11"/>
      <c r="D283" s="11" t="s">
        <v>62</v>
      </c>
      <c r="E283" s="9">
        <v>59.08</v>
      </c>
      <c r="F283" s="9"/>
      <c r="G283" s="11" t="s">
        <v>32</v>
      </c>
      <c r="H283" s="11" t="s">
        <v>33</v>
      </c>
      <c r="I283" s="11"/>
      <c r="J283" s="11"/>
      <c r="K283" s="11" t="s">
        <v>63</v>
      </c>
      <c r="L283" s="12">
        <v>460824</v>
      </c>
      <c r="M283" s="12">
        <v>460824</v>
      </c>
      <c r="N283" s="23" t="s">
        <v>452</v>
      </c>
      <c r="O283" s="11" t="s">
        <v>36</v>
      </c>
      <c r="P283" s="11" t="s">
        <v>37</v>
      </c>
      <c r="Q283" s="11">
        <v>18631369850</v>
      </c>
      <c r="R283" s="11" t="s">
        <v>38</v>
      </c>
      <c r="S283" s="11" t="s">
        <v>39</v>
      </c>
      <c r="T283" s="11"/>
    </row>
    <row r="284" spans="1:20" s="14" customFormat="1" ht="24" hidden="1" customHeight="1">
      <c r="A284" s="15"/>
      <c r="B284" s="11" t="s">
        <v>29</v>
      </c>
      <c r="C284" s="11" t="s">
        <v>453</v>
      </c>
      <c r="D284" s="11" t="s">
        <v>454</v>
      </c>
      <c r="E284" s="9"/>
      <c r="F284" s="9">
        <v>33.1</v>
      </c>
      <c r="G284" s="11" t="s">
        <v>32</v>
      </c>
      <c r="H284" s="11" t="s">
        <v>33</v>
      </c>
      <c r="I284" s="11"/>
      <c r="J284" s="11"/>
      <c r="K284" s="11" t="s">
        <v>455</v>
      </c>
      <c r="L284" s="12">
        <v>258062.83</v>
      </c>
      <c r="M284" s="12">
        <v>241307.2</v>
      </c>
      <c r="N284" s="11" t="s">
        <v>456</v>
      </c>
      <c r="O284" s="11" t="s">
        <v>65</v>
      </c>
      <c r="P284" s="11" t="s">
        <v>66</v>
      </c>
      <c r="Q284" s="11">
        <v>13603213171</v>
      </c>
      <c r="R284" s="11" t="s">
        <v>67</v>
      </c>
      <c r="S284" s="11" t="s">
        <v>68</v>
      </c>
      <c r="T284" s="11"/>
    </row>
    <row r="285" spans="1:20" s="14" customFormat="1" ht="24" hidden="1" customHeight="1">
      <c r="A285" s="15"/>
      <c r="B285" s="11" t="s">
        <v>29</v>
      </c>
      <c r="C285" s="11" t="s">
        <v>453</v>
      </c>
      <c r="D285" s="11" t="s">
        <v>454</v>
      </c>
      <c r="E285" s="9"/>
      <c r="F285" s="9">
        <v>11.4</v>
      </c>
      <c r="G285" s="11" t="s">
        <v>32</v>
      </c>
      <c r="H285" s="11" t="s">
        <v>33</v>
      </c>
      <c r="I285" s="11"/>
      <c r="J285" s="11"/>
      <c r="K285" s="11" t="s">
        <v>455</v>
      </c>
      <c r="L285" s="12">
        <v>88879.65</v>
      </c>
      <c r="M285" s="12">
        <v>83108.83</v>
      </c>
      <c r="N285" s="11" t="s">
        <v>457</v>
      </c>
      <c r="O285" s="11" t="s">
        <v>65</v>
      </c>
      <c r="P285" s="11" t="s">
        <v>66</v>
      </c>
      <c r="Q285" s="11">
        <v>13603213171</v>
      </c>
      <c r="R285" s="11" t="s">
        <v>67</v>
      </c>
      <c r="S285" s="11" t="s">
        <v>68</v>
      </c>
      <c r="T285" s="11"/>
    </row>
    <row r="286" spans="1:20" s="14" customFormat="1" ht="24" hidden="1" customHeight="1">
      <c r="A286" s="15"/>
      <c r="B286" s="11" t="s">
        <v>29</v>
      </c>
      <c r="C286" s="11" t="s">
        <v>164</v>
      </c>
      <c r="D286" s="11" t="s">
        <v>454</v>
      </c>
      <c r="E286" s="9"/>
      <c r="F286" s="9">
        <v>31.54</v>
      </c>
      <c r="G286" s="11" t="s">
        <v>32</v>
      </c>
      <c r="H286" s="11" t="s">
        <v>33</v>
      </c>
      <c r="I286" s="11"/>
      <c r="J286" s="11"/>
      <c r="K286" s="11" t="s">
        <v>455</v>
      </c>
      <c r="L286" s="12">
        <v>245900.35</v>
      </c>
      <c r="M286" s="12">
        <v>229934.41</v>
      </c>
      <c r="N286" s="11" t="s">
        <v>458</v>
      </c>
      <c r="O286" s="11" t="s">
        <v>65</v>
      </c>
      <c r="P286" s="11" t="s">
        <v>66</v>
      </c>
      <c r="Q286" s="11">
        <v>13603213171</v>
      </c>
      <c r="R286" s="11" t="s">
        <v>67</v>
      </c>
      <c r="S286" s="11" t="s">
        <v>68</v>
      </c>
      <c r="T286" s="11"/>
    </row>
    <row r="287" spans="1:20" s="14" customFormat="1" ht="24" hidden="1" customHeight="1">
      <c r="A287" s="15"/>
      <c r="B287" s="11" t="s">
        <v>29</v>
      </c>
      <c r="C287" s="11" t="s">
        <v>164</v>
      </c>
      <c r="D287" s="11" t="s">
        <v>454</v>
      </c>
      <c r="E287" s="9"/>
      <c r="F287" s="9">
        <v>29.21</v>
      </c>
      <c r="G287" s="11" t="s">
        <v>32</v>
      </c>
      <c r="H287" s="11" t="s">
        <v>33</v>
      </c>
      <c r="I287" s="11"/>
      <c r="J287" s="11"/>
      <c r="K287" s="11" t="s">
        <v>455</v>
      </c>
      <c r="L287" s="12">
        <v>227734.6</v>
      </c>
      <c r="M287" s="12">
        <v>212948.13</v>
      </c>
      <c r="N287" s="11" t="s">
        <v>459</v>
      </c>
      <c r="O287" s="11" t="s">
        <v>65</v>
      </c>
      <c r="P287" s="11" t="s">
        <v>66</v>
      </c>
      <c r="Q287" s="11">
        <v>13603213171</v>
      </c>
      <c r="R287" s="11" t="s">
        <v>67</v>
      </c>
      <c r="S287" s="11" t="s">
        <v>68</v>
      </c>
      <c r="T287" s="11"/>
    </row>
    <row r="288" spans="1:20" s="14" customFormat="1" ht="24" hidden="1" customHeight="1">
      <c r="A288" s="15"/>
      <c r="B288" s="11" t="s">
        <v>29</v>
      </c>
      <c r="C288" s="11" t="s">
        <v>164</v>
      </c>
      <c r="D288" s="11" t="s">
        <v>62</v>
      </c>
      <c r="E288" s="9"/>
      <c r="F288" s="9">
        <v>29.94</v>
      </c>
      <c r="G288" s="11" t="s">
        <v>32</v>
      </c>
      <c r="H288" s="11" t="s">
        <v>33</v>
      </c>
      <c r="I288" s="11"/>
      <c r="J288" s="11"/>
      <c r="K288" s="11" t="s">
        <v>455</v>
      </c>
      <c r="L288" s="12">
        <v>233426.02</v>
      </c>
      <c r="M288" s="12">
        <v>218269.69</v>
      </c>
      <c r="N288" s="11" t="s">
        <v>460</v>
      </c>
      <c r="O288" s="11" t="s">
        <v>65</v>
      </c>
      <c r="P288" s="11" t="s">
        <v>66</v>
      </c>
      <c r="Q288" s="11">
        <v>13603213171</v>
      </c>
      <c r="R288" s="11" t="s">
        <v>67</v>
      </c>
      <c r="S288" s="11" t="s">
        <v>68</v>
      </c>
      <c r="T288" s="11"/>
    </row>
    <row r="289" spans="1:20" s="14" customFormat="1" ht="24" hidden="1" customHeight="1">
      <c r="A289" s="15"/>
      <c r="B289" s="11" t="s">
        <v>29</v>
      </c>
      <c r="C289" s="11" t="s">
        <v>164</v>
      </c>
      <c r="D289" s="11" t="s">
        <v>62</v>
      </c>
      <c r="E289" s="9"/>
      <c r="F289" s="9">
        <v>8.06</v>
      </c>
      <c r="G289" s="11" t="s">
        <v>32</v>
      </c>
      <c r="H289" s="11" t="s">
        <v>33</v>
      </c>
      <c r="I289" s="11"/>
      <c r="J289" s="11"/>
      <c r="K289" s="11" t="s">
        <v>455</v>
      </c>
      <c r="L289" s="12">
        <v>62839.47</v>
      </c>
      <c r="M289" s="12">
        <v>58759.4</v>
      </c>
      <c r="N289" s="11" t="s">
        <v>461</v>
      </c>
      <c r="O289" s="11" t="s">
        <v>65</v>
      </c>
      <c r="P289" s="11" t="s">
        <v>66</v>
      </c>
      <c r="Q289" s="11">
        <v>13603213171</v>
      </c>
      <c r="R289" s="11" t="s">
        <v>67</v>
      </c>
      <c r="S289" s="11" t="s">
        <v>68</v>
      </c>
      <c r="T289" s="11"/>
    </row>
    <row r="290" spans="1:20" s="14" customFormat="1" ht="24" hidden="1" customHeight="1">
      <c r="A290" s="15"/>
      <c r="B290" s="11" t="s">
        <v>29</v>
      </c>
      <c r="C290" s="11" t="s">
        <v>164</v>
      </c>
      <c r="D290" s="11" t="s">
        <v>62</v>
      </c>
      <c r="E290" s="9"/>
      <c r="F290" s="9">
        <v>29.84</v>
      </c>
      <c r="G290" s="11" t="s">
        <v>32</v>
      </c>
      <c r="H290" s="11" t="s">
        <v>33</v>
      </c>
      <c r="I290" s="11"/>
      <c r="J290" s="11"/>
      <c r="K290" s="11" t="s">
        <v>455</v>
      </c>
      <c r="L290" s="12">
        <v>232646.37</v>
      </c>
      <c r="M290" s="12">
        <v>217540.99</v>
      </c>
      <c r="N290" s="11" t="s">
        <v>462</v>
      </c>
      <c r="O290" s="11" t="s">
        <v>65</v>
      </c>
      <c r="P290" s="11" t="s">
        <v>66</v>
      </c>
      <c r="Q290" s="11">
        <v>13603213171</v>
      </c>
      <c r="R290" s="11" t="s">
        <v>67</v>
      </c>
      <c r="S290" s="11" t="s">
        <v>68</v>
      </c>
      <c r="T290" s="11"/>
    </row>
    <row r="291" spans="1:20" s="14" customFormat="1" ht="24" hidden="1" customHeight="1">
      <c r="A291" s="15"/>
      <c r="B291" s="11" t="s">
        <v>463</v>
      </c>
      <c r="C291" s="11">
        <v>1837</v>
      </c>
      <c r="D291" s="11" t="s">
        <v>464</v>
      </c>
      <c r="E291" s="9"/>
      <c r="F291" s="9">
        <v>4</v>
      </c>
      <c r="G291" s="11" t="s">
        <v>32</v>
      </c>
      <c r="H291" s="11" t="s">
        <v>33</v>
      </c>
      <c r="I291" s="11"/>
      <c r="J291" s="11"/>
      <c r="K291" s="11" t="s">
        <v>455</v>
      </c>
      <c r="L291" s="12">
        <v>2035.4</v>
      </c>
      <c r="M291" s="12">
        <v>0</v>
      </c>
      <c r="N291" s="11" t="s">
        <v>462</v>
      </c>
      <c r="O291" s="11" t="s">
        <v>65</v>
      </c>
      <c r="P291" s="11" t="s">
        <v>66</v>
      </c>
      <c r="Q291" s="11">
        <v>13603213171</v>
      </c>
      <c r="R291" s="11" t="s">
        <v>67</v>
      </c>
      <c r="S291" s="11" t="s">
        <v>68</v>
      </c>
      <c r="T291" s="11"/>
    </row>
    <row r="292" spans="1:20" s="14" customFormat="1" ht="24" hidden="1" customHeight="1">
      <c r="A292" s="15"/>
      <c r="B292" s="11" t="s">
        <v>463</v>
      </c>
      <c r="C292" s="11">
        <v>1227</v>
      </c>
      <c r="D292" s="11" t="s">
        <v>464</v>
      </c>
      <c r="E292" s="9"/>
      <c r="F292" s="9">
        <v>24</v>
      </c>
      <c r="G292" s="11" t="s">
        <v>32</v>
      </c>
      <c r="H292" s="11" t="s">
        <v>33</v>
      </c>
      <c r="I292" s="11"/>
      <c r="J292" s="11"/>
      <c r="K292" s="11" t="s">
        <v>455</v>
      </c>
      <c r="L292" s="12">
        <v>9132.74</v>
      </c>
      <c r="M292" s="12">
        <v>0</v>
      </c>
      <c r="N292" s="11" t="s">
        <v>462</v>
      </c>
      <c r="O292" s="11" t="s">
        <v>65</v>
      </c>
      <c r="P292" s="11" t="s">
        <v>66</v>
      </c>
      <c r="Q292" s="11">
        <v>13603213171</v>
      </c>
      <c r="R292" s="11" t="s">
        <v>67</v>
      </c>
      <c r="S292" s="11" t="s">
        <v>68</v>
      </c>
      <c r="T292" s="11"/>
    </row>
    <row r="293" spans="1:20" s="14" customFormat="1" ht="24" hidden="1" customHeight="1">
      <c r="A293" s="15"/>
      <c r="B293" s="11" t="s">
        <v>463</v>
      </c>
      <c r="C293" s="11">
        <v>1617</v>
      </c>
      <c r="D293" s="11" t="s">
        <v>464</v>
      </c>
      <c r="E293" s="9"/>
      <c r="F293" s="9">
        <v>12</v>
      </c>
      <c r="G293" s="11" t="s">
        <v>32</v>
      </c>
      <c r="H293" s="11" t="s">
        <v>33</v>
      </c>
      <c r="I293" s="11"/>
      <c r="J293" s="11"/>
      <c r="K293" s="11" t="s">
        <v>455</v>
      </c>
      <c r="L293" s="12">
        <v>5946.9</v>
      </c>
      <c r="M293" s="12">
        <v>0</v>
      </c>
      <c r="N293" s="11" t="s">
        <v>462</v>
      </c>
      <c r="O293" s="11" t="s">
        <v>65</v>
      </c>
      <c r="P293" s="11" t="s">
        <v>66</v>
      </c>
      <c r="Q293" s="11">
        <v>13603213171</v>
      </c>
      <c r="R293" s="11" t="s">
        <v>67</v>
      </c>
      <c r="S293" s="11" t="s">
        <v>68</v>
      </c>
      <c r="T293" s="11"/>
    </row>
    <row r="294" spans="1:20" s="14" customFormat="1" ht="24" hidden="1" customHeight="1">
      <c r="A294" s="15"/>
      <c r="B294" s="11" t="s">
        <v>135</v>
      </c>
      <c r="C294" s="11" t="s">
        <v>465</v>
      </c>
      <c r="D294" s="11" t="s">
        <v>62</v>
      </c>
      <c r="E294" s="9"/>
      <c r="F294" s="9">
        <v>29.54</v>
      </c>
      <c r="G294" s="11" t="s">
        <v>32</v>
      </c>
      <c r="H294" s="11" t="s">
        <v>33</v>
      </c>
      <c r="I294" s="11"/>
      <c r="J294" s="11"/>
      <c r="K294" s="11" t="s">
        <v>63</v>
      </c>
      <c r="L294" s="12">
        <v>219589.38</v>
      </c>
      <c r="M294" s="12">
        <v>205693.76</v>
      </c>
      <c r="N294" s="11" t="s">
        <v>466</v>
      </c>
      <c r="O294" s="11" t="s">
        <v>65</v>
      </c>
      <c r="P294" s="11" t="s">
        <v>66</v>
      </c>
      <c r="Q294" s="11">
        <v>13603213171</v>
      </c>
      <c r="R294" s="11" t="s">
        <v>67</v>
      </c>
      <c r="S294" s="11" t="s">
        <v>68</v>
      </c>
      <c r="T294" s="11"/>
    </row>
    <row r="295" spans="1:20" s="14" customFormat="1" ht="24" hidden="1" customHeight="1">
      <c r="A295" s="15"/>
      <c r="B295" s="11" t="s">
        <v>135</v>
      </c>
      <c r="C295" s="11" t="s">
        <v>467</v>
      </c>
      <c r="D295" s="11" t="s">
        <v>62</v>
      </c>
      <c r="E295" s="9"/>
      <c r="F295" s="9">
        <v>8.14</v>
      </c>
      <c r="G295" s="11" t="s">
        <v>32</v>
      </c>
      <c r="H295" s="11" t="s">
        <v>33</v>
      </c>
      <c r="I295" s="11"/>
      <c r="J295" s="11"/>
      <c r="K295" s="11" t="s">
        <v>63</v>
      </c>
      <c r="L295" s="12">
        <v>60509.73</v>
      </c>
      <c r="M295" s="12">
        <v>56680.67</v>
      </c>
      <c r="N295" s="11" t="s">
        <v>64</v>
      </c>
      <c r="O295" s="11" t="s">
        <v>65</v>
      </c>
      <c r="P295" s="11" t="s">
        <v>66</v>
      </c>
      <c r="Q295" s="11">
        <v>13603213171</v>
      </c>
      <c r="R295" s="11" t="s">
        <v>67</v>
      </c>
      <c r="S295" s="11" t="s">
        <v>68</v>
      </c>
      <c r="T295" s="11"/>
    </row>
    <row r="296" spans="1:20" s="14" customFormat="1" ht="24" hidden="1" customHeight="1">
      <c r="A296" s="15"/>
      <c r="B296" s="11" t="s">
        <v>135</v>
      </c>
      <c r="C296" s="11" t="s">
        <v>468</v>
      </c>
      <c r="D296" s="11" t="s">
        <v>62</v>
      </c>
      <c r="E296" s="9"/>
      <c r="F296" s="9">
        <v>30.89</v>
      </c>
      <c r="G296" s="11" t="s">
        <v>32</v>
      </c>
      <c r="H296" s="11" t="s">
        <v>33</v>
      </c>
      <c r="I296" s="11"/>
      <c r="J296" s="11"/>
      <c r="K296" s="11" t="s">
        <v>63</v>
      </c>
      <c r="L296" s="12">
        <v>229624.78</v>
      </c>
      <c r="M296" s="12">
        <v>215094.12</v>
      </c>
      <c r="N296" s="11" t="s">
        <v>469</v>
      </c>
      <c r="O296" s="11" t="s">
        <v>65</v>
      </c>
      <c r="P296" s="11" t="s">
        <v>66</v>
      </c>
      <c r="Q296" s="11">
        <v>13603213171</v>
      </c>
      <c r="R296" s="11" t="s">
        <v>67</v>
      </c>
      <c r="S296" s="11" t="s">
        <v>68</v>
      </c>
      <c r="T296" s="11"/>
    </row>
    <row r="297" spans="1:20" s="14" customFormat="1" ht="24" hidden="1" customHeight="1">
      <c r="A297" s="15"/>
      <c r="B297" s="11" t="s">
        <v>135</v>
      </c>
      <c r="C297" s="11" t="s">
        <v>470</v>
      </c>
      <c r="D297" s="11" t="s">
        <v>62</v>
      </c>
      <c r="E297" s="9"/>
      <c r="F297" s="9">
        <v>28.8</v>
      </c>
      <c r="G297" s="11" t="s">
        <v>32</v>
      </c>
      <c r="H297" s="11" t="s">
        <v>33</v>
      </c>
      <c r="I297" s="11"/>
      <c r="J297" s="11"/>
      <c r="K297" s="11" t="s">
        <v>63</v>
      </c>
      <c r="L297" s="12">
        <v>214088.5</v>
      </c>
      <c r="M297" s="12">
        <v>200540.98</v>
      </c>
      <c r="N297" s="11" t="s">
        <v>471</v>
      </c>
      <c r="O297" s="11" t="s">
        <v>65</v>
      </c>
      <c r="P297" s="11" t="s">
        <v>66</v>
      </c>
      <c r="Q297" s="11">
        <v>13603213171</v>
      </c>
      <c r="R297" s="11" t="s">
        <v>67</v>
      </c>
      <c r="S297" s="11" t="s">
        <v>68</v>
      </c>
      <c r="T297" s="11"/>
    </row>
    <row r="298" spans="1:20" s="14" customFormat="1" ht="24" hidden="1" customHeight="1">
      <c r="A298" s="15"/>
      <c r="B298" s="11" t="s">
        <v>135</v>
      </c>
      <c r="C298" s="11" t="s">
        <v>472</v>
      </c>
      <c r="D298" s="11" t="s">
        <v>62</v>
      </c>
      <c r="E298" s="9"/>
      <c r="F298" s="9">
        <v>27.12</v>
      </c>
      <c r="G298" s="11" t="s">
        <v>32</v>
      </c>
      <c r="H298" s="11" t="s">
        <v>33</v>
      </c>
      <c r="I298" s="11"/>
      <c r="J298" s="11"/>
      <c r="K298" s="11" t="s">
        <v>63</v>
      </c>
      <c r="L298" s="12">
        <v>201600</v>
      </c>
      <c r="M298" s="12">
        <v>188842.75</v>
      </c>
      <c r="N298" s="11" t="s">
        <v>473</v>
      </c>
      <c r="O298" s="11" t="s">
        <v>65</v>
      </c>
      <c r="P298" s="11" t="s">
        <v>66</v>
      </c>
      <c r="Q298" s="11">
        <v>13603213171</v>
      </c>
      <c r="R298" s="11" t="s">
        <v>67</v>
      </c>
      <c r="S298" s="11" t="s">
        <v>68</v>
      </c>
      <c r="T298" s="11"/>
    </row>
    <row r="299" spans="1:20" s="14" customFormat="1" ht="24" hidden="1" customHeight="1">
      <c r="A299" s="15"/>
      <c r="B299" s="11" t="s">
        <v>135</v>
      </c>
      <c r="C299" s="11" t="s">
        <v>474</v>
      </c>
      <c r="D299" s="11" t="s">
        <v>62</v>
      </c>
      <c r="E299" s="9"/>
      <c r="F299" s="9">
        <v>30.24</v>
      </c>
      <c r="G299" s="11" t="s">
        <v>32</v>
      </c>
      <c r="H299" s="11" t="s">
        <v>33</v>
      </c>
      <c r="I299" s="11"/>
      <c r="J299" s="11"/>
      <c r="K299" s="11" t="s">
        <v>63</v>
      </c>
      <c r="L299" s="12">
        <v>224792.92</v>
      </c>
      <c r="M299" s="12">
        <v>210568.02</v>
      </c>
      <c r="N299" s="11" t="s">
        <v>475</v>
      </c>
      <c r="O299" s="11" t="s">
        <v>65</v>
      </c>
      <c r="P299" s="11" t="s">
        <v>66</v>
      </c>
      <c r="Q299" s="11">
        <v>13603213171</v>
      </c>
      <c r="R299" s="11" t="s">
        <v>67</v>
      </c>
      <c r="S299" s="11" t="s">
        <v>68</v>
      </c>
      <c r="T299" s="11"/>
    </row>
    <row r="300" spans="1:20" s="14" customFormat="1" ht="24" hidden="1" customHeight="1">
      <c r="A300" s="15"/>
      <c r="B300" s="11" t="s">
        <v>135</v>
      </c>
      <c r="C300" s="11" t="s">
        <v>476</v>
      </c>
      <c r="D300" s="11" t="s">
        <v>62</v>
      </c>
      <c r="E300" s="9"/>
      <c r="F300" s="9">
        <v>31.13</v>
      </c>
      <c r="G300" s="11" t="s">
        <v>32</v>
      </c>
      <c r="H300" s="11" t="s">
        <v>33</v>
      </c>
      <c r="I300" s="11"/>
      <c r="J300" s="11"/>
      <c r="K300" s="11" t="s">
        <v>63</v>
      </c>
      <c r="L300" s="12">
        <v>231408.85</v>
      </c>
      <c r="M300" s="12">
        <v>216765.3</v>
      </c>
      <c r="N300" s="11" t="s">
        <v>477</v>
      </c>
      <c r="O300" s="11" t="s">
        <v>65</v>
      </c>
      <c r="P300" s="11" t="s">
        <v>66</v>
      </c>
      <c r="Q300" s="11">
        <v>13603213171</v>
      </c>
      <c r="R300" s="11" t="s">
        <v>67</v>
      </c>
      <c r="S300" s="11" t="s">
        <v>68</v>
      </c>
      <c r="T300" s="11"/>
    </row>
    <row r="301" spans="1:20" s="14" customFormat="1" ht="24" hidden="1" customHeight="1">
      <c r="A301" s="15"/>
      <c r="B301" s="11" t="s">
        <v>135</v>
      </c>
      <c r="C301" s="11" t="s">
        <v>478</v>
      </c>
      <c r="D301" s="11" t="s">
        <v>62</v>
      </c>
      <c r="E301" s="9"/>
      <c r="F301" s="9">
        <v>30.15</v>
      </c>
      <c r="G301" s="11" t="s">
        <v>32</v>
      </c>
      <c r="H301" s="11" t="s">
        <v>33</v>
      </c>
      <c r="I301" s="11"/>
      <c r="J301" s="11"/>
      <c r="K301" s="11" t="s">
        <v>63</v>
      </c>
      <c r="L301" s="12">
        <v>224123.89</v>
      </c>
      <c r="M301" s="12">
        <v>209941.33</v>
      </c>
      <c r="N301" s="11" t="s">
        <v>479</v>
      </c>
      <c r="O301" s="11" t="s">
        <v>65</v>
      </c>
      <c r="P301" s="11" t="s">
        <v>66</v>
      </c>
      <c r="Q301" s="11">
        <v>13603213171</v>
      </c>
      <c r="R301" s="11" t="s">
        <v>67</v>
      </c>
      <c r="S301" s="11" t="s">
        <v>68</v>
      </c>
      <c r="T301" s="11"/>
    </row>
    <row r="302" spans="1:20" s="14" customFormat="1" ht="24" hidden="1" customHeight="1">
      <c r="A302" s="15"/>
      <c r="B302" s="11" t="s">
        <v>135</v>
      </c>
      <c r="C302" s="11" t="s">
        <v>480</v>
      </c>
      <c r="D302" s="11" t="s">
        <v>62</v>
      </c>
      <c r="E302" s="9"/>
      <c r="F302" s="9">
        <v>29.9</v>
      </c>
      <c r="G302" s="11" t="s">
        <v>32</v>
      </c>
      <c r="H302" s="11" t="s">
        <v>33</v>
      </c>
      <c r="I302" s="11"/>
      <c r="J302" s="11"/>
      <c r="K302" s="11" t="s">
        <v>63</v>
      </c>
      <c r="L302" s="12">
        <v>222265.49</v>
      </c>
      <c r="M302" s="12">
        <v>208200.53</v>
      </c>
      <c r="N302" s="11" t="s">
        <v>481</v>
      </c>
      <c r="O302" s="11" t="s">
        <v>65</v>
      </c>
      <c r="P302" s="11" t="s">
        <v>66</v>
      </c>
      <c r="Q302" s="11">
        <v>13603213171</v>
      </c>
      <c r="R302" s="11" t="s">
        <v>67</v>
      </c>
      <c r="S302" s="11" t="s">
        <v>68</v>
      </c>
      <c r="T302" s="11"/>
    </row>
    <row r="303" spans="1:20" s="14" customFormat="1" ht="24" hidden="1" customHeight="1">
      <c r="A303" s="15"/>
      <c r="B303" s="11" t="s">
        <v>135</v>
      </c>
      <c r="C303" s="11" t="s">
        <v>482</v>
      </c>
      <c r="D303" s="11" t="s">
        <v>62</v>
      </c>
      <c r="E303" s="9"/>
      <c r="F303" s="9">
        <v>25.69</v>
      </c>
      <c r="G303" s="11" t="s">
        <v>32</v>
      </c>
      <c r="H303" s="11" t="s">
        <v>33</v>
      </c>
      <c r="I303" s="11"/>
      <c r="J303" s="11"/>
      <c r="K303" s="11" t="s">
        <v>63</v>
      </c>
      <c r="L303" s="12">
        <v>190969.91</v>
      </c>
      <c r="M303" s="12">
        <v>178885.33</v>
      </c>
      <c r="N303" s="11" t="s">
        <v>483</v>
      </c>
      <c r="O303" s="11" t="s">
        <v>65</v>
      </c>
      <c r="P303" s="11" t="s">
        <v>66</v>
      </c>
      <c r="Q303" s="11">
        <v>13603213171</v>
      </c>
      <c r="R303" s="11" t="s">
        <v>67</v>
      </c>
      <c r="S303" s="11" t="s">
        <v>68</v>
      </c>
      <c r="T303" s="11"/>
    </row>
    <row r="304" spans="1:20" s="14" customFormat="1" ht="24" hidden="1" customHeight="1">
      <c r="A304" s="15"/>
      <c r="B304" s="11" t="s">
        <v>484</v>
      </c>
      <c r="C304" s="11" t="s">
        <v>485</v>
      </c>
      <c r="D304" s="11" t="s">
        <v>62</v>
      </c>
      <c r="E304" s="9"/>
      <c r="F304" s="9">
        <v>24.72</v>
      </c>
      <c r="G304" s="11" t="s">
        <v>32</v>
      </c>
      <c r="H304" s="11" t="s">
        <v>33</v>
      </c>
      <c r="I304" s="11"/>
      <c r="J304" s="11"/>
      <c r="K304" s="11" t="s">
        <v>63</v>
      </c>
      <c r="L304" s="12">
        <v>182665.49</v>
      </c>
      <c r="M304" s="12">
        <v>171106.42</v>
      </c>
      <c r="N304" s="11" t="s">
        <v>70</v>
      </c>
      <c r="O304" s="11" t="s">
        <v>65</v>
      </c>
      <c r="P304" s="11" t="s">
        <v>66</v>
      </c>
      <c r="Q304" s="11">
        <v>13603213171</v>
      </c>
      <c r="R304" s="11" t="s">
        <v>67</v>
      </c>
      <c r="S304" s="11" t="s">
        <v>68</v>
      </c>
      <c r="T304" s="11"/>
    </row>
    <row r="305" spans="1:20" s="14" customFormat="1" ht="24" hidden="1" customHeight="1">
      <c r="A305" s="15"/>
      <c r="B305" s="11" t="s">
        <v>135</v>
      </c>
      <c r="C305" s="11" t="s">
        <v>363</v>
      </c>
      <c r="D305" s="11" t="s">
        <v>62</v>
      </c>
      <c r="E305" s="9"/>
      <c r="F305" s="9">
        <v>8.0399999999999991</v>
      </c>
      <c r="G305" s="11" t="s">
        <v>32</v>
      </c>
      <c r="H305" s="11" t="s">
        <v>33</v>
      </c>
      <c r="I305" s="11"/>
      <c r="J305" s="11"/>
      <c r="K305" s="11" t="s">
        <v>63</v>
      </c>
      <c r="L305" s="12">
        <v>59766.37</v>
      </c>
      <c r="M305" s="12">
        <v>55984.35</v>
      </c>
      <c r="N305" s="11" t="s">
        <v>486</v>
      </c>
      <c r="O305" s="11" t="s">
        <v>65</v>
      </c>
      <c r="P305" s="11" t="s">
        <v>66</v>
      </c>
      <c r="Q305" s="11">
        <v>13603213171</v>
      </c>
      <c r="R305" s="11" t="s">
        <v>67</v>
      </c>
      <c r="S305" s="11" t="s">
        <v>68</v>
      </c>
      <c r="T305" s="11"/>
    </row>
    <row r="306" spans="1:20" s="14" customFormat="1" ht="24" hidden="1" customHeight="1">
      <c r="A306" s="15"/>
      <c r="B306" s="11" t="s">
        <v>484</v>
      </c>
      <c r="C306" s="11" t="s">
        <v>485</v>
      </c>
      <c r="D306" s="11" t="s">
        <v>62</v>
      </c>
      <c r="E306" s="9"/>
      <c r="F306" s="9">
        <v>1.56</v>
      </c>
      <c r="G306" s="11" t="s">
        <v>32</v>
      </c>
      <c r="H306" s="11" t="s">
        <v>33</v>
      </c>
      <c r="I306" s="11"/>
      <c r="J306" s="11"/>
      <c r="K306" s="11" t="s">
        <v>63</v>
      </c>
      <c r="L306" s="12">
        <v>11527.43</v>
      </c>
      <c r="M306" s="12">
        <v>10797.97</v>
      </c>
      <c r="N306" s="11" t="s">
        <v>486</v>
      </c>
      <c r="O306" s="11" t="s">
        <v>65</v>
      </c>
      <c r="P306" s="11" t="s">
        <v>66</v>
      </c>
      <c r="Q306" s="11">
        <v>13603213171</v>
      </c>
      <c r="R306" s="11" t="s">
        <v>67</v>
      </c>
      <c r="S306" s="11" t="s">
        <v>68</v>
      </c>
      <c r="T306" s="11"/>
    </row>
    <row r="307" spans="1:20" s="14" customFormat="1" ht="24" hidden="1" customHeight="1">
      <c r="A307" s="15"/>
      <c r="B307" s="11" t="s">
        <v>487</v>
      </c>
      <c r="C307" s="11" t="s">
        <v>488</v>
      </c>
      <c r="D307" s="11" t="s">
        <v>62</v>
      </c>
      <c r="E307" s="9"/>
      <c r="F307" s="9">
        <v>20.52</v>
      </c>
      <c r="G307" s="11" t="s">
        <v>32</v>
      </c>
      <c r="H307" s="11" t="s">
        <v>33</v>
      </c>
      <c r="I307" s="11"/>
      <c r="J307" s="11"/>
      <c r="K307" s="11" t="s">
        <v>63</v>
      </c>
      <c r="L307" s="12">
        <v>153082.82999999999</v>
      </c>
      <c r="M307" s="12">
        <v>143395.75</v>
      </c>
      <c r="N307" s="11" t="s">
        <v>486</v>
      </c>
      <c r="O307" s="11" t="s">
        <v>65</v>
      </c>
      <c r="P307" s="11" t="s">
        <v>66</v>
      </c>
      <c r="Q307" s="11">
        <v>13603213171</v>
      </c>
      <c r="R307" s="11" t="s">
        <v>67</v>
      </c>
      <c r="S307" s="11" t="s">
        <v>68</v>
      </c>
      <c r="T307" s="11"/>
    </row>
    <row r="308" spans="1:20" s="14" customFormat="1" ht="24" hidden="1" customHeight="1">
      <c r="A308" s="15"/>
      <c r="B308" s="11" t="s">
        <v>487</v>
      </c>
      <c r="C308" s="11" t="s">
        <v>489</v>
      </c>
      <c r="D308" s="11" t="s">
        <v>62</v>
      </c>
      <c r="E308" s="9"/>
      <c r="F308" s="9">
        <v>30.18</v>
      </c>
      <c r="G308" s="11" t="s">
        <v>32</v>
      </c>
      <c r="H308" s="11" t="s">
        <v>33</v>
      </c>
      <c r="I308" s="11"/>
      <c r="J308" s="11"/>
      <c r="K308" s="11" t="s">
        <v>63</v>
      </c>
      <c r="L308" s="12">
        <v>225148.14</v>
      </c>
      <c r="M308" s="12">
        <v>210900.77</v>
      </c>
      <c r="N308" s="11" t="s">
        <v>486</v>
      </c>
      <c r="O308" s="11" t="s">
        <v>65</v>
      </c>
      <c r="P308" s="11" t="s">
        <v>66</v>
      </c>
      <c r="Q308" s="11">
        <v>13603213171</v>
      </c>
      <c r="R308" s="11" t="s">
        <v>67</v>
      </c>
      <c r="S308" s="11" t="s">
        <v>68</v>
      </c>
      <c r="T308" s="11"/>
    </row>
    <row r="309" spans="1:20" s="14" customFormat="1" ht="24" hidden="1" customHeight="1">
      <c r="A309" s="15"/>
      <c r="B309" s="11" t="s">
        <v>487</v>
      </c>
      <c r="C309" s="11" t="s">
        <v>490</v>
      </c>
      <c r="D309" s="11" t="s">
        <v>62</v>
      </c>
      <c r="E309" s="9"/>
      <c r="F309" s="9">
        <v>8.6999999999999993</v>
      </c>
      <c r="G309" s="11" t="s">
        <v>32</v>
      </c>
      <c r="H309" s="11" t="s">
        <v>33</v>
      </c>
      <c r="I309" s="11"/>
      <c r="J309" s="11"/>
      <c r="K309" s="11" t="s">
        <v>63</v>
      </c>
      <c r="L309" s="12">
        <v>64903.54</v>
      </c>
      <c r="M309" s="12">
        <v>60796.44</v>
      </c>
      <c r="N309" s="11" t="s">
        <v>491</v>
      </c>
      <c r="O309" s="11" t="s">
        <v>65</v>
      </c>
      <c r="P309" s="11" t="s">
        <v>66</v>
      </c>
      <c r="Q309" s="11">
        <v>13603213171</v>
      </c>
      <c r="R309" s="11" t="s">
        <v>67</v>
      </c>
      <c r="S309" s="11" t="s">
        <v>68</v>
      </c>
      <c r="T309" s="11"/>
    </row>
    <row r="310" spans="1:20" s="14" customFormat="1" ht="24" hidden="1" customHeight="1">
      <c r="A310" s="15"/>
      <c r="B310" s="11" t="s">
        <v>135</v>
      </c>
      <c r="C310" s="11" t="s">
        <v>492</v>
      </c>
      <c r="D310" s="11" t="s">
        <v>62</v>
      </c>
      <c r="E310" s="9"/>
      <c r="F310" s="9">
        <v>7.86</v>
      </c>
      <c r="G310" s="11" t="s">
        <v>32</v>
      </c>
      <c r="H310" s="11" t="s">
        <v>33</v>
      </c>
      <c r="I310" s="11"/>
      <c r="J310" s="11"/>
      <c r="K310" s="11" t="s">
        <v>63</v>
      </c>
      <c r="L310" s="12">
        <v>58428.32</v>
      </c>
      <c r="M310" s="12">
        <v>54730.98</v>
      </c>
      <c r="N310" s="11" t="s">
        <v>491</v>
      </c>
      <c r="O310" s="11" t="s">
        <v>65</v>
      </c>
      <c r="P310" s="11" t="s">
        <v>66</v>
      </c>
      <c r="Q310" s="11">
        <v>13603213171</v>
      </c>
      <c r="R310" s="11" t="s">
        <v>67</v>
      </c>
      <c r="S310" s="11" t="s">
        <v>68</v>
      </c>
      <c r="T310" s="11"/>
    </row>
    <row r="311" spans="1:20" s="14" customFormat="1" ht="24" hidden="1" customHeight="1">
      <c r="A311" s="15"/>
      <c r="B311" s="11" t="s">
        <v>29</v>
      </c>
      <c r="C311" s="11" t="s">
        <v>164</v>
      </c>
      <c r="D311" s="11" t="s">
        <v>454</v>
      </c>
      <c r="E311" s="9"/>
      <c r="F311" s="9">
        <v>30.62</v>
      </c>
      <c r="G311" s="11" t="s">
        <v>32</v>
      </c>
      <c r="H311" s="11" t="s">
        <v>33</v>
      </c>
      <c r="I311" s="11"/>
      <c r="J311" s="11"/>
      <c r="K311" s="11" t="s">
        <v>455</v>
      </c>
      <c r="L311" s="12">
        <v>269762.2</v>
      </c>
      <c r="M311" s="12">
        <v>269762.2</v>
      </c>
      <c r="N311" s="11" t="s">
        <v>493</v>
      </c>
      <c r="O311" s="11" t="s">
        <v>65</v>
      </c>
      <c r="P311" s="11" t="s">
        <v>66</v>
      </c>
      <c r="Q311" s="11">
        <v>13603213171</v>
      </c>
      <c r="R311" s="11" t="s">
        <v>67</v>
      </c>
      <c r="S311" s="11" t="s">
        <v>68</v>
      </c>
      <c r="T311" s="11"/>
    </row>
    <row r="312" spans="1:20" s="14" customFormat="1" ht="24" hidden="1" customHeight="1">
      <c r="A312" s="15"/>
      <c r="B312" s="11" t="s">
        <v>29</v>
      </c>
      <c r="C312" s="11" t="s">
        <v>164</v>
      </c>
      <c r="D312" s="11" t="s">
        <v>454</v>
      </c>
      <c r="E312" s="9"/>
      <c r="F312" s="9">
        <v>13.36</v>
      </c>
      <c r="G312" s="11" t="s">
        <v>32</v>
      </c>
      <c r="H312" s="11" t="s">
        <v>33</v>
      </c>
      <c r="I312" s="11"/>
      <c r="J312" s="11"/>
      <c r="K312" s="11" t="s">
        <v>455</v>
      </c>
      <c r="L312" s="12">
        <v>117701.6</v>
      </c>
      <c r="M312" s="12">
        <v>117701.6</v>
      </c>
      <c r="N312" s="11" t="s">
        <v>493</v>
      </c>
      <c r="O312" s="11" t="s">
        <v>65</v>
      </c>
      <c r="P312" s="11" t="s">
        <v>66</v>
      </c>
      <c r="Q312" s="11">
        <v>13603213171</v>
      </c>
      <c r="R312" s="11" t="s">
        <v>67</v>
      </c>
      <c r="S312" s="11" t="s">
        <v>68</v>
      </c>
      <c r="T312" s="11"/>
    </row>
    <row r="313" spans="1:20" s="14" customFormat="1" ht="24" hidden="1" customHeight="1">
      <c r="A313" s="15"/>
      <c r="B313" s="11" t="s">
        <v>29</v>
      </c>
      <c r="C313" s="11" t="s">
        <v>164</v>
      </c>
      <c r="D313" s="11" t="s">
        <v>454</v>
      </c>
      <c r="E313" s="9"/>
      <c r="F313" s="9">
        <v>25.08</v>
      </c>
      <c r="G313" s="11" t="s">
        <v>32</v>
      </c>
      <c r="H313" s="11" t="s">
        <v>33</v>
      </c>
      <c r="I313" s="11"/>
      <c r="J313" s="11"/>
      <c r="K313" s="11" t="s">
        <v>455</v>
      </c>
      <c r="L313" s="12">
        <v>220954.8</v>
      </c>
      <c r="M313" s="12">
        <v>220954.8</v>
      </c>
      <c r="N313" s="11" t="s">
        <v>493</v>
      </c>
      <c r="O313" s="11" t="s">
        <v>65</v>
      </c>
      <c r="P313" s="11" t="s">
        <v>66</v>
      </c>
      <c r="Q313" s="11">
        <v>13603213171</v>
      </c>
      <c r="R313" s="11" t="s">
        <v>67</v>
      </c>
      <c r="S313" s="11" t="s">
        <v>68</v>
      </c>
      <c r="T313" s="11"/>
    </row>
    <row r="314" spans="1:20" s="14" customFormat="1" ht="24" hidden="1" customHeight="1">
      <c r="A314" s="15"/>
      <c r="B314" s="11" t="s">
        <v>29</v>
      </c>
      <c r="C314" s="11" t="s">
        <v>164</v>
      </c>
      <c r="D314" s="11" t="s">
        <v>454</v>
      </c>
      <c r="E314" s="9"/>
      <c r="F314" s="9">
        <v>28.86</v>
      </c>
      <c r="G314" s="11" t="s">
        <v>32</v>
      </c>
      <c r="H314" s="11" t="s">
        <v>33</v>
      </c>
      <c r="I314" s="11"/>
      <c r="J314" s="11"/>
      <c r="K314" s="11" t="s">
        <v>455</v>
      </c>
      <c r="L314" s="12">
        <v>254256.6</v>
      </c>
      <c r="M314" s="12">
        <v>254256.6</v>
      </c>
      <c r="N314" s="11" t="s">
        <v>493</v>
      </c>
      <c r="O314" s="11" t="s">
        <v>65</v>
      </c>
      <c r="P314" s="11" t="s">
        <v>66</v>
      </c>
      <c r="Q314" s="11">
        <v>13603213171</v>
      </c>
      <c r="R314" s="11" t="s">
        <v>67</v>
      </c>
      <c r="S314" s="11" t="s">
        <v>68</v>
      </c>
      <c r="T314" s="11"/>
    </row>
    <row r="315" spans="1:20" s="14" customFormat="1" ht="24" hidden="1" customHeight="1">
      <c r="A315" s="15"/>
      <c r="B315" s="11" t="s">
        <v>29</v>
      </c>
      <c r="C315" s="11" t="s">
        <v>494</v>
      </c>
      <c r="D315" s="11" t="s">
        <v>454</v>
      </c>
      <c r="E315" s="9"/>
      <c r="F315" s="9">
        <v>32.659999999999997</v>
      </c>
      <c r="G315" s="11" t="s">
        <v>32</v>
      </c>
      <c r="H315" s="11" t="s">
        <v>33</v>
      </c>
      <c r="I315" s="11"/>
      <c r="J315" s="11"/>
      <c r="K315" s="11" t="s">
        <v>455</v>
      </c>
      <c r="L315" s="12">
        <v>288714.40000000002</v>
      </c>
      <c r="M315" s="12">
        <v>288714.40000000002</v>
      </c>
      <c r="N315" s="11" t="s">
        <v>493</v>
      </c>
      <c r="O315" s="11" t="s">
        <v>65</v>
      </c>
      <c r="P315" s="11" t="s">
        <v>66</v>
      </c>
      <c r="Q315" s="11">
        <v>13603213171</v>
      </c>
      <c r="R315" s="11" t="s">
        <v>67</v>
      </c>
      <c r="S315" s="11" t="s">
        <v>68</v>
      </c>
      <c r="T315" s="11"/>
    </row>
    <row r="316" spans="1:20" s="14" customFormat="1" ht="24" hidden="1" customHeight="1">
      <c r="A316" s="15"/>
      <c r="B316" s="11" t="s">
        <v>29</v>
      </c>
      <c r="C316" s="11" t="s">
        <v>494</v>
      </c>
      <c r="D316" s="11" t="s">
        <v>454</v>
      </c>
      <c r="E316" s="9"/>
      <c r="F316" s="9">
        <v>32.28</v>
      </c>
      <c r="G316" s="11" t="s">
        <v>32</v>
      </c>
      <c r="H316" s="11" t="s">
        <v>33</v>
      </c>
      <c r="I316" s="11"/>
      <c r="J316" s="11"/>
      <c r="K316" s="11" t="s">
        <v>455</v>
      </c>
      <c r="L316" s="12">
        <v>285355.2</v>
      </c>
      <c r="M316" s="12">
        <v>285355.2</v>
      </c>
      <c r="N316" s="11" t="s">
        <v>493</v>
      </c>
      <c r="O316" s="11" t="s">
        <v>65</v>
      </c>
      <c r="P316" s="11" t="s">
        <v>66</v>
      </c>
      <c r="Q316" s="11">
        <v>13603213171</v>
      </c>
      <c r="R316" s="11" t="s">
        <v>67</v>
      </c>
      <c r="S316" s="11" t="s">
        <v>68</v>
      </c>
      <c r="T316" s="11"/>
    </row>
    <row r="317" spans="1:20" s="14" customFormat="1" ht="24" hidden="1" customHeight="1">
      <c r="A317" s="15"/>
      <c r="B317" s="11" t="s">
        <v>29</v>
      </c>
      <c r="C317" s="11" t="s">
        <v>494</v>
      </c>
      <c r="D317" s="11" t="s">
        <v>454</v>
      </c>
      <c r="E317" s="9"/>
      <c r="F317" s="9">
        <v>30.98</v>
      </c>
      <c r="G317" s="11" t="s">
        <v>32</v>
      </c>
      <c r="H317" s="11" t="s">
        <v>33</v>
      </c>
      <c r="I317" s="11"/>
      <c r="J317" s="11"/>
      <c r="K317" s="11" t="s">
        <v>455</v>
      </c>
      <c r="L317" s="12">
        <v>273863.2</v>
      </c>
      <c r="M317" s="12">
        <v>273863.2</v>
      </c>
      <c r="N317" s="11" t="s">
        <v>493</v>
      </c>
      <c r="O317" s="11" t="s">
        <v>65</v>
      </c>
      <c r="P317" s="11" t="s">
        <v>66</v>
      </c>
      <c r="Q317" s="11">
        <v>13603213171</v>
      </c>
      <c r="R317" s="11" t="s">
        <v>67</v>
      </c>
      <c r="S317" s="11" t="s">
        <v>68</v>
      </c>
      <c r="T317" s="11"/>
    </row>
    <row r="318" spans="1:20" s="14" customFormat="1" ht="24" hidden="1" customHeight="1">
      <c r="A318" s="15"/>
      <c r="B318" s="11" t="s">
        <v>29</v>
      </c>
      <c r="C318" s="11" t="s">
        <v>494</v>
      </c>
      <c r="D318" s="11" t="s">
        <v>454</v>
      </c>
      <c r="E318" s="9"/>
      <c r="F318" s="9">
        <v>29.62</v>
      </c>
      <c r="G318" s="11" t="s">
        <v>32</v>
      </c>
      <c r="H318" s="11" t="s">
        <v>33</v>
      </c>
      <c r="I318" s="11"/>
      <c r="J318" s="11"/>
      <c r="K318" s="11" t="s">
        <v>455</v>
      </c>
      <c r="L318" s="12">
        <v>261840.8</v>
      </c>
      <c r="M318" s="12">
        <v>261840.8</v>
      </c>
      <c r="N318" s="11" t="s">
        <v>493</v>
      </c>
      <c r="O318" s="11" t="s">
        <v>65</v>
      </c>
      <c r="P318" s="11" t="s">
        <v>66</v>
      </c>
      <c r="Q318" s="11">
        <v>13603213171</v>
      </c>
      <c r="R318" s="11" t="s">
        <v>67</v>
      </c>
      <c r="S318" s="11" t="s">
        <v>68</v>
      </c>
      <c r="T318" s="11"/>
    </row>
    <row r="319" spans="1:20" s="14" customFormat="1" ht="24" hidden="1" customHeight="1">
      <c r="A319" s="15"/>
      <c r="B319" s="11" t="s">
        <v>463</v>
      </c>
      <c r="C319" s="11">
        <v>1837</v>
      </c>
      <c r="D319" s="11" t="s">
        <v>464</v>
      </c>
      <c r="E319" s="9"/>
      <c r="F319" s="9">
        <v>8</v>
      </c>
      <c r="G319" s="11" t="s">
        <v>32</v>
      </c>
      <c r="H319" s="11" t="s">
        <v>33</v>
      </c>
      <c r="I319" s="11"/>
      <c r="J319" s="11"/>
      <c r="K319" s="11" t="s">
        <v>455</v>
      </c>
      <c r="L319" s="12">
        <v>4600</v>
      </c>
      <c r="M319" s="12">
        <v>0</v>
      </c>
      <c r="N319" s="11" t="s">
        <v>493</v>
      </c>
      <c r="O319" s="11" t="s">
        <v>65</v>
      </c>
      <c r="P319" s="11" t="s">
        <v>66</v>
      </c>
      <c r="Q319" s="11">
        <v>13603213171</v>
      </c>
      <c r="R319" s="11" t="s">
        <v>67</v>
      </c>
      <c r="S319" s="11" t="s">
        <v>68</v>
      </c>
      <c r="T319" s="11"/>
    </row>
    <row r="320" spans="1:20" s="14" customFormat="1" ht="24" hidden="1" customHeight="1">
      <c r="A320" s="15"/>
      <c r="B320" s="11" t="s">
        <v>463</v>
      </c>
      <c r="C320" s="11">
        <v>1227</v>
      </c>
      <c r="D320" s="11" t="s">
        <v>464</v>
      </c>
      <c r="E320" s="9"/>
      <c r="F320" s="9">
        <v>48</v>
      </c>
      <c r="G320" s="11" t="s">
        <v>32</v>
      </c>
      <c r="H320" s="11" t="s">
        <v>33</v>
      </c>
      <c r="I320" s="11"/>
      <c r="J320" s="11"/>
      <c r="K320" s="11" t="s">
        <v>455</v>
      </c>
      <c r="L320" s="12">
        <v>20640</v>
      </c>
      <c r="M320" s="12">
        <v>0</v>
      </c>
      <c r="N320" s="11" t="s">
        <v>493</v>
      </c>
      <c r="O320" s="11" t="s">
        <v>65</v>
      </c>
      <c r="P320" s="11" t="s">
        <v>66</v>
      </c>
      <c r="Q320" s="11">
        <v>13603213171</v>
      </c>
      <c r="R320" s="11" t="s">
        <v>67</v>
      </c>
      <c r="S320" s="11" t="s">
        <v>68</v>
      </c>
      <c r="T320" s="11"/>
    </row>
    <row r="321" spans="1:20" s="14" customFormat="1" ht="24" hidden="1" customHeight="1">
      <c r="A321" s="15"/>
      <c r="B321" s="11" t="s">
        <v>463</v>
      </c>
      <c r="C321" s="11">
        <v>1617</v>
      </c>
      <c r="D321" s="11" t="s">
        <v>464</v>
      </c>
      <c r="E321" s="9"/>
      <c r="F321" s="9">
        <v>24</v>
      </c>
      <c r="G321" s="11" t="s">
        <v>32</v>
      </c>
      <c r="H321" s="11" t="s">
        <v>33</v>
      </c>
      <c r="I321" s="11"/>
      <c r="J321" s="11"/>
      <c r="K321" s="11" t="s">
        <v>455</v>
      </c>
      <c r="L321" s="12">
        <v>13440</v>
      </c>
      <c r="M321" s="12">
        <v>0</v>
      </c>
      <c r="N321" s="11" t="s">
        <v>493</v>
      </c>
      <c r="O321" s="11" t="s">
        <v>65</v>
      </c>
      <c r="P321" s="11" t="s">
        <v>66</v>
      </c>
      <c r="Q321" s="11">
        <v>13603213171</v>
      </c>
      <c r="R321" s="11" t="s">
        <v>67</v>
      </c>
      <c r="S321" s="11" t="s">
        <v>68</v>
      </c>
      <c r="T321" s="11"/>
    </row>
    <row r="322" spans="1:20" s="14" customFormat="1" ht="24" hidden="1" customHeight="1">
      <c r="A322" s="15">
        <v>4</v>
      </c>
      <c r="B322" s="15" t="s">
        <v>353</v>
      </c>
      <c r="C322" s="11"/>
      <c r="D322" s="11"/>
      <c r="E322" s="9"/>
      <c r="F322" s="9"/>
      <c r="G322" s="11"/>
      <c r="H322" s="11"/>
      <c r="I322" s="11"/>
      <c r="J322" s="11"/>
      <c r="K322" s="11"/>
      <c r="L322" s="12"/>
      <c r="M322" s="12"/>
      <c r="N322" s="11"/>
      <c r="O322" s="11"/>
      <c r="P322" s="11"/>
      <c r="Q322" s="11"/>
      <c r="R322" s="11"/>
      <c r="S322" s="11"/>
      <c r="T322" s="11"/>
    </row>
    <row r="323" spans="1:20" s="14" customFormat="1" ht="24" customHeight="1">
      <c r="A323" s="15"/>
      <c r="B323" s="11" t="s">
        <v>398</v>
      </c>
      <c r="C323" s="11" t="s">
        <v>495</v>
      </c>
      <c r="D323" s="11" t="s">
        <v>62</v>
      </c>
      <c r="E323" s="9">
        <v>183.2</v>
      </c>
      <c r="F323" s="9"/>
      <c r="G323" s="11" t="s">
        <v>72</v>
      </c>
      <c r="H323" s="11" t="s">
        <v>41</v>
      </c>
      <c r="I323" s="11" t="s">
        <v>496</v>
      </c>
      <c r="J323" s="11" t="s">
        <v>497</v>
      </c>
      <c r="K323" s="11" t="s">
        <v>498</v>
      </c>
      <c r="L323" s="12">
        <v>654935</v>
      </c>
      <c r="M323" s="12">
        <v>219840</v>
      </c>
      <c r="N323" s="11">
        <v>2016.8</v>
      </c>
      <c r="O323" s="11" t="s">
        <v>52</v>
      </c>
      <c r="P323" s="11" t="s">
        <v>249</v>
      </c>
      <c r="Q323" s="11">
        <v>17731886959</v>
      </c>
      <c r="R323" s="11" t="s">
        <v>499</v>
      </c>
      <c r="S323" s="11" t="s">
        <v>115</v>
      </c>
      <c r="T323" s="11"/>
    </row>
    <row r="324" spans="1:20" s="14" customFormat="1" ht="24" customHeight="1">
      <c r="A324" s="15"/>
      <c r="B324" s="11" t="s">
        <v>500</v>
      </c>
      <c r="C324" s="11" t="s">
        <v>501</v>
      </c>
      <c r="D324" s="11" t="s">
        <v>62</v>
      </c>
      <c r="E324" s="9">
        <v>1.4670000000000001</v>
      </c>
      <c r="F324" s="9"/>
      <c r="G324" s="11" t="s">
        <v>32</v>
      </c>
      <c r="H324" s="11" t="s">
        <v>41</v>
      </c>
      <c r="I324" s="11" t="s">
        <v>179</v>
      </c>
      <c r="J324" s="11" t="s">
        <v>179</v>
      </c>
      <c r="K324" s="11" t="s">
        <v>226</v>
      </c>
      <c r="L324" s="12">
        <v>706442.4</v>
      </c>
      <c r="M324" s="12">
        <v>187551.08</v>
      </c>
      <c r="N324" s="24">
        <v>43952</v>
      </c>
      <c r="O324" s="11" t="s">
        <v>236</v>
      </c>
      <c r="P324" s="11" t="s">
        <v>231</v>
      </c>
      <c r="Q324" s="11">
        <v>13303675352</v>
      </c>
      <c r="R324" s="11" t="s">
        <v>232</v>
      </c>
      <c r="S324" s="11" t="s">
        <v>39</v>
      </c>
      <c r="T324" s="11"/>
    </row>
    <row r="325" spans="1:20" s="14" customFormat="1" ht="24" customHeight="1">
      <c r="A325" s="15"/>
      <c r="B325" s="11" t="s">
        <v>398</v>
      </c>
      <c r="C325" s="23" t="s">
        <v>501</v>
      </c>
      <c r="D325" s="23" t="s">
        <v>62</v>
      </c>
      <c r="E325" s="9">
        <v>40.090000000000003</v>
      </c>
      <c r="F325" s="9"/>
      <c r="G325" s="11" t="s">
        <v>32</v>
      </c>
      <c r="H325" s="11" t="s">
        <v>41</v>
      </c>
      <c r="I325" s="11" t="s">
        <v>179</v>
      </c>
      <c r="J325" s="11" t="s">
        <v>179</v>
      </c>
      <c r="K325" s="11" t="s">
        <v>226</v>
      </c>
      <c r="L325" s="12">
        <v>269353.27</v>
      </c>
      <c r="M325" s="12">
        <v>80805.98</v>
      </c>
      <c r="N325" s="24">
        <v>43984</v>
      </c>
      <c r="O325" s="11" t="s">
        <v>236</v>
      </c>
      <c r="P325" s="11" t="s">
        <v>231</v>
      </c>
      <c r="Q325" s="11">
        <v>13303675352</v>
      </c>
      <c r="R325" s="11" t="s">
        <v>232</v>
      </c>
      <c r="S325" s="11" t="s">
        <v>39</v>
      </c>
      <c r="T325" s="11"/>
    </row>
    <row r="326" spans="1:20" ht="24" hidden="1" customHeight="1">
      <c r="A326" s="15"/>
      <c r="B326" s="28" t="s">
        <v>398</v>
      </c>
      <c r="C326" s="42" t="s">
        <v>502</v>
      </c>
      <c r="D326" s="10" t="s">
        <v>62</v>
      </c>
      <c r="E326" s="30">
        <v>261.60000000000002</v>
      </c>
      <c r="F326" s="31"/>
      <c r="G326" s="11" t="s">
        <v>32</v>
      </c>
      <c r="H326" s="11" t="s">
        <v>33</v>
      </c>
      <c r="I326" s="17" t="s">
        <v>34</v>
      </c>
      <c r="J326" s="17" t="s">
        <v>34</v>
      </c>
      <c r="K326" s="10" t="s">
        <v>143</v>
      </c>
      <c r="L326" s="20">
        <v>1428382.3</v>
      </c>
      <c r="M326" s="20">
        <v>297408.3</v>
      </c>
      <c r="N326" s="32">
        <v>44124</v>
      </c>
      <c r="O326" s="17" t="s">
        <v>138</v>
      </c>
      <c r="P326" s="17" t="s">
        <v>139</v>
      </c>
      <c r="Q326" s="11">
        <v>15076764689</v>
      </c>
      <c r="R326" s="17" t="s">
        <v>140</v>
      </c>
      <c r="S326" s="11" t="s">
        <v>141</v>
      </c>
      <c r="T326" s="11"/>
    </row>
    <row r="327" spans="1:20" ht="24" hidden="1" customHeight="1">
      <c r="A327" s="15"/>
      <c r="B327" s="43" t="s">
        <v>347</v>
      </c>
      <c r="C327" s="44" t="s">
        <v>415</v>
      </c>
      <c r="D327" s="10" t="s">
        <v>62</v>
      </c>
      <c r="E327" s="30">
        <v>132.68</v>
      </c>
      <c r="F327" s="20">
        <v>132.68</v>
      </c>
      <c r="G327" s="11" t="s">
        <v>32</v>
      </c>
      <c r="H327" s="11" t="s">
        <v>33</v>
      </c>
      <c r="I327" s="17" t="s">
        <v>34</v>
      </c>
      <c r="J327" s="17" t="s">
        <v>34</v>
      </c>
      <c r="K327" s="10" t="s">
        <v>52</v>
      </c>
      <c r="L327" s="20">
        <v>839523.89380531001</v>
      </c>
      <c r="M327" s="20">
        <v>839523.89380531001</v>
      </c>
      <c r="N327" s="32" t="s">
        <v>503</v>
      </c>
      <c r="O327" s="17" t="s">
        <v>286</v>
      </c>
      <c r="P327" s="17" t="s">
        <v>392</v>
      </c>
      <c r="Q327" s="11">
        <v>18601194039</v>
      </c>
      <c r="R327" s="17" t="s">
        <v>288</v>
      </c>
      <c r="S327" s="11" t="s">
        <v>115</v>
      </c>
      <c r="T327" s="11"/>
    </row>
    <row r="328" spans="1:20" ht="24" hidden="1" customHeight="1">
      <c r="A328" s="15"/>
      <c r="B328" s="43" t="s">
        <v>398</v>
      </c>
      <c r="C328" s="44" t="s">
        <v>415</v>
      </c>
      <c r="D328" s="10" t="s">
        <v>62</v>
      </c>
      <c r="E328" s="30">
        <v>47.25</v>
      </c>
      <c r="F328" s="20">
        <v>47.25</v>
      </c>
      <c r="G328" s="11" t="s">
        <v>32</v>
      </c>
      <c r="H328" s="11" t="s">
        <v>33</v>
      </c>
      <c r="I328" s="17" t="s">
        <v>34</v>
      </c>
      <c r="J328" s="17" t="s">
        <v>34</v>
      </c>
      <c r="K328" s="10" t="s">
        <v>52</v>
      </c>
      <c r="L328" s="20">
        <v>298971.23893805302</v>
      </c>
      <c r="M328" s="20">
        <v>298971.23893805302</v>
      </c>
      <c r="N328" s="32" t="s">
        <v>503</v>
      </c>
      <c r="O328" s="17" t="s">
        <v>286</v>
      </c>
      <c r="P328" s="17" t="s">
        <v>392</v>
      </c>
      <c r="Q328" s="11">
        <v>18601194039</v>
      </c>
      <c r="R328" s="17" t="s">
        <v>288</v>
      </c>
      <c r="S328" s="11" t="s">
        <v>115</v>
      </c>
      <c r="T328" s="11"/>
    </row>
    <row r="329" spans="1:20" ht="24" hidden="1" customHeight="1">
      <c r="A329" s="15"/>
      <c r="B329" s="43" t="s">
        <v>347</v>
      </c>
      <c r="C329" s="44" t="s">
        <v>504</v>
      </c>
      <c r="D329" s="10" t="s">
        <v>62</v>
      </c>
      <c r="E329" s="30">
        <v>140.6</v>
      </c>
      <c r="F329" s="20">
        <v>140.6</v>
      </c>
      <c r="G329" s="11" t="s">
        <v>32</v>
      </c>
      <c r="H329" s="11" t="s">
        <v>33</v>
      </c>
      <c r="I329" s="17" t="s">
        <v>34</v>
      </c>
      <c r="J329" s="17" t="s">
        <v>34</v>
      </c>
      <c r="K329" s="10" t="s">
        <v>52</v>
      </c>
      <c r="L329" s="20">
        <v>889637.16814159299</v>
      </c>
      <c r="M329" s="20">
        <v>889637.16814159299</v>
      </c>
      <c r="N329" s="32" t="s">
        <v>503</v>
      </c>
      <c r="O329" s="17" t="s">
        <v>286</v>
      </c>
      <c r="P329" s="17" t="s">
        <v>392</v>
      </c>
      <c r="Q329" s="11">
        <v>18601194039</v>
      </c>
      <c r="R329" s="17" t="s">
        <v>288</v>
      </c>
      <c r="S329" s="11" t="s">
        <v>115</v>
      </c>
      <c r="T329" s="11"/>
    </row>
    <row r="330" spans="1:20" ht="24" hidden="1" customHeight="1">
      <c r="A330" s="15"/>
      <c r="B330" s="43" t="s">
        <v>398</v>
      </c>
      <c r="C330" s="44" t="s">
        <v>504</v>
      </c>
      <c r="D330" s="10" t="s">
        <v>62</v>
      </c>
      <c r="E330" s="30">
        <v>94.68</v>
      </c>
      <c r="F330" s="20">
        <v>94.68</v>
      </c>
      <c r="G330" s="11" t="s">
        <v>32</v>
      </c>
      <c r="H330" s="11" t="s">
        <v>33</v>
      </c>
      <c r="I330" s="17" t="s">
        <v>34</v>
      </c>
      <c r="J330" s="17" t="s">
        <v>34</v>
      </c>
      <c r="K330" s="10" t="s">
        <v>52</v>
      </c>
      <c r="L330" s="20">
        <v>599081.41592920397</v>
      </c>
      <c r="M330" s="20">
        <v>599081.41592920397</v>
      </c>
      <c r="N330" s="32" t="s">
        <v>503</v>
      </c>
      <c r="O330" s="17" t="s">
        <v>286</v>
      </c>
      <c r="P330" s="17" t="s">
        <v>392</v>
      </c>
      <c r="Q330" s="11">
        <v>18601194039</v>
      </c>
      <c r="R330" s="17" t="s">
        <v>288</v>
      </c>
      <c r="S330" s="11" t="s">
        <v>115</v>
      </c>
      <c r="T330" s="11"/>
    </row>
    <row r="331" spans="1:20" ht="24" hidden="1" customHeight="1">
      <c r="A331" s="15"/>
      <c r="B331" s="43" t="s">
        <v>347</v>
      </c>
      <c r="C331" s="44" t="s">
        <v>348</v>
      </c>
      <c r="D331" s="10" t="s">
        <v>62</v>
      </c>
      <c r="E331" s="30">
        <v>75.87</v>
      </c>
      <c r="F331" s="20">
        <v>75.87</v>
      </c>
      <c r="G331" s="11" t="s">
        <v>32</v>
      </c>
      <c r="H331" s="11" t="s">
        <v>33</v>
      </c>
      <c r="I331" s="17" t="s">
        <v>34</v>
      </c>
      <c r="J331" s="17" t="s">
        <v>34</v>
      </c>
      <c r="K331" s="10" t="s">
        <v>52</v>
      </c>
      <c r="L331" s="20">
        <v>480062.38938053098</v>
      </c>
      <c r="M331" s="20">
        <v>480062.38938053098</v>
      </c>
      <c r="N331" s="32" t="s">
        <v>505</v>
      </c>
      <c r="O331" s="17" t="s">
        <v>286</v>
      </c>
      <c r="P331" s="17" t="s">
        <v>392</v>
      </c>
      <c r="Q331" s="11">
        <v>18601194039</v>
      </c>
      <c r="R331" s="17" t="s">
        <v>288</v>
      </c>
      <c r="S331" s="11" t="s">
        <v>115</v>
      </c>
      <c r="T331" s="11"/>
    </row>
    <row r="332" spans="1:20" ht="24" customHeight="1">
      <c r="A332" s="15"/>
      <c r="B332" s="43" t="s">
        <v>398</v>
      </c>
      <c r="C332" s="43" t="s">
        <v>506</v>
      </c>
      <c r="D332" s="43" t="s">
        <v>62</v>
      </c>
      <c r="E332" s="43">
        <v>144</v>
      </c>
      <c r="F332" s="43">
        <v>144</v>
      </c>
      <c r="G332" s="43" t="s">
        <v>72</v>
      </c>
      <c r="H332" s="43" t="s">
        <v>41</v>
      </c>
      <c r="I332" s="17" t="s">
        <v>34</v>
      </c>
      <c r="J332" s="17" t="s">
        <v>34</v>
      </c>
      <c r="K332" s="22" t="s">
        <v>507</v>
      </c>
      <c r="L332" s="45">
        <v>1174938.0530973501</v>
      </c>
      <c r="M332" s="46">
        <v>352481.41592920799</v>
      </c>
      <c r="N332" s="47">
        <v>2021.04</v>
      </c>
      <c r="O332" s="17" t="s">
        <v>74</v>
      </c>
      <c r="P332" s="17" t="s">
        <v>75</v>
      </c>
      <c r="Q332" s="17">
        <v>13269819378</v>
      </c>
      <c r="R332" s="17" t="s">
        <v>76</v>
      </c>
      <c r="S332" s="17" t="s">
        <v>77</v>
      </c>
      <c r="T332" s="11"/>
    </row>
    <row r="333" spans="1:20" ht="24" customHeight="1">
      <c r="A333" s="15"/>
      <c r="B333" s="43" t="s">
        <v>508</v>
      </c>
      <c r="C333" s="43"/>
      <c r="D333" s="43" t="s">
        <v>79</v>
      </c>
      <c r="E333" s="43">
        <v>1</v>
      </c>
      <c r="F333" s="43"/>
      <c r="G333" s="43" t="s">
        <v>72</v>
      </c>
      <c r="H333" s="43" t="s">
        <v>41</v>
      </c>
      <c r="I333" s="17" t="s">
        <v>34</v>
      </c>
      <c r="J333" s="17" t="s">
        <v>34</v>
      </c>
      <c r="K333" s="22" t="s">
        <v>157</v>
      </c>
      <c r="L333" s="45">
        <v>203023.00884955801</v>
      </c>
      <c r="M333" s="46">
        <v>50755.752212389503</v>
      </c>
      <c r="N333" s="47">
        <v>2021.1</v>
      </c>
      <c r="O333" s="17" t="s">
        <v>74</v>
      </c>
      <c r="P333" s="17" t="s">
        <v>75</v>
      </c>
      <c r="Q333" s="17">
        <v>13269819378</v>
      </c>
      <c r="R333" s="17" t="s">
        <v>76</v>
      </c>
      <c r="S333" s="17" t="s">
        <v>77</v>
      </c>
      <c r="T333" s="11"/>
    </row>
    <row r="334" spans="1:20" ht="24" customHeight="1">
      <c r="A334" s="15"/>
      <c r="B334" s="43" t="s">
        <v>509</v>
      </c>
      <c r="C334" s="43"/>
      <c r="D334" s="43" t="s">
        <v>79</v>
      </c>
      <c r="E334" s="43">
        <v>1</v>
      </c>
      <c r="F334" s="43"/>
      <c r="G334" s="43" t="s">
        <v>72</v>
      </c>
      <c r="H334" s="43" t="s">
        <v>41</v>
      </c>
      <c r="I334" s="17" t="s">
        <v>34</v>
      </c>
      <c r="J334" s="17" t="s">
        <v>34</v>
      </c>
      <c r="K334" s="22" t="s">
        <v>157</v>
      </c>
      <c r="L334" s="45">
        <v>101824.778761062</v>
      </c>
      <c r="M334" s="46">
        <v>25456.1946902655</v>
      </c>
      <c r="N334" s="47">
        <v>2021.1</v>
      </c>
      <c r="O334" s="17" t="s">
        <v>74</v>
      </c>
      <c r="P334" s="17" t="s">
        <v>75</v>
      </c>
      <c r="Q334" s="17">
        <v>13269819378</v>
      </c>
      <c r="R334" s="17" t="s">
        <v>76</v>
      </c>
      <c r="S334" s="17" t="s">
        <v>77</v>
      </c>
      <c r="T334" s="11"/>
    </row>
    <row r="335" spans="1:20" ht="24" customHeight="1">
      <c r="A335" s="15"/>
      <c r="B335" s="43" t="s">
        <v>398</v>
      </c>
      <c r="C335" s="43"/>
      <c r="D335" s="43" t="s">
        <v>62</v>
      </c>
      <c r="E335" s="43">
        <v>22.11</v>
      </c>
      <c r="F335" s="43">
        <v>22.11</v>
      </c>
      <c r="G335" s="43" t="s">
        <v>72</v>
      </c>
      <c r="H335" s="43" t="s">
        <v>41</v>
      </c>
      <c r="I335" s="17" t="s">
        <v>34</v>
      </c>
      <c r="J335" s="17" t="s">
        <v>34</v>
      </c>
      <c r="K335" s="22" t="s">
        <v>507</v>
      </c>
      <c r="L335" s="45">
        <v>180401.94690265501</v>
      </c>
      <c r="M335" s="45">
        <v>45100.486725663803</v>
      </c>
      <c r="N335" s="47">
        <v>2021.1</v>
      </c>
      <c r="O335" s="17" t="s">
        <v>74</v>
      </c>
      <c r="P335" s="17" t="s">
        <v>75</v>
      </c>
      <c r="Q335" s="17">
        <v>13269819378</v>
      </c>
      <c r="R335" s="17" t="s">
        <v>76</v>
      </c>
      <c r="S335" s="17" t="s">
        <v>77</v>
      </c>
      <c r="T335" s="11"/>
    </row>
    <row r="336" spans="1:20" s="14" customFormat="1" ht="24" hidden="1" customHeight="1">
      <c r="A336" s="15">
        <v>5</v>
      </c>
      <c r="B336" s="15" t="s">
        <v>510</v>
      </c>
      <c r="C336" s="11"/>
      <c r="D336" s="11"/>
      <c r="E336" s="9"/>
      <c r="F336" s="9"/>
      <c r="G336" s="11"/>
      <c r="H336" s="11"/>
      <c r="I336" s="11"/>
      <c r="J336" s="11"/>
      <c r="K336" s="11"/>
      <c r="L336" s="12"/>
      <c r="M336" s="12"/>
      <c r="N336" s="11"/>
      <c r="O336" s="11"/>
      <c r="P336" s="11"/>
      <c r="Q336" s="11"/>
      <c r="R336" s="11"/>
      <c r="S336" s="11"/>
      <c r="T336" s="11"/>
    </row>
    <row r="337" spans="1:20" s="14" customFormat="1" ht="24" hidden="1" customHeight="1">
      <c r="A337" s="15" t="s">
        <v>511</v>
      </c>
      <c r="B337" s="13" t="s">
        <v>512</v>
      </c>
      <c r="C337" s="11"/>
      <c r="D337" s="11"/>
      <c r="E337" s="9"/>
      <c r="F337" s="9"/>
      <c r="G337" s="11"/>
      <c r="H337" s="11"/>
      <c r="I337" s="11"/>
      <c r="J337" s="11"/>
      <c r="K337" s="11"/>
      <c r="L337" s="12"/>
      <c r="M337" s="12"/>
      <c r="N337" s="11"/>
      <c r="O337" s="11"/>
      <c r="P337" s="11"/>
      <c r="Q337" s="11"/>
      <c r="R337" s="11"/>
      <c r="S337" s="11"/>
      <c r="T337" s="11"/>
    </row>
    <row r="338" spans="1:20" s="14" customFormat="1" ht="24" hidden="1" customHeight="1">
      <c r="A338" s="15">
        <v>1</v>
      </c>
      <c r="B338" s="15" t="s">
        <v>513</v>
      </c>
      <c r="C338" s="15"/>
      <c r="D338" s="11"/>
      <c r="E338" s="9"/>
      <c r="F338" s="9"/>
      <c r="G338" s="11"/>
      <c r="H338" s="11"/>
      <c r="I338" s="11"/>
      <c r="J338" s="11"/>
      <c r="K338" s="11"/>
      <c r="L338" s="12"/>
      <c r="M338" s="12"/>
      <c r="N338" s="11"/>
      <c r="O338" s="11"/>
      <c r="P338" s="11"/>
      <c r="Q338" s="11"/>
      <c r="R338" s="11"/>
      <c r="S338" s="11"/>
      <c r="T338" s="11"/>
    </row>
    <row r="339" spans="1:20" s="14" customFormat="1" ht="24" hidden="1" customHeight="1">
      <c r="A339" s="15"/>
      <c r="B339" s="11" t="s">
        <v>514</v>
      </c>
      <c r="C339" s="11">
        <v>10</v>
      </c>
      <c r="D339" s="11" t="s">
        <v>62</v>
      </c>
      <c r="E339" s="11">
        <v>28.31</v>
      </c>
      <c r="F339" s="11"/>
      <c r="G339" s="11" t="s">
        <v>32</v>
      </c>
      <c r="H339" s="11" t="s">
        <v>33</v>
      </c>
      <c r="I339" s="11"/>
      <c r="J339" s="11" t="s">
        <v>515</v>
      </c>
      <c r="K339" s="11"/>
      <c r="L339" s="12">
        <v>126545.7</v>
      </c>
      <c r="M339" s="12">
        <v>0</v>
      </c>
      <c r="N339" s="48">
        <v>43556</v>
      </c>
      <c r="O339" s="11" t="s">
        <v>516</v>
      </c>
      <c r="P339" s="11" t="s">
        <v>517</v>
      </c>
      <c r="Q339" s="11">
        <v>1391013944</v>
      </c>
      <c r="R339" s="11" t="s">
        <v>518</v>
      </c>
      <c r="S339" s="11" t="s">
        <v>68</v>
      </c>
      <c r="T339" s="11" t="s">
        <v>519</v>
      </c>
    </row>
    <row r="340" spans="1:20" s="14" customFormat="1" ht="24" hidden="1" customHeight="1">
      <c r="A340" s="15"/>
      <c r="B340" s="11" t="s">
        <v>514</v>
      </c>
      <c r="C340" s="11">
        <v>10</v>
      </c>
      <c r="D340" s="11" t="s">
        <v>62</v>
      </c>
      <c r="E340" s="11">
        <v>6.5810000000000004</v>
      </c>
      <c r="F340" s="11"/>
      <c r="G340" s="11" t="s">
        <v>32</v>
      </c>
      <c r="H340" s="11" t="s">
        <v>33</v>
      </c>
      <c r="I340" s="11"/>
      <c r="J340" s="11" t="s">
        <v>515</v>
      </c>
      <c r="K340" s="11"/>
      <c r="L340" s="12">
        <v>30206.79</v>
      </c>
      <c r="M340" s="12">
        <v>0</v>
      </c>
      <c r="N340" s="48">
        <v>43556</v>
      </c>
      <c r="O340" s="11" t="s">
        <v>516</v>
      </c>
      <c r="P340" s="11" t="s">
        <v>517</v>
      </c>
      <c r="Q340" s="11">
        <v>1391013944</v>
      </c>
      <c r="R340" s="11" t="s">
        <v>518</v>
      </c>
      <c r="S340" s="11" t="s">
        <v>68</v>
      </c>
      <c r="T340" s="11"/>
    </row>
    <row r="341" spans="1:20" s="14" customFormat="1" ht="24" hidden="1" customHeight="1">
      <c r="A341" s="15"/>
      <c r="B341" s="11" t="s">
        <v>514</v>
      </c>
      <c r="C341" s="11">
        <v>20</v>
      </c>
      <c r="D341" s="11" t="s">
        <v>62</v>
      </c>
      <c r="E341" s="11">
        <v>22.099</v>
      </c>
      <c r="F341" s="11"/>
      <c r="G341" s="11" t="s">
        <v>32</v>
      </c>
      <c r="H341" s="11" t="s">
        <v>33</v>
      </c>
      <c r="I341" s="11"/>
      <c r="J341" s="11" t="s">
        <v>515</v>
      </c>
      <c r="K341" s="11"/>
      <c r="L341" s="12">
        <v>94804.71</v>
      </c>
      <c r="M341" s="12">
        <v>0</v>
      </c>
      <c r="N341" s="48">
        <v>43556</v>
      </c>
      <c r="O341" s="11" t="s">
        <v>516</v>
      </c>
      <c r="P341" s="11" t="s">
        <v>517</v>
      </c>
      <c r="Q341" s="11">
        <v>1391013944</v>
      </c>
      <c r="R341" s="11" t="s">
        <v>518</v>
      </c>
      <c r="S341" s="11" t="s">
        <v>68</v>
      </c>
      <c r="T341" s="11"/>
    </row>
    <row r="342" spans="1:20" s="14" customFormat="1" ht="24" hidden="1" customHeight="1">
      <c r="A342" s="15"/>
      <c r="B342" s="11" t="s">
        <v>514</v>
      </c>
      <c r="C342" s="11">
        <v>20</v>
      </c>
      <c r="D342" s="11" t="s">
        <v>62</v>
      </c>
      <c r="E342" s="11">
        <v>28.922999999999998</v>
      </c>
      <c r="F342" s="11"/>
      <c r="G342" s="11" t="s">
        <v>32</v>
      </c>
      <c r="H342" s="11" t="s">
        <v>33</v>
      </c>
      <c r="I342" s="11"/>
      <c r="J342" s="11" t="s">
        <v>515</v>
      </c>
      <c r="K342" s="11"/>
      <c r="L342" s="12">
        <v>127550.43</v>
      </c>
      <c r="M342" s="12">
        <v>0</v>
      </c>
      <c r="N342" s="48">
        <v>43556</v>
      </c>
      <c r="O342" s="11" t="s">
        <v>516</v>
      </c>
      <c r="P342" s="11" t="s">
        <v>517</v>
      </c>
      <c r="Q342" s="11">
        <v>1391013944</v>
      </c>
      <c r="R342" s="11" t="s">
        <v>518</v>
      </c>
      <c r="S342" s="11" t="s">
        <v>68</v>
      </c>
      <c r="T342" s="11"/>
    </row>
    <row r="343" spans="1:20" ht="24" customHeight="1">
      <c r="A343" s="15"/>
      <c r="B343" s="11" t="s">
        <v>104</v>
      </c>
      <c r="C343" s="11" t="s">
        <v>520</v>
      </c>
      <c r="D343" s="11" t="s">
        <v>31</v>
      </c>
      <c r="E343" s="11">
        <v>49</v>
      </c>
      <c r="F343" s="11">
        <v>3.97</v>
      </c>
      <c r="G343" s="11" t="s">
        <v>32</v>
      </c>
      <c r="H343" s="11" t="s">
        <v>41</v>
      </c>
      <c r="I343" s="11"/>
      <c r="J343" s="11"/>
      <c r="K343" s="11" t="s">
        <v>521</v>
      </c>
      <c r="L343" s="12"/>
      <c r="M343" s="12"/>
      <c r="N343" s="49">
        <v>2018.12</v>
      </c>
      <c r="O343" s="11" t="s">
        <v>43</v>
      </c>
      <c r="P343" s="11" t="s">
        <v>44</v>
      </c>
      <c r="Q343" s="11">
        <v>18611425182</v>
      </c>
      <c r="R343" s="11" t="s">
        <v>45</v>
      </c>
      <c r="S343" s="11" t="s">
        <v>46</v>
      </c>
      <c r="T343" s="11"/>
    </row>
    <row r="344" spans="1:20" ht="24" customHeight="1">
      <c r="A344" s="15"/>
      <c r="B344" s="11" t="s">
        <v>439</v>
      </c>
      <c r="C344" s="11" t="s">
        <v>522</v>
      </c>
      <c r="D344" s="11" t="s">
        <v>31</v>
      </c>
      <c r="E344" s="11">
        <v>8</v>
      </c>
      <c r="F344" s="11">
        <v>2.9</v>
      </c>
      <c r="G344" s="11" t="s">
        <v>32</v>
      </c>
      <c r="H344" s="11" t="s">
        <v>41</v>
      </c>
      <c r="I344" s="11"/>
      <c r="J344" s="11"/>
      <c r="K344" s="11" t="s">
        <v>523</v>
      </c>
      <c r="L344" s="12"/>
      <c r="M344" s="12"/>
      <c r="N344" s="49" t="s">
        <v>524</v>
      </c>
      <c r="O344" s="11" t="s">
        <v>43</v>
      </c>
      <c r="P344" s="11" t="s">
        <v>44</v>
      </c>
      <c r="Q344" s="11">
        <v>18611425182</v>
      </c>
      <c r="R344" s="11" t="s">
        <v>45</v>
      </c>
      <c r="S344" s="11" t="s">
        <v>46</v>
      </c>
      <c r="T344" s="11"/>
    </row>
    <row r="345" spans="1:20" ht="24" customHeight="1">
      <c r="A345" s="15"/>
      <c r="B345" s="11" t="s">
        <v>176</v>
      </c>
      <c r="C345" s="11" t="s">
        <v>525</v>
      </c>
      <c r="D345" s="11" t="s">
        <v>131</v>
      </c>
      <c r="E345" s="11">
        <v>8</v>
      </c>
      <c r="F345" s="11">
        <v>1.982</v>
      </c>
      <c r="G345" s="11" t="s">
        <v>32</v>
      </c>
      <c r="H345" s="11" t="s">
        <v>41</v>
      </c>
      <c r="I345" s="11"/>
      <c r="J345" s="11"/>
      <c r="K345" s="11" t="s">
        <v>523</v>
      </c>
      <c r="L345" s="12"/>
      <c r="M345" s="12"/>
      <c r="N345" s="49" t="s">
        <v>524</v>
      </c>
      <c r="O345" s="11" t="s">
        <v>43</v>
      </c>
      <c r="P345" s="11" t="s">
        <v>44</v>
      </c>
      <c r="Q345" s="11">
        <v>18611425182</v>
      </c>
      <c r="R345" s="11" t="s">
        <v>45</v>
      </c>
      <c r="S345" s="11" t="s">
        <v>46</v>
      </c>
      <c r="T345" s="11"/>
    </row>
    <row r="346" spans="1:20" s="14" customFormat="1" ht="24" customHeight="1">
      <c r="A346" s="15"/>
      <c r="B346" s="11" t="s">
        <v>526</v>
      </c>
      <c r="C346" s="11" t="s">
        <v>527</v>
      </c>
      <c r="D346" s="11" t="s">
        <v>464</v>
      </c>
      <c r="E346" s="11" t="s">
        <v>528</v>
      </c>
      <c r="F346" s="11">
        <v>6.0730000000000004</v>
      </c>
      <c r="G346" s="11" t="s">
        <v>32</v>
      </c>
      <c r="H346" s="11" t="s">
        <v>41</v>
      </c>
      <c r="I346" s="11"/>
      <c r="J346" s="11"/>
      <c r="K346" s="11" t="s">
        <v>521</v>
      </c>
      <c r="L346" s="12"/>
      <c r="M346" s="12"/>
      <c r="N346" s="11">
        <v>2018.6</v>
      </c>
      <c r="O346" s="11" t="s">
        <v>43</v>
      </c>
      <c r="P346" s="11" t="s">
        <v>44</v>
      </c>
      <c r="Q346" s="11">
        <v>18611425182</v>
      </c>
      <c r="R346" s="11" t="s">
        <v>45</v>
      </c>
      <c r="S346" s="11" t="s">
        <v>46</v>
      </c>
      <c r="T346" s="11"/>
    </row>
    <row r="347" spans="1:20" s="14" customFormat="1" ht="24" customHeight="1">
      <c r="A347" s="15"/>
      <c r="B347" s="11" t="s">
        <v>526</v>
      </c>
      <c r="C347" s="11" t="s">
        <v>529</v>
      </c>
      <c r="D347" s="11" t="s">
        <v>464</v>
      </c>
      <c r="E347" s="11" t="s">
        <v>530</v>
      </c>
      <c r="F347" s="11">
        <v>4.7240000000000002</v>
      </c>
      <c r="G347" s="11" t="s">
        <v>32</v>
      </c>
      <c r="H347" s="11" t="s">
        <v>41</v>
      </c>
      <c r="I347" s="11"/>
      <c r="J347" s="11"/>
      <c r="K347" s="11" t="s">
        <v>521</v>
      </c>
      <c r="L347" s="12"/>
      <c r="M347" s="12"/>
      <c r="N347" s="11">
        <v>2018.6</v>
      </c>
      <c r="O347" s="11" t="s">
        <v>43</v>
      </c>
      <c r="P347" s="11" t="s">
        <v>44</v>
      </c>
      <c r="Q347" s="11">
        <v>18611425182</v>
      </c>
      <c r="R347" s="11" t="s">
        <v>45</v>
      </c>
      <c r="S347" s="11" t="s">
        <v>46</v>
      </c>
      <c r="T347" s="11"/>
    </row>
    <row r="348" spans="1:20" s="14" customFormat="1" ht="24" customHeight="1">
      <c r="A348" s="15"/>
      <c r="B348" s="11" t="s">
        <v>526</v>
      </c>
      <c r="C348" s="11" t="s">
        <v>531</v>
      </c>
      <c r="D348" s="11" t="s">
        <v>464</v>
      </c>
      <c r="E348" s="11" t="s">
        <v>532</v>
      </c>
      <c r="F348" s="11">
        <v>9.66</v>
      </c>
      <c r="G348" s="11" t="s">
        <v>32</v>
      </c>
      <c r="H348" s="11" t="s">
        <v>41</v>
      </c>
      <c r="I348" s="11"/>
      <c r="J348" s="11"/>
      <c r="K348" s="11" t="s">
        <v>167</v>
      </c>
      <c r="L348" s="12"/>
      <c r="M348" s="12"/>
      <c r="N348" s="11">
        <v>2018.6</v>
      </c>
      <c r="O348" s="11" t="s">
        <v>43</v>
      </c>
      <c r="P348" s="11" t="s">
        <v>44</v>
      </c>
      <c r="Q348" s="11">
        <v>18611425182</v>
      </c>
      <c r="R348" s="11" t="s">
        <v>45</v>
      </c>
      <c r="S348" s="11" t="s">
        <v>46</v>
      </c>
      <c r="T348" s="11"/>
    </row>
    <row r="349" spans="1:20" s="14" customFormat="1" ht="24" customHeight="1">
      <c r="A349" s="15"/>
      <c r="B349" s="11" t="s">
        <v>526</v>
      </c>
      <c r="C349" s="11" t="s">
        <v>533</v>
      </c>
      <c r="D349" s="11" t="s">
        <v>464</v>
      </c>
      <c r="E349" s="11" t="s">
        <v>534</v>
      </c>
      <c r="F349" s="11">
        <v>2.0110000000000001</v>
      </c>
      <c r="G349" s="11" t="s">
        <v>32</v>
      </c>
      <c r="H349" s="11" t="s">
        <v>41</v>
      </c>
      <c r="I349" s="11"/>
      <c r="J349" s="11"/>
      <c r="K349" s="11" t="s">
        <v>535</v>
      </c>
      <c r="L349" s="12"/>
      <c r="M349" s="12"/>
      <c r="N349" s="11">
        <v>2018.6</v>
      </c>
      <c r="O349" s="11" t="s">
        <v>43</v>
      </c>
      <c r="P349" s="11" t="s">
        <v>44</v>
      </c>
      <c r="Q349" s="11">
        <v>18611425182</v>
      </c>
      <c r="R349" s="11" t="s">
        <v>45</v>
      </c>
      <c r="S349" s="11" t="s">
        <v>46</v>
      </c>
      <c r="T349" s="11"/>
    </row>
    <row r="350" spans="1:20" s="14" customFormat="1" ht="24" customHeight="1">
      <c r="A350" s="15"/>
      <c r="B350" s="11" t="s">
        <v>526</v>
      </c>
      <c r="C350" s="11" t="s">
        <v>536</v>
      </c>
      <c r="D350" s="11" t="s">
        <v>464</v>
      </c>
      <c r="E350" s="11" t="s">
        <v>537</v>
      </c>
      <c r="F350" s="11">
        <v>0.36899999999999999</v>
      </c>
      <c r="G350" s="11" t="s">
        <v>32</v>
      </c>
      <c r="H350" s="11" t="s">
        <v>41</v>
      </c>
      <c r="I350" s="11"/>
      <c r="J350" s="11"/>
      <c r="K350" s="11" t="s">
        <v>535</v>
      </c>
      <c r="L350" s="12"/>
      <c r="M350" s="12"/>
      <c r="N350" s="11">
        <v>2018.6</v>
      </c>
      <c r="O350" s="11" t="s">
        <v>43</v>
      </c>
      <c r="P350" s="11" t="s">
        <v>44</v>
      </c>
      <c r="Q350" s="11">
        <v>18611425182</v>
      </c>
      <c r="R350" s="11" t="s">
        <v>45</v>
      </c>
      <c r="S350" s="11" t="s">
        <v>46</v>
      </c>
      <c r="T350" s="11"/>
    </row>
    <row r="351" spans="1:20" s="14" customFormat="1" ht="24" customHeight="1">
      <c r="A351" s="15"/>
      <c r="B351" s="11" t="s">
        <v>526</v>
      </c>
      <c r="C351" s="11" t="s">
        <v>538</v>
      </c>
      <c r="D351" s="11" t="s">
        <v>464</v>
      </c>
      <c r="E351" s="11" t="s">
        <v>539</v>
      </c>
      <c r="F351" s="11">
        <v>0.59399999999999997</v>
      </c>
      <c r="G351" s="11" t="s">
        <v>32</v>
      </c>
      <c r="H351" s="11" t="s">
        <v>41</v>
      </c>
      <c r="I351" s="11"/>
      <c r="J351" s="11"/>
      <c r="K351" s="11" t="s">
        <v>535</v>
      </c>
      <c r="L351" s="12"/>
      <c r="M351" s="12"/>
      <c r="N351" s="11">
        <v>2018.6</v>
      </c>
      <c r="O351" s="11" t="s">
        <v>43</v>
      </c>
      <c r="P351" s="11" t="s">
        <v>44</v>
      </c>
      <c r="Q351" s="11">
        <v>18611425182</v>
      </c>
      <c r="R351" s="11" t="s">
        <v>45</v>
      </c>
      <c r="S351" s="11" t="s">
        <v>46</v>
      </c>
      <c r="T351" s="11"/>
    </row>
    <row r="352" spans="1:20" s="14" customFormat="1" ht="24" customHeight="1">
      <c r="A352" s="15"/>
      <c r="B352" s="11" t="s">
        <v>526</v>
      </c>
      <c r="C352" s="11" t="s">
        <v>540</v>
      </c>
      <c r="D352" s="11" t="s">
        <v>464</v>
      </c>
      <c r="E352" s="11" t="s">
        <v>537</v>
      </c>
      <c r="F352" s="11">
        <v>0.18099999999999999</v>
      </c>
      <c r="G352" s="11" t="s">
        <v>32</v>
      </c>
      <c r="H352" s="11" t="s">
        <v>41</v>
      </c>
      <c r="I352" s="11"/>
      <c r="J352" s="11"/>
      <c r="K352" s="11" t="s">
        <v>535</v>
      </c>
      <c r="L352" s="12"/>
      <c r="M352" s="12"/>
      <c r="N352" s="11">
        <v>2018.6</v>
      </c>
      <c r="O352" s="11" t="s">
        <v>43</v>
      </c>
      <c r="P352" s="11" t="s">
        <v>44</v>
      </c>
      <c r="Q352" s="11">
        <v>18611425182</v>
      </c>
      <c r="R352" s="11" t="s">
        <v>45</v>
      </c>
      <c r="S352" s="11" t="s">
        <v>46</v>
      </c>
      <c r="T352" s="11"/>
    </row>
    <row r="353" spans="1:20" s="14" customFormat="1" ht="24" customHeight="1">
      <c r="A353" s="15"/>
      <c r="B353" s="11" t="s">
        <v>526</v>
      </c>
      <c r="C353" s="11" t="s">
        <v>536</v>
      </c>
      <c r="D353" s="11" t="s">
        <v>464</v>
      </c>
      <c r="E353" s="11" t="s">
        <v>537</v>
      </c>
      <c r="F353" s="11">
        <v>0.36299999999999999</v>
      </c>
      <c r="G353" s="11" t="s">
        <v>32</v>
      </c>
      <c r="H353" s="11" t="s">
        <v>41</v>
      </c>
      <c r="I353" s="11"/>
      <c r="J353" s="11"/>
      <c r="K353" s="11" t="s">
        <v>535</v>
      </c>
      <c r="L353" s="12"/>
      <c r="M353" s="12"/>
      <c r="N353" s="11">
        <v>2018.6</v>
      </c>
      <c r="O353" s="11" t="s">
        <v>43</v>
      </c>
      <c r="P353" s="11" t="s">
        <v>44</v>
      </c>
      <c r="Q353" s="11">
        <v>18611425182</v>
      </c>
      <c r="R353" s="11" t="s">
        <v>45</v>
      </c>
      <c r="S353" s="11" t="s">
        <v>46</v>
      </c>
      <c r="T353" s="11"/>
    </row>
    <row r="354" spans="1:20" s="14" customFormat="1" ht="24" customHeight="1">
      <c r="A354" s="15"/>
      <c r="B354" s="11" t="s">
        <v>526</v>
      </c>
      <c r="C354" s="11" t="s">
        <v>541</v>
      </c>
      <c r="D354" s="11" t="s">
        <v>464</v>
      </c>
      <c r="E354" s="11" t="s">
        <v>542</v>
      </c>
      <c r="F354" s="11">
        <v>0.24199999999999999</v>
      </c>
      <c r="G354" s="11" t="s">
        <v>32</v>
      </c>
      <c r="H354" s="11" t="s">
        <v>41</v>
      </c>
      <c r="I354" s="11"/>
      <c r="J354" s="11"/>
      <c r="K354" s="11" t="s">
        <v>535</v>
      </c>
      <c r="L354" s="12"/>
      <c r="M354" s="12"/>
      <c r="N354" s="11">
        <v>2018.6</v>
      </c>
      <c r="O354" s="11" t="s">
        <v>43</v>
      </c>
      <c r="P354" s="11" t="s">
        <v>44</v>
      </c>
      <c r="Q354" s="11">
        <v>18611425182</v>
      </c>
      <c r="R354" s="11" t="s">
        <v>45</v>
      </c>
      <c r="S354" s="11" t="s">
        <v>46</v>
      </c>
      <c r="T354" s="11"/>
    </row>
    <row r="355" spans="1:20" s="14" customFormat="1" ht="24" customHeight="1">
      <c r="A355" s="15"/>
      <c r="B355" s="11" t="s">
        <v>526</v>
      </c>
      <c r="C355" s="11" t="s">
        <v>543</v>
      </c>
      <c r="D355" s="11" t="s">
        <v>464</v>
      </c>
      <c r="E355" s="11" t="s">
        <v>537</v>
      </c>
      <c r="F355" s="11">
        <v>0.59599999999999997</v>
      </c>
      <c r="G355" s="11" t="s">
        <v>32</v>
      </c>
      <c r="H355" s="11" t="s">
        <v>41</v>
      </c>
      <c r="I355" s="11"/>
      <c r="J355" s="11"/>
      <c r="K355" s="11" t="s">
        <v>535</v>
      </c>
      <c r="L355" s="12"/>
      <c r="M355" s="12"/>
      <c r="N355" s="11">
        <v>2018.6</v>
      </c>
      <c r="O355" s="11" t="s">
        <v>43</v>
      </c>
      <c r="P355" s="11" t="s">
        <v>44</v>
      </c>
      <c r="Q355" s="11">
        <v>18611425182</v>
      </c>
      <c r="R355" s="11" t="s">
        <v>45</v>
      </c>
      <c r="S355" s="11" t="s">
        <v>46</v>
      </c>
      <c r="T355" s="11"/>
    </row>
    <row r="356" spans="1:20" s="14" customFormat="1" ht="24" customHeight="1">
      <c r="A356" s="15"/>
      <c r="B356" s="11" t="s">
        <v>526</v>
      </c>
      <c r="C356" s="11" t="s">
        <v>544</v>
      </c>
      <c r="D356" s="11" t="s">
        <v>464</v>
      </c>
      <c r="E356" s="11" t="s">
        <v>542</v>
      </c>
      <c r="F356" s="11">
        <v>0.81100000000000005</v>
      </c>
      <c r="G356" s="11" t="s">
        <v>32</v>
      </c>
      <c r="H356" s="11" t="s">
        <v>41</v>
      </c>
      <c r="I356" s="11"/>
      <c r="J356" s="11"/>
      <c r="K356" s="11" t="s">
        <v>535</v>
      </c>
      <c r="L356" s="12"/>
      <c r="M356" s="12"/>
      <c r="N356" s="11">
        <v>2018.6</v>
      </c>
      <c r="O356" s="11" t="s">
        <v>43</v>
      </c>
      <c r="P356" s="11" t="s">
        <v>44</v>
      </c>
      <c r="Q356" s="11">
        <v>18611425182</v>
      </c>
      <c r="R356" s="11" t="s">
        <v>45</v>
      </c>
      <c r="S356" s="11" t="s">
        <v>46</v>
      </c>
      <c r="T356" s="11"/>
    </row>
    <row r="357" spans="1:20" s="14" customFormat="1" ht="24" customHeight="1">
      <c r="A357" s="15"/>
      <c r="B357" s="11" t="s">
        <v>526</v>
      </c>
      <c r="C357" s="11" t="s">
        <v>545</v>
      </c>
      <c r="D357" s="11" t="s">
        <v>464</v>
      </c>
      <c r="E357" s="11" t="s">
        <v>542</v>
      </c>
      <c r="F357" s="11">
        <v>1.276</v>
      </c>
      <c r="G357" s="11" t="s">
        <v>32</v>
      </c>
      <c r="H357" s="11" t="s">
        <v>41</v>
      </c>
      <c r="I357" s="11"/>
      <c r="J357" s="11"/>
      <c r="K357" s="11" t="s">
        <v>535</v>
      </c>
      <c r="L357" s="12"/>
      <c r="M357" s="12"/>
      <c r="N357" s="11">
        <v>2018.6</v>
      </c>
      <c r="O357" s="11" t="s">
        <v>43</v>
      </c>
      <c r="P357" s="11" t="s">
        <v>44</v>
      </c>
      <c r="Q357" s="11">
        <v>18611425182</v>
      </c>
      <c r="R357" s="11" t="s">
        <v>45</v>
      </c>
      <c r="S357" s="11" t="s">
        <v>46</v>
      </c>
      <c r="T357" s="11"/>
    </row>
    <row r="358" spans="1:20" s="14" customFormat="1" ht="24" customHeight="1">
      <c r="A358" s="15"/>
      <c r="B358" s="11" t="s">
        <v>526</v>
      </c>
      <c r="C358" s="11" t="s">
        <v>546</v>
      </c>
      <c r="D358" s="11" t="s">
        <v>464</v>
      </c>
      <c r="E358" s="11" t="s">
        <v>547</v>
      </c>
      <c r="F358" s="11">
        <v>1.1419999999999999</v>
      </c>
      <c r="G358" s="11" t="s">
        <v>32</v>
      </c>
      <c r="H358" s="11" t="s">
        <v>41</v>
      </c>
      <c r="I358" s="11"/>
      <c r="J358" s="11"/>
      <c r="K358" s="11" t="s">
        <v>548</v>
      </c>
      <c r="L358" s="12"/>
      <c r="M358" s="12"/>
      <c r="N358" s="11">
        <v>2018.6</v>
      </c>
      <c r="O358" s="11" t="s">
        <v>43</v>
      </c>
      <c r="P358" s="11" t="s">
        <v>44</v>
      </c>
      <c r="Q358" s="11">
        <v>18611425182</v>
      </c>
      <c r="R358" s="11" t="s">
        <v>45</v>
      </c>
      <c r="S358" s="11" t="s">
        <v>46</v>
      </c>
      <c r="T358" s="11"/>
    </row>
    <row r="359" spans="1:20" s="14" customFormat="1" ht="24" customHeight="1">
      <c r="A359" s="15"/>
      <c r="B359" s="11" t="s">
        <v>526</v>
      </c>
      <c r="C359" s="11" t="s">
        <v>549</v>
      </c>
      <c r="D359" s="11" t="s">
        <v>161</v>
      </c>
      <c r="E359" s="11">
        <v>1157.9000000000001</v>
      </c>
      <c r="F359" s="11">
        <v>83.643000000000001</v>
      </c>
      <c r="G359" s="11" t="s">
        <v>32</v>
      </c>
      <c r="H359" s="11" t="s">
        <v>41</v>
      </c>
      <c r="I359" s="11"/>
      <c r="J359" s="11"/>
      <c r="K359" s="11" t="s">
        <v>550</v>
      </c>
      <c r="L359" s="12"/>
      <c r="M359" s="12"/>
      <c r="N359" s="11">
        <v>2018.6</v>
      </c>
      <c r="O359" s="11" t="s">
        <v>43</v>
      </c>
      <c r="P359" s="11" t="s">
        <v>44</v>
      </c>
      <c r="Q359" s="11">
        <v>18611425182</v>
      </c>
      <c r="R359" s="11" t="s">
        <v>45</v>
      </c>
      <c r="S359" s="11" t="s">
        <v>46</v>
      </c>
      <c r="T359" s="11"/>
    </row>
    <row r="360" spans="1:20" s="14" customFormat="1" ht="24" hidden="1" customHeight="1">
      <c r="A360" s="15"/>
      <c r="B360" s="11" t="s">
        <v>526</v>
      </c>
      <c r="C360" s="11" t="s">
        <v>549</v>
      </c>
      <c r="D360" s="11" t="s">
        <v>161</v>
      </c>
      <c r="E360" s="11">
        <v>242</v>
      </c>
      <c r="F360" s="11">
        <v>19.78</v>
      </c>
      <c r="G360" s="11" t="s">
        <v>32</v>
      </c>
      <c r="H360" s="11" t="s">
        <v>33</v>
      </c>
      <c r="I360" s="11"/>
      <c r="J360" s="11"/>
      <c r="K360" s="11" t="s">
        <v>550</v>
      </c>
      <c r="L360" s="12"/>
      <c r="M360" s="12"/>
      <c r="N360" s="11">
        <v>2018.6</v>
      </c>
      <c r="O360" s="11" t="s">
        <v>551</v>
      </c>
      <c r="P360" s="11" t="s">
        <v>44</v>
      </c>
      <c r="Q360" s="11">
        <v>18611425182</v>
      </c>
      <c r="R360" s="11" t="s">
        <v>45</v>
      </c>
      <c r="S360" s="11" t="s">
        <v>46</v>
      </c>
      <c r="T360" s="11"/>
    </row>
    <row r="361" spans="1:20" s="14" customFormat="1" ht="24" customHeight="1">
      <c r="A361" s="15"/>
      <c r="B361" s="11" t="s">
        <v>526</v>
      </c>
      <c r="C361" s="11" t="s">
        <v>378</v>
      </c>
      <c r="D361" s="11" t="s">
        <v>161</v>
      </c>
      <c r="E361" s="11" t="s">
        <v>552</v>
      </c>
      <c r="F361" s="11">
        <v>0.95099999999999996</v>
      </c>
      <c r="G361" s="11" t="s">
        <v>32</v>
      </c>
      <c r="H361" s="11" t="s">
        <v>41</v>
      </c>
      <c r="I361" s="11"/>
      <c r="J361" s="11"/>
      <c r="K361" s="11" t="s">
        <v>550</v>
      </c>
      <c r="L361" s="12"/>
      <c r="M361" s="12"/>
      <c r="N361" s="11">
        <v>2018.6</v>
      </c>
      <c r="O361" s="11" t="s">
        <v>43</v>
      </c>
      <c r="P361" s="11" t="s">
        <v>44</v>
      </c>
      <c r="Q361" s="11">
        <v>18611425182</v>
      </c>
      <c r="R361" s="11" t="s">
        <v>45</v>
      </c>
      <c r="S361" s="11" t="s">
        <v>46</v>
      </c>
      <c r="T361" s="11"/>
    </row>
    <row r="362" spans="1:20" s="14" customFormat="1" ht="24" customHeight="1">
      <c r="A362" s="15"/>
      <c r="B362" s="11" t="s">
        <v>526</v>
      </c>
      <c r="C362" s="11" t="s">
        <v>553</v>
      </c>
      <c r="D362" s="11" t="s">
        <v>161</v>
      </c>
      <c r="E362" s="11" t="s">
        <v>554</v>
      </c>
      <c r="F362" s="11">
        <v>1.962</v>
      </c>
      <c r="G362" s="11" t="s">
        <v>32</v>
      </c>
      <c r="H362" s="11" t="s">
        <v>41</v>
      </c>
      <c r="I362" s="11"/>
      <c r="J362" s="11"/>
      <c r="K362" s="11" t="s">
        <v>550</v>
      </c>
      <c r="L362" s="12"/>
      <c r="M362" s="12"/>
      <c r="N362" s="11">
        <v>2018.6</v>
      </c>
      <c r="O362" s="11" t="s">
        <v>43</v>
      </c>
      <c r="P362" s="11" t="s">
        <v>44</v>
      </c>
      <c r="Q362" s="11">
        <v>18611425182</v>
      </c>
      <c r="R362" s="11" t="s">
        <v>45</v>
      </c>
      <c r="S362" s="11" t="s">
        <v>46</v>
      </c>
      <c r="T362" s="11"/>
    </row>
    <row r="363" spans="1:20" s="14" customFormat="1" ht="24" customHeight="1">
      <c r="A363" s="15"/>
      <c r="B363" s="11" t="s">
        <v>526</v>
      </c>
      <c r="C363" s="11" t="s">
        <v>555</v>
      </c>
      <c r="D363" s="11" t="s">
        <v>161</v>
      </c>
      <c r="E363" s="11" t="s">
        <v>556</v>
      </c>
      <c r="F363" s="11">
        <v>2.0390000000000001</v>
      </c>
      <c r="G363" s="11" t="s">
        <v>32</v>
      </c>
      <c r="H363" s="11" t="s">
        <v>41</v>
      </c>
      <c r="I363" s="11"/>
      <c r="J363" s="11"/>
      <c r="K363" s="11" t="s">
        <v>550</v>
      </c>
      <c r="L363" s="12"/>
      <c r="M363" s="12"/>
      <c r="N363" s="11">
        <v>2018.6</v>
      </c>
      <c r="O363" s="11" t="s">
        <v>43</v>
      </c>
      <c r="P363" s="11" t="s">
        <v>44</v>
      </c>
      <c r="Q363" s="11">
        <v>18611425182</v>
      </c>
      <c r="R363" s="11" t="s">
        <v>45</v>
      </c>
      <c r="S363" s="11" t="s">
        <v>46</v>
      </c>
      <c r="T363" s="11"/>
    </row>
    <row r="364" spans="1:20" s="14" customFormat="1" ht="24" customHeight="1">
      <c r="A364" s="15"/>
      <c r="B364" s="11" t="s">
        <v>526</v>
      </c>
      <c r="C364" s="11" t="s">
        <v>557</v>
      </c>
      <c r="D364" s="11" t="s">
        <v>161</v>
      </c>
      <c r="E364" s="11" t="s">
        <v>558</v>
      </c>
      <c r="F364" s="11">
        <v>1.417</v>
      </c>
      <c r="G364" s="11" t="s">
        <v>32</v>
      </c>
      <c r="H364" s="11" t="s">
        <v>41</v>
      </c>
      <c r="I364" s="11"/>
      <c r="J364" s="11"/>
      <c r="K364" s="11" t="s">
        <v>550</v>
      </c>
      <c r="L364" s="12"/>
      <c r="M364" s="12"/>
      <c r="N364" s="11">
        <v>2018.6</v>
      </c>
      <c r="O364" s="11" t="s">
        <v>43</v>
      </c>
      <c r="P364" s="11" t="s">
        <v>44</v>
      </c>
      <c r="Q364" s="11">
        <v>18611425182</v>
      </c>
      <c r="R364" s="11" t="s">
        <v>45</v>
      </c>
      <c r="S364" s="11" t="s">
        <v>46</v>
      </c>
      <c r="T364" s="11"/>
    </row>
    <row r="365" spans="1:20" s="14" customFormat="1" ht="24" customHeight="1">
      <c r="A365" s="15"/>
      <c r="B365" s="11" t="s">
        <v>559</v>
      </c>
      <c r="C365" s="11" t="s">
        <v>560</v>
      </c>
      <c r="D365" s="11" t="s">
        <v>464</v>
      </c>
      <c r="E365" s="11">
        <v>12</v>
      </c>
      <c r="F365" s="11">
        <v>26.006</v>
      </c>
      <c r="G365" s="11" t="s">
        <v>32</v>
      </c>
      <c r="H365" s="11" t="s">
        <v>41</v>
      </c>
      <c r="I365" s="11"/>
      <c r="J365" s="11"/>
      <c r="K365" s="11" t="s">
        <v>561</v>
      </c>
      <c r="L365" s="12"/>
      <c r="M365" s="12">
        <v>52012</v>
      </c>
      <c r="N365" s="11">
        <v>2018.6</v>
      </c>
      <c r="O365" s="11" t="s">
        <v>43</v>
      </c>
      <c r="P365" s="11" t="s">
        <v>44</v>
      </c>
      <c r="Q365" s="11">
        <v>18611425182</v>
      </c>
      <c r="R365" s="11" t="s">
        <v>45</v>
      </c>
      <c r="S365" s="11" t="s">
        <v>46</v>
      </c>
      <c r="T365" s="11"/>
    </row>
    <row r="366" spans="1:20" s="14" customFormat="1" ht="24" customHeight="1">
      <c r="A366" s="15"/>
      <c r="B366" s="11" t="s">
        <v>514</v>
      </c>
      <c r="C366" s="11"/>
      <c r="D366" s="11" t="s">
        <v>62</v>
      </c>
      <c r="E366" s="11"/>
      <c r="F366" s="11">
        <v>2.4569999999999999</v>
      </c>
      <c r="G366" s="11" t="s">
        <v>32</v>
      </c>
      <c r="H366" s="11" t="s">
        <v>41</v>
      </c>
      <c r="I366" s="11"/>
      <c r="J366" s="11"/>
      <c r="K366" s="11" t="s">
        <v>562</v>
      </c>
      <c r="L366" s="12"/>
      <c r="M366" s="12">
        <v>4914</v>
      </c>
      <c r="N366" s="11"/>
      <c r="O366" s="11" t="s">
        <v>43</v>
      </c>
      <c r="P366" s="11" t="s">
        <v>44</v>
      </c>
      <c r="Q366" s="11">
        <v>18611425182</v>
      </c>
      <c r="R366" s="11" t="s">
        <v>45</v>
      </c>
      <c r="S366" s="11" t="s">
        <v>46</v>
      </c>
      <c r="T366" s="11"/>
    </row>
    <row r="367" spans="1:20" s="14" customFormat="1" ht="24" hidden="1" customHeight="1">
      <c r="A367" s="15"/>
      <c r="B367" s="11" t="s">
        <v>514</v>
      </c>
      <c r="C367" s="11" t="s">
        <v>563</v>
      </c>
      <c r="D367" s="11" t="s">
        <v>62</v>
      </c>
      <c r="E367" s="11"/>
      <c r="F367" s="11">
        <v>8.44</v>
      </c>
      <c r="G367" s="11" t="s">
        <v>32</v>
      </c>
      <c r="H367" s="11" t="s">
        <v>33</v>
      </c>
      <c r="I367" s="11"/>
      <c r="J367" s="11"/>
      <c r="K367" s="11" t="s">
        <v>564</v>
      </c>
      <c r="L367" s="12">
        <v>16880</v>
      </c>
      <c r="M367" s="12">
        <v>16880</v>
      </c>
      <c r="N367" s="11" t="s">
        <v>565</v>
      </c>
      <c r="O367" s="11" t="s">
        <v>43</v>
      </c>
      <c r="P367" s="11" t="s">
        <v>44</v>
      </c>
      <c r="Q367" s="11">
        <v>18611425182</v>
      </c>
      <c r="R367" s="11" t="s">
        <v>45</v>
      </c>
      <c r="S367" s="11" t="s">
        <v>46</v>
      </c>
      <c r="T367" s="11"/>
    </row>
    <row r="368" spans="1:20" s="14" customFormat="1" ht="24" hidden="1" customHeight="1">
      <c r="A368" s="15"/>
      <c r="B368" s="11" t="s">
        <v>514</v>
      </c>
      <c r="C368" s="11" t="s">
        <v>566</v>
      </c>
      <c r="D368" s="11" t="s">
        <v>62</v>
      </c>
      <c r="E368" s="11"/>
      <c r="F368" s="11">
        <v>3.36</v>
      </c>
      <c r="G368" s="11" t="s">
        <v>32</v>
      </c>
      <c r="H368" s="11" t="s">
        <v>33</v>
      </c>
      <c r="I368" s="11"/>
      <c r="J368" s="11"/>
      <c r="K368" s="11" t="s">
        <v>564</v>
      </c>
      <c r="L368" s="12">
        <v>6720</v>
      </c>
      <c r="M368" s="12">
        <v>6720</v>
      </c>
      <c r="N368" s="11" t="s">
        <v>565</v>
      </c>
      <c r="O368" s="11" t="s">
        <v>43</v>
      </c>
      <c r="P368" s="11" t="s">
        <v>44</v>
      </c>
      <c r="Q368" s="11">
        <v>18611425182</v>
      </c>
      <c r="R368" s="11" t="s">
        <v>45</v>
      </c>
      <c r="S368" s="11" t="s">
        <v>46</v>
      </c>
      <c r="T368" s="11"/>
    </row>
    <row r="369" spans="1:20" s="14" customFormat="1" ht="24" hidden="1" customHeight="1">
      <c r="A369" s="15"/>
      <c r="B369" s="11" t="s">
        <v>514</v>
      </c>
      <c r="C369" s="11" t="s">
        <v>567</v>
      </c>
      <c r="D369" s="11" t="s">
        <v>62</v>
      </c>
      <c r="E369" s="11"/>
      <c r="F369" s="11">
        <v>1.84</v>
      </c>
      <c r="G369" s="11" t="s">
        <v>32</v>
      </c>
      <c r="H369" s="11" t="s">
        <v>33</v>
      </c>
      <c r="I369" s="11"/>
      <c r="J369" s="11"/>
      <c r="K369" s="11" t="s">
        <v>564</v>
      </c>
      <c r="L369" s="12">
        <v>3680</v>
      </c>
      <c r="M369" s="12">
        <v>3680</v>
      </c>
      <c r="N369" s="11" t="s">
        <v>565</v>
      </c>
      <c r="O369" s="11" t="s">
        <v>43</v>
      </c>
      <c r="P369" s="11" t="s">
        <v>44</v>
      </c>
      <c r="Q369" s="11">
        <v>18611425182</v>
      </c>
      <c r="R369" s="11" t="s">
        <v>45</v>
      </c>
      <c r="S369" s="11" t="s">
        <v>46</v>
      </c>
      <c r="T369" s="11"/>
    </row>
    <row r="370" spans="1:20" s="14" customFormat="1" ht="24" hidden="1" customHeight="1">
      <c r="A370" s="15"/>
      <c r="B370" s="11" t="s">
        <v>514</v>
      </c>
      <c r="C370" s="11" t="s">
        <v>568</v>
      </c>
      <c r="D370" s="11" t="s">
        <v>62</v>
      </c>
      <c r="E370" s="11"/>
      <c r="F370" s="11">
        <v>3.44</v>
      </c>
      <c r="G370" s="11" t="s">
        <v>32</v>
      </c>
      <c r="H370" s="11" t="s">
        <v>33</v>
      </c>
      <c r="I370" s="11"/>
      <c r="J370" s="11"/>
      <c r="K370" s="11" t="s">
        <v>564</v>
      </c>
      <c r="L370" s="12">
        <v>6880</v>
      </c>
      <c r="M370" s="12">
        <v>6880</v>
      </c>
      <c r="N370" s="11" t="s">
        <v>565</v>
      </c>
      <c r="O370" s="11" t="s">
        <v>43</v>
      </c>
      <c r="P370" s="11" t="s">
        <v>44</v>
      </c>
      <c r="Q370" s="11">
        <v>18611425182</v>
      </c>
      <c r="R370" s="11" t="s">
        <v>45</v>
      </c>
      <c r="S370" s="11" t="s">
        <v>46</v>
      </c>
      <c r="T370" s="11"/>
    </row>
    <row r="371" spans="1:20" s="14" customFormat="1" ht="24" hidden="1" customHeight="1">
      <c r="A371" s="15"/>
      <c r="B371" s="11" t="s">
        <v>514</v>
      </c>
      <c r="C371" s="11" t="s">
        <v>569</v>
      </c>
      <c r="D371" s="11" t="s">
        <v>62</v>
      </c>
      <c r="E371" s="11"/>
      <c r="F371" s="11">
        <v>0.94</v>
      </c>
      <c r="G371" s="11" t="s">
        <v>32</v>
      </c>
      <c r="H371" s="11" t="s">
        <v>33</v>
      </c>
      <c r="I371" s="11"/>
      <c r="J371" s="11"/>
      <c r="K371" s="11" t="s">
        <v>564</v>
      </c>
      <c r="L371" s="12">
        <v>1880</v>
      </c>
      <c r="M371" s="12">
        <v>1880</v>
      </c>
      <c r="N371" s="11" t="s">
        <v>565</v>
      </c>
      <c r="O371" s="11" t="s">
        <v>43</v>
      </c>
      <c r="P371" s="11" t="s">
        <v>44</v>
      </c>
      <c r="Q371" s="11">
        <v>18611425182</v>
      </c>
      <c r="R371" s="11" t="s">
        <v>45</v>
      </c>
      <c r="S371" s="11" t="s">
        <v>46</v>
      </c>
      <c r="T371" s="11"/>
    </row>
    <row r="372" spans="1:20" s="14" customFormat="1" ht="24" hidden="1" customHeight="1">
      <c r="A372" s="15"/>
      <c r="B372" s="11" t="s">
        <v>514</v>
      </c>
      <c r="C372" s="11" t="s">
        <v>570</v>
      </c>
      <c r="D372" s="11" t="s">
        <v>62</v>
      </c>
      <c r="E372" s="11"/>
      <c r="F372" s="11">
        <v>3.01</v>
      </c>
      <c r="G372" s="11" t="s">
        <v>32</v>
      </c>
      <c r="H372" s="11" t="s">
        <v>33</v>
      </c>
      <c r="I372" s="11"/>
      <c r="J372" s="11"/>
      <c r="K372" s="11" t="s">
        <v>564</v>
      </c>
      <c r="L372" s="12">
        <v>6020</v>
      </c>
      <c r="M372" s="12">
        <v>6020</v>
      </c>
      <c r="N372" s="11" t="s">
        <v>565</v>
      </c>
      <c r="O372" s="11" t="s">
        <v>43</v>
      </c>
      <c r="P372" s="11" t="s">
        <v>44</v>
      </c>
      <c r="Q372" s="11">
        <v>18611425182</v>
      </c>
      <c r="R372" s="11" t="s">
        <v>45</v>
      </c>
      <c r="S372" s="11" t="s">
        <v>46</v>
      </c>
      <c r="T372" s="11"/>
    </row>
    <row r="373" spans="1:20" s="14" customFormat="1" ht="24" hidden="1" customHeight="1">
      <c r="A373" s="15"/>
      <c r="B373" s="11" t="s">
        <v>514</v>
      </c>
      <c r="C373" s="11" t="s">
        <v>571</v>
      </c>
      <c r="D373" s="11" t="s">
        <v>62</v>
      </c>
      <c r="E373" s="11"/>
      <c r="F373" s="11">
        <v>1.38</v>
      </c>
      <c r="G373" s="11" t="s">
        <v>32</v>
      </c>
      <c r="H373" s="11" t="s">
        <v>33</v>
      </c>
      <c r="I373" s="11"/>
      <c r="J373" s="11"/>
      <c r="K373" s="11" t="s">
        <v>564</v>
      </c>
      <c r="L373" s="12">
        <v>2760</v>
      </c>
      <c r="M373" s="12">
        <v>2760</v>
      </c>
      <c r="N373" s="11" t="s">
        <v>565</v>
      </c>
      <c r="O373" s="11" t="s">
        <v>43</v>
      </c>
      <c r="P373" s="11" t="s">
        <v>44</v>
      </c>
      <c r="Q373" s="11">
        <v>18611425182</v>
      </c>
      <c r="R373" s="11" t="s">
        <v>45</v>
      </c>
      <c r="S373" s="11" t="s">
        <v>46</v>
      </c>
      <c r="T373" s="11"/>
    </row>
    <row r="374" spans="1:20" s="14" customFormat="1" ht="24" customHeight="1">
      <c r="A374" s="15"/>
      <c r="B374" s="11" t="s">
        <v>514</v>
      </c>
      <c r="C374" s="11" t="s">
        <v>572</v>
      </c>
      <c r="D374" s="11" t="s">
        <v>62</v>
      </c>
      <c r="E374" s="11"/>
      <c r="F374" s="11">
        <v>2.83</v>
      </c>
      <c r="G374" s="11" t="s">
        <v>32</v>
      </c>
      <c r="H374" s="11" t="s">
        <v>41</v>
      </c>
      <c r="I374" s="11"/>
      <c r="J374" s="11"/>
      <c r="K374" s="11" t="s">
        <v>564</v>
      </c>
      <c r="L374" s="12">
        <v>5660</v>
      </c>
      <c r="M374" s="12">
        <v>5660</v>
      </c>
      <c r="N374" s="11" t="s">
        <v>565</v>
      </c>
      <c r="O374" s="11" t="s">
        <v>43</v>
      </c>
      <c r="P374" s="11" t="s">
        <v>44</v>
      </c>
      <c r="Q374" s="11">
        <v>18611425182</v>
      </c>
      <c r="R374" s="11" t="s">
        <v>45</v>
      </c>
      <c r="S374" s="11" t="s">
        <v>46</v>
      </c>
      <c r="T374" s="11"/>
    </row>
    <row r="375" spans="1:20" s="14" customFormat="1" ht="24" hidden="1" customHeight="1">
      <c r="A375" s="15"/>
      <c r="B375" s="11" t="s">
        <v>514</v>
      </c>
      <c r="C375" s="11" t="s">
        <v>573</v>
      </c>
      <c r="D375" s="11" t="s">
        <v>62</v>
      </c>
      <c r="E375" s="11"/>
      <c r="F375" s="11">
        <v>1.76</v>
      </c>
      <c r="G375" s="11" t="s">
        <v>32</v>
      </c>
      <c r="H375" s="11" t="s">
        <v>33</v>
      </c>
      <c r="I375" s="11"/>
      <c r="J375" s="11"/>
      <c r="K375" s="11" t="s">
        <v>564</v>
      </c>
      <c r="L375" s="12">
        <v>3520</v>
      </c>
      <c r="M375" s="12">
        <v>3520</v>
      </c>
      <c r="N375" s="11" t="s">
        <v>565</v>
      </c>
      <c r="O375" s="11" t="s">
        <v>43</v>
      </c>
      <c r="P375" s="11" t="s">
        <v>44</v>
      </c>
      <c r="Q375" s="11">
        <v>18611425182</v>
      </c>
      <c r="R375" s="11" t="s">
        <v>45</v>
      </c>
      <c r="S375" s="11" t="s">
        <v>46</v>
      </c>
      <c r="T375" s="11"/>
    </row>
    <row r="376" spans="1:20" s="14" customFormat="1" ht="24" customHeight="1">
      <c r="A376" s="15"/>
      <c r="B376" s="11" t="s">
        <v>514</v>
      </c>
      <c r="C376" s="11" t="s">
        <v>574</v>
      </c>
      <c r="D376" s="11" t="s">
        <v>62</v>
      </c>
      <c r="E376" s="11"/>
      <c r="F376" s="11">
        <v>1.32</v>
      </c>
      <c r="G376" s="11" t="s">
        <v>32</v>
      </c>
      <c r="H376" s="11" t="s">
        <v>41</v>
      </c>
      <c r="I376" s="11"/>
      <c r="J376" s="11"/>
      <c r="K376" s="11" t="s">
        <v>564</v>
      </c>
      <c r="L376" s="12">
        <v>2640</v>
      </c>
      <c r="M376" s="12">
        <v>2640</v>
      </c>
      <c r="N376" s="11" t="s">
        <v>565</v>
      </c>
      <c r="O376" s="11" t="s">
        <v>43</v>
      </c>
      <c r="P376" s="11" t="s">
        <v>44</v>
      </c>
      <c r="Q376" s="11">
        <v>18611425182</v>
      </c>
      <c r="R376" s="11" t="s">
        <v>45</v>
      </c>
      <c r="S376" s="11" t="s">
        <v>46</v>
      </c>
      <c r="T376" s="11"/>
    </row>
    <row r="377" spans="1:20" s="14" customFormat="1" ht="24" customHeight="1">
      <c r="A377" s="15"/>
      <c r="B377" s="11" t="s">
        <v>514</v>
      </c>
      <c r="C377" s="11" t="s">
        <v>575</v>
      </c>
      <c r="D377" s="11" t="s">
        <v>62</v>
      </c>
      <c r="E377" s="11"/>
      <c r="F377" s="11">
        <v>1.88</v>
      </c>
      <c r="G377" s="11" t="s">
        <v>32</v>
      </c>
      <c r="H377" s="11" t="s">
        <v>41</v>
      </c>
      <c r="I377" s="11"/>
      <c r="J377" s="11"/>
      <c r="K377" s="11" t="s">
        <v>564</v>
      </c>
      <c r="L377" s="12">
        <v>3760</v>
      </c>
      <c r="M377" s="12">
        <v>3760</v>
      </c>
      <c r="N377" s="11" t="s">
        <v>565</v>
      </c>
      <c r="O377" s="11" t="s">
        <v>43</v>
      </c>
      <c r="P377" s="11" t="s">
        <v>44</v>
      </c>
      <c r="Q377" s="11">
        <v>18611425182</v>
      </c>
      <c r="R377" s="11" t="s">
        <v>45</v>
      </c>
      <c r="S377" s="11" t="s">
        <v>46</v>
      </c>
      <c r="T377" s="11"/>
    </row>
    <row r="378" spans="1:20" s="14" customFormat="1" ht="24" hidden="1" customHeight="1">
      <c r="A378" s="15"/>
      <c r="B378" s="11" t="s">
        <v>526</v>
      </c>
      <c r="C378" s="11" t="s">
        <v>576</v>
      </c>
      <c r="D378" s="11" t="s">
        <v>464</v>
      </c>
      <c r="E378" s="11">
        <v>283</v>
      </c>
      <c r="F378" s="11">
        <v>69.617999999999995</v>
      </c>
      <c r="G378" s="11" t="s">
        <v>32</v>
      </c>
      <c r="H378" s="11" t="s">
        <v>33</v>
      </c>
      <c r="I378" s="11"/>
      <c r="J378" s="11"/>
      <c r="K378" s="11" t="s">
        <v>577</v>
      </c>
      <c r="L378" s="12"/>
      <c r="M378" s="12"/>
      <c r="N378" s="11">
        <v>2021.7</v>
      </c>
      <c r="O378" s="11" t="s">
        <v>578</v>
      </c>
      <c r="P378" s="11" t="s">
        <v>249</v>
      </c>
      <c r="Q378" s="11">
        <v>17731886960</v>
      </c>
      <c r="R378" s="11" t="s">
        <v>250</v>
      </c>
      <c r="S378" s="11" t="s">
        <v>46</v>
      </c>
      <c r="T378" s="11"/>
    </row>
    <row r="379" spans="1:20" s="14" customFormat="1" ht="24" hidden="1" customHeight="1">
      <c r="A379" s="15"/>
      <c r="B379" s="11" t="s">
        <v>526</v>
      </c>
      <c r="C379" s="11" t="s">
        <v>579</v>
      </c>
      <c r="D379" s="11" t="s">
        <v>464</v>
      </c>
      <c r="E379" s="11">
        <v>16</v>
      </c>
      <c r="F379" s="11">
        <v>1.6220000000000001</v>
      </c>
      <c r="G379" s="11" t="s">
        <v>32</v>
      </c>
      <c r="H379" s="11" t="s">
        <v>33</v>
      </c>
      <c r="I379" s="11"/>
      <c r="J379" s="11"/>
      <c r="K379" s="11" t="s">
        <v>577</v>
      </c>
      <c r="L379" s="12"/>
      <c r="M379" s="12"/>
      <c r="N379" s="11">
        <v>2021.8</v>
      </c>
      <c r="O379" s="11" t="s">
        <v>578</v>
      </c>
      <c r="P379" s="11" t="s">
        <v>249</v>
      </c>
      <c r="Q379" s="11">
        <v>17731886961</v>
      </c>
      <c r="R379" s="11" t="s">
        <v>250</v>
      </c>
      <c r="S379" s="11" t="s">
        <v>46</v>
      </c>
      <c r="T379" s="11"/>
    </row>
    <row r="380" spans="1:20" s="14" customFormat="1" ht="24" hidden="1" customHeight="1">
      <c r="A380" s="15"/>
      <c r="B380" s="11" t="s">
        <v>526</v>
      </c>
      <c r="C380" s="11" t="s">
        <v>580</v>
      </c>
      <c r="D380" s="11" t="s">
        <v>464</v>
      </c>
      <c r="E380" s="11">
        <v>147</v>
      </c>
      <c r="F380" s="11">
        <v>183.33699999999999</v>
      </c>
      <c r="G380" s="11" t="s">
        <v>32</v>
      </c>
      <c r="H380" s="11" t="s">
        <v>33</v>
      </c>
      <c r="I380" s="11"/>
      <c r="J380" s="11"/>
      <c r="K380" s="11" t="s">
        <v>577</v>
      </c>
      <c r="L380" s="12"/>
      <c r="M380" s="12"/>
      <c r="N380" s="11">
        <v>2021.9</v>
      </c>
      <c r="O380" s="11" t="s">
        <v>578</v>
      </c>
      <c r="P380" s="11" t="s">
        <v>249</v>
      </c>
      <c r="Q380" s="11">
        <v>17731886962</v>
      </c>
      <c r="R380" s="11" t="s">
        <v>250</v>
      </c>
      <c r="S380" s="11" t="s">
        <v>46</v>
      </c>
      <c r="T380" s="11"/>
    </row>
    <row r="381" spans="1:20" s="14" customFormat="1" ht="24" hidden="1" customHeight="1">
      <c r="A381" s="15"/>
      <c r="B381" s="11" t="s">
        <v>526</v>
      </c>
      <c r="C381" s="11" t="s">
        <v>581</v>
      </c>
      <c r="D381" s="11" t="s">
        <v>464</v>
      </c>
      <c r="E381" s="9">
        <v>190</v>
      </c>
      <c r="F381" s="9">
        <v>19.265999999999998</v>
      </c>
      <c r="G381" s="11" t="s">
        <v>32</v>
      </c>
      <c r="H381" s="11" t="s">
        <v>33</v>
      </c>
      <c r="I381" s="11"/>
      <c r="J381" s="11"/>
      <c r="K381" s="11" t="s">
        <v>582</v>
      </c>
      <c r="L381" s="12">
        <v>102600</v>
      </c>
      <c r="M381" s="12">
        <v>29883.494999999999</v>
      </c>
      <c r="N381" s="10">
        <v>2020.1</v>
      </c>
      <c r="O381" s="11" t="s">
        <v>583</v>
      </c>
      <c r="P381" s="11" t="s">
        <v>113</v>
      </c>
      <c r="Q381" s="11">
        <v>13810668661</v>
      </c>
      <c r="R381" s="11" t="s">
        <v>114</v>
      </c>
      <c r="S381" s="11" t="s">
        <v>115</v>
      </c>
      <c r="T381" s="11"/>
    </row>
    <row r="382" spans="1:20" s="14" customFormat="1" ht="24" hidden="1" customHeight="1">
      <c r="A382" s="15"/>
      <c r="B382" s="11" t="s">
        <v>584</v>
      </c>
      <c r="C382" s="11" t="s">
        <v>585</v>
      </c>
      <c r="D382" s="11" t="s">
        <v>62</v>
      </c>
      <c r="E382" s="9">
        <v>1.2675000000000001</v>
      </c>
      <c r="F382" s="9"/>
      <c r="G382" s="11" t="s">
        <v>32</v>
      </c>
      <c r="H382" s="11" t="s">
        <v>33</v>
      </c>
      <c r="I382" s="11"/>
      <c r="J382" s="11"/>
      <c r="K382" s="11" t="s">
        <v>207</v>
      </c>
      <c r="L382" s="12">
        <v>3168.75</v>
      </c>
      <c r="M382" s="12">
        <v>1320.3125</v>
      </c>
      <c r="N382" s="10">
        <v>2019.12</v>
      </c>
      <c r="O382" s="11" t="s">
        <v>583</v>
      </c>
      <c r="P382" s="11" t="s">
        <v>113</v>
      </c>
      <c r="Q382" s="11">
        <v>13810668661</v>
      </c>
      <c r="R382" s="11" t="s">
        <v>114</v>
      </c>
      <c r="S382" s="11" t="s">
        <v>115</v>
      </c>
      <c r="T382" s="11"/>
    </row>
    <row r="383" spans="1:20" s="14" customFormat="1" ht="24" hidden="1" customHeight="1">
      <c r="A383" s="15"/>
      <c r="B383" s="11" t="s">
        <v>584</v>
      </c>
      <c r="C383" s="11" t="s">
        <v>586</v>
      </c>
      <c r="D383" s="11" t="s">
        <v>62</v>
      </c>
      <c r="E383" s="9">
        <v>0.19266</v>
      </c>
      <c r="F383" s="9"/>
      <c r="G383" s="11" t="s">
        <v>32</v>
      </c>
      <c r="H383" s="11" t="s">
        <v>33</v>
      </c>
      <c r="I383" s="11"/>
      <c r="J383" s="11"/>
      <c r="K383" s="11" t="s">
        <v>207</v>
      </c>
      <c r="L383" s="12">
        <v>481.65</v>
      </c>
      <c r="M383" s="12">
        <v>200.6875</v>
      </c>
      <c r="N383" s="10">
        <v>2019.12</v>
      </c>
      <c r="O383" s="11" t="s">
        <v>583</v>
      </c>
      <c r="P383" s="11" t="s">
        <v>113</v>
      </c>
      <c r="Q383" s="11">
        <v>13810668661</v>
      </c>
      <c r="R383" s="11" t="s">
        <v>114</v>
      </c>
      <c r="S383" s="11" t="s">
        <v>115</v>
      </c>
      <c r="T383" s="11"/>
    </row>
    <row r="384" spans="1:20" s="14" customFormat="1" ht="24" hidden="1" customHeight="1">
      <c r="A384" s="15"/>
      <c r="B384" s="11" t="s">
        <v>584</v>
      </c>
      <c r="C384" s="11" t="s">
        <v>587</v>
      </c>
      <c r="D384" s="11" t="s">
        <v>62</v>
      </c>
      <c r="E384" s="9">
        <v>0.27039999999999997</v>
      </c>
      <c r="F384" s="9"/>
      <c r="G384" s="11" t="s">
        <v>32</v>
      </c>
      <c r="H384" s="11" t="s">
        <v>33</v>
      </c>
      <c r="I384" s="11"/>
      <c r="J384" s="11"/>
      <c r="K384" s="11" t="s">
        <v>207</v>
      </c>
      <c r="L384" s="12">
        <v>676</v>
      </c>
      <c r="M384" s="12">
        <v>281.66666666666703</v>
      </c>
      <c r="N384" s="10">
        <v>2019.12</v>
      </c>
      <c r="O384" s="11" t="s">
        <v>583</v>
      </c>
      <c r="P384" s="11" t="s">
        <v>113</v>
      </c>
      <c r="Q384" s="11">
        <v>13810668661</v>
      </c>
      <c r="R384" s="11" t="s">
        <v>114</v>
      </c>
      <c r="S384" s="11" t="s">
        <v>115</v>
      </c>
      <c r="T384" s="11"/>
    </row>
    <row r="385" spans="1:20" s="14" customFormat="1" ht="24" hidden="1" customHeight="1">
      <c r="A385" s="15"/>
      <c r="B385" s="11" t="s">
        <v>584</v>
      </c>
      <c r="C385" s="11" t="s">
        <v>588</v>
      </c>
      <c r="D385" s="11" t="s">
        <v>62</v>
      </c>
      <c r="E385" s="9">
        <v>0.22814999999999999</v>
      </c>
      <c r="F385" s="9"/>
      <c r="G385" s="11" t="s">
        <v>32</v>
      </c>
      <c r="H385" s="11" t="s">
        <v>33</v>
      </c>
      <c r="I385" s="11"/>
      <c r="J385" s="11"/>
      <c r="K385" s="11" t="s">
        <v>207</v>
      </c>
      <c r="L385" s="12">
        <v>570.38</v>
      </c>
      <c r="M385" s="12">
        <v>237.65625</v>
      </c>
      <c r="N385" s="10">
        <v>2019.12</v>
      </c>
      <c r="O385" s="11" t="s">
        <v>583</v>
      </c>
      <c r="P385" s="11" t="s">
        <v>113</v>
      </c>
      <c r="Q385" s="11">
        <v>13810668661</v>
      </c>
      <c r="R385" s="11" t="s">
        <v>114</v>
      </c>
      <c r="S385" s="11" t="s">
        <v>115</v>
      </c>
      <c r="T385" s="11"/>
    </row>
    <row r="386" spans="1:20" s="14" customFormat="1" ht="24" hidden="1" customHeight="1">
      <c r="A386" s="15"/>
      <c r="B386" s="11" t="s">
        <v>584</v>
      </c>
      <c r="C386" s="11" t="s">
        <v>589</v>
      </c>
      <c r="D386" s="11" t="s">
        <v>62</v>
      </c>
      <c r="E386" s="9">
        <v>1.7745</v>
      </c>
      <c r="F386" s="9"/>
      <c r="G386" s="11" t="s">
        <v>32</v>
      </c>
      <c r="H386" s="11" t="s">
        <v>33</v>
      </c>
      <c r="I386" s="11"/>
      <c r="J386" s="11"/>
      <c r="K386" s="11" t="s">
        <v>207</v>
      </c>
      <c r="L386" s="12">
        <v>4436.25</v>
      </c>
      <c r="M386" s="12">
        <v>1848.4375</v>
      </c>
      <c r="N386" s="10">
        <v>2019.12</v>
      </c>
      <c r="O386" s="11" t="s">
        <v>583</v>
      </c>
      <c r="P386" s="11" t="s">
        <v>113</v>
      </c>
      <c r="Q386" s="11">
        <v>13810668661</v>
      </c>
      <c r="R386" s="11" t="s">
        <v>114</v>
      </c>
      <c r="S386" s="11" t="s">
        <v>115</v>
      </c>
      <c r="T386" s="11"/>
    </row>
    <row r="387" spans="1:20" s="14" customFormat="1" ht="24" hidden="1" customHeight="1">
      <c r="A387" s="15"/>
      <c r="B387" s="11" t="s">
        <v>584</v>
      </c>
      <c r="C387" s="11" t="s">
        <v>590</v>
      </c>
      <c r="D387" s="11" t="s">
        <v>62</v>
      </c>
      <c r="E387" s="9">
        <v>5.07</v>
      </c>
      <c r="F387" s="9"/>
      <c r="G387" s="11" t="s">
        <v>32</v>
      </c>
      <c r="H387" s="11" t="s">
        <v>33</v>
      </c>
      <c r="I387" s="11"/>
      <c r="J387" s="11"/>
      <c r="K387" s="11" t="s">
        <v>207</v>
      </c>
      <c r="L387" s="12">
        <v>12675</v>
      </c>
      <c r="M387" s="12">
        <v>5281.25</v>
      </c>
      <c r="N387" s="10">
        <v>2019.12</v>
      </c>
      <c r="O387" s="11" t="s">
        <v>583</v>
      </c>
      <c r="P387" s="11" t="s">
        <v>113</v>
      </c>
      <c r="Q387" s="11">
        <v>13810668661</v>
      </c>
      <c r="R387" s="11" t="s">
        <v>114</v>
      </c>
      <c r="S387" s="11" t="s">
        <v>115</v>
      </c>
      <c r="T387" s="11"/>
    </row>
    <row r="388" spans="1:20" s="14" customFormat="1" ht="24" hidden="1" customHeight="1">
      <c r="A388" s="15"/>
      <c r="B388" s="11" t="s">
        <v>584</v>
      </c>
      <c r="C388" s="11" t="s">
        <v>591</v>
      </c>
      <c r="D388" s="11" t="s">
        <v>62</v>
      </c>
      <c r="E388" s="9">
        <v>1.3182</v>
      </c>
      <c r="F388" s="9"/>
      <c r="G388" s="11" t="s">
        <v>32</v>
      </c>
      <c r="H388" s="11" t="s">
        <v>33</v>
      </c>
      <c r="I388" s="11"/>
      <c r="J388" s="11"/>
      <c r="K388" s="11" t="s">
        <v>207</v>
      </c>
      <c r="L388" s="12">
        <v>3295.5</v>
      </c>
      <c r="M388" s="12">
        <v>1373.125</v>
      </c>
      <c r="N388" s="10">
        <v>2019.12</v>
      </c>
      <c r="O388" s="11" t="s">
        <v>583</v>
      </c>
      <c r="P388" s="11" t="s">
        <v>113</v>
      </c>
      <c r="Q388" s="11">
        <v>13810668661</v>
      </c>
      <c r="R388" s="11" t="s">
        <v>114</v>
      </c>
      <c r="S388" s="11" t="s">
        <v>115</v>
      </c>
      <c r="T388" s="11"/>
    </row>
    <row r="389" spans="1:20" s="14" customFormat="1" ht="24" hidden="1" customHeight="1">
      <c r="A389" s="15"/>
      <c r="B389" s="11" t="s">
        <v>584</v>
      </c>
      <c r="C389" s="11" t="s">
        <v>592</v>
      </c>
      <c r="D389" s="11" t="s">
        <v>62</v>
      </c>
      <c r="E389" s="9">
        <v>19.773</v>
      </c>
      <c r="F389" s="9"/>
      <c r="G389" s="11" t="s">
        <v>32</v>
      </c>
      <c r="H389" s="11" t="s">
        <v>33</v>
      </c>
      <c r="I389" s="11"/>
      <c r="J389" s="11"/>
      <c r="K389" s="11" t="s">
        <v>207</v>
      </c>
      <c r="L389" s="12">
        <v>49432.5</v>
      </c>
      <c r="M389" s="12">
        <v>20596.875</v>
      </c>
      <c r="N389" s="10">
        <v>2019.12</v>
      </c>
      <c r="O389" s="11" t="s">
        <v>583</v>
      </c>
      <c r="P389" s="11" t="s">
        <v>113</v>
      </c>
      <c r="Q389" s="11">
        <v>13810668661</v>
      </c>
      <c r="R389" s="11" t="s">
        <v>114</v>
      </c>
      <c r="S389" s="11" t="s">
        <v>115</v>
      </c>
      <c r="T389" s="11"/>
    </row>
    <row r="390" spans="1:20" s="14" customFormat="1" ht="24" hidden="1" customHeight="1">
      <c r="A390" s="15"/>
      <c r="B390" s="11" t="s">
        <v>593</v>
      </c>
      <c r="C390" s="11" t="s">
        <v>594</v>
      </c>
      <c r="D390" s="11" t="s">
        <v>62</v>
      </c>
      <c r="E390" s="9">
        <v>4.1859999999999999</v>
      </c>
      <c r="F390" s="9"/>
      <c r="G390" s="11" t="s">
        <v>32</v>
      </c>
      <c r="H390" s="11" t="s">
        <v>33</v>
      </c>
      <c r="I390" s="11"/>
      <c r="J390" s="11"/>
      <c r="K390" s="11" t="s">
        <v>595</v>
      </c>
      <c r="L390" s="12">
        <v>17706.78</v>
      </c>
      <c r="M390" s="12">
        <v>6894.6768000000002</v>
      </c>
      <c r="N390" s="10">
        <v>2020.9</v>
      </c>
      <c r="O390" s="11" t="s">
        <v>583</v>
      </c>
      <c r="P390" s="11" t="s">
        <v>113</v>
      </c>
      <c r="Q390" s="11">
        <v>13810668661</v>
      </c>
      <c r="R390" s="11" t="s">
        <v>114</v>
      </c>
      <c r="S390" s="11" t="s">
        <v>115</v>
      </c>
      <c r="T390" s="11"/>
    </row>
    <row r="391" spans="1:20" s="14" customFormat="1" ht="24" hidden="1" customHeight="1">
      <c r="A391" s="15"/>
      <c r="B391" s="11" t="s">
        <v>596</v>
      </c>
      <c r="C391" s="11" t="s">
        <v>597</v>
      </c>
      <c r="D391" s="11" t="s">
        <v>62</v>
      </c>
      <c r="E391" s="9">
        <v>33.85</v>
      </c>
      <c r="F391" s="9"/>
      <c r="G391" s="11" t="s">
        <v>32</v>
      </c>
      <c r="H391" s="11" t="s">
        <v>33</v>
      </c>
      <c r="I391" s="11"/>
      <c r="J391" s="11"/>
      <c r="K391" s="11" t="s">
        <v>595</v>
      </c>
      <c r="L391" s="12">
        <v>155033</v>
      </c>
      <c r="M391" s="12">
        <v>60366.833343783001</v>
      </c>
      <c r="N391" s="10">
        <v>2020.9</v>
      </c>
      <c r="O391" s="11" t="s">
        <v>583</v>
      </c>
      <c r="P391" s="11" t="s">
        <v>113</v>
      </c>
      <c r="Q391" s="11">
        <v>13810668661</v>
      </c>
      <c r="R391" s="11" t="s">
        <v>114</v>
      </c>
      <c r="S391" s="11" t="s">
        <v>115</v>
      </c>
      <c r="T391" s="11"/>
    </row>
    <row r="392" spans="1:20" s="14" customFormat="1" ht="24" hidden="1" customHeight="1">
      <c r="A392" s="15"/>
      <c r="B392" s="11" t="s">
        <v>526</v>
      </c>
      <c r="C392" s="11" t="s">
        <v>598</v>
      </c>
      <c r="D392" s="11" t="s">
        <v>62</v>
      </c>
      <c r="E392" s="9">
        <v>0.73299999999999998</v>
      </c>
      <c r="F392" s="9"/>
      <c r="G392" s="11" t="s">
        <v>32</v>
      </c>
      <c r="H392" s="11" t="s">
        <v>33</v>
      </c>
      <c r="I392" s="11"/>
      <c r="J392" s="11"/>
      <c r="K392" s="11" t="s">
        <v>595</v>
      </c>
      <c r="L392" s="12">
        <v>2983.31</v>
      </c>
      <c r="M392" s="12">
        <v>1161.6422683650701</v>
      </c>
      <c r="N392" s="10">
        <v>2020.9</v>
      </c>
      <c r="O392" s="11" t="s">
        <v>583</v>
      </c>
      <c r="P392" s="11" t="s">
        <v>113</v>
      </c>
      <c r="Q392" s="11">
        <v>13810668661</v>
      </c>
      <c r="R392" s="11" t="s">
        <v>114</v>
      </c>
      <c r="S392" s="11" t="s">
        <v>115</v>
      </c>
      <c r="T392" s="11"/>
    </row>
    <row r="393" spans="1:20" s="14" customFormat="1" ht="24" hidden="1" customHeight="1">
      <c r="A393" s="15"/>
      <c r="B393" s="11" t="s">
        <v>526</v>
      </c>
      <c r="C393" s="11" t="s">
        <v>599</v>
      </c>
      <c r="D393" s="11" t="s">
        <v>62</v>
      </c>
      <c r="E393" s="9">
        <v>5.4999999999999903E-2</v>
      </c>
      <c r="F393" s="9"/>
      <c r="G393" s="11" t="s">
        <v>32</v>
      </c>
      <c r="H393" s="11" t="s">
        <v>33</v>
      </c>
      <c r="I393" s="11"/>
      <c r="J393" s="11"/>
      <c r="K393" s="11" t="s">
        <v>595</v>
      </c>
      <c r="L393" s="12">
        <v>221.65</v>
      </c>
      <c r="M393" s="12">
        <v>86.306067663795602</v>
      </c>
      <c r="N393" s="10">
        <v>2020.9</v>
      </c>
      <c r="O393" s="11" t="s">
        <v>583</v>
      </c>
      <c r="P393" s="11" t="s">
        <v>113</v>
      </c>
      <c r="Q393" s="11">
        <v>13810668661</v>
      </c>
      <c r="R393" s="11" t="s">
        <v>114</v>
      </c>
      <c r="S393" s="11" t="s">
        <v>115</v>
      </c>
      <c r="T393" s="11"/>
    </row>
    <row r="394" spans="1:20" s="14" customFormat="1" ht="24" hidden="1" customHeight="1">
      <c r="A394" s="15"/>
      <c r="B394" s="11" t="s">
        <v>526</v>
      </c>
      <c r="C394" s="11" t="s">
        <v>600</v>
      </c>
      <c r="D394" s="11" t="s">
        <v>62</v>
      </c>
      <c r="E394" s="9">
        <v>0.54</v>
      </c>
      <c r="F394" s="9"/>
      <c r="G394" s="11" t="s">
        <v>32</v>
      </c>
      <c r="H394" s="11" t="s">
        <v>33</v>
      </c>
      <c r="I394" s="11"/>
      <c r="J394" s="11"/>
      <c r="K394" s="11" t="s">
        <v>595</v>
      </c>
      <c r="L394" s="12">
        <v>2138.4</v>
      </c>
      <c r="M394" s="12">
        <v>832.65078898167405</v>
      </c>
      <c r="N394" s="10">
        <v>2020.9</v>
      </c>
      <c r="O394" s="11" t="s">
        <v>583</v>
      </c>
      <c r="P394" s="11" t="s">
        <v>113</v>
      </c>
      <c r="Q394" s="11">
        <v>13810668661</v>
      </c>
      <c r="R394" s="11" t="s">
        <v>114</v>
      </c>
      <c r="S394" s="11" t="s">
        <v>115</v>
      </c>
      <c r="T394" s="11"/>
    </row>
    <row r="395" spans="1:20" s="14" customFormat="1" ht="24" hidden="1" customHeight="1">
      <c r="A395" s="15"/>
      <c r="B395" s="11" t="s">
        <v>526</v>
      </c>
      <c r="C395" s="11" t="s">
        <v>601</v>
      </c>
      <c r="D395" s="11" t="s">
        <v>62</v>
      </c>
      <c r="E395" s="9">
        <v>0.58699999999999997</v>
      </c>
      <c r="F395" s="9"/>
      <c r="G395" s="11" t="s">
        <v>32</v>
      </c>
      <c r="H395" s="11" t="s">
        <v>33</v>
      </c>
      <c r="I395" s="11"/>
      <c r="J395" s="11"/>
      <c r="K395" s="11" t="s">
        <v>595</v>
      </c>
      <c r="L395" s="12">
        <v>2324.52</v>
      </c>
      <c r="M395" s="12">
        <v>905.12400000000002</v>
      </c>
      <c r="N395" s="10">
        <v>2020.9</v>
      </c>
      <c r="O395" s="11" t="s">
        <v>583</v>
      </c>
      <c r="P395" s="11" t="s">
        <v>113</v>
      </c>
      <c r="Q395" s="11">
        <v>13810668661</v>
      </c>
      <c r="R395" s="11" t="s">
        <v>114</v>
      </c>
      <c r="S395" s="11" t="s">
        <v>115</v>
      </c>
      <c r="T395" s="11"/>
    </row>
    <row r="396" spans="1:20" s="14" customFormat="1" ht="24" hidden="1" customHeight="1">
      <c r="A396" s="15"/>
      <c r="B396" s="11" t="s">
        <v>514</v>
      </c>
      <c r="C396" s="50" t="s">
        <v>602</v>
      </c>
      <c r="D396" s="11" t="s">
        <v>603</v>
      </c>
      <c r="E396" s="9">
        <v>44</v>
      </c>
      <c r="F396" s="9">
        <f>0.35*44</f>
        <v>15.399999999999999</v>
      </c>
      <c r="G396" s="11" t="s">
        <v>32</v>
      </c>
      <c r="H396" s="11" t="s">
        <v>33</v>
      </c>
      <c r="I396" s="11" t="s">
        <v>179</v>
      </c>
      <c r="J396" s="11"/>
      <c r="K396" s="11" t="s">
        <v>604</v>
      </c>
      <c r="L396" s="12">
        <v>91000</v>
      </c>
      <c r="M396" s="12">
        <v>26504.853999999999</v>
      </c>
      <c r="N396" s="11">
        <v>2018.9</v>
      </c>
      <c r="O396" s="11" t="s">
        <v>583</v>
      </c>
      <c r="P396" s="11" t="s">
        <v>113</v>
      </c>
      <c r="Q396" s="11">
        <v>13810668661</v>
      </c>
      <c r="R396" s="11" t="s">
        <v>114</v>
      </c>
      <c r="S396" s="11" t="s">
        <v>115</v>
      </c>
      <c r="T396" s="11"/>
    </row>
    <row r="397" spans="1:20" s="14" customFormat="1" ht="24" hidden="1" customHeight="1">
      <c r="A397" s="15"/>
      <c r="B397" s="11" t="s">
        <v>514</v>
      </c>
      <c r="C397" s="50" t="s">
        <v>605</v>
      </c>
      <c r="D397" s="11" t="s">
        <v>31</v>
      </c>
      <c r="E397" s="9">
        <v>120</v>
      </c>
      <c r="F397" s="9">
        <f>0.00981*120</f>
        <v>1.1772</v>
      </c>
      <c r="G397" s="11" t="s">
        <v>32</v>
      </c>
      <c r="H397" s="11" t="s">
        <v>33</v>
      </c>
      <c r="I397" s="11" t="s">
        <v>179</v>
      </c>
      <c r="J397" s="11"/>
      <c r="K397" s="11" t="s">
        <v>606</v>
      </c>
      <c r="L397" s="12">
        <v>6600</v>
      </c>
      <c r="M397" s="12">
        <v>1922.33009708738</v>
      </c>
      <c r="N397" s="11">
        <v>2018.1</v>
      </c>
      <c r="O397" s="11" t="s">
        <v>583</v>
      </c>
      <c r="P397" s="11" t="s">
        <v>113</v>
      </c>
      <c r="Q397" s="11">
        <v>13810668661</v>
      </c>
      <c r="R397" s="11" t="s">
        <v>114</v>
      </c>
      <c r="S397" s="11" t="s">
        <v>115</v>
      </c>
      <c r="T397" s="11"/>
    </row>
    <row r="398" spans="1:20" s="14" customFormat="1" ht="24" hidden="1" customHeight="1">
      <c r="A398" s="15"/>
      <c r="B398" s="11" t="s">
        <v>514</v>
      </c>
      <c r="C398" s="50" t="s">
        <v>607</v>
      </c>
      <c r="D398" s="11" t="s">
        <v>603</v>
      </c>
      <c r="E398" s="9">
        <v>16</v>
      </c>
      <c r="F398" s="9">
        <f>0.35*16</f>
        <v>5.6</v>
      </c>
      <c r="G398" s="11" t="s">
        <v>32</v>
      </c>
      <c r="H398" s="11" t="s">
        <v>33</v>
      </c>
      <c r="I398" s="11" t="s">
        <v>179</v>
      </c>
      <c r="J398" s="11"/>
      <c r="K398" s="11" t="s">
        <v>608</v>
      </c>
      <c r="L398" s="12">
        <v>31680</v>
      </c>
      <c r="M398" s="12">
        <v>9227.1844660194292</v>
      </c>
      <c r="N398" s="11">
        <v>2018.12</v>
      </c>
      <c r="O398" s="11" t="s">
        <v>583</v>
      </c>
      <c r="P398" s="11" t="s">
        <v>113</v>
      </c>
      <c r="Q398" s="11">
        <v>13810668661</v>
      </c>
      <c r="R398" s="11" t="s">
        <v>114</v>
      </c>
      <c r="S398" s="11" t="s">
        <v>115</v>
      </c>
      <c r="T398" s="11"/>
    </row>
    <row r="399" spans="1:20" s="14" customFormat="1" ht="24" hidden="1" customHeight="1">
      <c r="A399" s="15"/>
      <c r="B399" s="11" t="s">
        <v>514</v>
      </c>
      <c r="C399" s="11" t="s">
        <v>609</v>
      </c>
      <c r="D399" s="11" t="s">
        <v>62</v>
      </c>
      <c r="E399" s="9">
        <v>70.08</v>
      </c>
      <c r="F399" s="9"/>
      <c r="G399" s="11" t="s">
        <v>32</v>
      </c>
      <c r="H399" s="11" t="s">
        <v>33</v>
      </c>
      <c r="I399" s="11"/>
      <c r="J399" s="11"/>
      <c r="K399" s="11" t="s">
        <v>610</v>
      </c>
      <c r="L399" s="12">
        <v>306950.40000000002</v>
      </c>
      <c r="M399" s="12">
        <v>122780.16</v>
      </c>
      <c r="N399" s="11">
        <v>2020.1</v>
      </c>
      <c r="O399" s="11" t="s">
        <v>184</v>
      </c>
      <c r="P399" s="11" t="s">
        <v>185</v>
      </c>
      <c r="Q399" s="11">
        <v>18600151606</v>
      </c>
      <c r="R399" s="11" t="s">
        <v>186</v>
      </c>
      <c r="S399" s="11" t="s">
        <v>115</v>
      </c>
      <c r="T399" s="11"/>
    </row>
    <row r="400" spans="1:20" s="14" customFormat="1" ht="24" hidden="1" customHeight="1">
      <c r="A400" s="15"/>
      <c r="B400" s="11" t="s">
        <v>514</v>
      </c>
      <c r="C400" s="11" t="s">
        <v>611</v>
      </c>
      <c r="D400" s="11" t="s">
        <v>62</v>
      </c>
      <c r="E400" s="9">
        <v>88.6</v>
      </c>
      <c r="F400" s="9"/>
      <c r="G400" s="11" t="s">
        <v>32</v>
      </c>
      <c r="H400" s="11" t="s">
        <v>33</v>
      </c>
      <c r="I400" s="11"/>
      <c r="J400" s="11"/>
      <c r="K400" s="11" t="s">
        <v>610</v>
      </c>
      <c r="L400" s="12">
        <v>423508</v>
      </c>
      <c r="M400" s="12">
        <v>169403.2</v>
      </c>
      <c r="N400" s="11">
        <v>2020.1</v>
      </c>
      <c r="O400" s="11" t="s">
        <v>184</v>
      </c>
      <c r="P400" s="11" t="s">
        <v>185</v>
      </c>
      <c r="Q400" s="11">
        <v>18600151606</v>
      </c>
      <c r="R400" s="11" t="s">
        <v>186</v>
      </c>
      <c r="S400" s="11" t="s">
        <v>115</v>
      </c>
      <c r="T400" s="11"/>
    </row>
    <row r="401" spans="1:20" s="14" customFormat="1" ht="24" hidden="1" customHeight="1">
      <c r="A401" s="15"/>
      <c r="B401" s="11" t="s">
        <v>612</v>
      </c>
      <c r="C401" s="11" t="s">
        <v>613</v>
      </c>
      <c r="D401" s="11" t="s">
        <v>62</v>
      </c>
      <c r="E401" s="9">
        <v>48.86</v>
      </c>
      <c r="F401" s="9"/>
      <c r="G401" s="11" t="s">
        <v>32</v>
      </c>
      <c r="H401" s="11" t="s">
        <v>33</v>
      </c>
      <c r="I401" s="11"/>
      <c r="J401" s="11"/>
      <c r="K401" s="11" t="s">
        <v>610</v>
      </c>
      <c r="L401" s="12">
        <v>240391.2</v>
      </c>
      <c r="M401" s="12">
        <v>96156.479999999996</v>
      </c>
      <c r="N401" s="11">
        <v>2020.1</v>
      </c>
      <c r="O401" s="11" t="s">
        <v>184</v>
      </c>
      <c r="P401" s="11" t="s">
        <v>185</v>
      </c>
      <c r="Q401" s="11">
        <v>18600151606</v>
      </c>
      <c r="R401" s="11" t="s">
        <v>186</v>
      </c>
      <c r="S401" s="11" t="s">
        <v>115</v>
      </c>
      <c r="T401" s="11"/>
    </row>
    <row r="402" spans="1:20" s="14" customFormat="1" ht="24" hidden="1" customHeight="1">
      <c r="A402" s="15"/>
      <c r="B402" s="11" t="s">
        <v>612</v>
      </c>
      <c r="C402" s="11" t="s">
        <v>613</v>
      </c>
      <c r="D402" s="11" t="s">
        <v>62</v>
      </c>
      <c r="E402" s="9">
        <v>47.3</v>
      </c>
      <c r="F402" s="9"/>
      <c r="G402" s="11" t="s">
        <v>32</v>
      </c>
      <c r="H402" s="11" t="s">
        <v>33</v>
      </c>
      <c r="I402" s="11"/>
      <c r="J402" s="11"/>
      <c r="K402" s="11" t="s">
        <v>610</v>
      </c>
      <c r="L402" s="12">
        <v>232716</v>
      </c>
      <c r="M402" s="12">
        <v>93086.399999999994</v>
      </c>
      <c r="N402" s="11">
        <v>2020.1</v>
      </c>
      <c r="O402" s="11" t="s">
        <v>184</v>
      </c>
      <c r="P402" s="11" t="s">
        <v>185</v>
      </c>
      <c r="Q402" s="11">
        <v>18600151606</v>
      </c>
      <c r="R402" s="11" t="s">
        <v>186</v>
      </c>
      <c r="S402" s="11" t="s">
        <v>115</v>
      </c>
      <c r="T402" s="11"/>
    </row>
    <row r="403" spans="1:20" s="14" customFormat="1" ht="24" hidden="1" customHeight="1">
      <c r="A403" s="15"/>
      <c r="B403" s="11" t="s">
        <v>526</v>
      </c>
      <c r="C403" s="11" t="s">
        <v>614</v>
      </c>
      <c r="D403" s="11" t="s">
        <v>62</v>
      </c>
      <c r="E403" s="9">
        <v>7</v>
      </c>
      <c r="F403" s="9"/>
      <c r="G403" s="11" t="s">
        <v>32</v>
      </c>
      <c r="H403" s="11" t="s">
        <v>33</v>
      </c>
      <c r="I403" s="11"/>
      <c r="J403" s="11"/>
      <c r="K403" s="11" t="s">
        <v>610</v>
      </c>
      <c r="L403" s="12">
        <v>31220</v>
      </c>
      <c r="M403" s="12">
        <v>12488</v>
      </c>
      <c r="N403" s="11">
        <v>2020.1</v>
      </c>
      <c r="O403" s="11" t="s">
        <v>184</v>
      </c>
      <c r="P403" s="11" t="s">
        <v>185</v>
      </c>
      <c r="Q403" s="11">
        <v>18600151606</v>
      </c>
      <c r="R403" s="11" t="s">
        <v>186</v>
      </c>
      <c r="S403" s="11" t="s">
        <v>115</v>
      </c>
      <c r="T403" s="11"/>
    </row>
    <row r="404" spans="1:20" s="14" customFormat="1" ht="24" hidden="1" customHeight="1">
      <c r="A404" s="15"/>
      <c r="B404" s="11" t="s">
        <v>526</v>
      </c>
      <c r="C404" s="11" t="s">
        <v>615</v>
      </c>
      <c r="D404" s="11" t="s">
        <v>62</v>
      </c>
      <c r="E404" s="9">
        <v>96.5</v>
      </c>
      <c r="F404" s="9"/>
      <c r="G404" s="11" t="s">
        <v>32</v>
      </c>
      <c r="H404" s="11" t="s">
        <v>33</v>
      </c>
      <c r="I404" s="11"/>
      <c r="J404" s="11"/>
      <c r="K404" s="11" t="s">
        <v>610</v>
      </c>
      <c r="L404" s="12">
        <v>430390</v>
      </c>
      <c r="M404" s="12">
        <v>172156</v>
      </c>
      <c r="N404" s="11">
        <v>2020.1</v>
      </c>
      <c r="O404" s="11" t="s">
        <v>184</v>
      </c>
      <c r="P404" s="11" t="s">
        <v>185</v>
      </c>
      <c r="Q404" s="11">
        <v>18600151606</v>
      </c>
      <c r="R404" s="11" t="s">
        <v>186</v>
      </c>
      <c r="S404" s="11" t="s">
        <v>115</v>
      </c>
      <c r="T404" s="11"/>
    </row>
    <row r="405" spans="1:20" s="14" customFormat="1" ht="24" hidden="1" customHeight="1">
      <c r="A405" s="15"/>
      <c r="B405" s="11" t="s">
        <v>616</v>
      </c>
      <c r="C405" s="11" t="s">
        <v>617</v>
      </c>
      <c r="D405" s="11" t="s">
        <v>62</v>
      </c>
      <c r="E405" s="9">
        <v>1.65</v>
      </c>
      <c r="F405" s="9"/>
      <c r="G405" s="11" t="s">
        <v>32</v>
      </c>
      <c r="H405" s="11" t="s">
        <v>33</v>
      </c>
      <c r="I405" s="11"/>
      <c r="J405" s="11"/>
      <c r="K405" s="11" t="s">
        <v>610</v>
      </c>
      <c r="L405" s="12">
        <v>7078.5</v>
      </c>
      <c r="M405" s="12">
        <v>2831.4</v>
      </c>
      <c r="N405" s="11">
        <v>2020.1</v>
      </c>
      <c r="O405" s="11" t="s">
        <v>184</v>
      </c>
      <c r="P405" s="11" t="s">
        <v>185</v>
      </c>
      <c r="Q405" s="11">
        <v>18600151606</v>
      </c>
      <c r="R405" s="11" t="s">
        <v>186</v>
      </c>
      <c r="S405" s="11" t="s">
        <v>115</v>
      </c>
      <c r="T405" s="11"/>
    </row>
    <row r="406" spans="1:20" s="14" customFormat="1" ht="24" hidden="1" customHeight="1">
      <c r="A406" s="15"/>
      <c r="B406" s="11" t="s">
        <v>593</v>
      </c>
      <c r="C406" s="11" t="s">
        <v>618</v>
      </c>
      <c r="D406" s="11" t="s">
        <v>62</v>
      </c>
      <c r="E406" s="9">
        <v>1</v>
      </c>
      <c r="F406" s="9"/>
      <c r="G406" s="11" t="s">
        <v>32</v>
      </c>
      <c r="H406" s="11" t="s">
        <v>33</v>
      </c>
      <c r="I406" s="11"/>
      <c r="J406" s="11"/>
      <c r="K406" s="11" t="s">
        <v>610</v>
      </c>
      <c r="L406" s="12">
        <v>4240</v>
      </c>
      <c r="M406" s="12">
        <v>1696</v>
      </c>
      <c r="N406" s="11">
        <v>2020.1</v>
      </c>
      <c r="O406" s="11" t="s">
        <v>184</v>
      </c>
      <c r="P406" s="11" t="s">
        <v>185</v>
      </c>
      <c r="Q406" s="11">
        <v>18600151606</v>
      </c>
      <c r="R406" s="11" t="s">
        <v>186</v>
      </c>
      <c r="S406" s="11" t="s">
        <v>115</v>
      </c>
      <c r="T406" s="11"/>
    </row>
    <row r="407" spans="1:20" s="14" customFormat="1" ht="24" hidden="1" customHeight="1">
      <c r="A407" s="15"/>
      <c r="B407" s="11" t="s">
        <v>593</v>
      </c>
      <c r="C407" s="23" t="s">
        <v>619</v>
      </c>
      <c r="D407" s="11" t="s">
        <v>62</v>
      </c>
      <c r="E407" s="9">
        <v>8.3000000000000007</v>
      </c>
      <c r="F407" s="9"/>
      <c r="G407" s="11" t="s">
        <v>32</v>
      </c>
      <c r="H407" s="11" t="s">
        <v>33</v>
      </c>
      <c r="I407" s="11"/>
      <c r="J407" s="11"/>
      <c r="K407" s="11" t="s">
        <v>610</v>
      </c>
      <c r="L407" s="12">
        <v>35192</v>
      </c>
      <c r="M407" s="12">
        <v>14076.8</v>
      </c>
      <c r="N407" s="11">
        <v>2020.1</v>
      </c>
      <c r="O407" s="11" t="s">
        <v>184</v>
      </c>
      <c r="P407" s="11" t="s">
        <v>185</v>
      </c>
      <c r="Q407" s="11">
        <v>18600151606</v>
      </c>
      <c r="R407" s="11" t="s">
        <v>186</v>
      </c>
      <c r="S407" s="11" t="s">
        <v>115</v>
      </c>
      <c r="T407" s="11"/>
    </row>
    <row r="408" spans="1:20" s="14" customFormat="1" ht="24" hidden="1" customHeight="1">
      <c r="A408" s="15"/>
      <c r="B408" s="11" t="s">
        <v>526</v>
      </c>
      <c r="C408" s="11" t="s">
        <v>614</v>
      </c>
      <c r="D408" s="11" t="s">
        <v>62</v>
      </c>
      <c r="E408" s="9">
        <v>3.68</v>
      </c>
      <c r="F408" s="9"/>
      <c r="G408" s="11" t="s">
        <v>32</v>
      </c>
      <c r="H408" s="11" t="s">
        <v>33</v>
      </c>
      <c r="I408" s="11"/>
      <c r="J408" s="11"/>
      <c r="K408" s="11" t="s">
        <v>610</v>
      </c>
      <c r="L408" s="12">
        <v>16560</v>
      </c>
      <c r="M408" s="12">
        <v>6624</v>
      </c>
      <c r="N408" s="11">
        <v>2020.1</v>
      </c>
      <c r="O408" s="11" t="s">
        <v>184</v>
      </c>
      <c r="P408" s="11" t="s">
        <v>185</v>
      </c>
      <c r="Q408" s="11">
        <v>18600151606</v>
      </c>
      <c r="R408" s="11" t="s">
        <v>186</v>
      </c>
      <c r="S408" s="11" t="s">
        <v>115</v>
      </c>
      <c r="T408" s="11"/>
    </row>
    <row r="409" spans="1:20" s="14" customFormat="1" ht="24" hidden="1" customHeight="1">
      <c r="A409" s="15"/>
      <c r="B409" s="11" t="s">
        <v>514</v>
      </c>
      <c r="C409" s="11" t="s">
        <v>620</v>
      </c>
      <c r="D409" s="11" t="s">
        <v>62</v>
      </c>
      <c r="E409" s="9">
        <v>105.13500000000001</v>
      </c>
      <c r="F409" s="9"/>
      <c r="G409" s="11" t="s">
        <v>32</v>
      </c>
      <c r="H409" s="11" t="s">
        <v>33</v>
      </c>
      <c r="I409" s="11"/>
      <c r="J409" s="11"/>
      <c r="K409" s="11" t="s">
        <v>610</v>
      </c>
      <c r="L409" s="12">
        <v>483621</v>
      </c>
      <c r="M409" s="12">
        <v>193448.4</v>
      </c>
      <c r="N409" s="11">
        <v>2021.01</v>
      </c>
      <c r="O409" s="11" t="s">
        <v>184</v>
      </c>
      <c r="P409" s="11" t="s">
        <v>185</v>
      </c>
      <c r="Q409" s="11">
        <v>18600151606</v>
      </c>
      <c r="R409" s="11" t="s">
        <v>186</v>
      </c>
      <c r="S409" s="11" t="s">
        <v>115</v>
      </c>
      <c r="T409" s="11"/>
    </row>
    <row r="410" spans="1:20" s="14" customFormat="1" ht="24" hidden="1" customHeight="1">
      <c r="A410" s="15"/>
      <c r="B410" s="11" t="s">
        <v>621</v>
      </c>
      <c r="C410" s="11" t="s">
        <v>622</v>
      </c>
      <c r="D410" s="11" t="s">
        <v>464</v>
      </c>
      <c r="E410" s="9">
        <v>6</v>
      </c>
      <c r="F410" s="9">
        <v>21.31</v>
      </c>
      <c r="G410" s="11" t="s">
        <v>32</v>
      </c>
      <c r="H410" s="11" t="s">
        <v>33</v>
      </c>
      <c r="I410" s="11"/>
      <c r="J410" s="11"/>
      <c r="K410" s="11" t="s">
        <v>623</v>
      </c>
      <c r="L410" s="12">
        <v>84414.48</v>
      </c>
      <c r="M410" s="12">
        <v>50648.688000000002</v>
      </c>
      <c r="N410" s="11">
        <v>2021.04</v>
      </c>
      <c r="O410" s="11" t="s">
        <v>184</v>
      </c>
      <c r="P410" s="11" t="s">
        <v>185</v>
      </c>
      <c r="Q410" s="11">
        <v>18600151606</v>
      </c>
      <c r="R410" s="11" t="s">
        <v>186</v>
      </c>
      <c r="S410" s="11" t="s">
        <v>115</v>
      </c>
      <c r="T410" s="11"/>
    </row>
    <row r="411" spans="1:20" s="14" customFormat="1" ht="24" hidden="1" customHeight="1">
      <c r="A411" s="15"/>
      <c r="B411" s="11" t="s">
        <v>624</v>
      </c>
      <c r="C411" s="11" t="s">
        <v>625</v>
      </c>
      <c r="D411" s="11" t="s">
        <v>464</v>
      </c>
      <c r="E411" s="9">
        <v>6</v>
      </c>
      <c r="F411" s="9"/>
      <c r="G411" s="11" t="s">
        <v>32</v>
      </c>
      <c r="H411" s="11" t="s">
        <v>33</v>
      </c>
      <c r="I411" s="11"/>
      <c r="J411" s="11"/>
      <c r="K411" s="11" t="s">
        <v>626</v>
      </c>
      <c r="L411" s="12">
        <v>11640</v>
      </c>
      <c r="M411" s="12">
        <v>8947.0169491525394</v>
      </c>
      <c r="N411" s="11">
        <v>2021.12</v>
      </c>
      <c r="O411" s="11" t="s">
        <v>184</v>
      </c>
      <c r="P411" s="11" t="s">
        <v>185</v>
      </c>
      <c r="Q411" s="11">
        <v>18600151606</v>
      </c>
      <c r="R411" s="11" t="s">
        <v>186</v>
      </c>
      <c r="S411" s="11" t="s">
        <v>187</v>
      </c>
      <c r="T411" s="11"/>
    </row>
    <row r="412" spans="1:20" s="14" customFormat="1" ht="24" hidden="1" customHeight="1">
      <c r="A412" s="15"/>
      <c r="B412" s="11" t="s">
        <v>624</v>
      </c>
      <c r="C412" s="11" t="s">
        <v>627</v>
      </c>
      <c r="D412" s="11" t="s">
        <v>464</v>
      </c>
      <c r="E412" s="9">
        <v>8</v>
      </c>
      <c r="F412" s="9"/>
      <c r="G412" s="11" t="s">
        <v>32</v>
      </c>
      <c r="H412" s="11" t="s">
        <v>33</v>
      </c>
      <c r="I412" s="11"/>
      <c r="J412" s="11"/>
      <c r="K412" s="11" t="s">
        <v>626</v>
      </c>
      <c r="L412" s="12">
        <v>15840</v>
      </c>
      <c r="M412" s="12">
        <v>12175.322033898299</v>
      </c>
      <c r="N412" s="11">
        <v>2021.12</v>
      </c>
      <c r="O412" s="11" t="s">
        <v>184</v>
      </c>
      <c r="P412" s="11" t="s">
        <v>185</v>
      </c>
      <c r="Q412" s="11">
        <v>18600151606</v>
      </c>
      <c r="R412" s="11" t="s">
        <v>186</v>
      </c>
      <c r="S412" s="11" t="s">
        <v>187</v>
      </c>
      <c r="T412" s="11"/>
    </row>
    <row r="413" spans="1:20" s="14" customFormat="1" ht="24" hidden="1" customHeight="1">
      <c r="A413" s="15"/>
      <c r="B413" s="11" t="s">
        <v>624</v>
      </c>
      <c r="C413" s="11" t="s">
        <v>628</v>
      </c>
      <c r="D413" s="11" t="s">
        <v>464</v>
      </c>
      <c r="E413" s="9">
        <v>2</v>
      </c>
      <c r="F413" s="9"/>
      <c r="G413" s="11" t="s">
        <v>32</v>
      </c>
      <c r="H413" s="11" t="s">
        <v>33</v>
      </c>
      <c r="I413" s="11"/>
      <c r="J413" s="11"/>
      <c r="K413" s="11" t="s">
        <v>626</v>
      </c>
      <c r="L413" s="12">
        <v>5860</v>
      </c>
      <c r="M413" s="12">
        <v>4504.2542372881398</v>
      </c>
      <c r="N413" s="11">
        <v>2021.12</v>
      </c>
      <c r="O413" s="11" t="s">
        <v>184</v>
      </c>
      <c r="P413" s="11" t="s">
        <v>185</v>
      </c>
      <c r="Q413" s="11">
        <v>18600151606</v>
      </c>
      <c r="R413" s="11" t="s">
        <v>186</v>
      </c>
      <c r="S413" s="11" t="s">
        <v>187</v>
      </c>
      <c r="T413" s="11"/>
    </row>
    <row r="414" spans="1:20" s="14" customFormat="1" ht="24" hidden="1" customHeight="1">
      <c r="A414" s="15"/>
      <c r="B414" s="11" t="s">
        <v>629</v>
      </c>
      <c r="C414" s="11" t="s">
        <v>630</v>
      </c>
      <c r="D414" s="11" t="s">
        <v>131</v>
      </c>
      <c r="E414" s="9">
        <v>40</v>
      </c>
      <c r="F414" s="9"/>
      <c r="G414" s="11" t="s">
        <v>32</v>
      </c>
      <c r="H414" s="11" t="s">
        <v>33</v>
      </c>
      <c r="I414" s="11"/>
      <c r="J414" s="11"/>
      <c r="K414" s="11" t="s">
        <v>626</v>
      </c>
      <c r="L414" s="12">
        <v>110000</v>
      </c>
      <c r="M414" s="12">
        <v>84550.847457627096</v>
      </c>
      <c r="N414" s="11">
        <v>2021.12</v>
      </c>
      <c r="O414" s="11" t="s">
        <v>184</v>
      </c>
      <c r="P414" s="11" t="s">
        <v>185</v>
      </c>
      <c r="Q414" s="11">
        <v>18600151606</v>
      </c>
      <c r="R414" s="11" t="s">
        <v>186</v>
      </c>
      <c r="S414" s="11" t="s">
        <v>187</v>
      </c>
      <c r="T414" s="11"/>
    </row>
    <row r="415" spans="1:20" s="14" customFormat="1" ht="24" hidden="1" customHeight="1">
      <c r="A415" s="15"/>
      <c r="B415" s="11" t="s">
        <v>631</v>
      </c>
      <c r="C415" s="11" t="s">
        <v>632</v>
      </c>
      <c r="D415" s="11" t="s">
        <v>131</v>
      </c>
      <c r="E415" s="9">
        <v>12</v>
      </c>
      <c r="F415" s="9"/>
      <c r="G415" s="11" t="s">
        <v>32</v>
      </c>
      <c r="H415" s="11" t="s">
        <v>33</v>
      </c>
      <c r="I415" s="11"/>
      <c r="J415" s="11"/>
      <c r="K415" s="11" t="s">
        <v>626</v>
      </c>
      <c r="L415" s="12">
        <v>1176</v>
      </c>
      <c r="M415" s="12">
        <v>903.92542372881405</v>
      </c>
      <c r="N415" s="11">
        <v>2021.12</v>
      </c>
      <c r="O415" s="11" t="s">
        <v>184</v>
      </c>
      <c r="P415" s="11" t="s">
        <v>185</v>
      </c>
      <c r="Q415" s="11">
        <v>18600151606</v>
      </c>
      <c r="R415" s="11" t="s">
        <v>186</v>
      </c>
      <c r="S415" s="11" t="s">
        <v>187</v>
      </c>
      <c r="T415" s="11"/>
    </row>
    <row r="416" spans="1:20" s="14" customFormat="1" ht="24" hidden="1" customHeight="1">
      <c r="A416" s="15"/>
      <c r="B416" s="11" t="s">
        <v>631</v>
      </c>
      <c r="C416" s="11" t="s">
        <v>633</v>
      </c>
      <c r="D416" s="11" t="s">
        <v>131</v>
      </c>
      <c r="E416" s="9">
        <v>28</v>
      </c>
      <c r="F416" s="9"/>
      <c r="G416" s="11" t="s">
        <v>32</v>
      </c>
      <c r="H416" s="11" t="s">
        <v>33</v>
      </c>
      <c r="I416" s="11"/>
      <c r="J416" s="11"/>
      <c r="K416" s="11" t="s">
        <v>626</v>
      </c>
      <c r="L416" s="12">
        <v>3332</v>
      </c>
      <c r="M416" s="12">
        <v>2561.1220338983098</v>
      </c>
      <c r="N416" s="11">
        <v>2021.12</v>
      </c>
      <c r="O416" s="11" t="s">
        <v>184</v>
      </c>
      <c r="P416" s="11" t="s">
        <v>185</v>
      </c>
      <c r="Q416" s="11">
        <v>18600151606</v>
      </c>
      <c r="R416" s="11" t="s">
        <v>186</v>
      </c>
      <c r="S416" s="11" t="s">
        <v>187</v>
      </c>
      <c r="T416" s="11"/>
    </row>
    <row r="417" spans="1:20" s="14" customFormat="1" ht="24" hidden="1" customHeight="1">
      <c r="A417" s="15"/>
      <c r="B417" s="11" t="s">
        <v>634</v>
      </c>
      <c r="C417" s="11" t="s">
        <v>635</v>
      </c>
      <c r="D417" s="11" t="s">
        <v>31</v>
      </c>
      <c r="E417" s="9">
        <v>24</v>
      </c>
      <c r="F417" s="9"/>
      <c r="G417" s="11" t="s">
        <v>32</v>
      </c>
      <c r="H417" s="11" t="s">
        <v>33</v>
      </c>
      <c r="I417" s="11"/>
      <c r="J417" s="11"/>
      <c r="K417" s="11" t="s">
        <v>626</v>
      </c>
      <c r="L417" s="12">
        <v>936</v>
      </c>
      <c r="M417" s="12">
        <v>719.45084745762699</v>
      </c>
      <c r="N417" s="11">
        <v>2021.12</v>
      </c>
      <c r="O417" s="11" t="s">
        <v>184</v>
      </c>
      <c r="P417" s="11" t="s">
        <v>185</v>
      </c>
      <c r="Q417" s="11">
        <v>18600151606</v>
      </c>
      <c r="R417" s="11" t="s">
        <v>186</v>
      </c>
      <c r="S417" s="11" t="s">
        <v>187</v>
      </c>
      <c r="T417" s="11"/>
    </row>
    <row r="418" spans="1:20" s="14" customFormat="1" ht="24" hidden="1" customHeight="1">
      <c r="A418" s="15"/>
      <c r="B418" s="11" t="s">
        <v>636</v>
      </c>
      <c r="C418" s="11" t="s">
        <v>637</v>
      </c>
      <c r="D418" s="11" t="s">
        <v>62</v>
      </c>
      <c r="E418" s="9">
        <v>16.683</v>
      </c>
      <c r="F418" s="9">
        <v>16.683</v>
      </c>
      <c r="G418" s="11" t="s">
        <v>32</v>
      </c>
      <c r="H418" s="11" t="s">
        <v>33</v>
      </c>
      <c r="I418" s="11" t="s">
        <v>404</v>
      </c>
      <c r="J418" s="11" t="s">
        <v>404</v>
      </c>
      <c r="K418" s="11" t="s">
        <v>638</v>
      </c>
      <c r="L418" s="12">
        <v>68503.646017699095</v>
      </c>
      <c r="M418" s="12">
        <v>34251.823008849598</v>
      </c>
      <c r="N418" s="11" t="s">
        <v>639</v>
      </c>
      <c r="O418" s="11" t="s">
        <v>286</v>
      </c>
      <c r="P418" s="11" t="s">
        <v>321</v>
      </c>
      <c r="Q418" s="11">
        <v>18500041080</v>
      </c>
      <c r="R418" s="11" t="s">
        <v>288</v>
      </c>
      <c r="S418" s="11" t="s">
        <v>115</v>
      </c>
      <c r="T418" s="11"/>
    </row>
    <row r="419" spans="1:20" s="14" customFormat="1" ht="24" hidden="1" customHeight="1">
      <c r="A419" s="15"/>
      <c r="B419" s="11" t="s">
        <v>593</v>
      </c>
      <c r="C419" s="11" t="s">
        <v>640</v>
      </c>
      <c r="D419" s="11" t="s">
        <v>62</v>
      </c>
      <c r="E419" s="9">
        <v>9.3390000000000004</v>
      </c>
      <c r="F419" s="9">
        <v>9.3390000000000004</v>
      </c>
      <c r="G419" s="11" t="s">
        <v>32</v>
      </c>
      <c r="H419" s="11" t="s">
        <v>33</v>
      </c>
      <c r="I419" s="11" t="s">
        <v>404</v>
      </c>
      <c r="J419" s="11" t="s">
        <v>404</v>
      </c>
      <c r="K419" s="11" t="s">
        <v>638</v>
      </c>
      <c r="L419" s="12">
        <v>38017.168141592898</v>
      </c>
      <c r="M419" s="12">
        <v>19008.5840707965</v>
      </c>
      <c r="N419" s="11" t="s">
        <v>639</v>
      </c>
      <c r="O419" s="11" t="s">
        <v>286</v>
      </c>
      <c r="P419" s="11" t="s">
        <v>321</v>
      </c>
      <c r="Q419" s="11">
        <v>18500041080</v>
      </c>
      <c r="R419" s="11" t="s">
        <v>288</v>
      </c>
      <c r="S419" s="11" t="s">
        <v>115</v>
      </c>
      <c r="T419" s="11"/>
    </row>
    <row r="420" spans="1:20" s="14" customFormat="1" ht="24" hidden="1" customHeight="1">
      <c r="A420" s="15"/>
      <c r="B420" s="11" t="s">
        <v>593</v>
      </c>
      <c r="C420" s="11" t="s">
        <v>641</v>
      </c>
      <c r="D420" s="11" t="s">
        <v>62</v>
      </c>
      <c r="E420" s="9">
        <v>12.315</v>
      </c>
      <c r="F420" s="9">
        <v>12.315</v>
      </c>
      <c r="G420" s="11" t="s">
        <v>32</v>
      </c>
      <c r="H420" s="11" t="s">
        <v>33</v>
      </c>
      <c r="I420" s="11" t="s">
        <v>404</v>
      </c>
      <c r="J420" s="11" t="s">
        <v>404</v>
      </c>
      <c r="K420" s="11" t="s">
        <v>638</v>
      </c>
      <c r="L420" s="12">
        <v>49042.035398230102</v>
      </c>
      <c r="M420" s="12">
        <v>24521.017699115</v>
      </c>
      <c r="N420" s="11" t="s">
        <v>639</v>
      </c>
      <c r="O420" s="11" t="s">
        <v>286</v>
      </c>
      <c r="P420" s="11" t="s">
        <v>321</v>
      </c>
      <c r="Q420" s="11">
        <v>18500041080</v>
      </c>
      <c r="R420" s="11" t="s">
        <v>288</v>
      </c>
      <c r="S420" s="11" t="s">
        <v>115</v>
      </c>
      <c r="T420" s="11"/>
    </row>
    <row r="421" spans="1:20" s="14" customFormat="1" ht="24" hidden="1" customHeight="1">
      <c r="A421" s="15"/>
      <c r="B421" s="11" t="s">
        <v>593</v>
      </c>
      <c r="C421" s="11" t="s">
        <v>642</v>
      </c>
      <c r="D421" s="11" t="s">
        <v>62</v>
      </c>
      <c r="E421" s="9">
        <v>4.2130000000000001</v>
      </c>
      <c r="F421" s="9">
        <v>4.2130000000000001</v>
      </c>
      <c r="G421" s="11" t="s">
        <v>32</v>
      </c>
      <c r="H421" s="11" t="s">
        <v>33</v>
      </c>
      <c r="I421" s="11" t="s">
        <v>404</v>
      </c>
      <c r="J421" s="11" t="s">
        <v>404</v>
      </c>
      <c r="K421" s="11" t="s">
        <v>638</v>
      </c>
      <c r="L421" s="12">
        <v>16591.017699115</v>
      </c>
      <c r="M421" s="12">
        <v>8295.5088495575201</v>
      </c>
      <c r="N421" s="11" t="s">
        <v>643</v>
      </c>
      <c r="O421" s="11" t="s">
        <v>286</v>
      </c>
      <c r="P421" s="11" t="s">
        <v>321</v>
      </c>
      <c r="Q421" s="11">
        <v>18500041080</v>
      </c>
      <c r="R421" s="11" t="s">
        <v>288</v>
      </c>
      <c r="S421" s="11" t="s">
        <v>115</v>
      </c>
      <c r="T421" s="11"/>
    </row>
    <row r="422" spans="1:20" s="14" customFormat="1" ht="24" hidden="1" customHeight="1">
      <c r="A422" s="15"/>
      <c r="B422" s="11" t="s">
        <v>526</v>
      </c>
      <c r="C422" s="11" t="s">
        <v>641</v>
      </c>
      <c r="D422" s="11" t="s">
        <v>62</v>
      </c>
      <c r="E422" s="9">
        <v>6.423</v>
      </c>
      <c r="F422" s="9">
        <v>6.423</v>
      </c>
      <c r="G422" s="11" t="s">
        <v>32</v>
      </c>
      <c r="H422" s="11" t="s">
        <v>33</v>
      </c>
      <c r="I422" s="11" t="s">
        <v>404</v>
      </c>
      <c r="J422" s="11" t="s">
        <v>404</v>
      </c>
      <c r="K422" s="11" t="s">
        <v>638</v>
      </c>
      <c r="L422" s="12">
        <v>25919.362831858401</v>
      </c>
      <c r="M422" s="12">
        <v>12959.681415929201</v>
      </c>
      <c r="N422" s="11" t="s">
        <v>643</v>
      </c>
      <c r="O422" s="11" t="s">
        <v>286</v>
      </c>
      <c r="P422" s="11" t="s">
        <v>321</v>
      </c>
      <c r="Q422" s="11">
        <v>18500041080</v>
      </c>
      <c r="R422" s="11" t="s">
        <v>288</v>
      </c>
      <c r="S422" s="11" t="s">
        <v>115</v>
      </c>
      <c r="T422" s="11"/>
    </row>
    <row r="423" spans="1:20" s="14" customFormat="1" ht="24" hidden="1" customHeight="1">
      <c r="A423" s="15"/>
      <c r="B423" s="11" t="s">
        <v>593</v>
      </c>
      <c r="C423" s="11" t="s">
        <v>640</v>
      </c>
      <c r="D423" s="11" t="s">
        <v>62</v>
      </c>
      <c r="E423" s="9">
        <v>2.9</v>
      </c>
      <c r="F423" s="9">
        <v>2.9</v>
      </c>
      <c r="G423" s="11" t="s">
        <v>32</v>
      </c>
      <c r="H423" s="11" t="s">
        <v>33</v>
      </c>
      <c r="I423" s="11" t="s">
        <v>404</v>
      </c>
      <c r="J423" s="11" t="s">
        <v>404</v>
      </c>
      <c r="K423" s="11" t="s">
        <v>638</v>
      </c>
      <c r="L423" s="12">
        <v>11779.6460176991</v>
      </c>
      <c r="M423" s="12">
        <v>5889.8230088495602</v>
      </c>
      <c r="N423" s="11" t="s">
        <v>643</v>
      </c>
      <c r="O423" s="11" t="s">
        <v>286</v>
      </c>
      <c r="P423" s="11" t="s">
        <v>321</v>
      </c>
      <c r="Q423" s="11">
        <v>18500041080</v>
      </c>
      <c r="R423" s="11" t="s">
        <v>288</v>
      </c>
      <c r="S423" s="11" t="s">
        <v>115</v>
      </c>
      <c r="T423" s="11"/>
    </row>
    <row r="424" spans="1:20" s="14" customFormat="1" ht="24" hidden="1" customHeight="1">
      <c r="A424" s="15"/>
      <c r="B424" s="11" t="s">
        <v>593</v>
      </c>
      <c r="C424" s="11" t="s">
        <v>644</v>
      </c>
      <c r="D424" s="11" t="s">
        <v>62</v>
      </c>
      <c r="E424" s="9">
        <v>12.48</v>
      </c>
      <c r="F424" s="9">
        <v>12.48</v>
      </c>
      <c r="G424" s="11" t="s">
        <v>32</v>
      </c>
      <c r="H424" s="11" t="s">
        <v>33</v>
      </c>
      <c r="I424" s="11" t="s">
        <v>404</v>
      </c>
      <c r="J424" s="11" t="s">
        <v>404</v>
      </c>
      <c r="K424" s="11" t="s">
        <v>638</v>
      </c>
      <c r="L424" s="12">
        <v>49588.672566371701</v>
      </c>
      <c r="M424" s="12">
        <v>24794.336283185799</v>
      </c>
      <c r="N424" s="23" t="s">
        <v>643</v>
      </c>
      <c r="O424" s="11" t="s">
        <v>286</v>
      </c>
      <c r="P424" s="11" t="s">
        <v>321</v>
      </c>
      <c r="Q424" s="11">
        <v>18500041080</v>
      </c>
      <c r="R424" s="11" t="s">
        <v>288</v>
      </c>
      <c r="S424" s="11" t="s">
        <v>115</v>
      </c>
      <c r="T424" s="11"/>
    </row>
    <row r="425" spans="1:20" s="14" customFormat="1" ht="24" hidden="1" customHeight="1">
      <c r="A425" s="15"/>
      <c r="B425" s="11" t="s">
        <v>526</v>
      </c>
      <c r="C425" s="11" t="s">
        <v>645</v>
      </c>
      <c r="D425" s="11" t="s">
        <v>62</v>
      </c>
      <c r="E425" s="9">
        <v>9.98</v>
      </c>
      <c r="F425" s="9">
        <v>9.98</v>
      </c>
      <c r="G425" s="11" t="s">
        <v>32</v>
      </c>
      <c r="H425" s="11" t="s">
        <v>33</v>
      </c>
      <c r="I425" s="11" t="s">
        <v>404</v>
      </c>
      <c r="J425" s="11" t="s">
        <v>404</v>
      </c>
      <c r="K425" s="11" t="s">
        <v>638</v>
      </c>
      <c r="L425" s="12">
        <v>42834.513274336299</v>
      </c>
      <c r="M425" s="12">
        <v>21417.256637168099</v>
      </c>
      <c r="N425" s="23" t="s">
        <v>643</v>
      </c>
      <c r="O425" s="11" t="s">
        <v>286</v>
      </c>
      <c r="P425" s="11" t="s">
        <v>321</v>
      </c>
      <c r="Q425" s="11">
        <v>18500041080</v>
      </c>
      <c r="R425" s="11" t="s">
        <v>288</v>
      </c>
      <c r="S425" s="11" t="s">
        <v>115</v>
      </c>
      <c r="T425" s="11"/>
    </row>
    <row r="426" spans="1:20" s="14" customFormat="1" ht="24" hidden="1" customHeight="1">
      <c r="A426" s="15"/>
      <c r="B426" s="11" t="s">
        <v>526</v>
      </c>
      <c r="C426" s="11" t="s">
        <v>646</v>
      </c>
      <c r="D426" s="11" t="s">
        <v>62</v>
      </c>
      <c r="E426" s="9">
        <v>6.4249999999999998</v>
      </c>
      <c r="F426" s="9">
        <v>6.4249999999999998</v>
      </c>
      <c r="G426" s="11" t="s">
        <v>32</v>
      </c>
      <c r="H426" s="11" t="s">
        <v>33</v>
      </c>
      <c r="I426" s="11" t="s">
        <v>404</v>
      </c>
      <c r="J426" s="11" t="s">
        <v>404</v>
      </c>
      <c r="K426" s="11" t="s">
        <v>638</v>
      </c>
      <c r="L426" s="12">
        <v>26837.168141592902</v>
      </c>
      <c r="M426" s="12">
        <v>13418.5840707965</v>
      </c>
      <c r="N426" s="23" t="s">
        <v>643</v>
      </c>
      <c r="O426" s="11" t="s">
        <v>286</v>
      </c>
      <c r="P426" s="11" t="s">
        <v>321</v>
      </c>
      <c r="Q426" s="11">
        <v>18500041080</v>
      </c>
      <c r="R426" s="11" t="s">
        <v>288</v>
      </c>
      <c r="S426" s="11" t="s">
        <v>115</v>
      </c>
      <c r="T426" s="11"/>
    </row>
    <row r="427" spans="1:20" s="14" customFormat="1" ht="24" hidden="1" customHeight="1">
      <c r="A427" s="15"/>
      <c r="B427" s="11" t="s">
        <v>526</v>
      </c>
      <c r="C427" s="11" t="s">
        <v>641</v>
      </c>
      <c r="D427" s="11" t="s">
        <v>62</v>
      </c>
      <c r="E427" s="9">
        <v>8.2899999999999991</v>
      </c>
      <c r="F427" s="9">
        <v>8.2899999999999991</v>
      </c>
      <c r="G427" s="11" t="s">
        <v>32</v>
      </c>
      <c r="H427" s="11" t="s">
        <v>33</v>
      </c>
      <c r="I427" s="11" t="s">
        <v>404</v>
      </c>
      <c r="J427" s="11" t="s">
        <v>404</v>
      </c>
      <c r="K427" s="11" t="s">
        <v>638</v>
      </c>
      <c r="L427" s="12">
        <v>34407.168141592898</v>
      </c>
      <c r="M427" s="12">
        <v>17203.5840707965</v>
      </c>
      <c r="N427" s="23" t="s">
        <v>643</v>
      </c>
      <c r="O427" s="11" t="s">
        <v>286</v>
      </c>
      <c r="P427" s="11" t="s">
        <v>321</v>
      </c>
      <c r="Q427" s="11">
        <v>18500041080</v>
      </c>
      <c r="R427" s="11" t="s">
        <v>288</v>
      </c>
      <c r="S427" s="11" t="s">
        <v>115</v>
      </c>
      <c r="T427" s="11"/>
    </row>
    <row r="428" spans="1:20" s="14" customFormat="1" ht="24" hidden="1" customHeight="1">
      <c r="A428" s="15"/>
      <c r="B428" s="11" t="s">
        <v>593</v>
      </c>
      <c r="C428" s="11" t="s">
        <v>640</v>
      </c>
      <c r="D428" s="11" t="s">
        <v>62</v>
      </c>
      <c r="E428" s="9">
        <v>10.48</v>
      </c>
      <c r="F428" s="9">
        <v>10.48</v>
      </c>
      <c r="G428" s="11" t="s">
        <v>32</v>
      </c>
      <c r="H428" s="11" t="s">
        <v>33</v>
      </c>
      <c r="I428" s="11" t="s">
        <v>404</v>
      </c>
      <c r="J428" s="11" t="s">
        <v>404</v>
      </c>
      <c r="K428" s="11" t="s">
        <v>638</v>
      </c>
      <c r="L428" s="12">
        <v>43682.123893805299</v>
      </c>
      <c r="M428" s="12">
        <v>21841.061946902701</v>
      </c>
      <c r="N428" s="23" t="s">
        <v>647</v>
      </c>
      <c r="O428" s="11" t="s">
        <v>286</v>
      </c>
      <c r="P428" s="11" t="s">
        <v>321</v>
      </c>
      <c r="Q428" s="11">
        <v>18500041080</v>
      </c>
      <c r="R428" s="11" t="s">
        <v>288</v>
      </c>
      <c r="S428" s="11" t="s">
        <v>115</v>
      </c>
      <c r="T428" s="11"/>
    </row>
    <row r="429" spans="1:20" s="14" customFormat="1" ht="24" hidden="1" customHeight="1">
      <c r="A429" s="15"/>
      <c r="B429" s="11" t="s">
        <v>593</v>
      </c>
      <c r="C429" s="11" t="s">
        <v>644</v>
      </c>
      <c r="D429" s="11" t="s">
        <v>62</v>
      </c>
      <c r="E429" s="9">
        <v>9.66</v>
      </c>
      <c r="F429" s="9">
        <v>9.66</v>
      </c>
      <c r="G429" s="11" t="s">
        <v>32</v>
      </c>
      <c r="H429" s="11" t="s">
        <v>33</v>
      </c>
      <c r="I429" s="11" t="s">
        <v>404</v>
      </c>
      <c r="J429" s="11" t="s">
        <v>404</v>
      </c>
      <c r="K429" s="11" t="s">
        <v>638</v>
      </c>
      <c r="L429" s="12">
        <v>39409.380530973503</v>
      </c>
      <c r="M429" s="12">
        <v>19704.690265486701</v>
      </c>
      <c r="N429" s="23" t="s">
        <v>648</v>
      </c>
      <c r="O429" s="11" t="s">
        <v>286</v>
      </c>
      <c r="P429" s="11" t="s">
        <v>321</v>
      </c>
      <c r="Q429" s="11">
        <v>18500041080</v>
      </c>
      <c r="R429" s="11" t="s">
        <v>288</v>
      </c>
      <c r="S429" s="11" t="s">
        <v>115</v>
      </c>
      <c r="T429" s="11"/>
    </row>
    <row r="430" spans="1:20" s="14" customFormat="1" ht="24" hidden="1" customHeight="1">
      <c r="A430" s="15"/>
      <c r="B430" s="11" t="s">
        <v>593</v>
      </c>
      <c r="C430" s="11" t="s">
        <v>642</v>
      </c>
      <c r="D430" s="11" t="s">
        <v>62</v>
      </c>
      <c r="E430" s="9">
        <v>5.79</v>
      </c>
      <c r="F430" s="9">
        <v>5.79</v>
      </c>
      <c r="G430" s="11" t="s">
        <v>32</v>
      </c>
      <c r="H430" s="11" t="s">
        <v>33</v>
      </c>
      <c r="I430" s="11" t="s">
        <v>404</v>
      </c>
      <c r="J430" s="11" t="s">
        <v>404</v>
      </c>
      <c r="K430" s="11" t="s">
        <v>638</v>
      </c>
      <c r="L430" s="12">
        <v>23364.955752212401</v>
      </c>
      <c r="M430" s="12">
        <v>11682.477876106201</v>
      </c>
      <c r="N430" s="23" t="s">
        <v>649</v>
      </c>
      <c r="O430" s="11" t="s">
        <v>286</v>
      </c>
      <c r="P430" s="11" t="s">
        <v>321</v>
      </c>
      <c r="Q430" s="11">
        <v>18500041080</v>
      </c>
      <c r="R430" s="11" t="s">
        <v>288</v>
      </c>
      <c r="S430" s="11" t="s">
        <v>115</v>
      </c>
      <c r="T430" s="11"/>
    </row>
    <row r="431" spans="1:20" s="14" customFormat="1" ht="24" hidden="1" customHeight="1">
      <c r="A431" s="15"/>
      <c r="B431" s="11" t="s">
        <v>650</v>
      </c>
      <c r="C431" s="11" t="s">
        <v>651</v>
      </c>
      <c r="D431" s="11" t="s">
        <v>62</v>
      </c>
      <c r="E431" s="9">
        <v>17.329999999999998</v>
      </c>
      <c r="F431" s="9">
        <v>17.329999999999998</v>
      </c>
      <c r="G431" s="11" t="s">
        <v>32</v>
      </c>
      <c r="H431" s="11" t="s">
        <v>33</v>
      </c>
      <c r="I431" s="11" t="s">
        <v>404</v>
      </c>
      <c r="J431" s="11" t="s">
        <v>404</v>
      </c>
      <c r="K431" s="11" t="s">
        <v>638</v>
      </c>
      <c r="L431" s="12">
        <v>74380.973451327402</v>
      </c>
      <c r="M431" s="12">
        <v>37190.486725663701</v>
      </c>
      <c r="N431" s="23" t="s">
        <v>649</v>
      </c>
      <c r="O431" s="11" t="s">
        <v>286</v>
      </c>
      <c r="P431" s="11" t="s">
        <v>321</v>
      </c>
      <c r="Q431" s="11">
        <v>18500041080</v>
      </c>
      <c r="R431" s="11" t="s">
        <v>288</v>
      </c>
      <c r="S431" s="11" t="s">
        <v>115</v>
      </c>
      <c r="T431" s="11"/>
    </row>
    <row r="432" spans="1:20" s="14" customFormat="1" ht="24" hidden="1" customHeight="1">
      <c r="A432" s="15"/>
      <c r="B432" s="11" t="s">
        <v>650</v>
      </c>
      <c r="C432" s="11" t="s">
        <v>652</v>
      </c>
      <c r="D432" s="11" t="s">
        <v>62</v>
      </c>
      <c r="E432" s="9">
        <v>46.162999999999997</v>
      </c>
      <c r="F432" s="9">
        <v>46.162999999999997</v>
      </c>
      <c r="G432" s="11" t="s">
        <v>32</v>
      </c>
      <c r="H432" s="11" t="s">
        <v>33</v>
      </c>
      <c r="I432" s="11" t="s">
        <v>404</v>
      </c>
      <c r="J432" s="11" t="s">
        <v>404</v>
      </c>
      <c r="K432" s="11" t="s">
        <v>638</v>
      </c>
      <c r="L432" s="12">
        <v>210388.89380531001</v>
      </c>
      <c r="M432" s="12">
        <v>105194.44690265501</v>
      </c>
      <c r="N432" s="23" t="s">
        <v>649</v>
      </c>
      <c r="O432" s="11" t="s">
        <v>286</v>
      </c>
      <c r="P432" s="11" t="s">
        <v>321</v>
      </c>
      <c r="Q432" s="11">
        <v>18500041080</v>
      </c>
      <c r="R432" s="11" t="s">
        <v>288</v>
      </c>
      <c r="S432" s="11" t="s">
        <v>115</v>
      </c>
      <c r="T432" s="11"/>
    </row>
    <row r="433" spans="1:20" s="14" customFormat="1" ht="24" hidden="1" customHeight="1">
      <c r="A433" s="15"/>
      <c r="B433" s="11" t="s">
        <v>650</v>
      </c>
      <c r="C433" s="11" t="s">
        <v>653</v>
      </c>
      <c r="D433" s="11" t="s">
        <v>62</v>
      </c>
      <c r="E433" s="9">
        <v>12.577</v>
      </c>
      <c r="F433" s="9">
        <v>12.577</v>
      </c>
      <c r="G433" s="11" t="s">
        <v>32</v>
      </c>
      <c r="H433" s="11" t="s">
        <v>33</v>
      </c>
      <c r="I433" s="11" t="s">
        <v>404</v>
      </c>
      <c r="J433" s="11" t="s">
        <v>404</v>
      </c>
      <c r="K433" s="11" t="s">
        <v>638</v>
      </c>
      <c r="L433" s="12">
        <v>57319.955752212401</v>
      </c>
      <c r="M433" s="12">
        <v>28659.977876106201</v>
      </c>
      <c r="N433" s="23" t="s">
        <v>649</v>
      </c>
      <c r="O433" s="11" t="s">
        <v>286</v>
      </c>
      <c r="P433" s="11" t="s">
        <v>321</v>
      </c>
      <c r="Q433" s="11">
        <v>18500041080</v>
      </c>
      <c r="R433" s="11" t="s">
        <v>288</v>
      </c>
      <c r="S433" s="11" t="s">
        <v>115</v>
      </c>
      <c r="T433" s="11"/>
    </row>
    <row r="434" spans="1:20" s="14" customFormat="1" ht="24" hidden="1" customHeight="1">
      <c r="A434" s="15"/>
      <c r="B434" s="11" t="s">
        <v>650</v>
      </c>
      <c r="C434" s="11" t="s">
        <v>653</v>
      </c>
      <c r="D434" s="11" t="s">
        <v>62</v>
      </c>
      <c r="E434" s="9">
        <v>9.5549999999999997</v>
      </c>
      <c r="F434" s="9">
        <v>9.5549999999999997</v>
      </c>
      <c r="G434" s="11" t="s">
        <v>32</v>
      </c>
      <c r="H434" s="11" t="s">
        <v>33</v>
      </c>
      <c r="I434" s="11" t="s">
        <v>404</v>
      </c>
      <c r="J434" s="11" t="s">
        <v>404</v>
      </c>
      <c r="K434" s="11" t="s">
        <v>638</v>
      </c>
      <c r="L434" s="12">
        <v>43547.123893805299</v>
      </c>
      <c r="M434" s="12">
        <v>21773.561946902701</v>
      </c>
      <c r="N434" s="23" t="s">
        <v>649</v>
      </c>
      <c r="O434" s="11" t="s">
        <v>286</v>
      </c>
      <c r="P434" s="11" t="s">
        <v>321</v>
      </c>
      <c r="Q434" s="11">
        <v>18500041080</v>
      </c>
      <c r="R434" s="11" t="s">
        <v>288</v>
      </c>
      <c r="S434" s="11" t="s">
        <v>115</v>
      </c>
      <c r="T434" s="11"/>
    </row>
    <row r="435" spans="1:20" s="14" customFormat="1" ht="24" hidden="1" customHeight="1">
      <c r="A435" s="15"/>
      <c r="B435" s="11" t="s">
        <v>650</v>
      </c>
      <c r="C435" s="11" t="s">
        <v>652</v>
      </c>
      <c r="D435" s="11" t="s">
        <v>62</v>
      </c>
      <c r="E435" s="9">
        <v>58.534999999999997</v>
      </c>
      <c r="F435" s="9">
        <v>58.534999999999997</v>
      </c>
      <c r="G435" s="11" t="s">
        <v>32</v>
      </c>
      <c r="H435" s="11" t="s">
        <v>33</v>
      </c>
      <c r="I435" s="11" t="s">
        <v>404</v>
      </c>
      <c r="J435" s="11" t="s">
        <v>404</v>
      </c>
      <c r="K435" s="11" t="s">
        <v>638</v>
      </c>
      <c r="L435" s="12">
        <v>266774.55752212403</v>
      </c>
      <c r="M435" s="12">
        <v>133387.27876106201</v>
      </c>
      <c r="N435" s="23" t="s">
        <v>649</v>
      </c>
      <c r="O435" s="11" t="s">
        <v>286</v>
      </c>
      <c r="P435" s="11" t="s">
        <v>321</v>
      </c>
      <c r="Q435" s="11">
        <v>18500041080</v>
      </c>
      <c r="R435" s="11" t="s">
        <v>288</v>
      </c>
      <c r="S435" s="11" t="s">
        <v>115</v>
      </c>
      <c r="T435" s="11"/>
    </row>
    <row r="436" spans="1:20" s="14" customFormat="1" ht="24" hidden="1" customHeight="1">
      <c r="A436" s="15"/>
      <c r="B436" s="11" t="s">
        <v>650</v>
      </c>
      <c r="C436" s="11" t="s">
        <v>654</v>
      </c>
      <c r="D436" s="11" t="s">
        <v>62</v>
      </c>
      <c r="E436" s="9">
        <v>4.9240000000000004</v>
      </c>
      <c r="F436" s="9">
        <v>4.9240000000000004</v>
      </c>
      <c r="G436" s="11" t="s">
        <v>32</v>
      </c>
      <c r="H436" s="11" t="s">
        <v>33</v>
      </c>
      <c r="I436" s="11" t="s">
        <v>404</v>
      </c>
      <c r="J436" s="11" t="s">
        <v>404</v>
      </c>
      <c r="K436" s="11" t="s">
        <v>638</v>
      </c>
      <c r="L436" s="12">
        <v>21133.982300885</v>
      </c>
      <c r="M436" s="12">
        <v>10566.9911504425</v>
      </c>
      <c r="N436" s="23" t="s">
        <v>649</v>
      </c>
      <c r="O436" s="11" t="s">
        <v>286</v>
      </c>
      <c r="P436" s="11" t="s">
        <v>321</v>
      </c>
      <c r="Q436" s="11">
        <v>18500041080</v>
      </c>
      <c r="R436" s="11" t="s">
        <v>288</v>
      </c>
      <c r="S436" s="11" t="s">
        <v>115</v>
      </c>
      <c r="T436" s="11"/>
    </row>
    <row r="437" spans="1:20" s="14" customFormat="1" ht="24" hidden="1" customHeight="1">
      <c r="A437" s="15"/>
      <c r="B437" s="11" t="s">
        <v>650</v>
      </c>
      <c r="C437" s="11" t="s">
        <v>654</v>
      </c>
      <c r="D437" s="11" t="s">
        <v>62</v>
      </c>
      <c r="E437" s="9">
        <v>3.25</v>
      </c>
      <c r="F437" s="9">
        <v>3.25</v>
      </c>
      <c r="G437" s="11" t="s">
        <v>32</v>
      </c>
      <c r="H437" s="11" t="s">
        <v>33</v>
      </c>
      <c r="I437" s="11" t="s">
        <v>404</v>
      </c>
      <c r="J437" s="11" t="s">
        <v>404</v>
      </c>
      <c r="K437" s="11" t="s">
        <v>638</v>
      </c>
      <c r="L437" s="12">
        <v>14581.858407079601</v>
      </c>
      <c r="M437" s="12">
        <v>7290.9292035398203</v>
      </c>
      <c r="N437" s="23" t="s">
        <v>649</v>
      </c>
      <c r="O437" s="11" t="s">
        <v>286</v>
      </c>
      <c r="P437" s="11" t="s">
        <v>321</v>
      </c>
      <c r="Q437" s="11">
        <v>18500041080</v>
      </c>
      <c r="R437" s="11" t="s">
        <v>288</v>
      </c>
      <c r="S437" s="11" t="s">
        <v>115</v>
      </c>
      <c r="T437" s="11"/>
    </row>
    <row r="438" spans="1:20" s="14" customFormat="1" ht="24" customHeight="1">
      <c r="A438" s="15"/>
      <c r="B438" s="11" t="s">
        <v>655</v>
      </c>
      <c r="C438" s="11" t="s">
        <v>656</v>
      </c>
      <c r="D438" s="11" t="s">
        <v>62</v>
      </c>
      <c r="E438" s="9">
        <v>30.6</v>
      </c>
      <c r="F438" s="9">
        <v>30.6</v>
      </c>
      <c r="G438" s="11" t="s">
        <v>32</v>
      </c>
      <c r="H438" s="11" t="s">
        <v>41</v>
      </c>
      <c r="I438" s="11" t="s">
        <v>404</v>
      </c>
      <c r="J438" s="11" t="s">
        <v>404</v>
      </c>
      <c r="K438" s="11" t="s">
        <v>657</v>
      </c>
      <c r="L438" s="12">
        <v>194469.06</v>
      </c>
      <c r="M438" s="12">
        <v>107560.321061947</v>
      </c>
      <c r="N438" s="23" t="s">
        <v>658</v>
      </c>
      <c r="O438" s="11" t="s">
        <v>286</v>
      </c>
      <c r="P438" s="11" t="s">
        <v>321</v>
      </c>
      <c r="Q438" s="11">
        <v>18500041080</v>
      </c>
      <c r="R438" s="11" t="s">
        <v>288</v>
      </c>
      <c r="S438" s="11" t="s">
        <v>115</v>
      </c>
      <c r="T438" s="11"/>
    </row>
    <row r="439" spans="1:20" s="14" customFormat="1" ht="24" hidden="1" customHeight="1">
      <c r="A439" s="15"/>
      <c r="B439" s="11" t="s">
        <v>526</v>
      </c>
      <c r="C439" s="11" t="s">
        <v>659</v>
      </c>
      <c r="D439" s="11" t="s">
        <v>62</v>
      </c>
      <c r="E439" s="9">
        <v>2.4500000000000002</v>
      </c>
      <c r="F439" s="9">
        <v>2.4500000000000002</v>
      </c>
      <c r="G439" s="11" t="s">
        <v>32</v>
      </c>
      <c r="H439" s="11" t="s">
        <v>33</v>
      </c>
      <c r="I439" s="11" t="s">
        <v>404</v>
      </c>
      <c r="J439" s="11" t="s">
        <v>404</v>
      </c>
      <c r="K439" s="11" t="s">
        <v>660</v>
      </c>
      <c r="L439" s="12">
        <v>9951.7699115044306</v>
      </c>
      <c r="M439" s="12">
        <v>9951.7699115044306</v>
      </c>
      <c r="N439" s="23" t="s">
        <v>658</v>
      </c>
      <c r="O439" s="11" t="s">
        <v>286</v>
      </c>
      <c r="P439" s="11" t="s">
        <v>321</v>
      </c>
      <c r="Q439" s="11">
        <v>18500041080</v>
      </c>
      <c r="R439" s="11" t="s">
        <v>288</v>
      </c>
      <c r="S439" s="11" t="s">
        <v>115</v>
      </c>
      <c r="T439" s="11"/>
    </row>
    <row r="440" spans="1:20" s="14" customFormat="1" ht="24" hidden="1" customHeight="1">
      <c r="A440" s="15"/>
      <c r="B440" s="11" t="s">
        <v>526</v>
      </c>
      <c r="C440" s="11" t="s">
        <v>661</v>
      </c>
      <c r="D440" s="11" t="s">
        <v>62</v>
      </c>
      <c r="E440" s="9">
        <v>11.04</v>
      </c>
      <c r="F440" s="9">
        <v>11.04</v>
      </c>
      <c r="G440" s="11" t="s">
        <v>32</v>
      </c>
      <c r="H440" s="11" t="s">
        <v>33</v>
      </c>
      <c r="I440" s="11" t="s">
        <v>404</v>
      </c>
      <c r="J440" s="11" t="s">
        <v>404</v>
      </c>
      <c r="K440" s="11" t="s">
        <v>660</v>
      </c>
      <c r="L440" s="12">
        <v>44843.893805309701</v>
      </c>
      <c r="M440" s="12">
        <v>44843.893805309701</v>
      </c>
      <c r="N440" s="23" t="s">
        <v>658</v>
      </c>
      <c r="O440" s="11" t="s">
        <v>286</v>
      </c>
      <c r="P440" s="11" t="s">
        <v>321</v>
      </c>
      <c r="Q440" s="11">
        <v>18500041080</v>
      </c>
      <c r="R440" s="11" t="s">
        <v>288</v>
      </c>
      <c r="S440" s="11" t="s">
        <v>115</v>
      </c>
      <c r="T440" s="11"/>
    </row>
    <row r="441" spans="1:20" s="14" customFormat="1" ht="24" hidden="1" customHeight="1">
      <c r="A441" s="15"/>
      <c r="B441" s="11" t="s">
        <v>596</v>
      </c>
      <c r="C441" s="11" t="s">
        <v>662</v>
      </c>
      <c r="D441" s="11" t="s">
        <v>62</v>
      </c>
      <c r="E441" s="9">
        <v>9.5039999999999996</v>
      </c>
      <c r="F441" s="9">
        <v>9.5039999999999996</v>
      </c>
      <c r="G441" s="11" t="s">
        <v>32</v>
      </c>
      <c r="H441" s="11" t="s">
        <v>33</v>
      </c>
      <c r="I441" s="11" t="s">
        <v>404</v>
      </c>
      <c r="J441" s="11" t="s">
        <v>404</v>
      </c>
      <c r="K441" s="11" t="s">
        <v>660</v>
      </c>
      <c r="L441" s="12">
        <v>36838.513274336299</v>
      </c>
      <c r="M441" s="12">
        <v>36838.513274336299</v>
      </c>
      <c r="N441" s="23" t="s">
        <v>658</v>
      </c>
      <c r="O441" s="11" t="s">
        <v>286</v>
      </c>
      <c r="P441" s="11" t="s">
        <v>321</v>
      </c>
      <c r="Q441" s="11">
        <v>18500041080</v>
      </c>
      <c r="R441" s="11" t="s">
        <v>288</v>
      </c>
      <c r="S441" s="11" t="s">
        <v>115</v>
      </c>
      <c r="T441" s="11"/>
    </row>
    <row r="442" spans="1:20" s="14" customFormat="1" ht="24" hidden="1" customHeight="1">
      <c r="A442" s="15"/>
      <c r="B442" s="11" t="s">
        <v>596</v>
      </c>
      <c r="C442" s="11" t="s">
        <v>663</v>
      </c>
      <c r="D442" s="11" t="s">
        <v>62</v>
      </c>
      <c r="E442" s="9">
        <v>32.508000000000003</v>
      </c>
      <c r="F442" s="9">
        <v>32.508000000000003</v>
      </c>
      <c r="G442" s="11" t="s">
        <v>32</v>
      </c>
      <c r="H442" s="11" t="s">
        <v>33</v>
      </c>
      <c r="I442" s="11" t="s">
        <v>404</v>
      </c>
      <c r="J442" s="11" t="s">
        <v>404</v>
      </c>
      <c r="K442" s="11" t="s">
        <v>660</v>
      </c>
      <c r="L442" s="12">
        <v>127442.86725663699</v>
      </c>
      <c r="M442" s="12">
        <v>127442.86725663699</v>
      </c>
      <c r="N442" s="11" t="s">
        <v>658</v>
      </c>
      <c r="O442" s="11" t="s">
        <v>286</v>
      </c>
      <c r="P442" s="11" t="s">
        <v>321</v>
      </c>
      <c r="Q442" s="11">
        <v>18500041080</v>
      </c>
      <c r="R442" s="11" t="s">
        <v>288</v>
      </c>
      <c r="S442" s="11" t="s">
        <v>115</v>
      </c>
      <c r="T442" s="11"/>
    </row>
    <row r="443" spans="1:20" s="14" customFormat="1" ht="24" hidden="1" customHeight="1">
      <c r="A443" s="15"/>
      <c r="B443" s="11" t="s">
        <v>526</v>
      </c>
      <c r="C443" s="11" t="s">
        <v>664</v>
      </c>
      <c r="D443" s="11" t="s">
        <v>62</v>
      </c>
      <c r="E443" s="9">
        <v>33.42</v>
      </c>
      <c r="F443" s="9">
        <v>33.42</v>
      </c>
      <c r="G443" s="11" t="s">
        <v>32</v>
      </c>
      <c r="H443" s="11" t="s">
        <v>33</v>
      </c>
      <c r="I443" s="11" t="s">
        <v>404</v>
      </c>
      <c r="J443" s="11" t="s">
        <v>404</v>
      </c>
      <c r="K443" s="11" t="s">
        <v>660</v>
      </c>
      <c r="L443" s="12">
        <v>134863.00884955801</v>
      </c>
      <c r="M443" s="12">
        <v>134863.00884955801</v>
      </c>
      <c r="N443" s="11" t="s">
        <v>665</v>
      </c>
      <c r="O443" s="11" t="s">
        <v>286</v>
      </c>
      <c r="P443" s="11" t="s">
        <v>321</v>
      </c>
      <c r="Q443" s="11">
        <v>18500041080</v>
      </c>
      <c r="R443" s="11" t="s">
        <v>288</v>
      </c>
      <c r="S443" s="11" t="s">
        <v>115</v>
      </c>
      <c r="T443" s="11"/>
    </row>
    <row r="444" spans="1:20" s="14" customFormat="1" ht="24" hidden="1" customHeight="1">
      <c r="A444" s="15"/>
      <c r="B444" s="11" t="s">
        <v>526</v>
      </c>
      <c r="C444" s="11" t="s">
        <v>666</v>
      </c>
      <c r="D444" s="11" t="s">
        <v>62</v>
      </c>
      <c r="E444" s="9">
        <v>4.1769999999999996</v>
      </c>
      <c r="F444" s="9">
        <v>4.1769999999999996</v>
      </c>
      <c r="G444" s="11" t="s">
        <v>32</v>
      </c>
      <c r="H444" s="11" t="s">
        <v>33</v>
      </c>
      <c r="I444" s="11" t="s">
        <v>404</v>
      </c>
      <c r="J444" s="11" t="s">
        <v>404</v>
      </c>
      <c r="K444" s="11" t="s">
        <v>660</v>
      </c>
      <c r="L444" s="12">
        <v>17225.504424778799</v>
      </c>
      <c r="M444" s="12">
        <v>17225.504424778799</v>
      </c>
      <c r="N444" s="11" t="s">
        <v>665</v>
      </c>
      <c r="O444" s="11" t="s">
        <v>286</v>
      </c>
      <c r="P444" s="11" t="s">
        <v>321</v>
      </c>
      <c r="Q444" s="11">
        <v>18500041080</v>
      </c>
      <c r="R444" s="11" t="s">
        <v>288</v>
      </c>
      <c r="S444" s="11" t="s">
        <v>115</v>
      </c>
      <c r="T444" s="11"/>
    </row>
    <row r="445" spans="1:20" s="14" customFormat="1" ht="24" hidden="1" customHeight="1">
      <c r="A445" s="15"/>
      <c r="B445" s="11" t="s">
        <v>526</v>
      </c>
      <c r="C445" s="11" t="s">
        <v>667</v>
      </c>
      <c r="D445" s="11" t="s">
        <v>62</v>
      </c>
      <c r="E445" s="9">
        <v>5.1550000000000002</v>
      </c>
      <c r="F445" s="9">
        <v>5.1550000000000002</v>
      </c>
      <c r="G445" s="11" t="s">
        <v>32</v>
      </c>
      <c r="H445" s="11" t="s">
        <v>33</v>
      </c>
      <c r="I445" s="11" t="s">
        <v>404</v>
      </c>
      <c r="J445" s="11" t="s">
        <v>404</v>
      </c>
      <c r="K445" s="11" t="s">
        <v>660</v>
      </c>
      <c r="L445" s="12">
        <v>20802.477876106201</v>
      </c>
      <c r="M445" s="12">
        <v>20802.477876106201</v>
      </c>
      <c r="N445" s="11" t="s">
        <v>665</v>
      </c>
      <c r="O445" s="11" t="s">
        <v>286</v>
      </c>
      <c r="P445" s="11" t="s">
        <v>321</v>
      </c>
      <c r="Q445" s="11">
        <v>18500041080</v>
      </c>
      <c r="R445" s="11" t="s">
        <v>288</v>
      </c>
      <c r="S445" s="11" t="s">
        <v>115</v>
      </c>
      <c r="T445" s="11"/>
    </row>
    <row r="446" spans="1:20" s="14" customFormat="1" ht="24" hidden="1" customHeight="1">
      <c r="A446" s="15"/>
      <c r="B446" s="11" t="s">
        <v>526</v>
      </c>
      <c r="C446" s="11" t="s">
        <v>668</v>
      </c>
      <c r="D446" s="11" t="s">
        <v>62</v>
      </c>
      <c r="E446" s="9">
        <v>4.8129999999999997</v>
      </c>
      <c r="F446" s="9">
        <v>4.8129999999999997</v>
      </c>
      <c r="G446" s="11" t="s">
        <v>32</v>
      </c>
      <c r="H446" s="11" t="s">
        <v>33</v>
      </c>
      <c r="I446" s="11" t="s">
        <v>404</v>
      </c>
      <c r="J446" s="11" t="s">
        <v>404</v>
      </c>
      <c r="K446" s="11" t="s">
        <v>660</v>
      </c>
      <c r="L446" s="12">
        <v>19933.486725663701</v>
      </c>
      <c r="M446" s="12">
        <v>19933.486725663701</v>
      </c>
      <c r="N446" s="11" t="s">
        <v>665</v>
      </c>
      <c r="O446" s="11" t="s">
        <v>286</v>
      </c>
      <c r="P446" s="11" t="s">
        <v>321</v>
      </c>
      <c r="Q446" s="11">
        <v>18500041080</v>
      </c>
      <c r="R446" s="11" t="s">
        <v>288</v>
      </c>
      <c r="S446" s="11" t="s">
        <v>115</v>
      </c>
      <c r="T446" s="11"/>
    </row>
    <row r="447" spans="1:20" s="14" customFormat="1" ht="24" hidden="1" customHeight="1">
      <c r="A447" s="15"/>
      <c r="B447" s="11" t="s">
        <v>526</v>
      </c>
      <c r="C447" s="11" t="s">
        <v>669</v>
      </c>
      <c r="D447" s="11" t="s">
        <v>62</v>
      </c>
      <c r="E447" s="9">
        <v>5.2149999999999999</v>
      </c>
      <c r="F447" s="9">
        <v>5.2149999999999999</v>
      </c>
      <c r="G447" s="11" t="s">
        <v>32</v>
      </c>
      <c r="H447" s="11" t="s">
        <v>33</v>
      </c>
      <c r="I447" s="11" t="s">
        <v>404</v>
      </c>
      <c r="J447" s="11" t="s">
        <v>404</v>
      </c>
      <c r="K447" s="11" t="s">
        <v>660</v>
      </c>
      <c r="L447" s="12">
        <v>21644.557522123901</v>
      </c>
      <c r="M447" s="12">
        <v>21644.557522123901</v>
      </c>
      <c r="N447" s="11" t="s">
        <v>665</v>
      </c>
      <c r="O447" s="11" t="s">
        <v>286</v>
      </c>
      <c r="P447" s="11" t="s">
        <v>321</v>
      </c>
      <c r="Q447" s="11">
        <v>18500041080</v>
      </c>
      <c r="R447" s="11" t="s">
        <v>288</v>
      </c>
      <c r="S447" s="11" t="s">
        <v>115</v>
      </c>
      <c r="T447" s="11"/>
    </row>
    <row r="448" spans="1:20" s="14" customFormat="1" ht="24" hidden="1" customHeight="1">
      <c r="A448" s="15"/>
      <c r="B448" s="11" t="s">
        <v>526</v>
      </c>
      <c r="C448" s="11" t="s">
        <v>670</v>
      </c>
      <c r="D448" s="11" t="s">
        <v>62</v>
      </c>
      <c r="E448" s="9">
        <v>9.93</v>
      </c>
      <c r="F448" s="9">
        <v>9.93</v>
      </c>
      <c r="G448" s="11" t="s">
        <v>32</v>
      </c>
      <c r="H448" s="11" t="s">
        <v>33</v>
      </c>
      <c r="I448" s="11" t="s">
        <v>404</v>
      </c>
      <c r="J448" s="11" t="s">
        <v>404</v>
      </c>
      <c r="K448" s="11" t="s">
        <v>660</v>
      </c>
      <c r="L448" s="12">
        <v>40071.504424778803</v>
      </c>
      <c r="M448" s="12">
        <v>40071.504424778803</v>
      </c>
      <c r="N448" s="23" t="s">
        <v>665</v>
      </c>
      <c r="O448" s="11" t="s">
        <v>286</v>
      </c>
      <c r="P448" s="11" t="s">
        <v>321</v>
      </c>
      <c r="Q448" s="11">
        <v>18500041080</v>
      </c>
      <c r="R448" s="11" t="s">
        <v>288</v>
      </c>
      <c r="S448" s="11" t="s">
        <v>115</v>
      </c>
      <c r="T448" s="11"/>
    </row>
    <row r="449" spans="1:20" s="14" customFormat="1" ht="24" hidden="1" customHeight="1">
      <c r="A449" s="15"/>
      <c r="B449" s="11" t="s">
        <v>526</v>
      </c>
      <c r="C449" s="11" t="s">
        <v>671</v>
      </c>
      <c r="D449" s="11" t="s">
        <v>62</v>
      </c>
      <c r="E449" s="9">
        <v>7.1239999999999997</v>
      </c>
      <c r="F449" s="9">
        <v>7.1239999999999997</v>
      </c>
      <c r="G449" s="11" t="s">
        <v>32</v>
      </c>
      <c r="H449" s="11" t="s">
        <v>33</v>
      </c>
      <c r="I449" s="11" t="s">
        <v>404</v>
      </c>
      <c r="J449" s="11" t="s">
        <v>404</v>
      </c>
      <c r="K449" s="11" t="s">
        <v>660</v>
      </c>
      <c r="L449" s="12">
        <v>28748.176991150402</v>
      </c>
      <c r="M449" s="12">
        <v>28748.176991150402</v>
      </c>
      <c r="N449" s="23" t="s">
        <v>665</v>
      </c>
      <c r="O449" s="11" t="s">
        <v>286</v>
      </c>
      <c r="P449" s="11" t="s">
        <v>321</v>
      </c>
      <c r="Q449" s="11">
        <v>18500041080</v>
      </c>
      <c r="R449" s="11" t="s">
        <v>288</v>
      </c>
      <c r="S449" s="11" t="s">
        <v>115</v>
      </c>
      <c r="T449" s="11"/>
    </row>
    <row r="450" spans="1:20" s="14" customFormat="1" ht="24" hidden="1" customHeight="1">
      <c r="A450" s="15"/>
      <c r="B450" s="11" t="s">
        <v>593</v>
      </c>
      <c r="C450" s="11" t="s">
        <v>672</v>
      </c>
      <c r="D450" s="11" t="s">
        <v>62</v>
      </c>
      <c r="E450" s="9">
        <v>12.4</v>
      </c>
      <c r="F450" s="9">
        <v>12.4</v>
      </c>
      <c r="G450" s="11" t="s">
        <v>32</v>
      </c>
      <c r="H450" s="11" t="s">
        <v>33</v>
      </c>
      <c r="I450" s="11" t="s">
        <v>404</v>
      </c>
      <c r="J450" s="11" t="s">
        <v>404</v>
      </c>
      <c r="K450" s="11" t="s">
        <v>660</v>
      </c>
      <c r="L450" s="12">
        <v>50587.610619469</v>
      </c>
      <c r="M450" s="12">
        <v>50587.610619469</v>
      </c>
      <c r="N450" s="23" t="s">
        <v>665</v>
      </c>
      <c r="O450" s="11" t="s">
        <v>286</v>
      </c>
      <c r="P450" s="11" t="s">
        <v>321</v>
      </c>
      <c r="Q450" s="11">
        <v>18500041080</v>
      </c>
      <c r="R450" s="11" t="s">
        <v>288</v>
      </c>
      <c r="S450" s="11" t="s">
        <v>115</v>
      </c>
      <c r="T450" s="11"/>
    </row>
    <row r="451" spans="1:20" s="14" customFormat="1" ht="24" hidden="1" customHeight="1">
      <c r="A451" s="15"/>
      <c r="B451" s="23" t="s">
        <v>593</v>
      </c>
      <c r="C451" s="23" t="s">
        <v>673</v>
      </c>
      <c r="D451" s="11" t="s">
        <v>62</v>
      </c>
      <c r="E451" s="9">
        <v>11.946</v>
      </c>
      <c r="F451" s="9">
        <v>11.946</v>
      </c>
      <c r="G451" s="11" t="s">
        <v>32</v>
      </c>
      <c r="H451" s="11" t="s">
        <v>33</v>
      </c>
      <c r="I451" s="11" t="s">
        <v>404</v>
      </c>
      <c r="J451" s="11" t="s">
        <v>404</v>
      </c>
      <c r="K451" s="11" t="s">
        <v>660</v>
      </c>
      <c r="L451" s="12">
        <v>47149.699115044197</v>
      </c>
      <c r="M451" s="12">
        <v>47149.699115044197</v>
      </c>
      <c r="N451" s="23" t="s">
        <v>357</v>
      </c>
      <c r="O451" s="11" t="s">
        <v>286</v>
      </c>
      <c r="P451" s="11" t="s">
        <v>321</v>
      </c>
      <c r="Q451" s="11">
        <v>18500041080</v>
      </c>
      <c r="R451" s="11" t="s">
        <v>288</v>
      </c>
      <c r="S451" s="11" t="s">
        <v>115</v>
      </c>
      <c r="T451" s="11"/>
    </row>
    <row r="452" spans="1:20" s="14" customFormat="1" ht="24" hidden="1" customHeight="1">
      <c r="A452" s="15"/>
      <c r="B452" s="23" t="s">
        <v>674</v>
      </c>
      <c r="C452" s="23" t="s">
        <v>675</v>
      </c>
      <c r="D452" s="11" t="s">
        <v>62</v>
      </c>
      <c r="E452" s="9">
        <v>32</v>
      </c>
      <c r="F452" s="9">
        <v>32</v>
      </c>
      <c r="G452" s="11" t="s">
        <v>32</v>
      </c>
      <c r="H452" s="11" t="s">
        <v>33</v>
      </c>
      <c r="I452" s="11" t="s">
        <v>404</v>
      </c>
      <c r="J452" s="11" t="s">
        <v>404</v>
      </c>
      <c r="K452" s="11" t="s">
        <v>660</v>
      </c>
      <c r="L452" s="12">
        <v>168778.76106194701</v>
      </c>
      <c r="M452" s="12">
        <v>168778.76106194701</v>
      </c>
      <c r="N452" s="23" t="s">
        <v>357</v>
      </c>
      <c r="O452" s="11" t="s">
        <v>286</v>
      </c>
      <c r="P452" s="11" t="s">
        <v>321</v>
      </c>
      <c r="Q452" s="11">
        <v>18500041080</v>
      </c>
      <c r="R452" s="11" t="s">
        <v>288</v>
      </c>
      <c r="S452" s="11" t="s">
        <v>115</v>
      </c>
      <c r="T452" s="11"/>
    </row>
    <row r="453" spans="1:20" s="14" customFormat="1" ht="24" hidden="1" customHeight="1">
      <c r="A453" s="15"/>
      <c r="B453" s="11" t="s">
        <v>593</v>
      </c>
      <c r="C453" s="11" t="s">
        <v>676</v>
      </c>
      <c r="D453" s="11" t="s">
        <v>62</v>
      </c>
      <c r="E453" s="9">
        <v>10.53</v>
      </c>
      <c r="F453" s="9">
        <v>10.53</v>
      </c>
      <c r="G453" s="11" t="s">
        <v>32</v>
      </c>
      <c r="H453" s="11" t="s">
        <v>33</v>
      </c>
      <c r="I453" s="11" t="s">
        <v>404</v>
      </c>
      <c r="J453" s="11" t="s">
        <v>404</v>
      </c>
      <c r="K453" s="11" t="s">
        <v>660</v>
      </c>
      <c r="L453" s="12">
        <v>41374.513274336299</v>
      </c>
      <c r="M453" s="12">
        <v>41374.513274336299</v>
      </c>
      <c r="N453" s="11" t="s">
        <v>357</v>
      </c>
      <c r="O453" s="11" t="s">
        <v>286</v>
      </c>
      <c r="P453" s="11" t="s">
        <v>321</v>
      </c>
      <c r="Q453" s="11">
        <v>18500041080</v>
      </c>
      <c r="R453" s="11" t="s">
        <v>288</v>
      </c>
      <c r="S453" s="11" t="s">
        <v>115</v>
      </c>
      <c r="T453" s="11"/>
    </row>
    <row r="454" spans="1:20" s="14" customFormat="1" ht="24" hidden="1" customHeight="1">
      <c r="A454" s="15"/>
      <c r="B454" s="11" t="s">
        <v>677</v>
      </c>
      <c r="C454" s="11" t="s">
        <v>678</v>
      </c>
      <c r="D454" s="11" t="s">
        <v>62</v>
      </c>
      <c r="E454" s="9">
        <v>8.44</v>
      </c>
      <c r="F454" s="9">
        <v>8.44</v>
      </c>
      <c r="G454" s="11" t="s">
        <v>32</v>
      </c>
      <c r="H454" s="11" t="s">
        <v>33</v>
      </c>
      <c r="I454" s="11" t="s">
        <v>404</v>
      </c>
      <c r="J454" s="11" t="s">
        <v>404</v>
      </c>
      <c r="K454" s="11" t="s">
        <v>660</v>
      </c>
      <c r="L454" s="12">
        <v>36598.230088495598</v>
      </c>
      <c r="M454" s="12">
        <v>36598.230088495598</v>
      </c>
      <c r="N454" s="11" t="s">
        <v>357</v>
      </c>
      <c r="O454" s="11" t="s">
        <v>286</v>
      </c>
      <c r="P454" s="11" t="s">
        <v>321</v>
      </c>
      <c r="Q454" s="11">
        <v>18500041080</v>
      </c>
      <c r="R454" s="11" t="s">
        <v>288</v>
      </c>
      <c r="S454" s="11" t="s">
        <v>115</v>
      </c>
      <c r="T454" s="11"/>
    </row>
    <row r="455" spans="1:20" s="14" customFormat="1" ht="24" hidden="1" customHeight="1">
      <c r="A455" s="15"/>
      <c r="B455" s="11" t="s">
        <v>526</v>
      </c>
      <c r="C455" s="11" t="s">
        <v>667</v>
      </c>
      <c r="D455" s="11" t="s">
        <v>62</v>
      </c>
      <c r="E455" s="9">
        <v>7.39</v>
      </c>
      <c r="F455" s="9">
        <v>7.39</v>
      </c>
      <c r="G455" s="11" t="s">
        <v>32</v>
      </c>
      <c r="H455" s="11" t="s">
        <v>33</v>
      </c>
      <c r="I455" s="11" t="s">
        <v>404</v>
      </c>
      <c r="J455" s="11" t="s">
        <v>404</v>
      </c>
      <c r="K455" s="11" t="s">
        <v>660</v>
      </c>
      <c r="L455" s="12">
        <v>29690.796460177</v>
      </c>
      <c r="M455" s="12">
        <v>29690.796460177</v>
      </c>
      <c r="N455" s="23" t="s">
        <v>357</v>
      </c>
      <c r="O455" s="11" t="s">
        <v>286</v>
      </c>
      <c r="P455" s="11" t="s">
        <v>321</v>
      </c>
      <c r="Q455" s="11">
        <v>18500041080</v>
      </c>
      <c r="R455" s="11" t="s">
        <v>288</v>
      </c>
      <c r="S455" s="11" t="s">
        <v>115</v>
      </c>
      <c r="T455" s="11"/>
    </row>
    <row r="456" spans="1:20" s="14" customFormat="1" ht="24" hidden="1" customHeight="1">
      <c r="A456" s="15"/>
      <c r="B456" s="11" t="s">
        <v>526</v>
      </c>
      <c r="C456" s="11" t="s">
        <v>673</v>
      </c>
      <c r="D456" s="11" t="s">
        <v>62</v>
      </c>
      <c r="E456" s="9">
        <v>18.940000000000001</v>
      </c>
      <c r="F456" s="9">
        <v>18.940000000000001</v>
      </c>
      <c r="G456" s="11" t="s">
        <v>32</v>
      </c>
      <c r="H456" s="11" t="s">
        <v>33</v>
      </c>
      <c r="I456" s="11" t="s">
        <v>404</v>
      </c>
      <c r="J456" s="11" t="s">
        <v>404</v>
      </c>
      <c r="K456" s="11" t="s">
        <v>660</v>
      </c>
      <c r="L456" s="12">
        <v>76095.221238938102</v>
      </c>
      <c r="M456" s="12">
        <v>76095.221238938102</v>
      </c>
      <c r="N456" s="23" t="s">
        <v>679</v>
      </c>
      <c r="O456" s="11" t="s">
        <v>286</v>
      </c>
      <c r="P456" s="11" t="s">
        <v>321</v>
      </c>
      <c r="Q456" s="11">
        <v>18500041080</v>
      </c>
      <c r="R456" s="11" t="s">
        <v>288</v>
      </c>
      <c r="S456" s="11" t="s">
        <v>115</v>
      </c>
      <c r="T456" s="11"/>
    </row>
    <row r="457" spans="1:20" s="14" customFormat="1" ht="24" hidden="1" customHeight="1">
      <c r="A457" s="15"/>
      <c r="B457" s="11" t="s">
        <v>616</v>
      </c>
      <c r="C457" s="11" t="s">
        <v>680</v>
      </c>
      <c r="D457" s="11" t="s">
        <v>62</v>
      </c>
      <c r="E457" s="9">
        <v>5.91</v>
      </c>
      <c r="F457" s="9">
        <v>5.91</v>
      </c>
      <c r="G457" s="11" t="s">
        <v>32</v>
      </c>
      <c r="H457" s="11" t="s">
        <v>33</v>
      </c>
      <c r="I457" s="11" t="s">
        <v>404</v>
      </c>
      <c r="J457" s="11" t="s">
        <v>404</v>
      </c>
      <c r="K457" s="11" t="s">
        <v>660</v>
      </c>
      <c r="L457" s="12">
        <v>23273.893805309701</v>
      </c>
      <c r="M457" s="12">
        <v>23273.893805309701</v>
      </c>
      <c r="N457" s="23" t="s">
        <v>679</v>
      </c>
      <c r="O457" s="11" t="s">
        <v>286</v>
      </c>
      <c r="P457" s="11" t="s">
        <v>321</v>
      </c>
      <c r="Q457" s="11">
        <v>18500041080</v>
      </c>
      <c r="R457" s="11" t="s">
        <v>288</v>
      </c>
      <c r="S457" s="11" t="s">
        <v>115</v>
      </c>
      <c r="T457" s="11"/>
    </row>
    <row r="458" spans="1:20" s="14" customFormat="1" ht="24" hidden="1" customHeight="1">
      <c r="A458" s="15"/>
      <c r="B458" s="11" t="s">
        <v>596</v>
      </c>
      <c r="C458" s="11" t="s">
        <v>662</v>
      </c>
      <c r="D458" s="11" t="s">
        <v>62</v>
      </c>
      <c r="E458" s="9">
        <v>19.007999999999999</v>
      </c>
      <c r="F458" s="9">
        <v>19.007999999999999</v>
      </c>
      <c r="G458" s="11" t="s">
        <v>32</v>
      </c>
      <c r="H458" s="11" t="s">
        <v>33</v>
      </c>
      <c r="I458" s="11" t="s">
        <v>404</v>
      </c>
      <c r="J458" s="11" t="s">
        <v>404</v>
      </c>
      <c r="K458" s="11" t="s">
        <v>660</v>
      </c>
      <c r="L458" s="12">
        <v>74518.088495575197</v>
      </c>
      <c r="M458" s="12">
        <v>74518.088495575197</v>
      </c>
      <c r="N458" s="23">
        <v>43617</v>
      </c>
      <c r="O458" s="11" t="s">
        <v>286</v>
      </c>
      <c r="P458" s="11" t="s">
        <v>321</v>
      </c>
      <c r="Q458" s="11">
        <v>18500041080</v>
      </c>
      <c r="R458" s="11" t="s">
        <v>288</v>
      </c>
      <c r="S458" s="11" t="s">
        <v>115</v>
      </c>
      <c r="T458" s="11"/>
    </row>
    <row r="459" spans="1:20" s="14" customFormat="1" ht="24" hidden="1" customHeight="1">
      <c r="A459" s="15"/>
      <c r="B459" s="11" t="s">
        <v>677</v>
      </c>
      <c r="C459" s="11" t="s">
        <v>681</v>
      </c>
      <c r="D459" s="11" t="s">
        <v>62</v>
      </c>
      <c r="E459" s="9">
        <v>6.3</v>
      </c>
      <c r="F459" s="9">
        <v>6.3</v>
      </c>
      <c r="G459" s="11" t="s">
        <v>32</v>
      </c>
      <c r="H459" s="11" t="s">
        <v>33</v>
      </c>
      <c r="I459" s="11" t="s">
        <v>404</v>
      </c>
      <c r="J459" s="11" t="s">
        <v>404</v>
      </c>
      <c r="K459" s="11" t="s">
        <v>660</v>
      </c>
      <c r="L459" s="12">
        <v>27318.5840707965</v>
      </c>
      <c r="M459" s="12">
        <v>27318.5840707965</v>
      </c>
      <c r="N459" s="23">
        <v>43617</v>
      </c>
      <c r="O459" s="11" t="s">
        <v>286</v>
      </c>
      <c r="P459" s="11" t="s">
        <v>321</v>
      </c>
      <c r="Q459" s="11">
        <v>18500041080</v>
      </c>
      <c r="R459" s="11" t="s">
        <v>288</v>
      </c>
      <c r="S459" s="11" t="s">
        <v>115</v>
      </c>
      <c r="T459" s="11"/>
    </row>
    <row r="460" spans="1:20" s="14" customFormat="1" ht="24" hidden="1" customHeight="1">
      <c r="A460" s="15"/>
      <c r="B460" s="11" t="s">
        <v>677</v>
      </c>
      <c r="C460" s="11" t="s">
        <v>682</v>
      </c>
      <c r="D460" s="11" t="s">
        <v>62</v>
      </c>
      <c r="E460" s="9">
        <v>29.59</v>
      </c>
      <c r="F460" s="9">
        <v>29.59</v>
      </c>
      <c r="G460" s="11" t="s">
        <v>32</v>
      </c>
      <c r="H460" s="11" t="s">
        <v>33</v>
      </c>
      <c r="I460" s="11" t="s">
        <v>404</v>
      </c>
      <c r="J460" s="11" t="s">
        <v>404</v>
      </c>
      <c r="K460" s="11" t="s">
        <v>660</v>
      </c>
      <c r="L460" s="12">
        <v>130929.20353982299</v>
      </c>
      <c r="M460" s="12">
        <v>130929.20353982299</v>
      </c>
      <c r="N460" s="23">
        <v>43617</v>
      </c>
      <c r="O460" s="11" t="s">
        <v>286</v>
      </c>
      <c r="P460" s="11" t="s">
        <v>321</v>
      </c>
      <c r="Q460" s="11">
        <v>18500041080</v>
      </c>
      <c r="R460" s="11" t="s">
        <v>288</v>
      </c>
      <c r="S460" s="11" t="s">
        <v>115</v>
      </c>
      <c r="T460" s="11"/>
    </row>
    <row r="461" spans="1:20" s="14" customFormat="1" ht="24" hidden="1" customHeight="1">
      <c r="A461" s="15"/>
      <c r="B461" s="11" t="s">
        <v>616</v>
      </c>
      <c r="C461" s="11" t="s">
        <v>683</v>
      </c>
      <c r="D461" s="11" t="s">
        <v>62</v>
      </c>
      <c r="E461" s="9">
        <v>5.59</v>
      </c>
      <c r="F461" s="9">
        <v>5.59</v>
      </c>
      <c r="G461" s="11" t="s">
        <v>32</v>
      </c>
      <c r="H461" s="11" t="s">
        <v>33</v>
      </c>
      <c r="I461" s="11" t="s">
        <v>404</v>
      </c>
      <c r="J461" s="11" t="s">
        <v>404</v>
      </c>
      <c r="K461" s="11" t="s">
        <v>660</v>
      </c>
      <c r="L461" s="12">
        <v>22261.061946902701</v>
      </c>
      <c r="M461" s="12">
        <v>22261.061946902701</v>
      </c>
      <c r="N461" s="23">
        <v>43617</v>
      </c>
      <c r="O461" s="11" t="s">
        <v>286</v>
      </c>
      <c r="P461" s="11" t="s">
        <v>321</v>
      </c>
      <c r="Q461" s="11">
        <v>18500041080</v>
      </c>
      <c r="R461" s="11" t="s">
        <v>288</v>
      </c>
      <c r="S461" s="11" t="s">
        <v>115</v>
      </c>
      <c r="T461" s="11"/>
    </row>
    <row r="462" spans="1:20" s="14" customFormat="1" ht="24" hidden="1" customHeight="1">
      <c r="A462" s="15"/>
      <c r="B462" s="11" t="s">
        <v>616</v>
      </c>
      <c r="C462" s="11" t="s">
        <v>684</v>
      </c>
      <c r="D462" s="11" t="s">
        <v>62</v>
      </c>
      <c r="E462" s="9">
        <v>0.8</v>
      </c>
      <c r="F462" s="9">
        <v>0.8</v>
      </c>
      <c r="G462" s="11" t="s">
        <v>32</v>
      </c>
      <c r="H462" s="11" t="s">
        <v>33</v>
      </c>
      <c r="I462" s="11" t="s">
        <v>404</v>
      </c>
      <c r="J462" s="11" t="s">
        <v>404</v>
      </c>
      <c r="K462" s="11" t="s">
        <v>660</v>
      </c>
      <c r="L462" s="12">
        <v>3185.8407079645999</v>
      </c>
      <c r="M462" s="12">
        <v>3185.8407079645999</v>
      </c>
      <c r="N462" s="23">
        <v>43617</v>
      </c>
      <c r="O462" s="11" t="s">
        <v>286</v>
      </c>
      <c r="P462" s="11" t="s">
        <v>321</v>
      </c>
      <c r="Q462" s="11">
        <v>18500041080</v>
      </c>
      <c r="R462" s="11" t="s">
        <v>288</v>
      </c>
      <c r="S462" s="11" t="s">
        <v>115</v>
      </c>
      <c r="T462" s="11"/>
    </row>
    <row r="463" spans="1:20" s="14" customFormat="1" ht="24" hidden="1" customHeight="1">
      <c r="A463" s="15"/>
      <c r="B463" s="11" t="s">
        <v>677</v>
      </c>
      <c r="C463" s="11" t="s">
        <v>682</v>
      </c>
      <c r="D463" s="11" t="s">
        <v>62</v>
      </c>
      <c r="E463" s="9">
        <v>4.25</v>
      </c>
      <c r="F463" s="9">
        <v>4.25</v>
      </c>
      <c r="G463" s="11" t="s">
        <v>32</v>
      </c>
      <c r="H463" s="11" t="s">
        <v>33</v>
      </c>
      <c r="I463" s="11" t="s">
        <v>404</v>
      </c>
      <c r="J463" s="11" t="s">
        <v>404</v>
      </c>
      <c r="K463" s="11" t="s">
        <v>660</v>
      </c>
      <c r="L463" s="12">
        <v>18579.646017699099</v>
      </c>
      <c r="M463" s="12">
        <v>18579.646017699099</v>
      </c>
      <c r="N463" s="23">
        <v>43617</v>
      </c>
      <c r="O463" s="11" t="s">
        <v>286</v>
      </c>
      <c r="P463" s="11" t="s">
        <v>321</v>
      </c>
      <c r="Q463" s="11">
        <v>18500041080</v>
      </c>
      <c r="R463" s="11" t="s">
        <v>288</v>
      </c>
      <c r="S463" s="11" t="s">
        <v>115</v>
      </c>
      <c r="T463" s="11"/>
    </row>
    <row r="464" spans="1:20" s="14" customFormat="1" ht="24" hidden="1" customHeight="1">
      <c r="A464" s="15"/>
      <c r="B464" s="11" t="s">
        <v>593</v>
      </c>
      <c r="C464" s="11" t="s">
        <v>685</v>
      </c>
      <c r="D464" s="11" t="s">
        <v>62</v>
      </c>
      <c r="E464" s="9">
        <v>3.4750000000000001</v>
      </c>
      <c r="F464" s="9">
        <v>3.4750000000000001</v>
      </c>
      <c r="G464" s="11" t="s">
        <v>32</v>
      </c>
      <c r="H464" s="11" t="s">
        <v>33</v>
      </c>
      <c r="I464" s="11" t="s">
        <v>404</v>
      </c>
      <c r="J464" s="11" t="s">
        <v>404</v>
      </c>
      <c r="K464" s="11" t="s">
        <v>660</v>
      </c>
      <c r="L464" s="12">
        <v>14269.0265486726</v>
      </c>
      <c r="M464" s="12">
        <v>14269.0265486726</v>
      </c>
      <c r="N464" s="23">
        <v>43617</v>
      </c>
      <c r="O464" s="11" t="s">
        <v>286</v>
      </c>
      <c r="P464" s="11" t="s">
        <v>321</v>
      </c>
      <c r="Q464" s="11">
        <v>18500041080</v>
      </c>
      <c r="R464" s="11" t="s">
        <v>288</v>
      </c>
      <c r="S464" s="11" t="s">
        <v>115</v>
      </c>
      <c r="T464" s="11"/>
    </row>
    <row r="465" spans="1:20" s="14" customFormat="1" ht="24" hidden="1" customHeight="1">
      <c r="A465" s="15"/>
      <c r="B465" s="11" t="s">
        <v>593</v>
      </c>
      <c r="C465" s="11" t="s">
        <v>667</v>
      </c>
      <c r="D465" s="11" t="s">
        <v>62</v>
      </c>
      <c r="E465" s="9">
        <v>1.49</v>
      </c>
      <c r="F465" s="9">
        <v>1.49</v>
      </c>
      <c r="G465" s="11" t="s">
        <v>32</v>
      </c>
      <c r="H465" s="11" t="s">
        <v>33</v>
      </c>
      <c r="I465" s="11" t="s">
        <v>404</v>
      </c>
      <c r="J465" s="11" t="s">
        <v>404</v>
      </c>
      <c r="K465" s="11" t="s">
        <v>660</v>
      </c>
      <c r="L465" s="12">
        <v>5920.4424778761104</v>
      </c>
      <c r="M465" s="12">
        <v>5920.4424778761104</v>
      </c>
      <c r="N465" s="23">
        <v>43617</v>
      </c>
      <c r="O465" s="11" t="s">
        <v>286</v>
      </c>
      <c r="P465" s="11" t="s">
        <v>321</v>
      </c>
      <c r="Q465" s="11">
        <v>18500041080</v>
      </c>
      <c r="R465" s="11" t="s">
        <v>288</v>
      </c>
      <c r="S465" s="11" t="s">
        <v>115</v>
      </c>
      <c r="T465" s="11"/>
    </row>
    <row r="466" spans="1:20" s="14" customFormat="1" ht="24" hidden="1" customHeight="1">
      <c r="A466" s="15"/>
      <c r="B466" s="11" t="s">
        <v>593</v>
      </c>
      <c r="C466" s="11" t="s">
        <v>686</v>
      </c>
      <c r="D466" s="11" t="s">
        <v>62</v>
      </c>
      <c r="E466" s="9">
        <v>0.995</v>
      </c>
      <c r="F466" s="9">
        <v>0.995</v>
      </c>
      <c r="G466" s="11" t="s">
        <v>32</v>
      </c>
      <c r="H466" s="11" t="s">
        <v>33</v>
      </c>
      <c r="I466" s="11" t="s">
        <v>404</v>
      </c>
      <c r="J466" s="11" t="s">
        <v>404</v>
      </c>
      <c r="K466" s="11" t="s">
        <v>660</v>
      </c>
      <c r="L466" s="12">
        <v>3953.5840707964599</v>
      </c>
      <c r="M466" s="12">
        <v>3953.5840707964599</v>
      </c>
      <c r="N466" s="23">
        <v>43617</v>
      </c>
      <c r="O466" s="11" t="s">
        <v>286</v>
      </c>
      <c r="P466" s="11" t="s">
        <v>392</v>
      </c>
      <c r="Q466" s="11">
        <v>18601194039</v>
      </c>
      <c r="R466" s="11" t="s">
        <v>288</v>
      </c>
      <c r="S466" s="11" t="s">
        <v>115</v>
      </c>
      <c r="T466" s="11"/>
    </row>
    <row r="467" spans="1:20" s="14" customFormat="1" ht="24" hidden="1" customHeight="1">
      <c r="A467" s="15"/>
      <c r="B467" s="11" t="s">
        <v>593</v>
      </c>
      <c r="C467" s="11" t="s">
        <v>687</v>
      </c>
      <c r="D467" s="11" t="s">
        <v>62</v>
      </c>
      <c r="E467" s="9">
        <v>7.13</v>
      </c>
      <c r="F467" s="9">
        <v>7.13</v>
      </c>
      <c r="G467" s="11" t="s">
        <v>32</v>
      </c>
      <c r="H467" s="11" t="s">
        <v>33</v>
      </c>
      <c r="I467" s="11" t="s">
        <v>404</v>
      </c>
      <c r="J467" s="11" t="s">
        <v>404</v>
      </c>
      <c r="K467" s="11" t="s">
        <v>660</v>
      </c>
      <c r="L467" s="12">
        <v>28330.707964601799</v>
      </c>
      <c r="M467" s="12">
        <v>28330.707964601799</v>
      </c>
      <c r="N467" s="11" t="s">
        <v>688</v>
      </c>
      <c r="O467" s="11" t="s">
        <v>286</v>
      </c>
      <c r="P467" s="11" t="s">
        <v>392</v>
      </c>
      <c r="Q467" s="11">
        <v>18601194039</v>
      </c>
      <c r="R467" s="11" t="s">
        <v>288</v>
      </c>
      <c r="S467" s="11" t="s">
        <v>115</v>
      </c>
      <c r="T467" s="11"/>
    </row>
    <row r="468" spans="1:20" s="14" customFormat="1" ht="24" hidden="1" customHeight="1">
      <c r="A468" s="15"/>
      <c r="B468" s="23" t="s">
        <v>593</v>
      </c>
      <c r="C468" s="23" t="s">
        <v>673</v>
      </c>
      <c r="D468" s="11" t="s">
        <v>62</v>
      </c>
      <c r="E468" s="9">
        <v>8.33</v>
      </c>
      <c r="F468" s="9">
        <v>8.33</v>
      </c>
      <c r="G468" s="11" t="s">
        <v>32</v>
      </c>
      <c r="H468" s="11" t="s">
        <v>33</v>
      </c>
      <c r="I468" s="11" t="s">
        <v>404</v>
      </c>
      <c r="J468" s="11" t="s">
        <v>404</v>
      </c>
      <c r="K468" s="11" t="s">
        <v>660</v>
      </c>
      <c r="L468" s="12">
        <v>33098.849557522102</v>
      </c>
      <c r="M468" s="12">
        <v>33098.849557522102</v>
      </c>
      <c r="N468" s="23" t="s">
        <v>688</v>
      </c>
      <c r="O468" s="11" t="s">
        <v>286</v>
      </c>
      <c r="P468" s="11" t="s">
        <v>392</v>
      </c>
      <c r="Q468" s="11">
        <v>18601194039</v>
      </c>
      <c r="R468" s="11" t="s">
        <v>288</v>
      </c>
      <c r="S468" s="11" t="s">
        <v>115</v>
      </c>
      <c r="T468" s="11"/>
    </row>
    <row r="469" spans="1:20" s="14" customFormat="1" ht="24" hidden="1" customHeight="1">
      <c r="A469" s="15"/>
      <c r="B469" s="23" t="s">
        <v>677</v>
      </c>
      <c r="C469" s="23" t="s">
        <v>682</v>
      </c>
      <c r="D469" s="11" t="s">
        <v>62</v>
      </c>
      <c r="E469" s="9">
        <v>31.77</v>
      </c>
      <c r="F469" s="9">
        <v>31.77</v>
      </c>
      <c r="G469" s="11" t="s">
        <v>32</v>
      </c>
      <c r="H469" s="11" t="s">
        <v>33</v>
      </c>
      <c r="I469" s="11" t="s">
        <v>404</v>
      </c>
      <c r="J469" s="11" t="s">
        <v>404</v>
      </c>
      <c r="K469" s="11" t="s">
        <v>660</v>
      </c>
      <c r="L469" s="12">
        <v>138888.31858407101</v>
      </c>
      <c r="M469" s="12">
        <v>138888.31858407101</v>
      </c>
      <c r="N469" s="23" t="s">
        <v>688</v>
      </c>
      <c r="O469" s="11" t="s">
        <v>286</v>
      </c>
      <c r="P469" s="11" t="s">
        <v>392</v>
      </c>
      <c r="Q469" s="11">
        <v>18601194039</v>
      </c>
      <c r="R469" s="11" t="s">
        <v>288</v>
      </c>
      <c r="S469" s="11" t="s">
        <v>115</v>
      </c>
      <c r="T469" s="11"/>
    </row>
    <row r="470" spans="1:20" s="14" customFormat="1" ht="24" hidden="1" customHeight="1">
      <c r="A470" s="15"/>
      <c r="B470" s="11" t="s">
        <v>526</v>
      </c>
      <c r="C470" s="11" t="s">
        <v>689</v>
      </c>
      <c r="D470" s="11" t="s">
        <v>62</v>
      </c>
      <c r="E470" s="9">
        <v>4.5599999999999996</v>
      </c>
      <c r="F470" s="9">
        <v>4.5599999999999996</v>
      </c>
      <c r="G470" s="11" t="s">
        <v>32</v>
      </c>
      <c r="H470" s="11" t="s">
        <v>33</v>
      </c>
      <c r="I470" s="11" t="s">
        <v>404</v>
      </c>
      <c r="J470" s="11" t="s">
        <v>404</v>
      </c>
      <c r="K470" s="11" t="s">
        <v>660</v>
      </c>
      <c r="L470" s="12">
        <v>18804.955752212401</v>
      </c>
      <c r="M470" s="12">
        <v>18804.955752212401</v>
      </c>
      <c r="N470" s="11" t="s">
        <v>688</v>
      </c>
      <c r="O470" s="11" t="s">
        <v>286</v>
      </c>
      <c r="P470" s="11" t="s">
        <v>392</v>
      </c>
      <c r="Q470" s="11">
        <v>18601194039</v>
      </c>
      <c r="R470" s="11" t="s">
        <v>288</v>
      </c>
      <c r="S470" s="11" t="s">
        <v>115</v>
      </c>
      <c r="T470" s="11"/>
    </row>
    <row r="471" spans="1:20" s="14" customFormat="1" ht="24" hidden="1" customHeight="1">
      <c r="A471" s="15"/>
      <c r="B471" s="11" t="s">
        <v>593</v>
      </c>
      <c r="C471" s="11" t="s">
        <v>664</v>
      </c>
      <c r="D471" s="11" t="s">
        <v>62</v>
      </c>
      <c r="E471" s="9">
        <v>4.3849999999999998</v>
      </c>
      <c r="F471" s="9">
        <v>4.3849999999999998</v>
      </c>
      <c r="G471" s="11" t="s">
        <v>32</v>
      </c>
      <c r="H471" s="11" t="s">
        <v>33</v>
      </c>
      <c r="I471" s="11" t="s">
        <v>404</v>
      </c>
      <c r="J471" s="11" t="s">
        <v>404</v>
      </c>
      <c r="K471" s="11" t="s">
        <v>660</v>
      </c>
      <c r="L471" s="12">
        <v>17928.053097345099</v>
      </c>
      <c r="M471" s="12">
        <v>17928.053097345099</v>
      </c>
      <c r="N471" s="11" t="s">
        <v>688</v>
      </c>
      <c r="O471" s="11" t="s">
        <v>286</v>
      </c>
      <c r="P471" s="11" t="s">
        <v>392</v>
      </c>
      <c r="Q471" s="11">
        <v>18601194039</v>
      </c>
      <c r="R471" s="11" t="s">
        <v>288</v>
      </c>
      <c r="S471" s="11" t="s">
        <v>115</v>
      </c>
      <c r="T471" s="11"/>
    </row>
    <row r="472" spans="1:20" s="14" customFormat="1" ht="24" hidden="1" customHeight="1">
      <c r="A472" s="15"/>
      <c r="B472" s="11" t="s">
        <v>677</v>
      </c>
      <c r="C472" s="11" t="s">
        <v>690</v>
      </c>
      <c r="D472" s="11" t="s">
        <v>62</v>
      </c>
      <c r="E472" s="9">
        <v>9.18</v>
      </c>
      <c r="F472" s="9">
        <v>9.18</v>
      </c>
      <c r="G472" s="11" t="s">
        <v>32</v>
      </c>
      <c r="H472" s="11" t="s">
        <v>33</v>
      </c>
      <c r="I472" s="11" t="s">
        <v>404</v>
      </c>
      <c r="J472" s="11" t="s">
        <v>404</v>
      </c>
      <c r="K472" s="11" t="s">
        <v>660</v>
      </c>
      <c r="L472" s="12">
        <v>40538.230088495598</v>
      </c>
      <c r="M472" s="12">
        <v>40538.230088495598</v>
      </c>
      <c r="N472" s="23" t="s">
        <v>688</v>
      </c>
      <c r="O472" s="11" t="s">
        <v>286</v>
      </c>
      <c r="P472" s="11" t="s">
        <v>392</v>
      </c>
      <c r="Q472" s="11">
        <v>18601194039</v>
      </c>
      <c r="R472" s="11" t="s">
        <v>288</v>
      </c>
      <c r="S472" s="11" t="s">
        <v>115</v>
      </c>
      <c r="T472" s="11"/>
    </row>
    <row r="473" spans="1:20" s="14" customFormat="1" ht="24" hidden="1" customHeight="1">
      <c r="A473" s="15"/>
      <c r="B473" s="11" t="s">
        <v>677</v>
      </c>
      <c r="C473" s="11" t="s">
        <v>691</v>
      </c>
      <c r="D473" s="11" t="s">
        <v>62</v>
      </c>
      <c r="E473" s="9">
        <v>12.74</v>
      </c>
      <c r="F473" s="9">
        <v>12.74</v>
      </c>
      <c r="G473" s="11" t="s">
        <v>32</v>
      </c>
      <c r="H473" s="11" t="s">
        <v>33</v>
      </c>
      <c r="I473" s="11" t="s">
        <v>404</v>
      </c>
      <c r="J473" s="11" t="s">
        <v>404</v>
      </c>
      <c r="K473" s="11" t="s">
        <v>660</v>
      </c>
      <c r="L473" s="12">
        <v>55920.707964601803</v>
      </c>
      <c r="M473" s="12">
        <v>55920.707964601803</v>
      </c>
      <c r="N473" s="23" t="s">
        <v>688</v>
      </c>
      <c r="O473" s="11" t="s">
        <v>286</v>
      </c>
      <c r="P473" s="11" t="s">
        <v>392</v>
      </c>
      <c r="Q473" s="11">
        <v>18601194039</v>
      </c>
      <c r="R473" s="11" t="s">
        <v>288</v>
      </c>
      <c r="S473" s="11" t="s">
        <v>115</v>
      </c>
      <c r="T473" s="11"/>
    </row>
    <row r="474" spans="1:20" s="14" customFormat="1" ht="24" hidden="1" customHeight="1">
      <c r="A474" s="15"/>
      <c r="B474" s="11" t="s">
        <v>674</v>
      </c>
      <c r="C474" s="11" t="s">
        <v>675</v>
      </c>
      <c r="D474" s="11" t="s">
        <v>62</v>
      </c>
      <c r="E474" s="9">
        <v>32</v>
      </c>
      <c r="F474" s="9">
        <v>32</v>
      </c>
      <c r="G474" s="11" t="s">
        <v>32</v>
      </c>
      <c r="H474" s="11" t="s">
        <v>33</v>
      </c>
      <c r="I474" s="11" t="s">
        <v>404</v>
      </c>
      <c r="J474" s="11" t="s">
        <v>404</v>
      </c>
      <c r="K474" s="11" t="s">
        <v>660</v>
      </c>
      <c r="L474" s="12">
        <v>174725.66371681399</v>
      </c>
      <c r="M474" s="12">
        <v>174725.66371681399</v>
      </c>
      <c r="N474" s="23" t="s">
        <v>688</v>
      </c>
      <c r="O474" s="11" t="s">
        <v>286</v>
      </c>
      <c r="P474" s="11" t="s">
        <v>392</v>
      </c>
      <c r="Q474" s="11">
        <v>18601194039</v>
      </c>
      <c r="R474" s="11" t="s">
        <v>288</v>
      </c>
      <c r="S474" s="11" t="s">
        <v>115</v>
      </c>
      <c r="T474" s="11"/>
    </row>
    <row r="475" spans="1:20" s="14" customFormat="1" ht="24" hidden="1" customHeight="1">
      <c r="A475" s="15"/>
      <c r="B475" s="11" t="s">
        <v>674</v>
      </c>
      <c r="C475" s="11" t="s">
        <v>692</v>
      </c>
      <c r="D475" s="11" t="s">
        <v>62</v>
      </c>
      <c r="E475" s="9">
        <v>17.754000000000001</v>
      </c>
      <c r="F475" s="9">
        <v>17.754000000000001</v>
      </c>
      <c r="G475" s="11" t="s">
        <v>32</v>
      </c>
      <c r="H475" s="11" t="s">
        <v>33</v>
      </c>
      <c r="I475" s="11" t="s">
        <v>404</v>
      </c>
      <c r="J475" s="11" t="s">
        <v>404</v>
      </c>
      <c r="K475" s="11" t="s">
        <v>660</v>
      </c>
      <c r="L475" s="12">
        <v>95054.601769911504</v>
      </c>
      <c r="M475" s="12">
        <v>95054.601769911504</v>
      </c>
      <c r="N475" s="11" t="s">
        <v>688</v>
      </c>
      <c r="O475" s="11" t="s">
        <v>286</v>
      </c>
      <c r="P475" s="11" t="s">
        <v>392</v>
      </c>
      <c r="Q475" s="11">
        <v>18601194039</v>
      </c>
      <c r="R475" s="11" t="s">
        <v>288</v>
      </c>
      <c r="S475" s="11" t="s">
        <v>115</v>
      </c>
      <c r="T475" s="11"/>
    </row>
    <row r="476" spans="1:20" s="14" customFormat="1" ht="24" hidden="1" customHeight="1">
      <c r="A476" s="15"/>
      <c r="B476" s="11" t="s">
        <v>674</v>
      </c>
      <c r="C476" s="11" t="s">
        <v>675</v>
      </c>
      <c r="D476" s="11" t="s">
        <v>62</v>
      </c>
      <c r="E476" s="9">
        <v>12.8</v>
      </c>
      <c r="F476" s="9">
        <v>12.8</v>
      </c>
      <c r="G476" s="11" t="s">
        <v>32</v>
      </c>
      <c r="H476" s="11" t="s">
        <v>33</v>
      </c>
      <c r="I476" s="11" t="s">
        <v>404</v>
      </c>
      <c r="J476" s="11" t="s">
        <v>404</v>
      </c>
      <c r="K476" s="11" t="s">
        <v>660</v>
      </c>
      <c r="L476" s="12">
        <v>69890.265486725693</v>
      </c>
      <c r="M476" s="12">
        <v>69890.265486725693</v>
      </c>
      <c r="N476" s="11" t="s">
        <v>688</v>
      </c>
      <c r="O476" s="11" t="s">
        <v>286</v>
      </c>
      <c r="P476" s="11" t="s">
        <v>392</v>
      </c>
      <c r="Q476" s="11">
        <v>18601194039</v>
      </c>
      <c r="R476" s="11" t="s">
        <v>288</v>
      </c>
      <c r="S476" s="11" t="s">
        <v>115</v>
      </c>
      <c r="T476" s="11"/>
    </row>
    <row r="477" spans="1:20" s="14" customFormat="1" ht="24" hidden="1" customHeight="1">
      <c r="A477" s="15"/>
      <c r="B477" s="11" t="s">
        <v>593</v>
      </c>
      <c r="C477" s="11" t="s">
        <v>664</v>
      </c>
      <c r="D477" s="11" t="s">
        <v>62</v>
      </c>
      <c r="E477" s="9">
        <v>2.75</v>
      </c>
      <c r="F477" s="9">
        <v>2.75</v>
      </c>
      <c r="G477" s="11" t="s">
        <v>32</v>
      </c>
      <c r="H477" s="11" t="s">
        <v>33</v>
      </c>
      <c r="I477" s="11" t="s">
        <v>404</v>
      </c>
      <c r="J477" s="11" t="s">
        <v>404</v>
      </c>
      <c r="K477" s="11" t="s">
        <v>660</v>
      </c>
      <c r="L477" s="12">
        <v>11340.707964601799</v>
      </c>
      <c r="M477" s="12">
        <v>11340.707964601799</v>
      </c>
      <c r="N477" s="11" t="s">
        <v>688</v>
      </c>
      <c r="O477" s="11" t="s">
        <v>286</v>
      </c>
      <c r="P477" s="11" t="s">
        <v>392</v>
      </c>
      <c r="Q477" s="11">
        <v>18601194039</v>
      </c>
      <c r="R477" s="11" t="s">
        <v>288</v>
      </c>
      <c r="S477" s="11" t="s">
        <v>115</v>
      </c>
      <c r="T477" s="11"/>
    </row>
    <row r="478" spans="1:20" s="14" customFormat="1" ht="24" hidden="1" customHeight="1">
      <c r="A478" s="15"/>
      <c r="B478" s="11" t="s">
        <v>593</v>
      </c>
      <c r="C478" s="11" t="s">
        <v>689</v>
      </c>
      <c r="D478" s="11" t="s">
        <v>62</v>
      </c>
      <c r="E478" s="9">
        <v>13.25</v>
      </c>
      <c r="F478" s="9">
        <v>13.25</v>
      </c>
      <c r="G478" s="11" t="s">
        <v>32</v>
      </c>
      <c r="H478" s="11" t="s">
        <v>33</v>
      </c>
      <c r="I478" s="11" t="s">
        <v>404</v>
      </c>
      <c r="J478" s="11" t="s">
        <v>404</v>
      </c>
      <c r="K478" s="11" t="s">
        <v>660</v>
      </c>
      <c r="L478" s="12">
        <v>54055.309734513299</v>
      </c>
      <c r="M478" s="12">
        <v>54055.309734513299</v>
      </c>
      <c r="N478" s="23" t="s">
        <v>688</v>
      </c>
      <c r="O478" s="11" t="s">
        <v>286</v>
      </c>
      <c r="P478" s="11" t="s">
        <v>392</v>
      </c>
      <c r="Q478" s="11">
        <v>18601194039</v>
      </c>
      <c r="R478" s="11" t="s">
        <v>288</v>
      </c>
      <c r="S478" s="11" t="s">
        <v>115</v>
      </c>
      <c r="T478" s="11"/>
    </row>
    <row r="479" spans="1:20" s="14" customFormat="1" ht="24" hidden="1" customHeight="1">
      <c r="A479" s="15"/>
      <c r="B479" s="11" t="s">
        <v>593</v>
      </c>
      <c r="C479" s="11" t="s">
        <v>673</v>
      </c>
      <c r="D479" s="11" t="s">
        <v>62</v>
      </c>
      <c r="E479" s="9">
        <v>1.75</v>
      </c>
      <c r="F479" s="9">
        <v>1.75</v>
      </c>
      <c r="G479" s="11" t="s">
        <v>32</v>
      </c>
      <c r="H479" s="11" t="s">
        <v>33</v>
      </c>
      <c r="I479" s="11" t="s">
        <v>404</v>
      </c>
      <c r="J479" s="11" t="s">
        <v>404</v>
      </c>
      <c r="K479" s="11" t="s">
        <v>660</v>
      </c>
      <c r="L479" s="12">
        <v>7139.3805309734498</v>
      </c>
      <c r="M479" s="12">
        <v>7139.3805309734498</v>
      </c>
      <c r="N479" s="11" t="s">
        <v>688</v>
      </c>
      <c r="O479" s="11" t="s">
        <v>286</v>
      </c>
      <c r="P479" s="11" t="s">
        <v>392</v>
      </c>
      <c r="Q479" s="11">
        <v>18601194039</v>
      </c>
      <c r="R479" s="11" t="s">
        <v>288</v>
      </c>
      <c r="S479" s="11" t="s">
        <v>115</v>
      </c>
      <c r="T479" s="11"/>
    </row>
    <row r="480" spans="1:20" s="14" customFormat="1" ht="24" hidden="1" customHeight="1">
      <c r="A480" s="15"/>
      <c r="B480" s="11" t="s">
        <v>616</v>
      </c>
      <c r="C480" s="11" t="s">
        <v>683</v>
      </c>
      <c r="D480" s="11" t="s">
        <v>62</v>
      </c>
      <c r="E480" s="9">
        <v>1.35</v>
      </c>
      <c r="F480" s="9">
        <v>1.35</v>
      </c>
      <c r="G480" s="11" t="s">
        <v>32</v>
      </c>
      <c r="H480" s="11" t="s">
        <v>33</v>
      </c>
      <c r="I480" s="11" t="s">
        <v>404</v>
      </c>
      <c r="J480" s="11" t="s">
        <v>404</v>
      </c>
      <c r="K480" s="11" t="s">
        <v>660</v>
      </c>
      <c r="L480" s="12">
        <v>5555.3097345132701</v>
      </c>
      <c r="M480" s="12">
        <v>5555.3097345132701</v>
      </c>
      <c r="N480" s="11" t="s">
        <v>688</v>
      </c>
      <c r="O480" s="11" t="s">
        <v>286</v>
      </c>
      <c r="P480" s="11" t="s">
        <v>392</v>
      </c>
      <c r="Q480" s="11">
        <v>18601194039</v>
      </c>
      <c r="R480" s="11" t="s">
        <v>288</v>
      </c>
      <c r="S480" s="11" t="s">
        <v>115</v>
      </c>
      <c r="T480" s="11"/>
    </row>
    <row r="481" spans="1:20" s="14" customFormat="1" ht="24" hidden="1" customHeight="1">
      <c r="A481" s="15"/>
      <c r="B481" s="11" t="s">
        <v>526</v>
      </c>
      <c r="C481" s="11" t="s">
        <v>689</v>
      </c>
      <c r="D481" s="11" t="s">
        <v>62</v>
      </c>
      <c r="E481" s="9">
        <v>2.2749999999999999</v>
      </c>
      <c r="F481" s="9">
        <v>2.2749999999999999</v>
      </c>
      <c r="G481" s="11" t="s">
        <v>32</v>
      </c>
      <c r="H481" s="11" t="s">
        <v>33</v>
      </c>
      <c r="I481" s="11" t="s">
        <v>404</v>
      </c>
      <c r="J481" s="11" t="s">
        <v>404</v>
      </c>
      <c r="K481" s="11" t="s">
        <v>660</v>
      </c>
      <c r="L481" s="12">
        <v>9422.1238938053102</v>
      </c>
      <c r="M481" s="12">
        <v>9422.1238938053102</v>
      </c>
      <c r="N481" s="23" t="s">
        <v>688</v>
      </c>
      <c r="O481" s="11" t="s">
        <v>286</v>
      </c>
      <c r="P481" s="11" t="s">
        <v>392</v>
      </c>
      <c r="Q481" s="11">
        <v>18601194039</v>
      </c>
      <c r="R481" s="11" t="s">
        <v>288</v>
      </c>
      <c r="S481" s="11" t="s">
        <v>115</v>
      </c>
      <c r="T481" s="11"/>
    </row>
    <row r="482" spans="1:20" s="14" customFormat="1" ht="24" hidden="1" customHeight="1">
      <c r="A482" s="15"/>
      <c r="B482" s="11" t="s">
        <v>526</v>
      </c>
      <c r="C482" s="11" t="s">
        <v>673</v>
      </c>
      <c r="D482" s="11" t="s">
        <v>62</v>
      </c>
      <c r="E482" s="9">
        <v>7.45</v>
      </c>
      <c r="F482" s="9">
        <v>7.45</v>
      </c>
      <c r="G482" s="11" t="s">
        <v>32</v>
      </c>
      <c r="H482" s="11" t="s">
        <v>33</v>
      </c>
      <c r="I482" s="11" t="s">
        <v>404</v>
      </c>
      <c r="J482" s="11" t="s">
        <v>404</v>
      </c>
      <c r="K482" s="11" t="s">
        <v>660</v>
      </c>
      <c r="L482" s="12">
        <v>30854.867256637201</v>
      </c>
      <c r="M482" s="12">
        <v>30854.867256637201</v>
      </c>
      <c r="N482" s="23" t="s">
        <v>688</v>
      </c>
      <c r="O482" s="11" t="s">
        <v>286</v>
      </c>
      <c r="P482" s="11" t="s">
        <v>392</v>
      </c>
      <c r="Q482" s="11">
        <v>18601194039</v>
      </c>
      <c r="R482" s="11" t="s">
        <v>288</v>
      </c>
      <c r="S482" s="11" t="s">
        <v>115</v>
      </c>
      <c r="T482" s="11"/>
    </row>
    <row r="483" spans="1:20" s="14" customFormat="1" ht="24" hidden="1" customHeight="1">
      <c r="A483" s="15"/>
      <c r="B483" s="11" t="s">
        <v>677</v>
      </c>
      <c r="C483" s="11" t="s">
        <v>682</v>
      </c>
      <c r="D483" s="11" t="s">
        <v>62</v>
      </c>
      <c r="E483" s="9">
        <v>4.3049999999999997</v>
      </c>
      <c r="F483" s="9">
        <v>4.3049999999999997</v>
      </c>
      <c r="G483" s="11" t="s">
        <v>32</v>
      </c>
      <c r="H483" s="11" t="s">
        <v>33</v>
      </c>
      <c r="I483" s="11" t="s">
        <v>404</v>
      </c>
      <c r="J483" s="11" t="s">
        <v>404</v>
      </c>
      <c r="K483" s="11" t="s">
        <v>660</v>
      </c>
      <c r="L483" s="12">
        <v>19162.964601769901</v>
      </c>
      <c r="M483" s="12">
        <v>19162.964601769901</v>
      </c>
      <c r="N483" s="11" t="s">
        <v>688</v>
      </c>
      <c r="O483" s="11" t="s">
        <v>286</v>
      </c>
      <c r="P483" s="11" t="s">
        <v>392</v>
      </c>
      <c r="Q483" s="11">
        <v>18601194039</v>
      </c>
      <c r="R483" s="11" t="s">
        <v>288</v>
      </c>
      <c r="S483" s="11" t="s">
        <v>115</v>
      </c>
      <c r="T483" s="11"/>
    </row>
    <row r="484" spans="1:20" s="14" customFormat="1" ht="24" hidden="1" customHeight="1">
      <c r="A484" s="15"/>
      <c r="B484" s="11" t="s">
        <v>616</v>
      </c>
      <c r="C484" s="11" t="s">
        <v>693</v>
      </c>
      <c r="D484" s="11" t="s">
        <v>62</v>
      </c>
      <c r="E484" s="9">
        <v>20.010000000000002</v>
      </c>
      <c r="F484" s="9">
        <v>20.010000000000002</v>
      </c>
      <c r="G484" s="11" t="s">
        <v>32</v>
      </c>
      <c r="H484" s="11" t="s">
        <v>33</v>
      </c>
      <c r="I484" s="11" t="s">
        <v>404</v>
      </c>
      <c r="J484" s="11" t="s">
        <v>404</v>
      </c>
      <c r="K484" s="11" t="s">
        <v>660</v>
      </c>
      <c r="L484" s="12">
        <v>81810.796460177007</v>
      </c>
      <c r="M484" s="12">
        <v>81810.796460177007</v>
      </c>
      <c r="N484" s="11" t="s">
        <v>688</v>
      </c>
      <c r="O484" s="11" t="s">
        <v>286</v>
      </c>
      <c r="P484" s="11" t="s">
        <v>392</v>
      </c>
      <c r="Q484" s="11">
        <v>18601194039</v>
      </c>
      <c r="R484" s="11" t="s">
        <v>288</v>
      </c>
      <c r="S484" s="11" t="s">
        <v>115</v>
      </c>
      <c r="T484" s="11"/>
    </row>
    <row r="485" spans="1:20" s="14" customFormat="1" ht="24" hidden="1" customHeight="1">
      <c r="A485" s="15"/>
      <c r="B485" s="11" t="s">
        <v>677</v>
      </c>
      <c r="C485" s="11" t="s">
        <v>694</v>
      </c>
      <c r="D485" s="11" t="s">
        <v>62</v>
      </c>
      <c r="E485" s="9">
        <v>12.8</v>
      </c>
      <c r="F485" s="9">
        <v>12.8</v>
      </c>
      <c r="G485" s="11" t="s">
        <v>32</v>
      </c>
      <c r="H485" s="11" t="s">
        <v>33</v>
      </c>
      <c r="I485" s="11" t="s">
        <v>404</v>
      </c>
      <c r="J485" s="11" t="s">
        <v>404</v>
      </c>
      <c r="K485" s="11" t="s">
        <v>660</v>
      </c>
      <c r="L485" s="12">
        <v>56297.345132743401</v>
      </c>
      <c r="M485" s="12">
        <v>56297.345132743401</v>
      </c>
      <c r="N485" s="11" t="s">
        <v>688</v>
      </c>
      <c r="O485" s="11" t="s">
        <v>286</v>
      </c>
      <c r="P485" s="11" t="s">
        <v>392</v>
      </c>
      <c r="Q485" s="11">
        <v>18601194039</v>
      </c>
      <c r="R485" s="11" t="s">
        <v>288</v>
      </c>
      <c r="S485" s="11" t="s">
        <v>115</v>
      </c>
      <c r="T485" s="11"/>
    </row>
    <row r="486" spans="1:20" s="14" customFormat="1" ht="24" hidden="1" customHeight="1">
      <c r="A486" s="15"/>
      <c r="B486" s="11" t="s">
        <v>674</v>
      </c>
      <c r="C486" s="11" t="s">
        <v>695</v>
      </c>
      <c r="D486" s="11" t="s">
        <v>62</v>
      </c>
      <c r="E486" s="9">
        <v>31.122</v>
      </c>
      <c r="F486" s="9">
        <v>31.122</v>
      </c>
      <c r="G486" s="11" t="s">
        <v>32</v>
      </c>
      <c r="H486" s="11" t="s">
        <v>33</v>
      </c>
      <c r="I486" s="11" t="s">
        <v>404</v>
      </c>
      <c r="J486" s="11" t="s">
        <v>404</v>
      </c>
      <c r="K486" s="11" t="s">
        <v>660</v>
      </c>
      <c r="L486" s="12">
        <v>168003.71681415901</v>
      </c>
      <c r="M486" s="12">
        <v>168003.71681415901</v>
      </c>
      <c r="N486" s="11" t="s">
        <v>688</v>
      </c>
      <c r="O486" s="11" t="s">
        <v>286</v>
      </c>
      <c r="P486" s="11" t="s">
        <v>392</v>
      </c>
      <c r="Q486" s="11">
        <v>18601194039</v>
      </c>
      <c r="R486" s="11" t="s">
        <v>288</v>
      </c>
      <c r="S486" s="11" t="s">
        <v>115</v>
      </c>
      <c r="T486" s="11"/>
    </row>
    <row r="487" spans="1:20" s="14" customFormat="1" ht="24" hidden="1" customHeight="1">
      <c r="A487" s="15"/>
      <c r="B487" s="11" t="s">
        <v>616</v>
      </c>
      <c r="C487" s="11" t="s">
        <v>693</v>
      </c>
      <c r="D487" s="9" t="s">
        <v>62</v>
      </c>
      <c r="E487" s="9">
        <v>0.86</v>
      </c>
      <c r="F487" s="9">
        <v>0.86</v>
      </c>
      <c r="G487" s="11" t="s">
        <v>32</v>
      </c>
      <c r="H487" s="11" t="s">
        <v>33</v>
      </c>
      <c r="I487" s="11" t="s">
        <v>404</v>
      </c>
      <c r="J487" s="11" t="s">
        <v>404</v>
      </c>
      <c r="K487" s="11" t="s">
        <v>660</v>
      </c>
      <c r="L487" s="12">
        <v>3516.1061946902701</v>
      </c>
      <c r="M487" s="12">
        <v>3516.1061946902701</v>
      </c>
      <c r="N487" s="11" t="s">
        <v>688</v>
      </c>
      <c r="O487" s="11" t="s">
        <v>286</v>
      </c>
      <c r="P487" s="11" t="s">
        <v>392</v>
      </c>
      <c r="Q487" s="11">
        <v>18601194039</v>
      </c>
      <c r="R487" s="11" t="s">
        <v>288</v>
      </c>
      <c r="S487" s="11" t="s">
        <v>115</v>
      </c>
      <c r="T487" s="11"/>
    </row>
    <row r="488" spans="1:20" s="14" customFormat="1" ht="24" hidden="1" customHeight="1">
      <c r="A488" s="15"/>
      <c r="B488" s="11" t="s">
        <v>677</v>
      </c>
      <c r="C488" s="11" t="s">
        <v>694</v>
      </c>
      <c r="D488" s="9" t="s">
        <v>62</v>
      </c>
      <c r="E488" s="9">
        <v>12.4</v>
      </c>
      <c r="F488" s="9">
        <v>12.4</v>
      </c>
      <c r="G488" s="11" t="s">
        <v>32</v>
      </c>
      <c r="H488" s="11" t="s">
        <v>33</v>
      </c>
      <c r="I488" s="11" t="s">
        <v>404</v>
      </c>
      <c r="J488" s="11" t="s">
        <v>404</v>
      </c>
      <c r="K488" s="11" t="s">
        <v>660</v>
      </c>
      <c r="L488" s="12">
        <v>54428.318584070803</v>
      </c>
      <c r="M488" s="12">
        <v>54428.318584070803</v>
      </c>
      <c r="N488" s="11" t="s">
        <v>696</v>
      </c>
      <c r="O488" s="11" t="s">
        <v>286</v>
      </c>
      <c r="P488" s="11" t="s">
        <v>392</v>
      </c>
      <c r="Q488" s="11">
        <v>18601194039</v>
      </c>
      <c r="R488" s="11" t="s">
        <v>288</v>
      </c>
      <c r="S488" s="11" t="s">
        <v>115</v>
      </c>
      <c r="T488" s="11"/>
    </row>
    <row r="489" spans="1:20" s="14" customFormat="1" ht="24" hidden="1" customHeight="1">
      <c r="A489" s="15"/>
      <c r="B489" s="11" t="s">
        <v>526</v>
      </c>
      <c r="C489" s="11" t="s">
        <v>697</v>
      </c>
      <c r="D489" s="11" t="s">
        <v>62</v>
      </c>
      <c r="E489" s="9">
        <v>11.57</v>
      </c>
      <c r="F489" s="9">
        <v>11.57</v>
      </c>
      <c r="G489" s="11" t="s">
        <v>32</v>
      </c>
      <c r="H489" s="11" t="s">
        <v>33</v>
      </c>
      <c r="I489" s="11" t="s">
        <v>404</v>
      </c>
      <c r="J489" s="11" t="s">
        <v>404</v>
      </c>
      <c r="K489" s="11" t="s">
        <v>660</v>
      </c>
      <c r="L489" s="12">
        <v>50375.575221238898</v>
      </c>
      <c r="M489" s="12">
        <v>50375.575221238898</v>
      </c>
      <c r="N489" s="23" t="s">
        <v>696</v>
      </c>
      <c r="O489" s="11" t="s">
        <v>286</v>
      </c>
      <c r="P489" s="11" t="s">
        <v>392</v>
      </c>
      <c r="Q489" s="11">
        <v>18601194039</v>
      </c>
      <c r="R489" s="11" t="s">
        <v>288</v>
      </c>
      <c r="S489" s="11" t="s">
        <v>115</v>
      </c>
      <c r="T489" s="11"/>
    </row>
    <row r="490" spans="1:20" s="14" customFormat="1" ht="24" hidden="1" customHeight="1">
      <c r="A490" s="15"/>
      <c r="B490" s="11" t="s">
        <v>593</v>
      </c>
      <c r="C490" s="11" t="s">
        <v>698</v>
      </c>
      <c r="D490" s="11" t="s">
        <v>62</v>
      </c>
      <c r="E490" s="9">
        <v>18.32</v>
      </c>
      <c r="F490" s="9">
        <v>18.32</v>
      </c>
      <c r="G490" s="11" t="s">
        <v>32</v>
      </c>
      <c r="H490" s="11" t="s">
        <v>33</v>
      </c>
      <c r="I490" s="11" t="s">
        <v>404</v>
      </c>
      <c r="J490" s="11" t="s">
        <v>404</v>
      </c>
      <c r="K490" s="11" t="s">
        <v>660</v>
      </c>
      <c r="L490" s="12">
        <v>74576.991150442496</v>
      </c>
      <c r="M490" s="12">
        <v>74576.991150442496</v>
      </c>
      <c r="N490" s="23" t="s">
        <v>696</v>
      </c>
      <c r="O490" s="11" t="s">
        <v>286</v>
      </c>
      <c r="P490" s="11" t="s">
        <v>392</v>
      </c>
      <c r="Q490" s="11">
        <v>18601194039</v>
      </c>
      <c r="R490" s="11" t="s">
        <v>288</v>
      </c>
      <c r="S490" s="11" t="s">
        <v>115</v>
      </c>
      <c r="T490" s="11"/>
    </row>
    <row r="491" spans="1:20" s="14" customFormat="1" ht="24" customHeight="1">
      <c r="A491" s="15"/>
      <c r="B491" s="11" t="s">
        <v>699</v>
      </c>
      <c r="C491" s="11" t="s">
        <v>700</v>
      </c>
      <c r="D491" s="11" t="s">
        <v>62</v>
      </c>
      <c r="E491" s="9">
        <v>53.71</v>
      </c>
      <c r="F491" s="9">
        <v>53.71</v>
      </c>
      <c r="G491" s="11" t="s">
        <v>32</v>
      </c>
      <c r="H491" s="11" t="s">
        <v>41</v>
      </c>
      <c r="I491" s="11" t="s">
        <v>404</v>
      </c>
      <c r="J491" s="11" t="s">
        <v>404</v>
      </c>
      <c r="K491" s="11" t="s">
        <v>701</v>
      </c>
      <c r="L491" s="12">
        <v>276371.84466019401</v>
      </c>
      <c r="M491" s="12">
        <v>276371.84466019401</v>
      </c>
      <c r="N491" s="23" t="s">
        <v>696</v>
      </c>
      <c r="O491" s="11" t="s">
        <v>286</v>
      </c>
      <c r="P491" s="11" t="s">
        <v>392</v>
      </c>
      <c r="Q491" s="11">
        <v>18601194039</v>
      </c>
      <c r="R491" s="11" t="s">
        <v>288</v>
      </c>
      <c r="S491" s="11" t="s">
        <v>115</v>
      </c>
      <c r="T491" s="11"/>
    </row>
    <row r="492" spans="1:20" s="14" customFormat="1" ht="24" customHeight="1">
      <c r="A492" s="15"/>
      <c r="B492" s="11" t="s">
        <v>699</v>
      </c>
      <c r="C492" s="11" t="s">
        <v>700</v>
      </c>
      <c r="D492" s="11" t="s">
        <v>62</v>
      </c>
      <c r="E492" s="9">
        <v>21.29</v>
      </c>
      <c r="F492" s="9">
        <v>21.29</v>
      </c>
      <c r="G492" s="11" t="s">
        <v>32</v>
      </c>
      <c r="H492" s="11" t="s">
        <v>41</v>
      </c>
      <c r="I492" s="11" t="s">
        <v>404</v>
      </c>
      <c r="J492" s="11" t="s">
        <v>404</v>
      </c>
      <c r="K492" s="11" t="s">
        <v>701</v>
      </c>
      <c r="L492" s="12">
        <v>109550.475728155</v>
      </c>
      <c r="M492" s="12">
        <v>109550.475728155</v>
      </c>
      <c r="N492" s="23" t="s">
        <v>696</v>
      </c>
      <c r="O492" s="11" t="s">
        <v>286</v>
      </c>
      <c r="P492" s="11" t="s">
        <v>392</v>
      </c>
      <c r="Q492" s="11">
        <v>18601194039</v>
      </c>
      <c r="R492" s="11" t="s">
        <v>288</v>
      </c>
      <c r="S492" s="11" t="s">
        <v>115</v>
      </c>
      <c r="T492" s="11"/>
    </row>
    <row r="493" spans="1:20" s="14" customFormat="1" ht="24" customHeight="1">
      <c r="A493" s="15"/>
      <c r="B493" s="11" t="s">
        <v>699</v>
      </c>
      <c r="C493" s="11" t="s">
        <v>702</v>
      </c>
      <c r="D493" s="11" t="s">
        <v>62</v>
      </c>
      <c r="E493" s="9">
        <v>3.06</v>
      </c>
      <c r="F493" s="9">
        <v>3.06</v>
      </c>
      <c r="G493" s="11" t="s">
        <v>32</v>
      </c>
      <c r="H493" s="11" t="s">
        <v>41</v>
      </c>
      <c r="I493" s="11" t="s">
        <v>404</v>
      </c>
      <c r="J493" s="11" t="s">
        <v>404</v>
      </c>
      <c r="K493" s="11" t="s">
        <v>703</v>
      </c>
      <c r="L493" s="12">
        <v>14705.8252427184</v>
      </c>
      <c r="M493" s="12">
        <v>14705.8252427184</v>
      </c>
      <c r="N493" s="23" t="s">
        <v>696</v>
      </c>
      <c r="O493" s="11" t="s">
        <v>286</v>
      </c>
      <c r="P493" s="11" t="s">
        <v>392</v>
      </c>
      <c r="Q493" s="11">
        <v>18601194039</v>
      </c>
      <c r="R493" s="11" t="s">
        <v>288</v>
      </c>
      <c r="S493" s="11" t="s">
        <v>115</v>
      </c>
      <c r="T493" s="11"/>
    </row>
    <row r="494" spans="1:20" s="14" customFormat="1" ht="24" customHeight="1">
      <c r="A494" s="15"/>
      <c r="B494" s="11" t="s">
        <v>699</v>
      </c>
      <c r="C494" s="11" t="s">
        <v>704</v>
      </c>
      <c r="D494" s="11" t="s">
        <v>62</v>
      </c>
      <c r="E494" s="9">
        <v>3.68</v>
      </c>
      <c r="F494" s="9">
        <v>3.68</v>
      </c>
      <c r="G494" s="11" t="s">
        <v>32</v>
      </c>
      <c r="H494" s="11" t="s">
        <v>41</v>
      </c>
      <c r="I494" s="11" t="s">
        <v>404</v>
      </c>
      <c r="J494" s="11" t="s">
        <v>404</v>
      </c>
      <c r="K494" s="11" t="s">
        <v>703</v>
      </c>
      <c r="L494" s="12">
        <v>17685.4368932039</v>
      </c>
      <c r="M494" s="12">
        <v>17685.4368932039</v>
      </c>
      <c r="N494" s="23" t="s">
        <v>696</v>
      </c>
      <c r="O494" s="11" t="s">
        <v>286</v>
      </c>
      <c r="P494" s="11" t="s">
        <v>392</v>
      </c>
      <c r="Q494" s="11">
        <v>18601194039</v>
      </c>
      <c r="R494" s="11" t="s">
        <v>288</v>
      </c>
      <c r="S494" s="11" t="s">
        <v>115</v>
      </c>
      <c r="T494" s="11"/>
    </row>
    <row r="495" spans="1:20" s="14" customFormat="1" ht="24" customHeight="1">
      <c r="A495" s="15"/>
      <c r="B495" s="11" t="s">
        <v>705</v>
      </c>
      <c r="C495" s="11" t="s">
        <v>706</v>
      </c>
      <c r="D495" s="11" t="s">
        <v>62</v>
      </c>
      <c r="E495" s="9">
        <v>49.49</v>
      </c>
      <c r="F495" s="9">
        <v>49.49</v>
      </c>
      <c r="G495" s="11" t="s">
        <v>32</v>
      </c>
      <c r="H495" s="11" t="s">
        <v>41</v>
      </c>
      <c r="I495" s="11" t="s">
        <v>404</v>
      </c>
      <c r="J495" s="11" t="s">
        <v>404</v>
      </c>
      <c r="K495" s="11" t="s">
        <v>707</v>
      </c>
      <c r="L495" s="12">
        <v>290967.06896551698</v>
      </c>
      <c r="M495" s="12">
        <v>290967.06896551698</v>
      </c>
      <c r="N495" s="23" t="s">
        <v>696</v>
      </c>
      <c r="O495" s="11" t="s">
        <v>286</v>
      </c>
      <c r="P495" s="11" t="s">
        <v>392</v>
      </c>
      <c r="Q495" s="11">
        <v>18601194039</v>
      </c>
      <c r="R495" s="11" t="s">
        <v>288</v>
      </c>
      <c r="S495" s="11" t="s">
        <v>115</v>
      </c>
      <c r="T495" s="11"/>
    </row>
    <row r="496" spans="1:20" s="14" customFormat="1" ht="24" customHeight="1">
      <c r="A496" s="15"/>
      <c r="B496" s="11" t="s">
        <v>705</v>
      </c>
      <c r="C496" s="11" t="s">
        <v>706</v>
      </c>
      <c r="D496" s="11" t="s">
        <v>62</v>
      </c>
      <c r="E496" s="9">
        <v>49.53</v>
      </c>
      <c r="F496" s="9">
        <v>49.53</v>
      </c>
      <c r="G496" s="11" t="s">
        <v>32</v>
      </c>
      <c r="H496" s="11" t="s">
        <v>41</v>
      </c>
      <c r="I496" s="11" t="s">
        <v>404</v>
      </c>
      <c r="J496" s="11" t="s">
        <v>404</v>
      </c>
      <c r="K496" s="11" t="s">
        <v>707</v>
      </c>
      <c r="L496" s="12">
        <v>291629.22413793101</v>
      </c>
      <c r="M496" s="12">
        <v>291629.22413793101</v>
      </c>
      <c r="N496" s="23" t="s">
        <v>696</v>
      </c>
      <c r="O496" s="11" t="s">
        <v>286</v>
      </c>
      <c r="P496" s="11" t="s">
        <v>392</v>
      </c>
      <c r="Q496" s="11">
        <v>18601194039</v>
      </c>
      <c r="R496" s="11" t="s">
        <v>288</v>
      </c>
      <c r="S496" s="11" t="s">
        <v>115</v>
      </c>
      <c r="T496" s="11"/>
    </row>
    <row r="497" spans="1:20" s="14" customFormat="1" ht="24" customHeight="1">
      <c r="A497" s="15"/>
      <c r="B497" s="11" t="s">
        <v>705</v>
      </c>
      <c r="C497" s="11" t="s">
        <v>708</v>
      </c>
      <c r="D497" s="11" t="s">
        <v>62</v>
      </c>
      <c r="E497" s="9">
        <v>6.75</v>
      </c>
      <c r="F497" s="9">
        <v>6.75</v>
      </c>
      <c r="G497" s="11" t="s">
        <v>32</v>
      </c>
      <c r="H497" s="11" t="s">
        <v>41</v>
      </c>
      <c r="I497" s="11" t="s">
        <v>404</v>
      </c>
      <c r="J497" s="11" t="s">
        <v>404</v>
      </c>
      <c r="K497" s="11" t="s">
        <v>707</v>
      </c>
      <c r="L497" s="12">
        <v>39859.913793103398</v>
      </c>
      <c r="M497" s="12">
        <v>39859.913793103398</v>
      </c>
      <c r="N497" s="23" t="s">
        <v>696</v>
      </c>
      <c r="O497" s="11" t="s">
        <v>286</v>
      </c>
      <c r="P497" s="11" t="s">
        <v>392</v>
      </c>
      <c r="Q497" s="11">
        <v>18601194039</v>
      </c>
      <c r="R497" s="11" t="s">
        <v>288</v>
      </c>
      <c r="S497" s="11" t="s">
        <v>115</v>
      </c>
      <c r="T497" s="11"/>
    </row>
    <row r="498" spans="1:20" s="14" customFormat="1" ht="24" customHeight="1">
      <c r="A498" s="15"/>
      <c r="B498" s="11" t="s">
        <v>705</v>
      </c>
      <c r="C498" s="11" t="s">
        <v>708</v>
      </c>
      <c r="D498" s="11" t="s">
        <v>62</v>
      </c>
      <c r="E498" s="9">
        <v>6.8</v>
      </c>
      <c r="F498" s="9">
        <v>6.8</v>
      </c>
      <c r="G498" s="11" t="s">
        <v>32</v>
      </c>
      <c r="H498" s="11" t="s">
        <v>41</v>
      </c>
      <c r="I498" s="11" t="s">
        <v>404</v>
      </c>
      <c r="J498" s="11" t="s">
        <v>404</v>
      </c>
      <c r="K498" s="11" t="s">
        <v>707</v>
      </c>
      <c r="L498" s="12">
        <v>40155.172413793101</v>
      </c>
      <c r="M498" s="12">
        <v>40155.172413793101</v>
      </c>
      <c r="N498" s="23" t="s">
        <v>696</v>
      </c>
      <c r="O498" s="11" t="s">
        <v>286</v>
      </c>
      <c r="P498" s="11" t="s">
        <v>392</v>
      </c>
      <c r="Q498" s="11">
        <v>18601194039</v>
      </c>
      <c r="R498" s="11" t="s">
        <v>288</v>
      </c>
      <c r="S498" s="11" t="s">
        <v>115</v>
      </c>
      <c r="T498" s="11"/>
    </row>
    <row r="499" spans="1:20" s="14" customFormat="1" ht="24" customHeight="1">
      <c r="A499" s="15"/>
      <c r="B499" s="11" t="s">
        <v>705</v>
      </c>
      <c r="C499" s="11" t="s">
        <v>708</v>
      </c>
      <c r="D499" s="11" t="s">
        <v>62</v>
      </c>
      <c r="E499" s="9">
        <v>6.79</v>
      </c>
      <c r="F499" s="9">
        <v>6.79</v>
      </c>
      <c r="G499" s="11" t="s">
        <v>32</v>
      </c>
      <c r="H499" s="11" t="s">
        <v>41</v>
      </c>
      <c r="I499" s="11" t="s">
        <v>404</v>
      </c>
      <c r="J499" s="11" t="s">
        <v>404</v>
      </c>
      <c r="K499" s="11" t="s">
        <v>707</v>
      </c>
      <c r="L499" s="12">
        <v>40096.120689655203</v>
      </c>
      <c r="M499" s="12">
        <v>40096.120689655203</v>
      </c>
      <c r="N499" s="23" t="s">
        <v>696</v>
      </c>
      <c r="O499" s="11" t="s">
        <v>286</v>
      </c>
      <c r="P499" s="11" t="s">
        <v>392</v>
      </c>
      <c r="Q499" s="11">
        <v>18601194039</v>
      </c>
      <c r="R499" s="11" t="s">
        <v>288</v>
      </c>
      <c r="S499" s="11" t="s">
        <v>115</v>
      </c>
      <c r="T499" s="11"/>
    </row>
    <row r="500" spans="1:20" s="14" customFormat="1" ht="24" customHeight="1">
      <c r="A500" s="15"/>
      <c r="B500" s="11" t="s">
        <v>705</v>
      </c>
      <c r="C500" s="11" t="s">
        <v>708</v>
      </c>
      <c r="D500" s="11" t="s">
        <v>62</v>
      </c>
      <c r="E500" s="9">
        <v>6.78</v>
      </c>
      <c r="F500" s="9">
        <v>6.78</v>
      </c>
      <c r="G500" s="11" t="s">
        <v>32</v>
      </c>
      <c r="H500" s="11" t="s">
        <v>41</v>
      </c>
      <c r="I500" s="11" t="s">
        <v>404</v>
      </c>
      <c r="J500" s="11" t="s">
        <v>404</v>
      </c>
      <c r="K500" s="11" t="s">
        <v>707</v>
      </c>
      <c r="L500" s="12">
        <v>40037.068965517203</v>
      </c>
      <c r="M500" s="12">
        <v>40037.068965517203</v>
      </c>
      <c r="N500" s="23" t="s">
        <v>696</v>
      </c>
      <c r="O500" s="11" t="s">
        <v>286</v>
      </c>
      <c r="P500" s="11" t="s">
        <v>392</v>
      </c>
      <c r="Q500" s="11">
        <v>18601194039</v>
      </c>
      <c r="R500" s="11" t="s">
        <v>288</v>
      </c>
      <c r="S500" s="11" t="s">
        <v>115</v>
      </c>
      <c r="T500" s="11"/>
    </row>
    <row r="501" spans="1:20" s="14" customFormat="1" ht="24" customHeight="1">
      <c r="A501" s="15"/>
      <c r="B501" s="11" t="s">
        <v>705</v>
      </c>
      <c r="C501" s="11" t="s">
        <v>709</v>
      </c>
      <c r="D501" s="11" t="s">
        <v>62</v>
      </c>
      <c r="E501" s="9">
        <v>3.44</v>
      </c>
      <c r="F501" s="9">
        <v>3.44</v>
      </c>
      <c r="G501" s="11" t="s">
        <v>32</v>
      </c>
      <c r="H501" s="11" t="s">
        <v>41</v>
      </c>
      <c r="I501" s="11" t="s">
        <v>404</v>
      </c>
      <c r="J501" s="11" t="s">
        <v>404</v>
      </c>
      <c r="K501" s="11" t="s">
        <v>707</v>
      </c>
      <c r="L501" s="12">
        <v>20313.793103448301</v>
      </c>
      <c r="M501" s="12">
        <v>20313.793103448301</v>
      </c>
      <c r="N501" s="23" t="s">
        <v>696</v>
      </c>
      <c r="O501" s="11" t="s">
        <v>286</v>
      </c>
      <c r="P501" s="11" t="s">
        <v>392</v>
      </c>
      <c r="Q501" s="11">
        <v>18601194039</v>
      </c>
      <c r="R501" s="11" t="s">
        <v>288</v>
      </c>
      <c r="S501" s="11" t="s">
        <v>115</v>
      </c>
      <c r="T501" s="11"/>
    </row>
    <row r="502" spans="1:20" s="14" customFormat="1" ht="24" customHeight="1">
      <c r="A502" s="15"/>
      <c r="B502" s="11" t="s">
        <v>705</v>
      </c>
      <c r="C502" s="11" t="s">
        <v>709</v>
      </c>
      <c r="D502" s="11" t="s">
        <v>62</v>
      </c>
      <c r="E502" s="9">
        <v>3.36</v>
      </c>
      <c r="F502" s="9">
        <v>3.36</v>
      </c>
      <c r="G502" s="11" t="s">
        <v>32</v>
      </c>
      <c r="H502" s="11" t="s">
        <v>41</v>
      </c>
      <c r="I502" s="11" t="s">
        <v>404</v>
      </c>
      <c r="J502" s="11" t="s">
        <v>404</v>
      </c>
      <c r="K502" s="11" t="s">
        <v>707</v>
      </c>
      <c r="L502" s="12">
        <v>19841.379310344801</v>
      </c>
      <c r="M502" s="12">
        <v>19841.379310344801</v>
      </c>
      <c r="N502" s="23" t="s">
        <v>696</v>
      </c>
      <c r="O502" s="11" t="s">
        <v>286</v>
      </c>
      <c r="P502" s="11" t="s">
        <v>392</v>
      </c>
      <c r="Q502" s="11">
        <v>18601194039</v>
      </c>
      <c r="R502" s="11" t="s">
        <v>288</v>
      </c>
      <c r="S502" s="11" t="s">
        <v>115</v>
      </c>
      <c r="T502" s="11"/>
    </row>
    <row r="503" spans="1:20" s="14" customFormat="1" ht="24" customHeight="1">
      <c r="A503" s="15"/>
      <c r="B503" s="11" t="s">
        <v>705</v>
      </c>
      <c r="C503" s="11" t="s">
        <v>709</v>
      </c>
      <c r="D503" s="11" t="s">
        <v>62</v>
      </c>
      <c r="E503" s="9">
        <v>3.37</v>
      </c>
      <c r="F503" s="9">
        <v>3.37</v>
      </c>
      <c r="G503" s="11" t="s">
        <v>32</v>
      </c>
      <c r="H503" s="11" t="s">
        <v>41</v>
      </c>
      <c r="I503" s="11" t="s">
        <v>404</v>
      </c>
      <c r="J503" s="11" t="s">
        <v>404</v>
      </c>
      <c r="K503" s="11" t="s">
        <v>707</v>
      </c>
      <c r="L503" s="12">
        <v>19900.431034482801</v>
      </c>
      <c r="M503" s="12">
        <v>19900.431034482801</v>
      </c>
      <c r="N503" s="23" t="s">
        <v>696</v>
      </c>
      <c r="O503" s="11" t="s">
        <v>286</v>
      </c>
      <c r="P503" s="11" t="s">
        <v>392</v>
      </c>
      <c r="Q503" s="11">
        <v>18601194039</v>
      </c>
      <c r="R503" s="11" t="s">
        <v>288</v>
      </c>
      <c r="S503" s="11" t="s">
        <v>115</v>
      </c>
      <c r="T503" s="11"/>
    </row>
    <row r="504" spans="1:20" s="14" customFormat="1" ht="24" customHeight="1">
      <c r="A504" s="15"/>
      <c r="B504" s="11" t="s">
        <v>705</v>
      </c>
      <c r="C504" s="11" t="s">
        <v>710</v>
      </c>
      <c r="D504" s="11" t="s">
        <v>62</v>
      </c>
      <c r="E504" s="9">
        <v>8.94</v>
      </c>
      <c r="F504" s="9">
        <v>8.94</v>
      </c>
      <c r="G504" s="11" t="s">
        <v>32</v>
      </c>
      <c r="H504" s="11" t="s">
        <v>41</v>
      </c>
      <c r="I504" s="11" t="s">
        <v>404</v>
      </c>
      <c r="J504" s="11" t="s">
        <v>404</v>
      </c>
      <c r="K504" s="11" t="s">
        <v>707</v>
      </c>
      <c r="L504" s="12">
        <v>52792.241379310297</v>
      </c>
      <c r="M504" s="12">
        <v>52792.241379310297</v>
      </c>
      <c r="N504" s="23" t="s">
        <v>696</v>
      </c>
      <c r="O504" s="11" t="s">
        <v>286</v>
      </c>
      <c r="P504" s="11" t="s">
        <v>392</v>
      </c>
      <c r="Q504" s="11">
        <v>18601194039</v>
      </c>
      <c r="R504" s="11" t="s">
        <v>288</v>
      </c>
      <c r="S504" s="11" t="s">
        <v>115</v>
      </c>
      <c r="T504" s="11"/>
    </row>
    <row r="505" spans="1:20" s="14" customFormat="1" ht="24" customHeight="1">
      <c r="A505" s="15"/>
      <c r="B505" s="11" t="s">
        <v>705</v>
      </c>
      <c r="C505" s="11" t="s">
        <v>709</v>
      </c>
      <c r="D505" s="11" t="s">
        <v>62</v>
      </c>
      <c r="E505" s="9">
        <v>3.4</v>
      </c>
      <c r="F505" s="9">
        <v>3.4</v>
      </c>
      <c r="G505" s="11" t="s">
        <v>32</v>
      </c>
      <c r="H505" s="11" t="s">
        <v>41</v>
      </c>
      <c r="I505" s="11" t="s">
        <v>404</v>
      </c>
      <c r="J505" s="11" t="s">
        <v>404</v>
      </c>
      <c r="K505" s="11" t="s">
        <v>707</v>
      </c>
      <c r="L505" s="12">
        <v>20077.586206896602</v>
      </c>
      <c r="M505" s="12">
        <v>20077.586206896602</v>
      </c>
      <c r="N505" s="23" t="s">
        <v>696</v>
      </c>
      <c r="O505" s="11" t="s">
        <v>286</v>
      </c>
      <c r="P505" s="11" t="s">
        <v>392</v>
      </c>
      <c r="Q505" s="11">
        <v>18601194039</v>
      </c>
      <c r="R505" s="11" t="s">
        <v>288</v>
      </c>
      <c r="S505" s="11" t="s">
        <v>115</v>
      </c>
      <c r="T505" s="11"/>
    </row>
    <row r="506" spans="1:20" s="14" customFormat="1" ht="24" customHeight="1">
      <c r="A506" s="15"/>
      <c r="B506" s="11" t="s">
        <v>705</v>
      </c>
      <c r="C506" s="11" t="s">
        <v>709</v>
      </c>
      <c r="D506" s="11" t="s">
        <v>62</v>
      </c>
      <c r="E506" s="9">
        <v>3.38</v>
      </c>
      <c r="F506" s="9">
        <v>3.38</v>
      </c>
      <c r="G506" s="11" t="s">
        <v>32</v>
      </c>
      <c r="H506" s="11" t="s">
        <v>41</v>
      </c>
      <c r="I506" s="11" t="s">
        <v>404</v>
      </c>
      <c r="J506" s="11" t="s">
        <v>404</v>
      </c>
      <c r="K506" s="11" t="s">
        <v>707</v>
      </c>
      <c r="L506" s="12">
        <v>19959.482758620699</v>
      </c>
      <c r="M506" s="12">
        <v>19959.482758620699</v>
      </c>
      <c r="N506" s="23" t="s">
        <v>696</v>
      </c>
      <c r="O506" s="11" t="s">
        <v>286</v>
      </c>
      <c r="P506" s="11" t="s">
        <v>392</v>
      </c>
      <c r="Q506" s="11">
        <v>18601194039</v>
      </c>
      <c r="R506" s="11" t="s">
        <v>288</v>
      </c>
      <c r="S506" s="11" t="s">
        <v>115</v>
      </c>
      <c r="T506" s="11"/>
    </row>
    <row r="507" spans="1:20" s="14" customFormat="1" ht="24" customHeight="1">
      <c r="A507" s="15"/>
      <c r="B507" s="11" t="s">
        <v>705</v>
      </c>
      <c r="C507" s="11" t="s">
        <v>709</v>
      </c>
      <c r="D507" s="11" t="s">
        <v>62</v>
      </c>
      <c r="E507" s="9">
        <v>3.43</v>
      </c>
      <c r="F507" s="9">
        <v>3.43</v>
      </c>
      <c r="G507" s="11" t="s">
        <v>32</v>
      </c>
      <c r="H507" s="11" t="s">
        <v>41</v>
      </c>
      <c r="I507" s="11" t="s">
        <v>404</v>
      </c>
      <c r="J507" s="11" t="s">
        <v>404</v>
      </c>
      <c r="K507" s="11" t="s">
        <v>707</v>
      </c>
      <c r="L507" s="12">
        <v>19722.5</v>
      </c>
      <c r="M507" s="12">
        <v>19722.5</v>
      </c>
      <c r="N507" s="23" t="s">
        <v>696</v>
      </c>
      <c r="O507" s="11" t="s">
        <v>286</v>
      </c>
      <c r="P507" s="11" t="s">
        <v>392</v>
      </c>
      <c r="Q507" s="11">
        <v>18601194039</v>
      </c>
      <c r="R507" s="11" t="s">
        <v>288</v>
      </c>
      <c r="S507" s="11" t="s">
        <v>115</v>
      </c>
      <c r="T507" s="11"/>
    </row>
    <row r="508" spans="1:20" s="14" customFormat="1" ht="24" customHeight="1">
      <c r="A508" s="15"/>
      <c r="B508" s="11" t="s">
        <v>705</v>
      </c>
      <c r="C508" s="11" t="s">
        <v>709</v>
      </c>
      <c r="D508" s="11" t="s">
        <v>62</v>
      </c>
      <c r="E508" s="9">
        <v>3.35</v>
      </c>
      <c r="F508" s="9">
        <v>3.35</v>
      </c>
      <c r="G508" s="11" t="s">
        <v>32</v>
      </c>
      <c r="H508" s="11" t="s">
        <v>41</v>
      </c>
      <c r="I508" s="11" t="s">
        <v>404</v>
      </c>
      <c r="J508" s="11" t="s">
        <v>404</v>
      </c>
      <c r="K508" s="11" t="s">
        <v>707</v>
      </c>
      <c r="L508" s="12">
        <v>19262.5</v>
      </c>
      <c r="M508" s="12">
        <v>19262.5</v>
      </c>
      <c r="N508" s="23" t="s">
        <v>696</v>
      </c>
      <c r="O508" s="11" t="s">
        <v>286</v>
      </c>
      <c r="P508" s="11" t="s">
        <v>392</v>
      </c>
      <c r="Q508" s="11">
        <v>18601194039</v>
      </c>
      <c r="R508" s="11" t="s">
        <v>288</v>
      </c>
      <c r="S508" s="11" t="s">
        <v>115</v>
      </c>
      <c r="T508" s="11"/>
    </row>
    <row r="509" spans="1:20" s="14" customFormat="1" ht="24" customHeight="1">
      <c r="A509" s="15"/>
      <c r="B509" s="11" t="s">
        <v>705</v>
      </c>
      <c r="C509" s="11" t="s">
        <v>709</v>
      </c>
      <c r="D509" s="11" t="s">
        <v>62</v>
      </c>
      <c r="E509" s="9">
        <v>3.41</v>
      </c>
      <c r="F509" s="9">
        <v>3.41</v>
      </c>
      <c r="G509" s="11" t="s">
        <v>32</v>
      </c>
      <c r="H509" s="11" t="s">
        <v>41</v>
      </c>
      <c r="I509" s="11" t="s">
        <v>404</v>
      </c>
      <c r="J509" s="11" t="s">
        <v>404</v>
      </c>
      <c r="K509" s="11" t="s">
        <v>707</v>
      </c>
      <c r="L509" s="12">
        <v>19607.5</v>
      </c>
      <c r="M509" s="12">
        <v>19607.5</v>
      </c>
      <c r="N509" s="23" t="s">
        <v>696</v>
      </c>
      <c r="O509" s="11" t="s">
        <v>286</v>
      </c>
      <c r="P509" s="11" t="s">
        <v>392</v>
      </c>
      <c r="Q509" s="11">
        <v>18601194039</v>
      </c>
      <c r="R509" s="11" t="s">
        <v>288</v>
      </c>
      <c r="S509" s="11" t="s">
        <v>115</v>
      </c>
      <c r="T509" s="11"/>
    </row>
    <row r="510" spans="1:20" s="14" customFormat="1" ht="24" customHeight="1">
      <c r="A510" s="15"/>
      <c r="B510" s="11" t="s">
        <v>705</v>
      </c>
      <c r="C510" s="11" t="s">
        <v>709</v>
      </c>
      <c r="D510" s="11" t="s">
        <v>62</v>
      </c>
      <c r="E510" s="9">
        <v>3.36</v>
      </c>
      <c r="F510" s="9">
        <v>3.36</v>
      </c>
      <c r="G510" s="11" t="s">
        <v>32</v>
      </c>
      <c r="H510" s="11" t="s">
        <v>41</v>
      </c>
      <c r="I510" s="11" t="s">
        <v>404</v>
      </c>
      <c r="J510" s="11" t="s">
        <v>404</v>
      </c>
      <c r="K510" s="11" t="s">
        <v>707</v>
      </c>
      <c r="L510" s="12">
        <v>19320</v>
      </c>
      <c r="M510" s="12">
        <v>19320</v>
      </c>
      <c r="N510" s="23" t="s">
        <v>696</v>
      </c>
      <c r="O510" s="11" t="s">
        <v>286</v>
      </c>
      <c r="P510" s="11" t="s">
        <v>392</v>
      </c>
      <c r="Q510" s="11">
        <v>18601194039</v>
      </c>
      <c r="R510" s="11" t="s">
        <v>288</v>
      </c>
      <c r="S510" s="11" t="s">
        <v>115</v>
      </c>
      <c r="T510" s="11"/>
    </row>
    <row r="511" spans="1:20" s="14" customFormat="1" ht="24" customHeight="1">
      <c r="A511" s="15"/>
      <c r="B511" s="11" t="s">
        <v>705</v>
      </c>
      <c r="C511" s="11" t="s">
        <v>709</v>
      </c>
      <c r="D511" s="11" t="s">
        <v>62</v>
      </c>
      <c r="E511" s="9">
        <v>3.39</v>
      </c>
      <c r="F511" s="9">
        <v>3.39</v>
      </c>
      <c r="G511" s="11" t="s">
        <v>32</v>
      </c>
      <c r="H511" s="11" t="s">
        <v>41</v>
      </c>
      <c r="I511" s="11" t="s">
        <v>404</v>
      </c>
      <c r="J511" s="11" t="s">
        <v>404</v>
      </c>
      <c r="K511" s="11" t="s">
        <v>707</v>
      </c>
      <c r="L511" s="12">
        <v>19492.5</v>
      </c>
      <c r="M511" s="12">
        <v>19492.5</v>
      </c>
      <c r="N511" s="23" t="s">
        <v>696</v>
      </c>
      <c r="O511" s="11" t="s">
        <v>286</v>
      </c>
      <c r="P511" s="11" t="s">
        <v>392</v>
      </c>
      <c r="Q511" s="11">
        <v>18601194039</v>
      </c>
      <c r="R511" s="11" t="s">
        <v>288</v>
      </c>
      <c r="S511" s="11" t="s">
        <v>115</v>
      </c>
      <c r="T511" s="11"/>
    </row>
    <row r="512" spans="1:20" s="14" customFormat="1" ht="24" customHeight="1">
      <c r="A512" s="15"/>
      <c r="B512" s="11" t="s">
        <v>705</v>
      </c>
      <c r="C512" s="11" t="s">
        <v>709</v>
      </c>
      <c r="D512" s="11" t="s">
        <v>62</v>
      </c>
      <c r="E512" s="9">
        <v>3.39</v>
      </c>
      <c r="F512" s="9">
        <v>3.39</v>
      </c>
      <c r="G512" s="11" t="s">
        <v>32</v>
      </c>
      <c r="H512" s="11" t="s">
        <v>41</v>
      </c>
      <c r="I512" s="11" t="s">
        <v>404</v>
      </c>
      <c r="J512" s="11" t="s">
        <v>404</v>
      </c>
      <c r="K512" s="11" t="s">
        <v>707</v>
      </c>
      <c r="L512" s="12">
        <v>19492.5</v>
      </c>
      <c r="M512" s="12">
        <v>19492.5</v>
      </c>
      <c r="N512" s="23" t="s">
        <v>711</v>
      </c>
      <c r="O512" s="11" t="s">
        <v>286</v>
      </c>
      <c r="P512" s="11" t="s">
        <v>392</v>
      </c>
      <c r="Q512" s="11">
        <v>18601194039</v>
      </c>
      <c r="R512" s="11" t="s">
        <v>288</v>
      </c>
      <c r="S512" s="11" t="s">
        <v>115</v>
      </c>
      <c r="T512" s="11"/>
    </row>
    <row r="513" spans="1:20" s="14" customFormat="1" ht="24" customHeight="1">
      <c r="A513" s="15"/>
      <c r="B513" s="11" t="s">
        <v>705</v>
      </c>
      <c r="C513" s="11" t="s">
        <v>709</v>
      </c>
      <c r="D513" s="11" t="s">
        <v>62</v>
      </c>
      <c r="E513" s="9">
        <v>3.4</v>
      </c>
      <c r="F513" s="9">
        <v>3.4</v>
      </c>
      <c r="G513" s="11" t="s">
        <v>32</v>
      </c>
      <c r="H513" s="11" t="s">
        <v>41</v>
      </c>
      <c r="I513" s="11" t="s">
        <v>404</v>
      </c>
      <c r="J513" s="11" t="s">
        <v>404</v>
      </c>
      <c r="K513" s="11" t="s">
        <v>707</v>
      </c>
      <c r="L513" s="12">
        <v>19550</v>
      </c>
      <c r="M513" s="12">
        <v>19550</v>
      </c>
      <c r="N513" s="23" t="s">
        <v>711</v>
      </c>
      <c r="O513" s="11" t="s">
        <v>286</v>
      </c>
      <c r="P513" s="11" t="s">
        <v>392</v>
      </c>
      <c r="Q513" s="11">
        <v>18601194039</v>
      </c>
      <c r="R513" s="11" t="s">
        <v>288</v>
      </c>
      <c r="S513" s="11" t="s">
        <v>115</v>
      </c>
      <c r="T513" s="11"/>
    </row>
    <row r="514" spans="1:20" s="14" customFormat="1" ht="24" customHeight="1">
      <c r="A514" s="15"/>
      <c r="B514" s="11" t="s">
        <v>705</v>
      </c>
      <c r="C514" s="11" t="s">
        <v>708</v>
      </c>
      <c r="D514" s="11" t="s">
        <v>62</v>
      </c>
      <c r="E514" s="9">
        <v>3.39</v>
      </c>
      <c r="F514" s="9">
        <v>3.39</v>
      </c>
      <c r="G514" s="11" t="s">
        <v>32</v>
      </c>
      <c r="H514" s="11" t="s">
        <v>41</v>
      </c>
      <c r="I514" s="11" t="s">
        <v>404</v>
      </c>
      <c r="J514" s="11" t="s">
        <v>404</v>
      </c>
      <c r="K514" s="11" t="s">
        <v>707</v>
      </c>
      <c r="L514" s="12">
        <v>19492.5</v>
      </c>
      <c r="M514" s="12">
        <v>19492.5</v>
      </c>
      <c r="N514" s="23" t="s">
        <v>711</v>
      </c>
      <c r="O514" s="11" t="s">
        <v>286</v>
      </c>
      <c r="P514" s="11" t="s">
        <v>392</v>
      </c>
      <c r="Q514" s="11">
        <v>18601194039</v>
      </c>
      <c r="R514" s="11" t="s">
        <v>288</v>
      </c>
      <c r="S514" s="11" t="s">
        <v>115</v>
      </c>
      <c r="T514" s="11"/>
    </row>
    <row r="515" spans="1:20" s="14" customFormat="1" ht="24" customHeight="1">
      <c r="A515" s="15"/>
      <c r="B515" s="11" t="s">
        <v>705</v>
      </c>
      <c r="C515" s="11" t="s">
        <v>712</v>
      </c>
      <c r="D515" s="11" t="s">
        <v>62</v>
      </c>
      <c r="E515" s="9">
        <v>5.3</v>
      </c>
      <c r="F515" s="9">
        <v>5.3</v>
      </c>
      <c r="G515" s="11" t="s">
        <v>32</v>
      </c>
      <c r="H515" s="11" t="s">
        <v>41</v>
      </c>
      <c r="I515" s="11" t="s">
        <v>404</v>
      </c>
      <c r="J515" s="11" t="s">
        <v>404</v>
      </c>
      <c r="K515" s="11" t="s">
        <v>707</v>
      </c>
      <c r="L515" s="12">
        <v>30475</v>
      </c>
      <c r="M515" s="12">
        <v>30475</v>
      </c>
      <c r="N515" s="23" t="s">
        <v>711</v>
      </c>
      <c r="O515" s="11" t="s">
        <v>286</v>
      </c>
      <c r="P515" s="11" t="s">
        <v>392</v>
      </c>
      <c r="Q515" s="11">
        <v>18601194039</v>
      </c>
      <c r="R515" s="11" t="s">
        <v>288</v>
      </c>
      <c r="S515" s="11" t="s">
        <v>115</v>
      </c>
      <c r="T515" s="11"/>
    </row>
    <row r="516" spans="1:20" s="14" customFormat="1" ht="24" customHeight="1">
      <c r="A516" s="15"/>
      <c r="B516" s="11" t="s">
        <v>705</v>
      </c>
      <c r="C516" s="11" t="s">
        <v>709</v>
      </c>
      <c r="D516" s="11" t="s">
        <v>62</v>
      </c>
      <c r="E516" s="9">
        <v>72.319999999999993</v>
      </c>
      <c r="F516" s="9">
        <v>72.319999999999993</v>
      </c>
      <c r="G516" s="11" t="s">
        <v>32</v>
      </c>
      <c r="H516" s="11" t="s">
        <v>41</v>
      </c>
      <c r="I516" s="11" t="s">
        <v>404</v>
      </c>
      <c r="J516" s="11" t="s">
        <v>404</v>
      </c>
      <c r="K516" s="11" t="s">
        <v>707</v>
      </c>
      <c r="L516" s="12">
        <v>426438.40000000002</v>
      </c>
      <c r="M516" s="12">
        <v>426438.40000000002</v>
      </c>
      <c r="N516" s="23" t="s">
        <v>711</v>
      </c>
      <c r="O516" s="11" t="s">
        <v>286</v>
      </c>
      <c r="P516" s="11" t="s">
        <v>392</v>
      </c>
      <c r="Q516" s="11">
        <v>18601194039</v>
      </c>
      <c r="R516" s="11" t="s">
        <v>288</v>
      </c>
      <c r="S516" s="11" t="s">
        <v>115</v>
      </c>
      <c r="T516" s="11"/>
    </row>
    <row r="517" spans="1:20" s="14" customFormat="1" ht="24" customHeight="1">
      <c r="A517" s="15"/>
      <c r="B517" s="11" t="s">
        <v>705</v>
      </c>
      <c r="C517" s="11" t="s">
        <v>709</v>
      </c>
      <c r="D517" s="11" t="s">
        <v>62</v>
      </c>
      <c r="E517" s="9">
        <v>9.83</v>
      </c>
      <c r="F517" s="9">
        <v>9.83</v>
      </c>
      <c r="G517" s="11" t="s">
        <v>32</v>
      </c>
      <c r="H517" s="11" t="s">
        <v>41</v>
      </c>
      <c r="I517" s="11" t="s">
        <v>404</v>
      </c>
      <c r="J517" s="11" t="s">
        <v>404</v>
      </c>
      <c r="K517" s="11" t="s">
        <v>707</v>
      </c>
      <c r="L517" s="12">
        <v>56522.5</v>
      </c>
      <c r="M517" s="12">
        <v>56522.5</v>
      </c>
      <c r="N517" s="23" t="s">
        <v>711</v>
      </c>
      <c r="O517" s="11" t="s">
        <v>286</v>
      </c>
      <c r="P517" s="11" t="s">
        <v>392</v>
      </c>
      <c r="Q517" s="11">
        <v>18601194039</v>
      </c>
      <c r="R517" s="11" t="s">
        <v>288</v>
      </c>
      <c r="S517" s="11" t="s">
        <v>115</v>
      </c>
      <c r="T517" s="11"/>
    </row>
    <row r="518" spans="1:20" s="14" customFormat="1" ht="24" customHeight="1">
      <c r="A518" s="15"/>
      <c r="B518" s="11" t="s">
        <v>705</v>
      </c>
      <c r="C518" s="11" t="s">
        <v>713</v>
      </c>
      <c r="D518" s="11" t="s">
        <v>62</v>
      </c>
      <c r="E518" s="9">
        <v>5.52</v>
      </c>
      <c r="F518" s="9">
        <v>5.52</v>
      </c>
      <c r="G518" s="11" t="s">
        <v>32</v>
      </c>
      <c r="H518" s="11" t="s">
        <v>41</v>
      </c>
      <c r="I518" s="11" t="s">
        <v>404</v>
      </c>
      <c r="J518" s="11" t="s">
        <v>404</v>
      </c>
      <c r="K518" s="11" t="s">
        <v>707</v>
      </c>
      <c r="L518" s="12">
        <v>32739.315398230101</v>
      </c>
      <c r="M518" s="12">
        <v>32739.315398230101</v>
      </c>
      <c r="N518" s="23" t="s">
        <v>711</v>
      </c>
      <c r="O518" s="11" t="s">
        <v>286</v>
      </c>
      <c r="P518" s="11" t="s">
        <v>392</v>
      </c>
      <c r="Q518" s="11">
        <v>18601194039</v>
      </c>
      <c r="R518" s="11" t="s">
        <v>288</v>
      </c>
      <c r="S518" s="11" t="s">
        <v>115</v>
      </c>
      <c r="T518" s="11"/>
    </row>
    <row r="519" spans="1:20" s="14" customFormat="1" ht="24" customHeight="1">
      <c r="A519" s="15"/>
      <c r="B519" s="11" t="s">
        <v>705</v>
      </c>
      <c r="C519" s="11" t="s">
        <v>714</v>
      </c>
      <c r="D519" s="11" t="s">
        <v>62</v>
      </c>
      <c r="E519" s="9">
        <v>8.07</v>
      </c>
      <c r="F519" s="9">
        <v>8.07</v>
      </c>
      <c r="G519" s="11" t="s">
        <v>32</v>
      </c>
      <c r="H519" s="11" t="s">
        <v>41</v>
      </c>
      <c r="I519" s="11" t="s">
        <v>404</v>
      </c>
      <c r="J519" s="11" t="s">
        <v>404</v>
      </c>
      <c r="K519" s="11" t="s">
        <v>707</v>
      </c>
      <c r="L519" s="12">
        <v>47863.455663716799</v>
      </c>
      <c r="M519" s="12">
        <v>47863.455663716799</v>
      </c>
      <c r="N519" s="23" t="s">
        <v>715</v>
      </c>
      <c r="O519" s="11" t="s">
        <v>286</v>
      </c>
      <c r="P519" s="11" t="s">
        <v>392</v>
      </c>
      <c r="Q519" s="11">
        <v>18601194039</v>
      </c>
      <c r="R519" s="11" t="s">
        <v>288</v>
      </c>
      <c r="S519" s="11" t="s">
        <v>115</v>
      </c>
      <c r="T519" s="11"/>
    </row>
    <row r="520" spans="1:20" s="14" customFormat="1" ht="24" customHeight="1">
      <c r="A520" s="15"/>
      <c r="B520" s="11" t="s">
        <v>705</v>
      </c>
      <c r="C520" s="11" t="s">
        <v>714</v>
      </c>
      <c r="D520" s="11" t="s">
        <v>62</v>
      </c>
      <c r="E520" s="9">
        <v>8.08</v>
      </c>
      <c r="F520" s="9">
        <v>8.08</v>
      </c>
      <c r="G520" s="11" t="s">
        <v>32</v>
      </c>
      <c r="H520" s="11" t="s">
        <v>41</v>
      </c>
      <c r="I520" s="11" t="s">
        <v>404</v>
      </c>
      <c r="J520" s="11" t="s">
        <v>404</v>
      </c>
      <c r="K520" s="11" t="s">
        <v>707</v>
      </c>
      <c r="L520" s="12">
        <v>47922.766017699098</v>
      </c>
      <c r="M520" s="12">
        <v>47922.766017699098</v>
      </c>
      <c r="N520" s="23" t="s">
        <v>648</v>
      </c>
      <c r="O520" s="11" t="s">
        <v>286</v>
      </c>
      <c r="P520" s="11" t="s">
        <v>392</v>
      </c>
      <c r="Q520" s="11">
        <v>18601194039</v>
      </c>
      <c r="R520" s="11" t="s">
        <v>288</v>
      </c>
      <c r="S520" s="11" t="s">
        <v>115</v>
      </c>
      <c r="T520" s="11"/>
    </row>
    <row r="521" spans="1:20" s="14" customFormat="1" ht="24" customHeight="1">
      <c r="A521" s="15"/>
      <c r="B521" s="11" t="s">
        <v>705</v>
      </c>
      <c r="C521" s="11" t="s">
        <v>714</v>
      </c>
      <c r="D521" s="11" t="s">
        <v>62</v>
      </c>
      <c r="E521" s="9">
        <v>8.0500000000000007</v>
      </c>
      <c r="F521" s="9">
        <v>8.0500000000000007</v>
      </c>
      <c r="G521" s="11" t="s">
        <v>32</v>
      </c>
      <c r="H521" s="11" t="s">
        <v>41</v>
      </c>
      <c r="I521" s="11" t="s">
        <v>404</v>
      </c>
      <c r="J521" s="11" t="s">
        <v>404</v>
      </c>
      <c r="K521" s="11" t="s">
        <v>707</v>
      </c>
      <c r="L521" s="12">
        <v>47744.834955752201</v>
      </c>
      <c r="M521" s="12">
        <v>47744.834955752201</v>
      </c>
      <c r="N521" s="23" t="s">
        <v>716</v>
      </c>
      <c r="O521" s="11" t="s">
        <v>286</v>
      </c>
      <c r="P521" s="11" t="s">
        <v>392</v>
      </c>
      <c r="Q521" s="11">
        <v>18601194039</v>
      </c>
      <c r="R521" s="11" t="s">
        <v>288</v>
      </c>
      <c r="S521" s="11" t="s">
        <v>115</v>
      </c>
      <c r="T521" s="11"/>
    </row>
    <row r="522" spans="1:20" s="14" customFormat="1" ht="24" customHeight="1">
      <c r="A522" s="15"/>
      <c r="B522" s="11" t="s">
        <v>705</v>
      </c>
      <c r="C522" s="11" t="s">
        <v>713</v>
      </c>
      <c r="D522" s="11" t="s">
        <v>62</v>
      </c>
      <c r="E522" s="9">
        <v>5.4539999999999997</v>
      </c>
      <c r="F522" s="9">
        <v>5.4539999999999997</v>
      </c>
      <c r="G522" s="11" t="s">
        <v>32</v>
      </c>
      <c r="H522" s="11" t="s">
        <v>41</v>
      </c>
      <c r="I522" s="11" t="s">
        <v>404</v>
      </c>
      <c r="J522" s="11" t="s">
        <v>404</v>
      </c>
      <c r="K522" s="11" t="s">
        <v>707</v>
      </c>
      <c r="L522" s="12">
        <v>32347.867061782799</v>
      </c>
      <c r="M522" s="12">
        <v>32347.867061782799</v>
      </c>
      <c r="N522" s="23" t="s">
        <v>716</v>
      </c>
      <c r="O522" s="11" t="s">
        <v>286</v>
      </c>
      <c r="P522" s="11" t="s">
        <v>392</v>
      </c>
      <c r="Q522" s="11">
        <v>18601194039</v>
      </c>
      <c r="R522" s="11" t="s">
        <v>288</v>
      </c>
      <c r="S522" s="11" t="s">
        <v>115</v>
      </c>
      <c r="T522" s="11"/>
    </row>
    <row r="523" spans="1:20" s="14" customFormat="1" ht="24" customHeight="1">
      <c r="A523" s="15"/>
      <c r="B523" s="11" t="s">
        <v>705</v>
      </c>
      <c r="C523" s="11" t="s">
        <v>714</v>
      </c>
      <c r="D523" s="11" t="s">
        <v>62</v>
      </c>
      <c r="E523" s="9">
        <v>46.61</v>
      </c>
      <c r="F523" s="9">
        <v>46.61</v>
      </c>
      <c r="G523" s="11" t="s">
        <v>32</v>
      </c>
      <c r="H523" s="11" t="s">
        <v>41</v>
      </c>
      <c r="I523" s="11" t="s">
        <v>404</v>
      </c>
      <c r="J523" s="11" t="s">
        <v>404</v>
      </c>
      <c r="K523" s="11" t="s">
        <v>707</v>
      </c>
      <c r="L523" s="12">
        <v>275239.88707997598</v>
      </c>
      <c r="M523" s="12">
        <v>275239.88707997598</v>
      </c>
      <c r="N523" s="23" t="s">
        <v>717</v>
      </c>
      <c r="O523" s="11" t="s">
        <v>286</v>
      </c>
      <c r="P523" s="11" t="s">
        <v>392</v>
      </c>
      <c r="Q523" s="11">
        <v>18601194039</v>
      </c>
      <c r="R523" s="11" t="s">
        <v>288</v>
      </c>
      <c r="S523" s="11" t="s">
        <v>115</v>
      </c>
      <c r="T523" s="11"/>
    </row>
    <row r="524" spans="1:20" s="14" customFormat="1" ht="24" customHeight="1">
      <c r="A524" s="15"/>
      <c r="B524" s="11" t="s">
        <v>705</v>
      </c>
      <c r="C524" s="11" t="s">
        <v>718</v>
      </c>
      <c r="D524" s="11" t="s">
        <v>62</v>
      </c>
      <c r="E524" s="9">
        <v>8.94</v>
      </c>
      <c r="F524" s="9">
        <v>8.94</v>
      </c>
      <c r="G524" s="11" t="s">
        <v>32</v>
      </c>
      <c r="H524" s="11" t="s">
        <v>41</v>
      </c>
      <c r="I524" s="11" t="s">
        <v>404</v>
      </c>
      <c r="J524" s="11" t="s">
        <v>404</v>
      </c>
      <c r="K524" s="11" t="s">
        <v>707</v>
      </c>
      <c r="L524" s="12">
        <v>51405</v>
      </c>
      <c r="M524" s="12">
        <v>51405</v>
      </c>
      <c r="N524" s="23" t="s">
        <v>719</v>
      </c>
      <c r="O524" s="11" t="s">
        <v>286</v>
      </c>
      <c r="P524" s="11" t="s">
        <v>392</v>
      </c>
      <c r="Q524" s="11">
        <v>18601194039</v>
      </c>
      <c r="R524" s="11" t="s">
        <v>288</v>
      </c>
      <c r="S524" s="11" t="s">
        <v>115</v>
      </c>
      <c r="T524" s="11"/>
    </row>
    <row r="525" spans="1:20" s="14" customFormat="1" ht="24" customHeight="1">
      <c r="A525" s="15"/>
      <c r="B525" s="11" t="s">
        <v>705</v>
      </c>
      <c r="C525" s="11" t="s">
        <v>720</v>
      </c>
      <c r="D525" s="11" t="s">
        <v>62</v>
      </c>
      <c r="E525" s="9">
        <v>17.02</v>
      </c>
      <c r="F525" s="9">
        <v>17.02</v>
      </c>
      <c r="G525" s="11" t="s">
        <v>32</v>
      </c>
      <c r="H525" s="11" t="s">
        <v>41</v>
      </c>
      <c r="I525" s="11" t="s">
        <v>404</v>
      </c>
      <c r="J525" s="11" t="s">
        <v>404</v>
      </c>
      <c r="K525" s="11" t="s">
        <v>707</v>
      </c>
      <c r="L525" s="12">
        <v>97571.292034856</v>
      </c>
      <c r="M525" s="12">
        <v>97571.292034856</v>
      </c>
      <c r="N525" s="23" t="s">
        <v>721</v>
      </c>
      <c r="O525" s="11" t="s">
        <v>286</v>
      </c>
      <c r="P525" s="11" t="s">
        <v>392</v>
      </c>
      <c r="Q525" s="11">
        <v>18601194039</v>
      </c>
      <c r="R525" s="11" t="s">
        <v>288</v>
      </c>
      <c r="S525" s="11" t="s">
        <v>115</v>
      </c>
      <c r="T525" s="11"/>
    </row>
    <row r="526" spans="1:20" s="14" customFormat="1" ht="24" hidden="1" customHeight="1">
      <c r="A526" s="15"/>
      <c r="B526" s="11" t="s">
        <v>722</v>
      </c>
      <c r="C526" s="11" t="s">
        <v>723</v>
      </c>
      <c r="D526" s="11" t="s">
        <v>131</v>
      </c>
      <c r="E526" s="9">
        <v>2</v>
      </c>
      <c r="F526" s="9">
        <v>15</v>
      </c>
      <c r="G526" s="11" t="s">
        <v>32</v>
      </c>
      <c r="H526" s="11" t="s">
        <v>33</v>
      </c>
      <c r="I526" s="11" t="s">
        <v>404</v>
      </c>
      <c r="J526" s="11" t="s">
        <v>404</v>
      </c>
      <c r="K526" s="11" t="s">
        <v>724</v>
      </c>
      <c r="L526" s="12">
        <v>292035.39823008899</v>
      </c>
      <c r="M526" s="12">
        <v>292035.39823008899</v>
      </c>
      <c r="N526" s="23" t="s">
        <v>721</v>
      </c>
      <c r="O526" s="11" t="s">
        <v>286</v>
      </c>
      <c r="P526" s="11" t="s">
        <v>392</v>
      </c>
      <c r="Q526" s="11">
        <v>18601194039</v>
      </c>
      <c r="R526" s="11" t="s">
        <v>288</v>
      </c>
      <c r="S526" s="11" t="s">
        <v>115</v>
      </c>
      <c r="T526" s="11"/>
    </row>
    <row r="527" spans="1:20" s="14" customFormat="1" ht="24" hidden="1" customHeight="1">
      <c r="A527" s="15"/>
      <c r="B527" s="11" t="s">
        <v>722</v>
      </c>
      <c r="C527" s="11" t="s">
        <v>723</v>
      </c>
      <c r="D527" s="11" t="s">
        <v>131</v>
      </c>
      <c r="E527" s="9">
        <v>1</v>
      </c>
      <c r="F527" s="9">
        <v>15</v>
      </c>
      <c r="G527" s="11" t="s">
        <v>32</v>
      </c>
      <c r="H527" s="11" t="s">
        <v>33</v>
      </c>
      <c r="I527" s="11" t="s">
        <v>404</v>
      </c>
      <c r="J527" s="11" t="s">
        <v>404</v>
      </c>
      <c r="K527" s="11" t="s">
        <v>724</v>
      </c>
      <c r="L527" s="12">
        <v>146017.699115044</v>
      </c>
      <c r="M527" s="12">
        <v>146017.699115044</v>
      </c>
      <c r="N527" s="23" t="s">
        <v>721</v>
      </c>
      <c r="O527" s="11" t="s">
        <v>286</v>
      </c>
      <c r="P527" s="11" t="s">
        <v>392</v>
      </c>
      <c r="Q527" s="11">
        <v>18601194039</v>
      </c>
      <c r="R527" s="11" t="s">
        <v>288</v>
      </c>
      <c r="S527" s="11" t="s">
        <v>115</v>
      </c>
      <c r="T527" s="11"/>
    </row>
    <row r="528" spans="1:20" s="14" customFormat="1" ht="24" hidden="1" customHeight="1">
      <c r="A528" s="15"/>
      <c r="B528" s="11" t="s">
        <v>725</v>
      </c>
      <c r="C528" s="11" t="s">
        <v>726</v>
      </c>
      <c r="D528" s="11" t="s">
        <v>62</v>
      </c>
      <c r="E528" s="9">
        <v>43.34</v>
      </c>
      <c r="F528" s="9">
        <v>43.34</v>
      </c>
      <c r="G528" s="11" t="s">
        <v>32</v>
      </c>
      <c r="H528" s="11" t="s">
        <v>33</v>
      </c>
      <c r="I528" s="11" t="s">
        <v>404</v>
      </c>
      <c r="J528" s="11" t="s">
        <v>404</v>
      </c>
      <c r="K528" s="11" t="s">
        <v>727</v>
      </c>
      <c r="L528" s="12">
        <v>205385.57522123901</v>
      </c>
      <c r="M528" s="12">
        <v>205385.57522123901</v>
      </c>
      <c r="N528" s="23" t="s">
        <v>721</v>
      </c>
      <c r="O528" s="11" t="s">
        <v>286</v>
      </c>
      <c r="P528" s="11" t="s">
        <v>392</v>
      </c>
      <c r="Q528" s="11">
        <v>18601194039</v>
      </c>
      <c r="R528" s="11" t="s">
        <v>288</v>
      </c>
      <c r="S528" s="11" t="s">
        <v>115</v>
      </c>
      <c r="T528" s="11"/>
    </row>
    <row r="529" spans="1:20" s="14" customFormat="1" ht="24" hidden="1" customHeight="1">
      <c r="A529" s="15"/>
      <c r="B529" s="11" t="s">
        <v>728</v>
      </c>
      <c r="C529" s="11" t="s">
        <v>729</v>
      </c>
      <c r="D529" s="11" t="s">
        <v>62</v>
      </c>
      <c r="E529" s="9">
        <v>16.728000000000002</v>
      </c>
      <c r="F529" s="9">
        <v>16.728000000000002</v>
      </c>
      <c r="G529" s="11" t="s">
        <v>32</v>
      </c>
      <c r="H529" s="11" t="s">
        <v>33</v>
      </c>
      <c r="I529" s="11" t="s">
        <v>404</v>
      </c>
      <c r="J529" s="11" t="s">
        <v>404</v>
      </c>
      <c r="K529" s="11" t="s">
        <v>638</v>
      </c>
      <c r="L529" s="12">
        <v>93262.300884955795</v>
      </c>
      <c r="M529" s="12">
        <v>93262.300884955795</v>
      </c>
      <c r="N529" s="23" t="s">
        <v>721</v>
      </c>
      <c r="O529" s="11" t="s">
        <v>286</v>
      </c>
      <c r="P529" s="11" t="s">
        <v>392</v>
      </c>
      <c r="Q529" s="11">
        <v>18601194039</v>
      </c>
      <c r="R529" s="11" t="s">
        <v>288</v>
      </c>
      <c r="S529" s="11" t="s">
        <v>115</v>
      </c>
      <c r="T529" s="11"/>
    </row>
    <row r="530" spans="1:20" s="14" customFormat="1" ht="24" hidden="1" customHeight="1">
      <c r="A530" s="15"/>
      <c r="B530" s="11" t="s">
        <v>728</v>
      </c>
      <c r="C530" s="11" t="s">
        <v>730</v>
      </c>
      <c r="D530" s="11" t="s">
        <v>62</v>
      </c>
      <c r="E530" s="9">
        <v>16.757999999999999</v>
      </c>
      <c r="F530" s="9">
        <v>16.757999999999999</v>
      </c>
      <c r="G530" s="11" t="s">
        <v>32</v>
      </c>
      <c r="H530" s="11" t="s">
        <v>33</v>
      </c>
      <c r="I530" s="11" t="s">
        <v>404</v>
      </c>
      <c r="J530" s="11" t="s">
        <v>404</v>
      </c>
      <c r="K530" s="11" t="s">
        <v>638</v>
      </c>
      <c r="L530" s="12">
        <v>93429.557522123898</v>
      </c>
      <c r="M530" s="12">
        <v>93429.557522123898</v>
      </c>
      <c r="N530" s="23" t="s">
        <v>721</v>
      </c>
      <c r="O530" s="11" t="s">
        <v>286</v>
      </c>
      <c r="P530" s="11" t="s">
        <v>392</v>
      </c>
      <c r="Q530" s="11">
        <v>18601194039</v>
      </c>
      <c r="R530" s="11" t="s">
        <v>288</v>
      </c>
      <c r="S530" s="11" t="s">
        <v>115</v>
      </c>
      <c r="T530" s="11"/>
    </row>
    <row r="531" spans="1:20" s="14" customFormat="1" ht="24" hidden="1" customHeight="1">
      <c r="A531" s="15"/>
      <c r="B531" s="11" t="s">
        <v>636</v>
      </c>
      <c r="C531" s="11" t="s">
        <v>731</v>
      </c>
      <c r="D531" s="11" t="s">
        <v>62</v>
      </c>
      <c r="E531" s="9">
        <v>15.526999999999999</v>
      </c>
      <c r="F531" s="9">
        <v>15.526999999999999</v>
      </c>
      <c r="G531" s="11" t="s">
        <v>32</v>
      </c>
      <c r="H531" s="11" t="s">
        <v>33</v>
      </c>
      <c r="I531" s="11" t="s">
        <v>404</v>
      </c>
      <c r="J531" s="11" t="s">
        <v>404</v>
      </c>
      <c r="K531" s="11" t="s">
        <v>638</v>
      </c>
      <c r="L531" s="12">
        <v>63756.884955752197</v>
      </c>
      <c r="M531" s="12">
        <v>63756.884955752197</v>
      </c>
      <c r="N531" s="23" t="s">
        <v>721</v>
      </c>
      <c r="O531" s="11" t="s">
        <v>286</v>
      </c>
      <c r="P531" s="11" t="s">
        <v>392</v>
      </c>
      <c r="Q531" s="11">
        <v>18601194039</v>
      </c>
      <c r="R531" s="11" t="s">
        <v>288</v>
      </c>
      <c r="S531" s="11" t="s">
        <v>115</v>
      </c>
      <c r="T531" s="11"/>
    </row>
    <row r="532" spans="1:20" s="14" customFormat="1" ht="24" hidden="1" customHeight="1">
      <c r="A532" s="15"/>
      <c r="B532" s="11" t="s">
        <v>526</v>
      </c>
      <c r="C532" s="11" t="s">
        <v>732</v>
      </c>
      <c r="D532" s="11" t="s">
        <v>62</v>
      </c>
      <c r="E532" s="9">
        <v>35.619999999999997</v>
      </c>
      <c r="F532" s="9">
        <v>35.619999999999997</v>
      </c>
      <c r="G532" s="11" t="s">
        <v>32</v>
      </c>
      <c r="H532" s="11" t="s">
        <v>33</v>
      </c>
      <c r="I532" s="11" t="s">
        <v>404</v>
      </c>
      <c r="J532" s="11" t="s">
        <v>404</v>
      </c>
      <c r="K532" s="11" t="s">
        <v>638</v>
      </c>
      <c r="L532" s="12">
        <v>141849.557522124</v>
      </c>
      <c r="M532" s="12">
        <v>141849.557522124</v>
      </c>
      <c r="N532" s="23" t="s">
        <v>721</v>
      </c>
      <c r="O532" s="11" t="s">
        <v>286</v>
      </c>
      <c r="P532" s="11" t="s">
        <v>392</v>
      </c>
      <c r="Q532" s="11">
        <v>18601194039</v>
      </c>
      <c r="R532" s="11" t="s">
        <v>288</v>
      </c>
      <c r="S532" s="11" t="s">
        <v>115</v>
      </c>
      <c r="T532" s="11"/>
    </row>
    <row r="533" spans="1:20" s="14" customFormat="1" ht="24" hidden="1" customHeight="1">
      <c r="A533" s="15"/>
      <c r="B533" s="11" t="s">
        <v>526</v>
      </c>
      <c r="C533" s="11" t="s">
        <v>733</v>
      </c>
      <c r="D533" s="11" t="s">
        <v>62</v>
      </c>
      <c r="E533" s="9">
        <v>14.45</v>
      </c>
      <c r="F533" s="9">
        <v>14.45</v>
      </c>
      <c r="G533" s="11" t="s">
        <v>32</v>
      </c>
      <c r="H533" s="11" t="s">
        <v>33</v>
      </c>
      <c r="I533" s="11" t="s">
        <v>404</v>
      </c>
      <c r="J533" s="11" t="s">
        <v>404</v>
      </c>
      <c r="K533" s="11" t="s">
        <v>638</v>
      </c>
      <c r="L533" s="12">
        <v>57544.247787610599</v>
      </c>
      <c r="M533" s="12">
        <v>57544.247787610599</v>
      </c>
      <c r="N533" s="23" t="s">
        <v>721</v>
      </c>
      <c r="O533" s="11" t="s">
        <v>286</v>
      </c>
      <c r="P533" s="11" t="s">
        <v>392</v>
      </c>
      <c r="Q533" s="11">
        <v>18601194039</v>
      </c>
      <c r="R533" s="11" t="s">
        <v>288</v>
      </c>
      <c r="S533" s="11" t="s">
        <v>115</v>
      </c>
      <c r="T533" s="11"/>
    </row>
    <row r="534" spans="1:20" s="14" customFormat="1" ht="24" hidden="1" customHeight="1">
      <c r="A534" s="15"/>
      <c r="B534" s="11" t="s">
        <v>593</v>
      </c>
      <c r="C534" s="11" t="s">
        <v>734</v>
      </c>
      <c r="D534" s="11" t="s">
        <v>62</v>
      </c>
      <c r="E534" s="9">
        <v>2.2400000000000002</v>
      </c>
      <c r="F534" s="9">
        <v>2.2400000000000002</v>
      </c>
      <c r="G534" s="11" t="s">
        <v>32</v>
      </c>
      <c r="H534" s="11" t="s">
        <v>33</v>
      </c>
      <c r="I534" s="11" t="s">
        <v>404</v>
      </c>
      <c r="J534" s="11" t="s">
        <v>404</v>
      </c>
      <c r="K534" s="11" t="s">
        <v>638</v>
      </c>
      <c r="L534" s="12">
        <v>8900.5309734513303</v>
      </c>
      <c r="M534" s="12">
        <v>8900.5309734513303</v>
      </c>
      <c r="N534" s="23" t="s">
        <v>721</v>
      </c>
      <c r="O534" s="11" t="s">
        <v>286</v>
      </c>
      <c r="P534" s="11" t="s">
        <v>392</v>
      </c>
      <c r="Q534" s="11">
        <v>18601194039</v>
      </c>
      <c r="R534" s="11" t="s">
        <v>288</v>
      </c>
      <c r="S534" s="11" t="s">
        <v>115</v>
      </c>
      <c r="T534" s="11"/>
    </row>
    <row r="535" spans="1:20" s="14" customFormat="1" ht="24" hidden="1" customHeight="1">
      <c r="A535" s="15"/>
      <c r="B535" s="11" t="s">
        <v>593</v>
      </c>
      <c r="C535" s="11" t="s">
        <v>733</v>
      </c>
      <c r="D535" s="11" t="s">
        <v>62</v>
      </c>
      <c r="E535" s="9">
        <v>4.75</v>
      </c>
      <c r="F535" s="9">
        <v>4.75</v>
      </c>
      <c r="G535" s="11" t="s">
        <v>32</v>
      </c>
      <c r="H535" s="11" t="s">
        <v>33</v>
      </c>
      <c r="I535" s="11" t="s">
        <v>404</v>
      </c>
      <c r="J535" s="11" t="s">
        <v>404</v>
      </c>
      <c r="K535" s="11" t="s">
        <v>638</v>
      </c>
      <c r="L535" s="12">
        <v>18873.893805309701</v>
      </c>
      <c r="M535" s="12">
        <v>18873.893805309701</v>
      </c>
      <c r="N535" s="23" t="s">
        <v>721</v>
      </c>
      <c r="O535" s="11" t="s">
        <v>286</v>
      </c>
      <c r="P535" s="11" t="s">
        <v>392</v>
      </c>
      <c r="Q535" s="11">
        <v>18601194039</v>
      </c>
      <c r="R535" s="11" t="s">
        <v>288</v>
      </c>
      <c r="S535" s="11" t="s">
        <v>115</v>
      </c>
      <c r="T535" s="11"/>
    </row>
    <row r="536" spans="1:20" s="14" customFormat="1" ht="24" hidden="1" customHeight="1">
      <c r="A536" s="15"/>
      <c r="B536" s="11" t="s">
        <v>735</v>
      </c>
      <c r="C536" s="11" t="s">
        <v>736</v>
      </c>
      <c r="D536" s="11" t="s">
        <v>62</v>
      </c>
      <c r="E536" s="9">
        <v>3.14</v>
      </c>
      <c r="F536" s="9">
        <v>3.14</v>
      </c>
      <c r="G536" s="11" t="s">
        <v>32</v>
      </c>
      <c r="H536" s="11" t="s">
        <v>33</v>
      </c>
      <c r="I536" s="11" t="s">
        <v>404</v>
      </c>
      <c r="J536" s="11" t="s">
        <v>404</v>
      </c>
      <c r="K536" s="11" t="s">
        <v>638</v>
      </c>
      <c r="L536" s="12">
        <v>12587.7876106195</v>
      </c>
      <c r="M536" s="12">
        <v>12587.7876106195</v>
      </c>
      <c r="N536" s="23" t="s">
        <v>320</v>
      </c>
      <c r="O536" s="11" t="s">
        <v>286</v>
      </c>
      <c r="P536" s="11" t="s">
        <v>392</v>
      </c>
      <c r="Q536" s="11">
        <v>18601194039</v>
      </c>
      <c r="R536" s="11" t="s">
        <v>288</v>
      </c>
      <c r="S536" s="11" t="s">
        <v>115</v>
      </c>
      <c r="T536" s="11"/>
    </row>
    <row r="537" spans="1:20" s="14" customFormat="1" ht="24" hidden="1" customHeight="1">
      <c r="A537" s="15"/>
      <c r="B537" s="11" t="s">
        <v>735</v>
      </c>
      <c r="C537" s="11" t="s">
        <v>737</v>
      </c>
      <c r="D537" s="11" t="s">
        <v>62</v>
      </c>
      <c r="E537" s="9">
        <v>1.08</v>
      </c>
      <c r="F537" s="9">
        <v>1.08</v>
      </c>
      <c r="G537" s="11" t="s">
        <v>32</v>
      </c>
      <c r="H537" s="11" t="s">
        <v>33</v>
      </c>
      <c r="I537" s="11" t="s">
        <v>404</v>
      </c>
      <c r="J537" s="11" t="s">
        <v>404</v>
      </c>
      <c r="K537" s="11" t="s">
        <v>638</v>
      </c>
      <c r="L537" s="12">
        <v>4300.8849557522099</v>
      </c>
      <c r="M537" s="12">
        <v>4300.8849557522099</v>
      </c>
      <c r="N537" s="23" t="s">
        <v>320</v>
      </c>
      <c r="O537" s="11" t="s">
        <v>286</v>
      </c>
      <c r="P537" s="11" t="s">
        <v>392</v>
      </c>
      <c r="Q537" s="11">
        <v>18601194039</v>
      </c>
      <c r="R537" s="11" t="s">
        <v>288</v>
      </c>
      <c r="S537" s="11" t="s">
        <v>115</v>
      </c>
      <c r="T537" s="11"/>
    </row>
    <row r="538" spans="1:20" s="14" customFormat="1" ht="24" hidden="1" customHeight="1">
      <c r="A538" s="15"/>
      <c r="B538" s="11" t="s">
        <v>735</v>
      </c>
      <c r="C538" s="11" t="s">
        <v>738</v>
      </c>
      <c r="D538" s="11" t="s">
        <v>62</v>
      </c>
      <c r="E538" s="9">
        <v>0.22</v>
      </c>
      <c r="F538" s="9">
        <v>0.22</v>
      </c>
      <c r="G538" s="11" t="s">
        <v>32</v>
      </c>
      <c r="H538" s="11" t="s">
        <v>33</v>
      </c>
      <c r="I538" s="11" t="s">
        <v>404</v>
      </c>
      <c r="J538" s="11" t="s">
        <v>404</v>
      </c>
      <c r="K538" s="11" t="s">
        <v>638</v>
      </c>
      <c r="L538" s="12">
        <v>876.10619469026597</v>
      </c>
      <c r="M538" s="12">
        <v>876.10619469026597</v>
      </c>
      <c r="N538" s="23" t="s">
        <v>739</v>
      </c>
      <c r="O538" s="11" t="s">
        <v>286</v>
      </c>
      <c r="P538" s="11" t="s">
        <v>392</v>
      </c>
      <c r="Q538" s="11">
        <v>18601194039</v>
      </c>
      <c r="R538" s="11" t="s">
        <v>288</v>
      </c>
      <c r="S538" s="11" t="s">
        <v>115</v>
      </c>
      <c r="T538" s="11"/>
    </row>
    <row r="539" spans="1:20" s="14" customFormat="1" ht="24" hidden="1" customHeight="1">
      <c r="A539" s="15"/>
      <c r="B539" s="11" t="s">
        <v>526</v>
      </c>
      <c r="C539" s="11" t="s">
        <v>740</v>
      </c>
      <c r="D539" s="11" t="s">
        <v>62</v>
      </c>
      <c r="E539" s="9">
        <v>17.829999999999998</v>
      </c>
      <c r="F539" s="9">
        <v>17.829999999999998</v>
      </c>
      <c r="G539" s="11" t="s">
        <v>32</v>
      </c>
      <c r="H539" s="11" t="s">
        <v>33</v>
      </c>
      <c r="I539" s="11" t="s">
        <v>404</v>
      </c>
      <c r="J539" s="11" t="s">
        <v>404</v>
      </c>
      <c r="K539" s="11" t="s">
        <v>638</v>
      </c>
      <c r="L539" s="12">
        <v>71004.424778761095</v>
      </c>
      <c r="M539" s="12">
        <v>71004.424778761095</v>
      </c>
      <c r="N539" s="23" t="s">
        <v>739</v>
      </c>
      <c r="O539" s="11" t="s">
        <v>286</v>
      </c>
      <c r="P539" s="11" t="s">
        <v>392</v>
      </c>
      <c r="Q539" s="11">
        <v>18601194039</v>
      </c>
      <c r="R539" s="11" t="s">
        <v>288</v>
      </c>
      <c r="S539" s="11" t="s">
        <v>115</v>
      </c>
      <c r="T539" s="11"/>
    </row>
    <row r="540" spans="1:20" s="14" customFormat="1" ht="24" hidden="1" customHeight="1">
      <c r="A540" s="15"/>
      <c r="B540" s="11" t="s">
        <v>526</v>
      </c>
      <c r="C540" s="11" t="s">
        <v>646</v>
      </c>
      <c r="D540" s="11" t="s">
        <v>62</v>
      </c>
      <c r="E540" s="9">
        <v>6.4249999999999998</v>
      </c>
      <c r="F540" s="9">
        <v>6.4249999999999998</v>
      </c>
      <c r="G540" s="11" t="s">
        <v>32</v>
      </c>
      <c r="H540" s="11" t="s">
        <v>33</v>
      </c>
      <c r="I540" s="11" t="s">
        <v>404</v>
      </c>
      <c r="J540" s="11" t="s">
        <v>404</v>
      </c>
      <c r="K540" s="11" t="s">
        <v>638</v>
      </c>
      <c r="L540" s="12">
        <v>26837.168141592902</v>
      </c>
      <c r="M540" s="12">
        <v>26837.168141592902</v>
      </c>
      <c r="N540" s="23" t="s">
        <v>739</v>
      </c>
      <c r="O540" s="11" t="s">
        <v>286</v>
      </c>
      <c r="P540" s="11" t="s">
        <v>392</v>
      </c>
      <c r="Q540" s="11">
        <v>18601194039</v>
      </c>
      <c r="R540" s="11" t="s">
        <v>288</v>
      </c>
      <c r="S540" s="11" t="s">
        <v>115</v>
      </c>
      <c r="T540" s="11"/>
    </row>
    <row r="541" spans="1:20" s="14" customFormat="1" ht="24" hidden="1" customHeight="1">
      <c r="A541" s="15"/>
      <c r="B541" s="11" t="s">
        <v>526</v>
      </c>
      <c r="C541" s="11" t="s">
        <v>740</v>
      </c>
      <c r="D541" s="11" t="s">
        <v>62</v>
      </c>
      <c r="E541" s="9">
        <v>7.11</v>
      </c>
      <c r="F541" s="9">
        <v>7.11</v>
      </c>
      <c r="G541" s="11" t="s">
        <v>32</v>
      </c>
      <c r="H541" s="11" t="s">
        <v>33</v>
      </c>
      <c r="I541" s="11" t="s">
        <v>404</v>
      </c>
      <c r="J541" s="11" t="s">
        <v>404</v>
      </c>
      <c r="K541" s="11" t="s">
        <v>638</v>
      </c>
      <c r="L541" s="12">
        <v>29069.203539823</v>
      </c>
      <c r="M541" s="12">
        <v>29069.203539823</v>
      </c>
      <c r="N541" s="23" t="s">
        <v>739</v>
      </c>
      <c r="O541" s="11" t="s">
        <v>286</v>
      </c>
      <c r="P541" s="11" t="s">
        <v>392</v>
      </c>
      <c r="Q541" s="11">
        <v>18601194039</v>
      </c>
      <c r="R541" s="11" t="s">
        <v>288</v>
      </c>
      <c r="S541" s="11" t="s">
        <v>115</v>
      </c>
      <c r="T541" s="11"/>
    </row>
    <row r="542" spans="1:20" s="14" customFormat="1" ht="24" hidden="1" customHeight="1">
      <c r="A542" s="15"/>
      <c r="B542" s="11" t="s">
        <v>677</v>
      </c>
      <c r="C542" s="11" t="s">
        <v>741</v>
      </c>
      <c r="D542" s="11" t="s">
        <v>62</v>
      </c>
      <c r="E542" s="9">
        <v>20.97</v>
      </c>
      <c r="F542" s="9">
        <v>20.97</v>
      </c>
      <c r="G542" s="11" t="s">
        <v>32</v>
      </c>
      <c r="H542" s="11" t="s">
        <v>33</v>
      </c>
      <c r="I542" s="11" t="s">
        <v>404</v>
      </c>
      <c r="J542" s="11" t="s">
        <v>404</v>
      </c>
      <c r="K542" s="11" t="s">
        <v>638</v>
      </c>
      <c r="L542" s="12">
        <v>91859.734513274394</v>
      </c>
      <c r="M542" s="12">
        <v>91859.734513274394</v>
      </c>
      <c r="N542" s="23" t="s">
        <v>739</v>
      </c>
      <c r="O542" s="11" t="s">
        <v>286</v>
      </c>
      <c r="P542" s="11" t="s">
        <v>392</v>
      </c>
      <c r="Q542" s="11">
        <v>18601194039</v>
      </c>
      <c r="R542" s="11" t="s">
        <v>288</v>
      </c>
      <c r="S542" s="11" t="s">
        <v>115</v>
      </c>
      <c r="T542" s="11"/>
    </row>
    <row r="543" spans="1:20" s="14" customFormat="1" ht="24" hidden="1" customHeight="1">
      <c r="A543" s="15"/>
      <c r="B543" s="11" t="s">
        <v>677</v>
      </c>
      <c r="C543" s="11" t="s">
        <v>742</v>
      </c>
      <c r="D543" s="11" t="s">
        <v>62</v>
      </c>
      <c r="E543" s="9">
        <v>14.46</v>
      </c>
      <c r="F543" s="9">
        <v>14.46</v>
      </c>
      <c r="G543" s="11" t="s">
        <v>32</v>
      </c>
      <c r="H543" s="11" t="s">
        <v>33</v>
      </c>
      <c r="I543" s="11" t="s">
        <v>404</v>
      </c>
      <c r="J543" s="11" t="s">
        <v>404</v>
      </c>
      <c r="K543" s="11" t="s">
        <v>638</v>
      </c>
      <c r="L543" s="12">
        <v>63726.371681415898</v>
      </c>
      <c r="M543" s="12">
        <v>63726.371681415898</v>
      </c>
      <c r="N543" s="23" t="s">
        <v>739</v>
      </c>
      <c r="O543" s="11" t="s">
        <v>286</v>
      </c>
      <c r="P543" s="11" t="s">
        <v>392</v>
      </c>
      <c r="Q543" s="11">
        <v>18601194039</v>
      </c>
      <c r="R543" s="11" t="s">
        <v>288</v>
      </c>
      <c r="S543" s="11" t="s">
        <v>115</v>
      </c>
      <c r="T543" s="11"/>
    </row>
    <row r="544" spans="1:20" s="14" customFormat="1" ht="24" hidden="1" customHeight="1">
      <c r="A544" s="15"/>
      <c r="B544" s="11" t="s">
        <v>526</v>
      </c>
      <c r="C544" s="11" t="s">
        <v>743</v>
      </c>
      <c r="D544" s="11" t="s">
        <v>62</v>
      </c>
      <c r="E544" s="9">
        <v>6.05</v>
      </c>
      <c r="F544" s="9">
        <v>6.05</v>
      </c>
      <c r="G544" s="11" t="s">
        <v>32</v>
      </c>
      <c r="H544" s="11" t="s">
        <v>33</v>
      </c>
      <c r="I544" s="11" t="s">
        <v>404</v>
      </c>
      <c r="J544" s="11" t="s">
        <v>404</v>
      </c>
      <c r="K544" s="11" t="s">
        <v>638</v>
      </c>
      <c r="L544" s="12">
        <v>25163.716814159299</v>
      </c>
      <c r="M544" s="12">
        <v>25163.716814159299</v>
      </c>
      <c r="N544" s="23" t="s">
        <v>739</v>
      </c>
      <c r="O544" s="11" t="s">
        <v>286</v>
      </c>
      <c r="P544" s="11" t="s">
        <v>392</v>
      </c>
      <c r="Q544" s="11">
        <v>18601194039</v>
      </c>
      <c r="R544" s="11" t="s">
        <v>288</v>
      </c>
      <c r="S544" s="11" t="s">
        <v>115</v>
      </c>
      <c r="T544" s="11"/>
    </row>
    <row r="545" spans="1:20" s="14" customFormat="1" ht="24" hidden="1" customHeight="1">
      <c r="A545" s="15"/>
      <c r="B545" s="11" t="s">
        <v>526</v>
      </c>
      <c r="C545" s="11" t="s">
        <v>744</v>
      </c>
      <c r="D545" s="11" t="s">
        <v>62</v>
      </c>
      <c r="E545" s="9">
        <v>7.09</v>
      </c>
      <c r="F545" s="9">
        <v>7.09</v>
      </c>
      <c r="G545" s="11" t="s">
        <v>32</v>
      </c>
      <c r="H545" s="11" t="s">
        <v>33</v>
      </c>
      <c r="I545" s="11" t="s">
        <v>404</v>
      </c>
      <c r="J545" s="11" t="s">
        <v>404</v>
      </c>
      <c r="K545" s="11" t="s">
        <v>638</v>
      </c>
      <c r="L545" s="12">
        <v>29677.610619469</v>
      </c>
      <c r="M545" s="12">
        <v>29677.610619469</v>
      </c>
      <c r="N545" s="23" t="s">
        <v>739</v>
      </c>
      <c r="O545" s="11" t="s">
        <v>286</v>
      </c>
      <c r="P545" s="11" t="s">
        <v>392</v>
      </c>
      <c r="Q545" s="11">
        <v>18601194039</v>
      </c>
      <c r="R545" s="11" t="s">
        <v>288</v>
      </c>
      <c r="S545" s="11" t="s">
        <v>115</v>
      </c>
      <c r="T545" s="11"/>
    </row>
    <row r="546" spans="1:20" s="14" customFormat="1" ht="24" hidden="1" customHeight="1">
      <c r="A546" s="15"/>
      <c r="B546" s="11" t="s">
        <v>593</v>
      </c>
      <c r="C546" s="11" t="s">
        <v>745</v>
      </c>
      <c r="D546" s="11" t="s">
        <v>62</v>
      </c>
      <c r="E546" s="9">
        <v>15.04</v>
      </c>
      <c r="F546" s="9">
        <v>15.04</v>
      </c>
      <c r="G546" s="11" t="s">
        <v>32</v>
      </c>
      <c r="H546" s="11" t="s">
        <v>33</v>
      </c>
      <c r="I546" s="11" t="s">
        <v>404</v>
      </c>
      <c r="J546" s="11" t="s">
        <v>404</v>
      </c>
      <c r="K546" s="11" t="s">
        <v>638</v>
      </c>
      <c r="L546" s="12">
        <v>61357.876106194701</v>
      </c>
      <c r="M546" s="12">
        <v>61357.876106194701</v>
      </c>
      <c r="N546" s="23">
        <v>43617</v>
      </c>
      <c r="O546" s="11" t="s">
        <v>286</v>
      </c>
      <c r="P546" s="11" t="s">
        <v>392</v>
      </c>
      <c r="Q546" s="11">
        <v>18601194039</v>
      </c>
      <c r="R546" s="11" t="s">
        <v>288</v>
      </c>
      <c r="S546" s="11" t="s">
        <v>115</v>
      </c>
      <c r="T546" s="11"/>
    </row>
    <row r="547" spans="1:20" s="14" customFormat="1" ht="24" hidden="1" customHeight="1">
      <c r="A547" s="15"/>
      <c r="B547" s="11" t="s">
        <v>677</v>
      </c>
      <c r="C547" s="11" t="s">
        <v>741</v>
      </c>
      <c r="D547" s="11" t="s">
        <v>62</v>
      </c>
      <c r="E547" s="9">
        <v>20.97</v>
      </c>
      <c r="F547" s="9">
        <v>20.97</v>
      </c>
      <c r="G547" s="11" t="s">
        <v>32</v>
      </c>
      <c r="H547" s="11" t="s">
        <v>33</v>
      </c>
      <c r="I547" s="11" t="s">
        <v>404</v>
      </c>
      <c r="J547" s="11" t="s">
        <v>404</v>
      </c>
      <c r="K547" s="11" t="s">
        <v>638</v>
      </c>
      <c r="L547" s="12">
        <v>91859.734513274394</v>
      </c>
      <c r="M547" s="12">
        <v>91859.734513274394</v>
      </c>
      <c r="N547" s="23">
        <v>43617</v>
      </c>
      <c r="O547" s="11" t="s">
        <v>286</v>
      </c>
      <c r="P547" s="11" t="s">
        <v>392</v>
      </c>
      <c r="Q547" s="11">
        <v>18601194039</v>
      </c>
      <c r="R547" s="11" t="s">
        <v>288</v>
      </c>
      <c r="S547" s="11" t="s">
        <v>115</v>
      </c>
      <c r="T547" s="11"/>
    </row>
    <row r="548" spans="1:20" s="14" customFormat="1" ht="24" hidden="1" customHeight="1">
      <c r="A548" s="15"/>
      <c r="B548" s="11" t="s">
        <v>677</v>
      </c>
      <c r="C548" s="11" t="s">
        <v>742</v>
      </c>
      <c r="D548" s="11" t="s">
        <v>62</v>
      </c>
      <c r="E548" s="9">
        <v>14.46</v>
      </c>
      <c r="F548" s="9">
        <v>14.46</v>
      </c>
      <c r="G548" s="11" t="s">
        <v>32</v>
      </c>
      <c r="H548" s="11" t="s">
        <v>33</v>
      </c>
      <c r="I548" s="11" t="s">
        <v>404</v>
      </c>
      <c r="J548" s="11" t="s">
        <v>404</v>
      </c>
      <c r="K548" s="11" t="s">
        <v>638</v>
      </c>
      <c r="L548" s="12">
        <v>63726.371681415898</v>
      </c>
      <c r="M548" s="12">
        <v>63726.371681415898</v>
      </c>
      <c r="N548" s="23">
        <v>43617</v>
      </c>
      <c r="O548" s="11" t="s">
        <v>286</v>
      </c>
      <c r="P548" s="11" t="s">
        <v>392</v>
      </c>
      <c r="Q548" s="11">
        <v>18601194039</v>
      </c>
      <c r="R548" s="11" t="s">
        <v>288</v>
      </c>
      <c r="S548" s="11" t="s">
        <v>115</v>
      </c>
      <c r="T548" s="11"/>
    </row>
    <row r="549" spans="1:20" s="14" customFormat="1" ht="24" hidden="1" customHeight="1">
      <c r="A549" s="15"/>
      <c r="B549" s="11" t="s">
        <v>526</v>
      </c>
      <c r="C549" s="11" t="s">
        <v>743</v>
      </c>
      <c r="D549" s="11" t="s">
        <v>62</v>
      </c>
      <c r="E549" s="9">
        <v>6.05</v>
      </c>
      <c r="F549" s="9">
        <v>6.05</v>
      </c>
      <c r="G549" s="11" t="s">
        <v>32</v>
      </c>
      <c r="H549" s="11" t="s">
        <v>33</v>
      </c>
      <c r="I549" s="11" t="s">
        <v>404</v>
      </c>
      <c r="J549" s="11" t="s">
        <v>404</v>
      </c>
      <c r="K549" s="11" t="s">
        <v>638</v>
      </c>
      <c r="L549" s="12">
        <v>25163.716814159299</v>
      </c>
      <c r="M549" s="12">
        <v>25163.716814159299</v>
      </c>
      <c r="N549" s="23">
        <v>43617</v>
      </c>
      <c r="O549" s="11" t="s">
        <v>286</v>
      </c>
      <c r="P549" s="11" t="s">
        <v>392</v>
      </c>
      <c r="Q549" s="11">
        <v>18601194039</v>
      </c>
      <c r="R549" s="11" t="s">
        <v>288</v>
      </c>
      <c r="S549" s="11" t="s">
        <v>115</v>
      </c>
      <c r="T549" s="11"/>
    </row>
    <row r="550" spans="1:20" s="14" customFormat="1" ht="24" hidden="1" customHeight="1">
      <c r="A550" s="15"/>
      <c r="B550" s="11" t="s">
        <v>526</v>
      </c>
      <c r="C550" s="11" t="s">
        <v>744</v>
      </c>
      <c r="D550" s="11" t="s">
        <v>62</v>
      </c>
      <c r="E550" s="9">
        <v>7.09</v>
      </c>
      <c r="F550" s="9">
        <v>7.09</v>
      </c>
      <c r="G550" s="11" t="s">
        <v>32</v>
      </c>
      <c r="H550" s="11" t="s">
        <v>33</v>
      </c>
      <c r="I550" s="11" t="s">
        <v>404</v>
      </c>
      <c r="J550" s="11" t="s">
        <v>404</v>
      </c>
      <c r="K550" s="11" t="s">
        <v>638</v>
      </c>
      <c r="L550" s="12">
        <v>29677.610619469</v>
      </c>
      <c r="M550" s="12">
        <v>29677.610619469</v>
      </c>
      <c r="N550" s="23">
        <v>43617</v>
      </c>
      <c r="O550" s="11" t="s">
        <v>286</v>
      </c>
      <c r="P550" s="11" t="s">
        <v>392</v>
      </c>
      <c r="Q550" s="11">
        <v>18601194039</v>
      </c>
      <c r="R550" s="11" t="s">
        <v>288</v>
      </c>
      <c r="S550" s="11" t="s">
        <v>115</v>
      </c>
      <c r="T550" s="11"/>
    </row>
    <row r="551" spans="1:20" s="14" customFormat="1" ht="24" hidden="1" customHeight="1">
      <c r="A551" s="15"/>
      <c r="B551" s="11" t="s">
        <v>593</v>
      </c>
      <c r="C551" s="11" t="s">
        <v>745</v>
      </c>
      <c r="D551" s="11" t="s">
        <v>62</v>
      </c>
      <c r="E551" s="9">
        <v>15.04</v>
      </c>
      <c r="F551" s="9">
        <v>15.04</v>
      </c>
      <c r="G551" s="11" t="s">
        <v>32</v>
      </c>
      <c r="H551" s="11" t="s">
        <v>33</v>
      </c>
      <c r="I551" s="11" t="s">
        <v>404</v>
      </c>
      <c r="J551" s="11" t="s">
        <v>404</v>
      </c>
      <c r="K551" s="11" t="s">
        <v>638</v>
      </c>
      <c r="L551" s="12">
        <v>61357.876106194701</v>
      </c>
      <c r="M551" s="12">
        <v>61357.876106194701</v>
      </c>
      <c r="N551" s="23">
        <v>43617</v>
      </c>
      <c r="O551" s="11" t="s">
        <v>286</v>
      </c>
      <c r="P551" s="11" t="s">
        <v>392</v>
      </c>
      <c r="Q551" s="11">
        <v>18601194039</v>
      </c>
      <c r="R551" s="11" t="s">
        <v>288</v>
      </c>
      <c r="S551" s="11" t="s">
        <v>115</v>
      </c>
      <c r="T551" s="11"/>
    </row>
    <row r="552" spans="1:20" s="14" customFormat="1" ht="24" hidden="1" customHeight="1">
      <c r="A552" s="15"/>
      <c r="B552" s="11" t="s">
        <v>746</v>
      </c>
      <c r="C552" s="11" t="s">
        <v>747</v>
      </c>
      <c r="D552" s="11" t="s">
        <v>131</v>
      </c>
      <c r="E552" s="9">
        <v>864</v>
      </c>
      <c r="F552" s="9"/>
      <c r="G552" s="11" t="s">
        <v>32</v>
      </c>
      <c r="H552" s="11" t="s">
        <v>33</v>
      </c>
      <c r="I552" s="11" t="s">
        <v>404</v>
      </c>
      <c r="J552" s="11" t="s">
        <v>404</v>
      </c>
      <c r="K552" s="11" t="s">
        <v>701</v>
      </c>
      <c r="L552" s="12">
        <v>25165.0485436893</v>
      </c>
      <c r="M552" s="12">
        <v>25165.0485436893</v>
      </c>
      <c r="N552" s="23">
        <v>43617</v>
      </c>
      <c r="O552" s="11" t="s">
        <v>286</v>
      </c>
      <c r="P552" s="11" t="s">
        <v>392</v>
      </c>
      <c r="Q552" s="11">
        <v>18601194039</v>
      </c>
      <c r="R552" s="11" t="s">
        <v>288</v>
      </c>
      <c r="S552" s="11" t="s">
        <v>115</v>
      </c>
      <c r="T552" s="11"/>
    </row>
    <row r="553" spans="1:20" s="14" customFormat="1" ht="24" hidden="1" customHeight="1">
      <c r="A553" s="15"/>
      <c r="B553" s="11" t="s">
        <v>748</v>
      </c>
      <c r="C553" s="11" t="s">
        <v>749</v>
      </c>
      <c r="D553" s="11" t="s">
        <v>79</v>
      </c>
      <c r="E553" s="9">
        <v>1728</v>
      </c>
      <c r="F553" s="9"/>
      <c r="G553" s="11" t="s">
        <v>32</v>
      </c>
      <c r="H553" s="11" t="s">
        <v>33</v>
      </c>
      <c r="I553" s="11" t="s">
        <v>404</v>
      </c>
      <c r="J553" s="11" t="s">
        <v>404</v>
      </c>
      <c r="K553" s="11" t="s">
        <v>701</v>
      </c>
      <c r="L553" s="12">
        <v>5871.8446601941696</v>
      </c>
      <c r="M553" s="12">
        <v>5871.8446601941696</v>
      </c>
      <c r="N553" s="23" t="s">
        <v>750</v>
      </c>
      <c r="O553" s="11" t="s">
        <v>286</v>
      </c>
      <c r="P553" s="11" t="s">
        <v>392</v>
      </c>
      <c r="Q553" s="11">
        <v>18601194039</v>
      </c>
      <c r="R553" s="11" t="s">
        <v>288</v>
      </c>
      <c r="S553" s="11" t="s">
        <v>115</v>
      </c>
      <c r="T553" s="11"/>
    </row>
    <row r="554" spans="1:20" s="14" customFormat="1" ht="24" hidden="1" customHeight="1">
      <c r="A554" s="15"/>
      <c r="B554" s="11" t="s">
        <v>751</v>
      </c>
      <c r="C554" s="11" t="s">
        <v>752</v>
      </c>
      <c r="D554" s="11" t="s">
        <v>161</v>
      </c>
      <c r="E554" s="9">
        <v>1120</v>
      </c>
      <c r="F554" s="9"/>
      <c r="G554" s="11" t="s">
        <v>32</v>
      </c>
      <c r="H554" s="11" t="s">
        <v>33</v>
      </c>
      <c r="I554" s="11" t="s">
        <v>404</v>
      </c>
      <c r="J554" s="11" t="s">
        <v>404</v>
      </c>
      <c r="K554" s="11" t="s">
        <v>701</v>
      </c>
      <c r="L554" s="12">
        <v>195728.15533980599</v>
      </c>
      <c r="M554" s="12">
        <v>195728.15533980599</v>
      </c>
      <c r="N554" s="23" t="s">
        <v>750</v>
      </c>
      <c r="O554" s="11" t="s">
        <v>286</v>
      </c>
      <c r="P554" s="11" t="s">
        <v>392</v>
      </c>
      <c r="Q554" s="11">
        <v>18601194039</v>
      </c>
      <c r="R554" s="11" t="s">
        <v>288</v>
      </c>
      <c r="S554" s="11" t="s">
        <v>115</v>
      </c>
      <c r="T554" s="11"/>
    </row>
    <row r="555" spans="1:20" s="14" customFormat="1" ht="24" hidden="1" customHeight="1">
      <c r="A555" s="15"/>
      <c r="B555" s="11" t="s">
        <v>753</v>
      </c>
      <c r="C555" s="11" t="s">
        <v>754</v>
      </c>
      <c r="D555" s="11" t="s">
        <v>161</v>
      </c>
      <c r="E555" s="9">
        <v>260</v>
      </c>
      <c r="F555" s="9"/>
      <c r="G555" s="11" t="s">
        <v>32</v>
      </c>
      <c r="H555" s="11" t="s">
        <v>33</v>
      </c>
      <c r="I555" s="11" t="s">
        <v>404</v>
      </c>
      <c r="J555" s="11" t="s">
        <v>404</v>
      </c>
      <c r="K555" s="11" t="s">
        <v>701</v>
      </c>
      <c r="L555" s="12">
        <v>27766.9902912621</v>
      </c>
      <c r="M555" s="12">
        <v>27766.9902912621</v>
      </c>
      <c r="N555" s="23" t="s">
        <v>750</v>
      </c>
      <c r="O555" s="11" t="s">
        <v>286</v>
      </c>
      <c r="P555" s="11" t="s">
        <v>392</v>
      </c>
      <c r="Q555" s="11">
        <v>18601194039</v>
      </c>
      <c r="R555" s="11" t="s">
        <v>288</v>
      </c>
      <c r="S555" s="11" t="s">
        <v>115</v>
      </c>
      <c r="T555" s="11"/>
    </row>
    <row r="556" spans="1:20" s="14" customFormat="1" ht="24" hidden="1" customHeight="1">
      <c r="A556" s="15"/>
      <c r="B556" s="11" t="s">
        <v>755</v>
      </c>
      <c r="C556" s="11" t="s">
        <v>756</v>
      </c>
      <c r="D556" s="11" t="s">
        <v>131</v>
      </c>
      <c r="E556" s="9">
        <v>432</v>
      </c>
      <c r="F556" s="9"/>
      <c r="G556" s="11" t="s">
        <v>32</v>
      </c>
      <c r="H556" s="11" t="s">
        <v>33</v>
      </c>
      <c r="I556" s="11" t="s">
        <v>404</v>
      </c>
      <c r="J556" s="11" t="s">
        <v>404</v>
      </c>
      <c r="K556" s="11" t="s">
        <v>701</v>
      </c>
      <c r="L556" s="12">
        <v>180349.51456310699</v>
      </c>
      <c r="M556" s="12">
        <v>180349.51456310699</v>
      </c>
      <c r="N556" s="23" t="s">
        <v>757</v>
      </c>
      <c r="O556" s="11" t="s">
        <v>286</v>
      </c>
      <c r="P556" s="11" t="s">
        <v>392</v>
      </c>
      <c r="Q556" s="11">
        <v>18601194039</v>
      </c>
      <c r="R556" s="11" t="s">
        <v>288</v>
      </c>
      <c r="S556" s="11" t="s">
        <v>115</v>
      </c>
      <c r="T556" s="11"/>
    </row>
    <row r="557" spans="1:20" s="14" customFormat="1" ht="24" customHeight="1">
      <c r="A557" s="15"/>
      <c r="B557" s="11" t="s">
        <v>758</v>
      </c>
      <c r="C557" s="11" t="s">
        <v>759</v>
      </c>
      <c r="D557" s="11" t="s">
        <v>79</v>
      </c>
      <c r="E557" s="9">
        <v>13</v>
      </c>
      <c r="F557" s="9"/>
      <c r="G557" s="11" t="s">
        <v>32</v>
      </c>
      <c r="H557" s="11" t="s">
        <v>41</v>
      </c>
      <c r="I557" s="11" t="s">
        <v>404</v>
      </c>
      <c r="J557" s="11" t="s">
        <v>404</v>
      </c>
      <c r="K557" s="11" t="s">
        <v>701</v>
      </c>
      <c r="L557" s="12">
        <v>29029.126213592201</v>
      </c>
      <c r="M557" s="12">
        <v>29029.126213592201</v>
      </c>
      <c r="N557" s="23" t="s">
        <v>757</v>
      </c>
      <c r="O557" s="11" t="s">
        <v>286</v>
      </c>
      <c r="P557" s="11" t="s">
        <v>392</v>
      </c>
      <c r="Q557" s="11">
        <v>18601194039</v>
      </c>
      <c r="R557" s="11" t="s">
        <v>288</v>
      </c>
      <c r="S557" s="11" t="s">
        <v>115</v>
      </c>
      <c r="T557" s="11"/>
    </row>
    <row r="558" spans="1:20" s="14" customFormat="1" ht="24" customHeight="1">
      <c r="A558" s="15"/>
      <c r="B558" s="11" t="s">
        <v>705</v>
      </c>
      <c r="C558" s="11" t="s">
        <v>709</v>
      </c>
      <c r="D558" s="11" t="s">
        <v>62</v>
      </c>
      <c r="E558" s="9">
        <v>80.150396639481201</v>
      </c>
      <c r="F558" s="9">
        <v>80.150396639481201</v>
      </c>
      <c r="G558" s="11" t="s">
        <v>32</v>
      </c>
      <c r="H558" s="11" t="s">
        <v>41</v>
      </c>
      <c r="I558" s="11" t="s">
        <v>404</v>
      </c>
      <c r="J558" s="11" t="s">
        <v>404</v>
      </c>
      <c r="K558" s="11" t="s">
        <v>701</v>
      </c>
      <c r="L558" s="12">
        <v>473301.91119004</v>
      </c>
      <c r="M558" s="12">
        <v>473301.91119004</v>
      </c>
      <c r="N558" s="23" t="s">
        <v>757</v>
      </c>
      <c r="O558" s="11" t="s">
        <v>286</v>
      </c>
      <c r="P558" s="11" t="s">
        <v>392</v>
      </c>
      <c r="Q558" s="11">
        <v>18601194039</v>
      </c>
      <c r="R558" s="11" t="s">
        <v>288</v>
      </c>
      <c r="S558" s="11" t="s">
        <v>115</v>
      </c>
      <c r="T558" s="11"/>
    </row>
    <row r="559" spans="1:20" s="14" customFormat="1" ht="24" customHeight="1">
      <c r="A559" s="15"/>
      <c r="B559" s="11" t="s">
        <v>705</v>
      </c>
      <c r="C559" s="11" t="s">
        <v>709</v>
      </c>
      <c r="D559" s="11" t="s">
        <v>62</v>
      </c>
      <c r="E559" s="9">
        <v>37.801351734039102</v>
      </c>
      <c r="F559" s="9">
        <v>37.801351734039102</v>
      </c>
      <c r="G559" s="11" t="s">
        <v>32</v>
      </c>
      <c r="H559" s="11" t="s">
        <v>41</v>
      </c>
      <c r="I559" s="11" t="s">
        <v>404</v>
      </c>
      <c r="J559" s="11" t="s">
        <v>404</v>
      </c>
      <c r="K559" s="11" t="s">
        <v>701</v>
      </c>
      <c r="L559" s="12">
        <v>223223.499463938</v>
      </c>
      <c r="M559" s="12">
        <v>223223.499463938</v>
      </c>
      <c r="N559" s="23">
        <v>43617</v>
      </c>
      <c r="O559" s="11" t="s">
        <v>286</v>
      </c>
      <c r="P559" s="11" t="s">
        <v>392</v>
      </c>
      <c r="Q559" s="11">
        <v>18601194039</v>
      </c>
      <c r="R559" s="11" t="s">
        <v>288</v>
      </c>
      <c r="S559" s="11" t="s">
        <v>115</v>
      </c>
      <c r="T559" s="11"/>
    </row>
    <row r="560" spans="1:20" s="14" customFormat="1" ht="24" customHeight="1">
      <c r="A560" s="15"/>
      <c r="B560" s="11" t="s">
        <v>699</v>
      </c>
      <c r="C560" s="11" t="s">
        <v>760</v>
      </c>
      <c r="D560" s="11" t="s">
        <v>161</v>
      </c>
      <c r="E560" s="9">
        <v>33</v>
      </c>
      <c r="F560" s="9">
        <v>25.12</v>
      </c>
      <c r="G560" s="11" t="s">
        <v>32</v>
      </c>
      <c r="H560" s="11" t="s">
        <v>41</v>
      </c>
      <c r="I560" s="11" t="s">
        <v>404</v>
      </c>
      <c r="J560" s="11" t="s">
        <v>404</v>
      </c>
      <c r="K560" s="11" t="s">
        <v>761</v>
      </c>
      <c r="L560" s="12">
        <v>426371.68141592899</v>
      </c>
      <c r="M560" s="12">
        <v>426371.68141592899</v>
      </c>
      <c r="N560" s="23">
        <v>43617</v>
      </c>
      <c r="O560" s="11" t="s">
        <v>286</v>
      </c>
      <c r="P560" s="11" t="s">
        <v>392</v>
      </c>
      <c r="Q560" s="11">
        <v>18601194039</v>
      </c>
      <c r="R560" s="11" t="s">
        <v>288</v>
      </c>
      <c r="S560" s="11" t="s">
        <v>115</v>
      </c>
      <c r="T560" s="11"/>
    </row>
    <row r="561" spans="1:20" s="14" customFormat="1" ht="24" hidden="1" customHeight="1">
      <c r="A561" s="15"/>
      <c r="B561" s="11" t="s">
        <v>762</v>
      </c>
      <c r="C561" s="11" t="s">
        <v>763</v>
      </c>
      <c r="D561" s="11" t="s">
        <v>62</v>
      </c>
      <c r="E561" s="9">
        <v>6.42</v>
      </c>
      <c r="F561" s="9">
        <v>6.42</v>
      </c>
      <c r="G561" s="11" t="s">
        <v>32</v>
      </c>
      <c r="H561" s="11" t="s">
        <v>33</v>
      </c>
      <c r="I561" s="11" t="s">
        <v>404</v>
      </c>
      <c r="J561" s="11" t="s">
        <v>404</v>
      </c>
      <c r="K561" s="11" t="s">
        <v>660</v>
      </c>
      <c r="L561" s="12">
        <v>28861.592920354</v>
      </c>
      <c r="M561" s="12">
        <v>28861.592920354</v>
      </c>
      <c r="N561" s="23">
        <v>43617</v>
      </c>
      <c r="O561" s="11" t="s">
        <v>286</v>
      </c>
      <c r="P561" s="11" t="s">
        <v>392</v>
      </c>
      <c r="Q561" s="11">
        <v>18601194039</v>
      </c>
      <c r="R561" s="11" t="s">
        <v>288</v>
      </c>
      <c r="S561" s="11" t="s">
        <v>115</v>
      </c>
      <c r="T561" s="11"/>
    </row>
    <row r="562" spans="1:20" s="14" customFormat="1" ht="24" hidden="1" customHeight="1">
      <c r="A562" s="15"/>
      <c r="B562" s="11" t="s">
        <v>616</v>
      </c>
      <c r="C562" s="11" t="s">
        <v>738</v>
      </c>
      <c r="D562" s="11" t="s">
        <v>62</v>
      </c>
      <c r="E562" s="9">
        <v>9.2200000000000006</v>
      </c>
      <c r="F562" s="9">
        <v>9.2200000000000006</v>
      </c>
      <c r="G562" s="11" t="s">
        <v>32</v>
      </c>
      <c r="H562" s="11" t="s">
        <v>33</v>
      </c>
      <c r="I562" s="11" t="s">
        <v>404</v>
      </c>
      <c r="J562" s="11" t="s">
        <v>404</v>
      </c>
      <c r="K562" s="11" t="s">
        <v>660</v>
      </c>
      <c r="L562" s="12">
        <v>38756.637168141599</v>
      </c>
      <c r="M562" s="12">
        <v>38756.637168141599</v>
      </c>
      <c r="N562" s="23">
        <v>43617</v>
      </c>
      <c r="O562" s="11" t="s">
        <v>286</v>
      </c>
      <c r="P562" s="11" t="s">
        <v>392</v>
      </c>
      <c r="Q562" s="11">
        <v>18601194039</v>
      </c>
      <c r="R562" s="11" t="s">
        <v>288</v>
      </c>
      <c r="S562" s="11" t="s">
        <v>115</v>
      </c>
      <c r="T562" s="11"/>
    </row>
    <row r="563" spans="1:20" s="14" customFormat="1" ht="24" hidden="1" customHeight="1">
      <c r="A563" s="15"/>
      <c r="B563" s="11" t="s">
        <v>593</v>
      </c>
      <c r="C563" s="11" t="s">
        <v>698</v>
      </c>
      <c r="D563" s="11" t="s">
        <v>62</v>
      </c>
      <c r="E563" s="9">
        <v>15.41</v>
      </c>
      <c r="F563" s="9">
        <v>15.41</v>
      </c>
      <c r="G563" s="11" t="s">
        <v>32</v>
      </c>
      <c r="H563" s="11" t="s">
        <v>33</v>
      </c>
      <c r="I563" s="11" t="s">
        <v>404</v>
      </c>
      <c r="J563" s="11" t="s">
        <v>404</v>
      </c>
      <c r="K563" s="11" t="s">
        <v>660</v>
      </c>
      <c r="L563" s="12">
        <v>64094.690265486701</v>
      </c>
      <c r="M563" s="12">
        <v>64094.690265486701</v>
      </c>
      <c r="N563" s="23">
        <v>43617</v>
      </c>
      <c r="O563" s="11" t="s">
        <v>286</v>
      </c>
      <c r="P563" s="11" t="s">
        <v>392</v>
      </c>
      <c r="Q563" s="11">
        <v>18601194039</v>
      </c>
      <c r="R563" s="11" t="s">
        <v>288</v>
      </c>
      <c r="S563" s="11" t="s">
        <v>115</v>
      </c>
      <c r="T563" s="11"/>
    </row>
    <row r="564" spans="1:20" s="14" customFormat="1" ht="24" hidden="1" customHeight="1">
      <c r="A564" s="15"/>
      <c r="B564" s="11" t="s">
        <v>593</v>
      </c>
      <c r="C564" s="11" t="s">
        <v>764</v>
      </c>
      <c r="D564" s="11" t="s">
        <v>62</v>
      </c>
      <c r="E564" s="9">
        <v>4.0549999999999997</v>
      </c>
      <c r="F564" s="9">
        <v>4.0549999999999997</v>
      </c>
      <c r="G564" s="11" t="s">
        <v>32</v>
      </c>
      <c r="H564" s="11" t="s">
        <v>33</v>
      </c>
      <c r="I564" s="11" t="s">
        <v>404</v>
      </c>
      <c r="J564" s="11" t="s">
        <v>404</v>
      </c>
      <c r="K564" s="11" t="s">
        <v>660</v>
      </c>
      <c r="L564" s="12">
        <v>16865.929203539799</v>
      </c>
      <c r="M564" s="12">
        <v>16865.929203539799</v>
      </c>
      <c r="N564" s="23">
        <v>43617</v>
      </c>
      <c r="O564" s="11" t="s">
        <v>286</v>
      </c>
      <c r="P564" s="11" t="s">
        <v>392</v>
      </c>
      <c r="Q564" s="11">
        <v>18601194039</v>
      </c>
      <c r="R564" s="11" t="s">
        <v>288</v>
      </c>
      <c r="S564" s="11" t="s">
        <v>115</v>
      </c>
      <c r="T564" s="11"/>
    </row>
    <row r="565" spans="1:20" s="14" customFormat="1" ht="24" hidden="1" customHeight="1">
      <c r="A565" s="15"/>
      <c r="B565" s="11" t="s">
        <v>526</v>
      </c>
      <c r="C565" s="11" t="s">
        <v>765</v>
      </c>
      <c r="D565" s="11" t="s">
        <v>62</v>
      </c>
      <c r="E565" s="9">
        <v>6.7649999999999997</v>
      </c>
      <c r="F565" s="9">
        <v>6.7649999999999997</v>
      </c>
      <c r="G565" s="11" t="s">
        <v>32</v>
      </c>
      <c r="H565" s="11" t="s">
        <v>33</v>
      </c>
      <c r="I565" s="11" t="s">
        <v>404</v>
      </c>
      <c r="J565" s="11" t="s">
        <v>404</v>
      </c>
      <c r="K565" s="11" t="s">
        <v>660</v>
      </c>
      <c r="L565" s="12">
        <v>28676.4159292035</v>
      </c>
      <c r="M565" s="12">
        <v>28676.4159292035</v>
      </c>
      <c r="N565" s="23">
        <v>43617</v>
      </c>
      <c r="O565" s="11" t="s">
        <v>286</v>
      </c>
      <c r="P565" s="11" t="s">
        <v>392</v>
      </c>
      <c r="Q565" s="11">
        <v>18601194039</v>
      </c>
      <c r="R565" s="11" t="s">
        <v>288</v>
      </c>
      <c r="S565" s="11" t="s">
        <v>115</v>
      </c>
      <c r="T565" s="11"/>
    </row>
    <row r="566" spans="1:20" s="14" customFormat="1" ht="24" hidden="1" customHeight="1">
      <c r="A566" s="15"/>
      <c r="B566" s="11" t="s">
        <v>526</v>
      </c>
      <c r="C566" s="11" t="s">
        <v>740</v>
      </c>
      <c r="D566" s="11" t="s">
        <v>62</v>
      </c>
      <c r="E566" s="9">
        <v>5.56</v>
      </c>
      <c r="F566" s="9">
        <v>5.56</v>
      </c>
      <c r="G566" s="11" t="s">
        <v>32</v>
      </c>
      <c r="H566" s="11" t="s">
        <v>33</v>
      </c>
      <c r="I566" s="11" t="s">
        <v>404</v>
      </c>
      <c r="J566" s="11" t="s">
        <v>404</v>
      </c>
      <c r="K566" s="11" t="s">
        <v>660</v>
      </c>
      <c r="L566" s="12">
        <v>23568.495575221201</v>
      </c>
      <c r="M566" s="12">
        <v>23568.495575221201</v>
      </c>
      <c r="N566" s="23">
        <v>43617</v>
      </c>
      <c r="O566" s="11" t="s">
        <v>286</v>
      </c>
      <c r="P566" s="11" t="s">
        <v>392</v>
      </c>
      <c r="Q566" s="11">
        <v>18601194039</v>
      </c>
      <c r="R566" s="11" t="s">
        <v>288</v>
      </c>
      <c r="S566" s="11" t="s">
        <v>115</v>
      </c>
      <c r="T566" s="11"/>
    </row>
    <row r="567" spans="1:20" s="14" customFormat="1" ht="24" hidden="1" customHeight="1">
      <c r="A567" s="15"/>
      <c r="B567" s="11" t="s">
        <v>526</v>
      </c>
      <c r="C567" s="11" t="s">
        <v>641</v>
      </c>
      <c r="D567" s="11" t="s">
        <v>62</v>
      </c>
      <c r="E567" s="9">
        <v>14.58</v>
      </c>
      <c r="F567" s="9">
        <v>14.58</v>
      </c>
      <c r="G567" s="11" t="s">
        <v>32</v>
      </c>
      <c r="H567" s="11" t="s">
        <v>33</v>
      </c>
      <c r="I567" s="11" t="s">
        <v>404</v>
      </c>
      <c r="J567" s="11" t="s">
        <v>404</v>
      </c>
      <c r="K567" s="11" t="s">
        <v>660</v>
      </c>
      <c r="L567" s="12">
        <v>62319.823008849598</v>
      </c>
      <c r="M567" s="12">
        <v>62319.823008849598</v>
      </c>
      <c r="N567" s="23">
        <v>43617</v>
      </c>
      <c r="O567" s="11" t="s">
        <v>286</v>
      </c>
      <c r="P567" s="11" t="s">
        <v>392</v>
      </c>
      <c r="Q567" s="11">
        <v>18601194039</v>
      </c>
      <c r="R567" s="11" t="s">
        <v>288</v>
      </c>
      <c r="S567" s="11" t="s">
        <v>115</v>
      </c>
      <c r="T567" s="11"/>
    </row>
    <row r="568" spans="1:20" s="14" customFormat="1" ht="24" hidden="1" customHeight="1">
      <c r="A568" s="15"/>
      <c r="B568" s="11" t="s">
        <v>722</v>
      </c>
      <c r="C568" s="11" t="s">
        <v>723</v>
      </c>
      <c r="D568" s="11" t="s">
        <v>131</v>
      </c>
      <c r="E568" s="9">
        <v>1</v>
      </c>
      <c r="F568" s="9">
        <v>15</v>
      </c>
      <c r="G568" s="11" t="s">
        <v>32</v>
      </c>
      <c r="H568" s="11" t="s">
        <v>33</v>
      </c>
      <c r="I568" s="11" t="s">
        <v>404</v>
      </c>
      <c r="J568" s="11" t="s">
        <v>404</v>
      </c>
      <c r="K568" s="11" t="s">
        <v>724</v>
      </c>
      <c r="L568" s="12">
        <v>146017.699115044</v>
      </c>
      <c r="M568" s="12">
        <v>146017.699115044</v>
      </c>
      <c r="N568" s="23">
        <v>43617</v>
      </c>
      <c r="O568" s="11" t="s">
        <v>286</v>
      </c>
      <c r="P568" s="11" t="s">
        <v>392</v>
      </c>
      <c r="Q568" s="11">
        <v>18601194039</v>
      </c>
      <c r="R568" s="11" t="s">
        <v>288</v>
      </c>
      <c r="S568" s="11" t="s">
        <v>115</v>
      </c>
      <c r="T568" s="11"/>
    </row>
    <row r="569" spans="1:20" s="14" customFormat="1" ht="24" hidden="1" customHeight="1">
      <c r="A569" s="15"/>
      <c r="B569" s="11" t="s">
        <v>593</v>
      </c>
      <c r="C569" s="11" t="s">
        <v>766</v>
      </c>
      <c r="D569" s="11" t="s">
        <v>62</v>
      </c>
      <c r="E569" s="9">
        <v>7.89642</v>
      </c>
      <c r="F569" s="9">
        <v>7.89642</v>
      </c>
      <c r="G569" s="11" t="s">
        <v>32</v>
      </c>
      <c r="H569" s="11" t="s">
        <v>33</v>
      </c>
      <c r="I569" s="11" t="s">
        <v>404</v>
      </c>
      <c r="J569" s="11" t="s">
        <v>404</v>
      </c>
      <c r="K569" s="11" t="s">
        <v>767</v>
      </c>
      <c r="L569" s="12">
        <v>33877.738194690297</v>
      </c>
      <c r="M569" s="12">
        <v>33877.738194690297</v>
      </c>
      <c r="N569" s="23">
        <v>43617</v>
      </c>
      <c r="O569" s="11" t="s">
        <v>286</v>
      </c>
      <c r="P569" s="11" t="s">
        <v>392</v>
      </c>
      <c r="Q569" s="11">
        <v>18601194039</v>
      </c>
      <c r="R569" s="11" t="s">
        <v>288</v>
      </c>
      <c r="S569" s="11" t="s">
        <v>115</v>
      </c>
      <c r="T569" s="11"/>
    </row>
    <row r="570" spans="1:20" s="14" customFormat="1" ht="24" hidden="1" customHeight="1">
      <c r="A570" s="15"/>
      <c r="B570" s="11" t="s">
        <v>526</v>
      </c>
      <c r="C570" s="11" t="s">
        <v>646</v>
      </c>
      <c r="D570" s="11" t="s">
        <v>62</v>
      </c>
      <c r="E570" s="9">
        <v>12.190248</v>
      </c>
      <c r="F570" s="9">
        <v>12.190248</v>
      </c>
      <c r="G570" s="11" t="s">
        <v>32</v>
      </c>
      <c r="H570" s="11" t="s">
        <v>33</v>
      </c>
      <c r="I570" s="11" t="s">
        <v>404</v>
      </c>
      <c r="J570" s="11" t="s">
        <v>404</v>
      </c>
      <c r="K570" s="11" t="s">
        <v>767</v>
      </c>
      <c r="L570" s="12">
        <v>53999.130777769897</v>
      </c>
      <c r="M570" s="12">
        <v>53999.130777769897</v>
      </c>
      <c r="N570" s="23">
        <v>43617</v>
      </c>
      <c r="O570" s="11" t="s">
        <v>286</v>
      </c>
      <c r="P570" s="11" t="s">
        <v>392</v>
      </c>
      <c r="Q570" s="11">
        <v>18601194039</v>
      </c>
      <c r="R570" s="11" t="s">
        <v>288</v>
      </c>
      <c r="S570" s="11" t="s">
        <v>115</v>
      </c>
      <c r="T570" s="11"/>
    </row>
    <row r="571" spans="1:20" s="14" customFormat="1" ht="24" hidden="1" customHeight="1">
      <c r="A571" s="15"/>
      <c r="B571" s="11" t="s">
        <v>593</v>
      </c>
      <c r="C571" s="11" t="s">
        <v>641</v>
      </c>
      <c r="D571" s="11" t="s">
        <v>62</v>
      </c>
      <c r="E571" s="9">
        <v>11.050368000000001</v>
      </c>
      <c r="F571" s="9">
        <v>11.050368000000001</v>
      </c>
      <c r="G571" s="11" t="s">
        <v>32</v>
      </c>
      <c r="H571" s="11" t="s">
        <v>33</v>
      </c>
      <c r="I571" s="11" t="s">
        <v>404</v>
      </c>
      <c r="J571" s="11" t="s">
        <v>404</v>
      </c>
      <c r="K571" s="11" t="s">
        <v>767</v>
      </c>
      <c r="L571" s="12">
        <v>49542.418006088497</v>
      </c>
      <c r="M571" s="12">
        <v>49542.418006088497</v>
      </c>
      <c r="N571" s="23">
        <v>43617</v>
      </c>
      <c r="O571" s="11" t="s">
        <v>286</v>
      </c>
      <c r="P571" s="11" t="s">
        <v>392</v>
      </c>
      <c r="Q571" s="11">
        <v>18601194039</v>
      </c>
      <c r="R571" s="11" t="s">
        <v>288</v>
      </c>
      <c r="S571" s="11" t="s">
        <v>115</v>
      </c>
      <c r="T571" s="11"/>
    </row>
    <row r="572" spans="1:20" s="14" customFormat="1" ht="24" hidden="1" customHeight="1">
      <c r="A572" s="15"/>
      <c r="B572" s="11" t="s">
        <v>593</v>
      </c>
      <c r="C572" s="11" t="s">
        <v>641</v>
      </c>
      <c r="D572" s="11" t="s">
        <v>62</v>
      </c>
      <c r="E572" s="9">
        <v>7.0922879999999999</v>
      </c>
      <c r="F572" s="9">
        <v>7.0922879999999999</v>
      </c>
      <c r="G572" s="11" t="s">
        <v>32</v>
      </c>
      <c r="H572" s="11" t="s">
        <v>33</v>
      </c>
      <c r="I572" s="11" t="s">
        <v>404</v>
      </c>
      <c r="J572" s="11" t="s">
        <v>404</v>
      </c>
      <c r="K572" s="11" t="s">
        <v>767</v>
      </c>
      <c r="L572" s="12">
        <v>31036.354396884999</v>
      </c>
      <c r="M572" s="12">
        <v>31036.354396884999</v>
      </c>
      <c r="N572" s="23">
        <v>43617</v>
      </c>
      <c r="O572" s="11" t="s">
        <v>286</v>
      </c>
      <c r="P572" s="11" t="s">
        <v>392</v>
      </c>
      <c r="Q572" s="11">
        <v>18601194039</v>
      </c>
      <c r="R572" s="11" t="s">
        <v>288</v>
      </c>
      <c r="S572" s="11" t="s">
        <v>115</v>
      </c>
      <c r="T572" s="11"/>
    </row>
    <row r="573" spans="1:20" s="14" customFormat="1" ht="24" hidden="1" customHeight="1">
      <c r="A573" s="15"/>
      <c r="B573" s="11" t="s">
        <v>526</v>
      </c>
      <c r="C573" s="11" t="s">
        <v>645</v>
      </c>
      <c r="D573" s="11" t="s">
        <v>62</v>
      </c>
      <c r="E573" s="9">
        <v>12.78468</v>
      </c>
      <c r="F573" s="9">
        <v>12.78468</v>
      </c>
      <c r="G573" s="11" t="s">
        <v>32</v>
      </c>
      <c r="H573" s="11" t="s">
        <v>33</v>
      </c>
      <c r="I573" s="11" t="s">
        <v>404</v>
      </c>
      <c r="J573" s="11" t="s">
        <v>404</v>
      </c>
      <c r="K573" s="11" t="s">
        <v>767</v>
      </c>
      <c r="L573" s="12">
        <v>54849.671362831898</v>
      </c>
      <c r="M573" s="12">
        <v>54849.671362831898</v>
      </c>
      <c r="N573" s="23">
        <v>43617</v>
      </c>
      <c r="O573" s="11" t="s">
        <v>286</v>
      </c>
      <c r="P573" s="11" t="s">
        <v>392</v>
      </c>
      <c r="Q573" s="11">
        <v>18601194039</v>
      </c>
      <c r="R573" s="11" t="s">
        <v>288</v>
      </c>
      <c r="S573" s="11" t="s">
        <v>115</v>
      </c>
      <c r="T573" s="11"/>
    </row>
    <row r="574" spans="1:20" s="14" customFormat="1" ht="24" hidden="1" customHeight="1">
      <c r="A574" s="15"/>
      <c r="B574" s="11" t="s">
        <v>513</v>
      </c>
      <c r="C574" s="11"/>
      <c r="D574" s="11" t="s">
        <v>62</v>
      </c>
      <c r="E574" s="9">
        <v>207.71702557086701</v>
      </c>
      <c r="F574" s="9">
        <v>207.71702557086701</v>
      </c>
      <c r="G574" s="11" t="s">
        <v>32</v>
      </c>
      <c r="H574" s="11" t="s">
        <v>33</v>
      </c>
      <c r="I574" s="11" t="s">
        <v>404</v>
      </c>
      <c r="J574" s="11" t="s">
        <v>404</v>
      </c>
      <c r="K574" s="11" t="s">
        <v>707</v>
      </c>
      <c r="L574" s="12">
        <v>933807.51318584406</v>
      </c>
      <c r="M574" s="12">
        <v>933807.51318584406</v>
      </c>
      <c r="N574" s="23">
        <v>43952</v>
      </c>
      <c r="O574" s="11" t="s">
        <v>286</v>
      </c>
      <c r="P574" s="11" t="s">
        <v>392</v>
      </c>
      <c r="Q574" s="11">
        <v>18601194039</v>
      </c>
      <c r="R574" s="11" t="s">
        <v>288</v>
      </c>
      <c r="S574" s="11" t="s">
        <v>115</v>
      </c>
      <c r="T574" s="11"/>
    </row>
    <row r="575" spans="1:20" s="14" customFormat="1" ht="24" hidden="1" customHeight="1">
      <c r="A575" s="15"/>
      <c r="B575" s="11" t="s">
        <v>593</v>
      </c>
      <c r="C575" s="11">
        <v>16</v>
      </c>
      <c r="D575" s="11" t="s">
        <v>464</v>
      </c>
      <c r="E575" s="9">
        <v>176</v>
      </c>
      <c r="F575" s="9">
        <v>18.21</v>
      </c>
      <c r="G575" s="11" t="s">
        <v>32</v>
      </c>
      <c r="H575" s="11" t="s">
        <v>33</v>
      </c>
      <c r="I575" s="11" t="s">
        <v>404</v>
      </c>
      <c r="J575" s="11" t="s">
        <v>404</v>
      </c>
      <c r="K575" s="11" t="s">
        <v>638</v>
      </c>
      <c r="L575" s="12">
        <v>114322.12389380499</v>
      </c>
      <c r="M575" s="12">
        <v>114322.12389380499</v>
      </c>
      <c r="N575" s="23">
        <v>43952</v>
      </c>
      <c r="O575" s="11" t="s">
        <v>286</v>
      </c>
      <c r="P575" s="11" t="s">
        <v>392</v>
      </c>
      <c r="Q575" s="11">
        <v>18601194039</v>
      </c>
      <c r="R575" s="11" t="s">
        <v>288</v>
      </c>
      <c r="S575" s="11" t="s">
        <v>115</v>
      </c>
      <c r="T575" s="11"/>
    </row>
    <row r="576" spans="1:20" s="14" customFormat="1" ht="24" hidden="1" customHeight="1">
      <c r="A576" s="15"/>
      <c r="B576" s="11" t="s">
        <v>526</v>
      </c>
      <c r="C576" s="11">
        <v>14</v>
      </c>
      <c r="D576" s="11" t="s">
        <v>464</v>
      </c>
      <c r="E576" s="9">
        <v>100</v>
      </c>
      <c r="F576" s="9">
        <v>15.21</v>
      </c>
      <c r="G576" s="11" t="s">
        <v>32</v>
      </c>
      <c r="H576" s="11" t="s">
        <v>33</v>
      </c>
      <c r="I576" s="11" t="s">
        <v>404</v>
      </c>
      <c r="J576" s="11" t="s">
        <v>404</v>
      </c>
      <c r="K576" s="11" t="s">
        <v>638</v>
      </c>
      <c r="L576" s="12">
        <v>95929.203539822993</v>
      </c>
      <c r="M576" s="12">
        <v>95929.203539822993</v>
      </c>
      <c r="N576" s="23">
        <v>43952</v>
      </c>
      <c r="O576" s="11" t="s">
        <v>286</v>
      </c>
      <c r="P576" s="11" t="s">
        <v>392</v>
      </c>
      <c r="Q576" s="11">
        <v>18601194039</v>
      </c>
      <c r="R576" s="11" t="s">
        <v>288</v>
      </c>
      <c r="S576" s="11" t="s">
        <v>115</v>
      </c>
      <c r="T576" s="11"/>
    </row>
    <row r="577" spans="1:20" s="14" customFormat="1" ht="24" hidden="1" customHeight="1">
      <c r="A577" s="15"/>
      <c r="B577" s="11" t="s">
        <v>728</v>
      </c>
      <c r="C577" s="11">
        <v>32</v>
      </c>
      <c r="D577" s="11" t="s">
        <v>62</v>
      </c>
      <c r="E577" s="9">
        <v>33.914999999999999</v>
      </c>
      <c r="F577" s="9">
        <v>33.914999999999999</v>
      </c>
      <c r="G577" s="11" t="s">
        <v>32</v>
      </c>
      <c r="H577" s="11" t="s">
        <v>33</v>
      </c>
      <c r="I577" s="11" t="s">
        <v>404</v>
      </c>
      <c r="J577" s="11" t="s">
        <v>404</v>
      </c>
      <c r="K577" s="11" t="s">
        <v>638</v>
      </c>
      <c r="L577" s="12">
        <v>240106.19469026601</v>
      </c>
      <c r="M577" s="12">
        <v>240106.19469026601</v>
      </c>
      <c r="N577" s="23">
        <v>43952</v>
      </c>
      <c r="O577" s="11" t="s">
        <v>286</v>
      </c>
      <c r="P577" s="11" t="s">
        <v>392</v>
      </c>
      <c r="Q577" s="11">
        <v>18601194039</v>
      </c>
      <c r="R577" s="11" t="s">
        <v>288</v>
      </c>
      <c r="S577" s="11" t="s">
        <v>115</v>
      </c>
      <c r="T577" s="11"/>
    </row>
    <row r="578" spans="1:20" s="14" customFormat="1" ht="24" hidden="1" customHeight="1">
      <c r="A578" s="15"/>
      <c r="B578" s="11" t="s">
        <v>762</v>
      </c>
      <c r="C578" s="11">
        <v>48</v>
      </c>
      <c r="D578" s="11" t="s">
        <v>464</v>
      </c>
      <c r="E578" s="9">
        <v>910</v>
      </c>
      <c r="F578" s="9">
        <v>22.5</v>
      </c>
      <c r="G578" s="11" t="s">
        <v>32</v>
      </c>
      <c r="H578" s="11" t="s">
        <v>33</v>
      </c>
      <c r="I578" s="11" t="s">
        <v>404</v>
      </c>
      <c r="J578" s="11" t="s">
        <v>404</v>
      </c>
      <c r="K578" s="11" t="s">
        <v>638</v>
      </c>
      <c r="L578" s="12">
        <v>135292.03539822999</v>
      </c>
      <c r="M578" s="12">
        <v>135292.03539822999</v>
      </c>
      <c r="N578" s="23">
        <v>43952</v>
      </c>
      <c r="O578" s="11" t="s">
        <v>286</v>
      </c>
      <c r="P578" s="11" t="s">
        <v>392</v>
      </c>
      <c r="Q578" s="11">
        <v>18601194039</v>
      </c>
      <c r="R578" s="11" t="s">
        <v>288</v>
      </c>
      <c r="S578" s="11" t="s">
        <v>115</v>
      </c>
      <c r="T578" s="11"/>
    </row>
    <row r="579" spans="1:20" s="14" customFormat="1" ht="24" customHeight="1">
      <c r="A579" s="15"/>
      <c r="B579" s="11" t="s">
        <v>514</v>
      </c>
      <c r="C579" s="11" t="s">
        <v>768</v>
      </c>
      <c r="D579" s="11" t="s">
        <v>31</v>
      </c>
      <c r="E579" s="9">
        <v>145</v>
      </c>
      <c r="F579" s="9">
        <v>359.64</v>
      </c>
      <c r="G579" s="11" t="s">
        <v>32</v>
      </c>
      <c r="H579" s="11" t="s">
        <v>41</v>
      </c>
      <c r="I579" s="11"/>
      <c r="J579" s="11"/>
      <c r="K579" s="11" t="s">
        <v>769</v>
      </c>
      <c r="L579" s="12">
        <v>1262350</v>
      </c>
      <c r="M579" s="12">
        <v>1262350</v>
      </c>
      <c r="N579" s="23">
        <v>43952</v>
      </c>
      <c r="O579" s="11" t="s">
        <v>770</v>
      </c>
      <c r="P579" s="11" t="s">
        <v>771</v>
      </c>
      <c r="Q579" s="11">
        <v>15011231259</v>
      </c>
      <c r="R579" s="11" t="s">
        <v>772</v>
      </c>
      <c r="S579" s="11" t="s">
        <v>68</v>
      </c>
      <c r="T579" s="11"/>
    </row>
    <row r="580" spans="1:20" ht="24" hidden="1" customHeight="1">
      <c r="A580" s="15"/>
      <c r="B580" s="17" t="s">
        <v>773</v>
      </c>
      <c r="C580" s="17" t="s">
        <v>774</v>
      </c>
      <c r="D580" s="17" t="s">
        <v>62</v>
      </c>
      <c r="E580" s="17">
        <v>20.9</v>
      </c>
      <c r="F580" s="17">
        <v>20.9</v>
      </c>
      <c r="G580" s="11" t="s">
        <v>32</v>
      </c>
      <c r="H580" s="11" t="s">
        <v>33</v>
      </c>
      <c r="I580" s="50" t="s">
        <v>34</v>
      </c>
      <c r="J580" s="50" t="s">
        <v>34</v>
      </c>
      <c r="K580" s="11" t="s">
        <v>775</v>
      </c>
      <c r="L580" s="12">
        <v>80455.75</v>
      </c>
      <c r="M580" s="51">
        <v>24136.73</v>
      </c>
      <c r="N580" s="52">
        <v>43797</v>
      </c>
      <c r="O580" s="53" t="s">
        <v>138</v>
      </c>
      <c r="P580" s="53" t="s">
        <v>139</v>
      </c>
      <c r="Q580" s="54">
        <v>15076764689</v>
      </c>
      <c r="R580" s="53" t="s">
        <v>140</v>
      </c>
      <c r="S580" s="11" t="s">
        <v>141</v>
      </c>
      <c r="T580" s="54"/>
    </row>
    <row r="581" spans="1:20" ht="24" hidden="1" customHeight="1">
      <c r="A581" s="15"/>
      <c r="B581" s="17" t="s">
        <v>773</v>
      </c>
      <c r="C581" s="26" t="s">
        <v>776</v>
      </c>
      <c r="D581" s="26" t="s">
        <v>62</v>
      </c>
      <c r="E581" s="17">
        <v>29.24</v>
      </c>
      <c r="F581" s="17">
        <v>29.24</v>
      </c>
      <c r="G581" s="11" t="s">
        <v>32</v>
      </c>
      <c r="H581" s="11" t="s">
        <v>33</v>
      </c>
      <c r="I581" s="50" t="s">
        <v>34</v>
      </c>
      <c r="J581" s="50" t="s">
        <v>34</v>
      </c>
      <c r="K581" s="12" t="s">
        <v>775</v>
      </c>
      <c r="L581" s="12">
        <v>112561.06</v>
      </c>
      <c r="M581" s="51">
        <v>33768.32</v>
      </c>
      <c r="N581" s="55">
        <v>43909</v>
      </c>
      <c r="O581" s="53" t="s">
        <v>138</v>
      </c>
      <c r="P581" s="53" t="s">
        <v>139</v>
      </c>
      <c r="Q581" s="54">
        <v>15076764689</v>
      </c>
      <c r="R581" s="53" t="s">
        <v>140</v>
      </c>
      <c r="S581" s="11" t="s">
        <v>141</v>
      </c>
      <c r="T581" s="54"/>
    </row>
    <row r="582" spans="1:20" ht="24" hidden="1" customHeight="1">
      <c r="A582" s="15"/>
      <c r="B582" s="17" t="s">
        <v>773</v>
      </c>
      <c r="C582" s="26"/>
      <c r="D582" s="26" t="s">
        <v>62</v>
      </c>
      <c r="E582" s="17">
        <v>39.479999999999997</v>
      </c>
      <c r="F582" s="17">
        <v>39.479999999999997</v>
      </c>
      <c r="G582" s="11" t="s">
        <v>32</v>
      </c>
      <c r="H582" s="11" t="s">
        <v>33</v>
      </c>
      <c r="I582" s="50" t="s">
        <v>34</v>
      </c>
      <c r="J582" s="50" t="s">
        <v>34</v>
      </c>
      <c r="K582" s="12" t="s">
        <v>777</v>
      </c>
      <c r="L582" s="12">
        <v>164174.26</v>
      </c>
      <c r="M582" s="51">
        <v>49252.28</v>
      </c>
      <c r="N582" s="55">
        <v>43915</v>
      </c>
      <c r="O582" s="53" t="s">
        <v>138</v>
      </c>
      <c r="P582" s="53" t="s">
        <v>139</v>
      </c>
      <c r="Q582" s="54">
        <v>15076764689</v>
      </c>
      <c r="R582" s="53" t="s">
        <v>140</v>
      </c>
      <c r="S582" s="11" t="s">
        <v>141</v>
      </c>
      <c r="T582" s="54"/>
    </row>
    <row r="583" spans="1:20" ht="24" hidden="1" customHeight="1">
      <c r="A583" s="15"/>
      <c r="B583" s="17" t="s">
        <v>773</v>
      </c>
      <c r="C583" s="26" t="s">
        <v>778</v>
      </c>
      <c r="D583" s="26" t="s">
        <v>62</v>
      </c>
      <c r="E583" s="26">
        <v>12.67</v>
      </c>
      <c r="F583" s="9">
        <v>12.67</v>
      </c>
      <c r="G583" s="11" t="s">
        <v>32</v>
      </c>
      <c r="H583" s="11" t="s">
        <v>33</v>
      </c>
      <c r="I583" s="50" t="s">
        <v>34</v>
      </c>
      <c r="J583" s="50" t="s">
        <v>34</v>
      </c>
      <c r="K583" s="10" t="s">
        <v>775</v>
      </c>
      <c r="L583" s="12">
        <v>51801.24</v>
      </c>
      <c r="M583" s="51">
        <v>15540.37</v>
      </c>
      <c r="N583" s="55">
        <v>44096</v>
      </c>
      <c r="O583" s="53" t="s">
        <v>138</v>
      </c>
      <c r="P583" s="53" t="s">
        <v>139</v>
      </c>
      <c r="Q583" s="54">
        <v>15076764689</v>
      </c>
      <c r="R583" s="53" t="s">
        <v>140</v>
      </c>
      <c r="S583" s="11" t="s">
        <v>141</v>
      </c>
      <c r="T583" s="54"/>
    </row>
    <row r="584" spans="1:20" ht="24" hidden="1" customHeight="1">
      <c r="A584" s="15"/>
      <c r="B584" s="17" t="s">
        <v>514</v>
      </c>
      <c r="C584" s="17" t="s">
        <v>779</v>
      </c>
      <c r="D584" s="17" t="s">
        <v>31</v>
      </c>
      <c r="E584" s="17">
        <v>30</v>
      </c>
      <c r="F584" s="9">
        <v>8.5</v>
      </c>
      <c r="G584" s="11" t="s">
        <v>32</v>
      </c>
      <c r="H584" s="11" t="s">
        <v>33</v>
      </c>
      <c r="I584" s="50" t="s">
        <v>34</v>
      </c>
      <c r="J584" s="50" t="s">
        <v>34</v>
      </c>
      <c r="K584" s="10" t="s">
        <v>780</v>
      </c>
      <c r="L584" s="20">
        <v>43815.93</v>
      </c>
      <c r="M584" s="51">
        <v>13144.78</v>
      </c>
      <c r="N584" s="56" t="s">
        <v>781</v>
      </c>
      <c r="O584" s="53" t="s">
        <v>138</v>
      </c>
      <c r="P584" s="53" t="s">
        <v>139</v>
      </c>
      <c r="Q584" s="54">
        <v>15076764689</v>
      </c>
      <c r="R584" s="53" t="s">
        <v>140</v>
      </c>
      <c r="S584" s="11" t="s">
        <v>141</v>
      </c>
      <c r="T584" s="54"/>
    </row>
    <row r="585" spans="1:20" ht="24" hidden="1" customHeight="1">
      <c r="A585" s="15"/>
      <c r="B585" s="17" t="s">
        <v>593</v>
      </c>
      <c r="C585" s="17" t="s">
        <v>782</v>
      </c>
      <c r="D585" s="17" t="s">
        <v>464</v>
      </c>
      <c r="E585" s="57">
        <v>156</v>
      </c>
      <c r="F585" s="9">
        <v>10.4832</v>
      </c>
      <c r="G585" s="11" t="s">
        <v>32</v>
      </c>
      <c r="H585" s="11" t="s">
        <v>33</v>
      </c>
      <c r="I585" s="50" t="s">
        <v>34</v>
      </c>
      <c r="J585" s="50" t="s">
        <v>34</v>
      </c>
      <c r="K585" s="10" t="s">
        <v>780</v>
      </c>
      <c r="L585" s="20">
        <v>48573.98</v>
      </c>
      <c r="M585" s="51">
        <v>14572.19</v>
      </c>
      <c r="N585" s="56" t="s">
        <v>781</v>
      </c>
      <c r="O585" s="53" t="s">
        <v>138</v>
      </c>
      <c r="P585" s="53" t="s">
        <v>139</v>
      </c>
      <c r="Q585" s="54">
        <v>15076764689</v>
      </c>
      <c r="R585" s="53" t="s">
        <v>140</v>
      </c>
      <c r="S585" s="11" t="s">
        <v>141</v>
      </c>
      <c r="T585" s="54"/>
    </row>
    <row r="586" spans="1:20" ht="24" hidden="1" customHeight="1">
      <c r="A586" s="15"/>
      <c r="B586" s="17" t="s">
        <v>593</v>
      </c>
      <c r="C586" s="17" t="s">
        <v>783</v>
      </c>
      <c r="D586" s="17" t="s">
        <v>464</v>
      </c>
      <c r="E586" s="57">
        <v>96</v>
      </c>
      <c r="F586" s="9">
        <v>9.6768000000000001</v>
      </c>
      <c r="G586" s="11" t="s">
        <v>32</v>
      </c>
      <c r="H586" s="11" t="s">
        <v>33</v>
      </c>
      <c r="I586" s="50" t="s">
        <v>34</v>
      </c>
      <c r="J586" s="50" t="s">
        <v>34</v>
      </c>
      <c r="K586" s="10" t="s">
        <v>780</v>
      </c>
      <c r="L586" s="20">
        <v>50404.25</v>
      </c>
      <c r="M586" s="51">
        <v>15121.27</v>
      </c>
      <c r="N586" s="56" t="s">
        <v>781</v>
      </c>
      <c r="O586" s="53" t="s">
        <v>138</v>
      </c>
      <c r="P586" s="53" t="s">
        <v>139</v>
      </c>
      <c r="Q586" s="54">
        <v>15076764689</v>
      </c>
      <c r="R586" s="53" t="s">
        <v>140</v>
      </c>
      <c r="S586" s="11" t="s">
        <v>141</v>
      </c>
      <c r="T586" s="54"/>
    </row>
    <row r="587" spans="1:20" ht="24" hidden="1" customHeight="1">
      <c r="A587" s="15"/>
      <c r="B587" s="17" t="s">
        <v>593</v>
      </c>
      <c r="C587" s="17" t="s">
        <v>784</v>
      </c>
      <c r="D587" s="17" t="s">
        <v>464</v>
      </c>
      <c r="E587" s="57">
        <v>30</v>
      </c>
      <c r="F587" s="9">
        <v>1.296</v>
      </c>
      <c r="G587" s="11" t="s">
        <v>32</v>
      </c>
      <c r="H587" s="11" t="s">
        <v>33</v>
      </c>
      <c r="I587" s="50" t="s">
        <v>34</v>
      </c>
      <c r="J587" s="50" t="s">
        <v>34</v>
      </c>
      <c r="K587" s="10" t="s">
        <v>780</v>
      </c>
      <c r="L587" s="20">
        <v>6300</v>
      </c>
      <c r="M587" s="51">
        <v>1890</v>
      </c>
      <c r="N587" s="56" t="s">
        <v>781</v>
      </c>
      <c r="O587" s="53" t="s">
        <v>138</v>
      </c>
      <c r="P587" s="53" t="s">
        <v>139</v>
      </c>
      <c r="Q587" s="54">
        <v>15076764689</v>
      </c>
      <c r="R587" s="53" t="s">
        <v>140</v>
      </c>
      <c r="S587" s="11" t="s">
        <v>141</v>
      </c>
      <c r="T587" s="54"/>
    </row>
    <row r="588" spans="1:20" ht="24" hidden="1" customHeight="1">
      <c r="A588" s="15"/>
      <c r="B588" s="17" t="s">
        <v>593</v>
      </c>
      <c r="C588" s="17" t="s">
        <v>785</v>
      </c>
      <c r="D588" s="17" t="s">
        <v>464</v>
      </c>
      <c r="E588" s="57">
        <v>100</v>
      </c>
      <c r="F588" s="9">
        <v>6.72</v>
      </c>
      <c r="G588" s="11" t="s">
        <v>32</v>
      </c>
      <c r="H588" s="11" t="s">
        <v>33</v>
      </c>
      <c r="I588" s="50" t="s">
        <v>34</v>
      </c>
      <c r="J588" s="50" t="s">
        <v>34</v>
      </c>
      <c r="K588" s="10" t="s">
        <v>780</v>
      </c>
      <c r="L588" s="20">
        <v>31137.17</v>
      </c>
      <c r="M588" s="51">
        <v>9341.15</v>
      </c>
      <c r="N588" s="56" t="s">
        <v>781</v>
      </c>
      <c r="O588" s="53" t="s">
        <v>138</v>
      </c>
      <c r="P588" s="53" t="s">
        <v>139</v>
      </c>
      <c r="Q588" s="54">
        <v>15076764689</v>
      </c>
      <c r="R588" s="53" t="s">
        <v>140</v>
      </c>
      <c r="S588" s="11" t="s">
        <v>141</v>
      </c>
      <c r="T588" s="54"/>
    </row>
    <row r="589" spans="1:20" ht="24" hidden="1" customHeight="1">
      <c r="A589" s="15"/>
      <c r="B589" s="17" t="s">
        <v>735</v>
      </c>
      <c r="C589" s="17" t="s">
        <v>786</v>
      </c>
      <c r="D589" s="17" t="s">
        <v>464</v>
      </c>
      <c r="E589" s="17">
        <v>80</v>
      </c>
      <c r="F589" s="9"/>
      <c r="G589" s="11" t="s">
        <v>32</v>
      </c>
      <c r="H589" s="11" t="s">
        <v>33</v>
      </c>
      <c r="I589" s="50" t="s">
        <v>34</v>
      </c>
      <c r="J589" s="50" t="s">
        <v>34</v>
      </c>
      <c r="K589" s="10" t="s">
        <v>780</v>
      </c>
      <c r="L589" s="20">
        <v>16894.16</v>
      </c>
      <c r="M589" s="51">
        <v>5068.25</v>
      </c>
      <c r="N589" s="56" t="s">
        <v>781</v>
      </c>
      <c r="O589" s="53" t="s">
        <v>138</v>
      </c>
      <c r="P589" s="53" t="s">
        <v>139</v>
      </c>
      <c r="Q589" s="54">
        <v>15076764689</v>
      </c>
      <c r="R589" s="53" t="s">
        <v>140</v>
      </c>
      <c r="S589" s="11" t="s">
        <v>141</v>
      </c>
      <c r="T589" s="54"/>
    </row>
    <row r="590" spans="1:20" ht="24" hidden="1" customHeight="1">
      <c r="A590" s="15"/>
      <c r="B590" s="17" t="s">
        <v>593</v>
      </c>
      <c r="C590" s="17" t="s">
        <v>787</v>
      </c>
      <c r="D590" s="17" t="s">
        <v>464</v>
      </c>
      <c r="E590" s="57">
        <v>150</v>
      </c>
      <c r="F590" s="9">
        <v>27.675000000000001</v>
      </c>
      <c r="G590" s="11" t="s">
        <v>32</v>
      </c>
      <c r="H590" s="11" t="s">
        <v>33</v>
      </c>
      <c r="I590" s="50" t="s">
        <v>34</v>
      </c>
      <c r="J590" s="50" t="s">
        <v>34</v>
      </c>
      <c r="K590" s="10" t="s">
        <v>780</v>
      </c>
      <c r="L590" s="20">
        <v>116494.25</v>
      </c>
      <c r="M590" s="51">
        <v>34948.269999999997</v>
      </c>
      <c r="N590" s="56" t="s">
        <v>788</v>
      </c>
      <c r="O590" s="53" t="s">
        <v>138</v>
      </c>
      <c r="P590" s="53" t="s">
        <v>139</v>
      </c>
      <c r="Q590" s="54">
        <v>15076764689</v>
      </c>
      <c r="R590" s="53" t="s">
        <v>140</v>
      </c>
      <c r="S590" s="11" t="s">
        <v>141</v>
      </c>
      <c r="T590" s="54"/>
    </row>
    <row r="591" spans="1:20" ht="24" hidden="1" customHeight="1">
      <c r="A591" s="15"/>
      <c r="B591" s="17" t="s">
        <v>526</v>
      </c>
      <c r="C591" s="17" t="s">
        <v>789</v>
      </c>
      <c r="D591" s="17" t="s">
        <v>464</v>
      </c>
      <c r="E591" s="57">
        <v>153</v>
      </c>
      <c r="F591" s="9">
        <v>38.418300000000002</v>
      </c>
      <c r="G591" s="11" t="s">
        <v>32</v>
      </c>
      <c r="H591" s="11" t="s">
        <v>33</v>
      </c>
      <c r="I591" s="50" t="s">
        <v>34</v>
      </c>
      <c r="J591" s="50" t="s">
        <v>34</v>
      </c>
      <c r="K591" s="10" t="s">
        <v>780</v>
      </c>
      <c r="L591" s="20">
        <v>192291.21</v>
      </c>
      <c r="M591" s="51">
        <v>57687.360000000001</v>
      </c>
      <c r="N591" s="56" t="s">
        <v>788</v>
      </c>
      <c r="O591" s="53" t="s">
        <v>138</v>
      </c>
      <c r="P591" s="53" t="s">
        <v>139</v>
      </c>
      <c r="Q591" s="54">
        <v>15076764689</v>
      </c>
      <c r="R591" s="53" t="s">
        <v>140</v>
      </c>
      <c r="S591" s="11" t="s">
        <v>141</v>
      </c>
      <c r="T591" s="54"/>
    </row>
    <row r="592" spans="1:20" ht="24" hidden="1" customHeight="1">
      <c r="A592" s="15"/>
      <c r="B592" s="17" t="s">
        <v>526</v>
      </c>
      <c r="C592" s="17" t="s">
        <v>790</v>
      </c>
      <c r="D592" s="17" t="s">
        <v>464</v>
      </c>
      <c r="E592" s="57">
        <v>225</v>
      </c>
      <c r="F592" s="9">
        <v>102.87</v>
      </c>
      <c r="G592" s="11" t="s">
        <v>32</v>
      </c>
      <c r="H592" s="11" t="s">
        <v>33</v>
      </c>
      <c r="I592" s="50" t="s">
        <v>34</v>
      </c>
      <c r="J592" s="50" t="s">
        <v>34</v>
      </c>
      <c r="K592" s="10" t="s">
        <v>780</v>
      </c>
      <c r="L592" s="20">
        <v>574434.96</v>
      </c>
      <c r="M592" s="51">
        <v>172330.49</v>
      </c>
      <c r="N592" s="56" t="s">
        <v>788</v>
      </c>
      <c r="O592" s="53" t="s">
        <v>138</v>
      </c>
      <c r="P592" s="53" t="s">
        <v>139</v>
      </c>
      <c r="Q592" s="54">
        <v>15076764689</v>
      </c>
      <c r="R592" s="53" t="s">
        <v>140</v>
      </c>
      <c r="S592" s="11" t="s">
        <v>141</v>
      </c>
      <c r="T592" s="54"/>
    </row>
    <row r="593" spans="1:20" ht="24" hidden="1" customHeight="1">
      <c r="A593" s="15"/>
      <c r="B593" s="17" t="s">
        <v>593</v>
      </c>
      <c r="C593" s="17" t="s">
        <v>791</v>
      </c>
      <c r="D593" s="17" t="s">
        <v>464</v>
      </c>
      <c r="E593" s="17">
        <v>14</v>
      </c>
      <c r="F593" s="9">
        <v>4.4268000000000001</v>
      </c>
      <c r="G593" s="11" t="s">
        <v>32</v>
      </c>
      <c r="H593" s="11" t="s">
        <v>33</v>
      </c>
      <c r="I593" s="50" t="s">
        <v>34</v>
      </c>
      <c r="J593" s="50" t="s">
        <v>34</v>
      </c>
      <c r="K593" s="10" t="s">
        <v>780</v>
      </c>
      <c r="L593" s="20">
        <v>20155.79</v>
      </c>
      <c r="M593" s="51">
        <v>6046.74</v>
      </c>
      <c r="N593" s="56" t="s">
        <v>788</v>
      </c>
      <c r="O593" s="53" t="s">
        <v>138</v>
      </c>
      <c r="P593" s="53" t="s">
        <v>139</v>
      </c>
      <c r="Q593" s="54">
        <v>15076764689</v>
      </c>
      <c r="R593" s="53" t="s">
        <v>140</v>
      </c>
      <c r="S593" s="11" t="s">
        <v>141</v>
      </c>
      <c r="T593" s="54"/>
    </row>
    <row r="594" spans="1:20" ht="24" hidden="1" customHeight="1">
      <c r="A594" s="15"/>
      <c r="B594" s="17" t="s">
        <v>593</v>
      </c>
      <c r="C594" s="17" t="s">
        <v>787</v>
      </c>
      <c r="D594" s="17" t="s">
        <v>464</v>
      </c>
      <c r="E594" s="57">
        <v>192</v>
      </c>
      <c r="F594" s="9">
        <v>35.423999999999999</v>
      </c>
      <c r="G594" s="11" t="s">
        <v>32</v>
      </c>
      <c r="H594" s="11" t="s">
        <v>33</v>
      </c>
      <c r="I594" s="50" t="s">
        <v>34</v>
      </c>
      <c r="J594" s="50" t="s">
        <v>34</v>
      </c>
      <c r="K594" s="10" t="s">
        <v>780</v>
      </c>
      <c r="L594" s="20">
        <v>158017.70000000001</v>
      </c>
      <c r="M594" s="51">
        <v>47405.31</v>
      </c>
      <c r="N594" s="56" t="s">
        <v>788</v>
      </c>
      <c r="O594" s="53" t="s">
        <v>138</v>
      </c>
      <c r="P594" s="53" t="s">
        <v>139</v>
      </c>
      <c r="Q594" s="54">
        <v>15076764689</v>
      </c>
      <c r="R594" s="53" t="s">
        <v>140</v>
      </c>
      <c r="S594" s="11" t="s">
        <v>141</v>
      </c>
      <c r="T594" s="54"/>
    </row>
    <row r="595" spans="1:20" ht="24" hidden="1" customHeight="1">
      <c r="A595" s="15"/>
      <c r="B595" s="17" t="s">
        <v>593</v>
      </c>
      <c r="C595" s="17" t="s">
        <v>792</v>
      </c>
      <c r="D595" s="17" t="s">
        <v>464</v>
      </c>
      <c r="E595" s="57">
        <v>48</v>
      </c>
      <c r="F595" s="9">
        <v>5.9039999999999999</v>
      </c>
      <c r="G595" s="11" t="s">
        <v>32</v>
      </c>
      <c r="H595" s="11" t="s">
        <v>33</v>
      </c>
      <c r="I595" s="50" t="s">
        <v>34</v>
      </c>
      <c r="J595" s="50" t="s">
        <v>34</v>
      </c>
      <c r="K595" s="10" t="s">
        <v>780</v>
      </c>
      <c r="L595" s="20">
        <v>27549.88</v>
      </c>
      <c r="M595" s="51">
        <v>8264.9599999999991</v>
      </c>
      <c r="N595" s="56" t="s">
        <v>788</v>
      </c>
      <c r="O595" s="53" t="s">
        <v>138</v>
      </c>
      <c r="P595" s="53" t="s">
        <v>139</v>
      </c>
      <c r="Q595" s="54">
        <v>15076764689</v>
      </c>
      <c r="R595" s="53" t="s">
        <v>140</v>
      </c>
      <c r="S595" s="11" t="s">
        <v>141</v>
      </c>
      <c r="T595" s="54"/>
    </row>
    <row r="596" spans="1:20" ht="24" hidden="1" customHeight="1">
      <c r="A596" s="15"/>
      <c r="B596" s="17" t="s">
        <v>593</v>
      </c>
      <c r="C596" s="17" t="s">
        <v>789</v>
      </c>
      <c r="D596" s="17" t="s">
        <v>464</v>
      </c>
      <c r="E596" s="57">
        <v>9</v>
      </c>
      <c r="F596" s="9">
        <v>2.2599</v>
      </c>
      <c r="G596" s="11" t="s">
        <v>32</v>
      </c>
      <c r="H596" s="11" t="s">
        <v>33</v>
      </c>
      <c r="I596" s="50" t="s">
        <v>34</v>
      </c>
      <c r="J596" s="50" t="s">
        <v>34</v>
      </c>
      <c r="K596" s="10" t="s">
        <v>780</v>
      </c>
      <c r="L596" s="20">
        <v>10206.48</v>
      </c>
      <c r="M596" s="51">
        <v>3061.94</v>
      </c>
      <c r="N596" s="56" t="s">
        <v>788</v>
      </c>
      <c r="O596" s="53" t="s">
        <v>138</v>
      </c>
      <c r="P596" s="53" t="s">
        <v>139</v>
      </c>
      <c r="Q596" s="54">
        <v>15076764689</v>
      </c>
      <c r="R596" s="53" t="s">
        <v>140</v>
      </c>
      <c r="S596" s="11" t="s">
        <v>141</v>
      </c>
      <c r="T596" s="54"/>
    </row>
    <row r="597" spans="1:20" ht="24" hidden="1" customHeight="1">
      <c r="A597" s="15"/>
      <c r="B597" s="17" t="s">
        <v>526</v>
      </c>
      <c r="C597" s="17" t="s">
        <v>793</v>
      </c>
      <c r="D597" s="17" t="s">
        <v>464</v>
      </c>
      <c r="E597" s="57">
        <v>24</v>
      </c>
      <c r="F597" s="9">
        <v>8.0351999999999997</v>
      </c>
      <c r="G597" s="11" t="s">
        <v>32</v>
      </c>
      <c r="H597" s="11" t="s">
        <v>33</v>
      </c>
      <c r="I597" s="50" t="s">
        <v>34</v>
      </c>
      <c r="J597" s="50" t="s">
        <v>34</v>
      </c>
      <c r="K597" s="10" t="s">
        <v>780</v>
      </c>
      <c r="L597" s="20">
        <v>42638.02</v>
      </c>
      <c r="M597" s="51">
        <v>12791.41</v>
      </c>
      <c r="N597" s="56" t="s">
        <v>788</v>
      </c>
      <c r="O597" s="53" t="s">
        <v>138</v>
      </c>
      <c r="P597" s="53" t="s">
        <v>139</v>
      </c>
      <c r="Q597" s="54">
        <v>15076764689</v>
      </c>
      <c r="R597" s="53" t="s">
        <v>140</v>
      </c>
      <c r="S597" s="11" t="s">
        <v>141</v>
      </c>
      <c r="T597" s="54"/>
    </row>
    <row r="598" spans="1:20" ht="24" hidden="1" customHeight="1">
      <c r="A598" s="15"/>
      <c r="B598" s="17" t="s">
        <v>526</v>
      </c>
      <c r="C598" s="17" t="s">
        <v>794</v>
      </c>
      <c r="D598" s="17" t="s">
        <v>464</v>
      </c>
      <c r="E598" s="57">
        <v>120</v>
      </c>
      <c r="F598" s="9">
        <v>40.176000000000002</v>
      </c>
      <c r="G598" s="11" t="s">
        <v>32</v>
      </c>
      <c r="H598" s="11" t="s">
        <v>33</v>
      </c>
      <c r="I598" s="50" t="s">
        <v>34</v>
      </c>
      <c r="J598" s="50" t="s">
        <v>34</v>
      </c>
      <c r="K598" s="10" t="s">
        <v>780</v>
      </c>
      <c r="L598" s="20">
        <v>237158.23</v>
      </c>
      <c r="M598" s="51">
        <v>71147.47</v>
      </c>
      <c r="N598" s="56" t="s">
        <v>788</v>
      </c>
      <c r="O598" s="53" t="s">
        <v>138</v>
      </c>
      <c r="P598" s="53" t="s">
        <v>139</v>
      </c>
      <c r="Q598" s="54">
        <v>15076764689</v>
      </c>
      <c r="R598" s="53" t="s">
        <v>140</v>
      </c>
      <c r="S598" s="11" t="s">
        <v>141</v>
      </c>
      <c r="T598" s="54"/>
    </row>
    <row r="599" spans="1:20" ht="24" hidden="1" customHeight="1">
      <c r="A599" s="15"/>
      <c r="B599" s="17" t="s">
        <v>526</v>
      </c>
      <c r="C599" s="17" t="s">
        <v>795</v>
      </c>
      <c r="D599" s="17" t="s">
        <v>464</v>
      </c>
      <c r="E599" s="57">
        <v>134</v>
      </c>
      <c r="F599" s="9">
        <v>286.9074</v>
      </c>
      <c r="G599" s="11" t="s">
        <v>32</v>
      </c>
      <c r="H599" s="11" t="s">
        <v>33</v>
      </c>
      <c r="I599" s="50" t="s">
        <v>34</v>
      </c>
      <c r="J599" s="50" t="s">
        <v>34</v>
      </c>
      <c r="K599" s="10" t="s">
        <v>780</v>
      </c>
      <c r="L599" s="20">
        <v>198620.02</v>
      </c>
      <c r="M599" s="51">
        <v>59586.01</v>
      </c>
      <c r="N599" s="56" t="s">
        <v>788</v>
      </c>
      <c r="O599" s="53" t="s">
        <v>138</v>
      </c>
      <c r="P599" s="53" t="s">
        <v>139</v>
      </c>
      <c r="Q599" s="54">
        <v>15076764689</v>
      </c>
      <c r="R599" s="53" t="s">
        <v>140</v>
      </c>
      <c r="S599" s="11" t="s">
        <v>141</v>
      </c>
      <c r="T599" s="54"/>
    </row>
    <row r="600" spans="1:20" ht="24" hidden="1" customHeight="1">
      <c r="A600" s="15"/>
      <c r="B600" s="17" t="s">
        <v>593</v>
      </c>
      <c r="C600" s="17" t="s">
        <v>796</v>
      </c>
      <c r="D600" s="17" t="s">
        <v>464</v>
      </c>
      <c r="E600" s="58">
        <v>42</v>
      </c>
      <c r="F600" s="9">
        <v>10.332000000000001</v>
      </c>
      <c r="G600" s="11" t="s">
        <v>32</v>
      </c>
      <c r="H600" s="11" t="s">
        <v>33</v>
      </c>
      <c r="I600" s="50" t="s">
        <v>34</v>
      </c>
      <c r="J600" s="50" t="s">
        <v>34</v>
      </c>
      <c r="K600" s="10" t="s">
        <v>780</v>
      </c>
      <c r="L600" s="20">
        <v>46088.5</v>
      </c>
      <c r="M600" s="51">
        <v>13826.55</v>
      </c>
      <c r="N600" s="56" t="s">
        <v>788</v>
      </c>
      <c r="O600" s="53" t="s">
        <v>138</v>
      </c>
      <c r="P600" s="53" t="s">
        <v>139</v>
      </c>
      <c r="Q600" s="54">
        <v>15076764689</v>
      </c>
      <c r="R600" s="53" t="s">
        <v>140</v>
      </c>
      <c r="S600" s="11" t="s">
        <v>141</v>
      </c>
      <c r="T600" s="54"/>
    </row>
    <row r="601" spans="1:20" ht="24" hidden="1" customHeight="1">
      <c r="A601" s="15"/>
      <c r="B601" s="17" t="s">
        <v>593</v>
      </c>
      <c r="C601" s="17" t="s">
        <v>797</v>
      </c>
      <c r="D601" s="17" t="s">
        <v>464</v>
      </c>
      <c r="E601" s="58">
        <v>100</v>
      </c>
      <c r="F601" s="9">
        <v>6.72</v>
      </c>
      <c r="G601" s="11" t="s">
        <v>32</v>
      </c>
      <c r="H601" s="11" t="s">
        <v>33</v>
      </c>
      <c r="I601" s="50" t="s">
        <v>34</v>
      </c>
      <c r="J601" s="50" t="s">
        <v>34</v>
      </c>
      <c r="K601" s="10" t="s">
        <v>780</v>
      </c>
      <c r="L601" s="20">
        <v>31858.41</v>
      </c>
      <c r="M601" s="51">
        <v>9557.52</v>
      </c>
      <c r="N601" s="56" t="s">
        <v>788</v>
      </c>
      <c r="O601" s="53" t="s">
        <v>138</v>
      </c>
      <c r="P601" s="53" t="s">
        <v>139</v>
      </c>
      <c r="Q601" s="54">
        <v>15076764689</v>
      </c>
      <c r="R601" s="53" t="s">
        <v>140</v>
      </c>
      <c r="S601" s="11" t="s">
        <v>141</v>
      </c>
      <c r="T601" s="54"/>
    </row>
    <row r="602" spans="1:20" ht="24" hidden="1" customHeight="1">
      <c r="A602" s="15"/>
      <c r="B602" s="17" t="s">
        <v>593</v>
      </c>
      <c r="C602" s="17" t="s">
        <v>783</v>
      </c>
      <c r="D602" s="17" t="s">
        <v>464</v>
      </c>
      <c r="E602" s="17">
        <v>96</v>
      </c>
      <c r="F602" s="9">
        <v>9.6768000000000001</v>
      </c>
      <c r="G602" s="11" t="s">
        <v>32</v>
      </c>
      <c r="H602" s="11" t="s">
        <v>33</v>
      </c>
      <c r="I602" s="50" t="s">
        <v>34</v>
      </c>
      <c r="J602" s="50" t="s">
        <v>34</v>
      </c>
      <c r="K602" s="10" t="s">
        <v>798</v>
      </c>
      <c r="L602" s="20">
        <v>60182.65</v>
      </c>
      <c r="M602" s="51">
        <v>18054.8</v>
      </c>
      <c r="N602" s="17" t="s">
        <v>799</v>
      </c>
      <c r="O602" s="53" t="s">
        <v>138</v>
      </c>
      <c r="P602" s="53" t="s">
        <v>139</v>
      </c>
      <c r="Q602" s="54">
        <v>15076764689</v>
      </c>
      <c r="R602" s="53" t="s">
        <v>140</v>
      </c>
      <c r="S602" s="11" t="s">
        <v>141</v>
      </c>
      <c r="T602" s="54"/>
    </row>
    <row r="603" spans="1:20" ht="24" hidden="1" customHeight="1">
      <c r="A603" s="15"/>
      <c r="B603" s="17" t="s">
        <v>593</v>
      </c>
      <c r="C603" s="17" t="s">
        <v>800</v>
      </c>
      <c r="D603" s="17" t="s">
        <v>464</v>
      </c>
      <c r="E603" s="17">
        <v>300</v>
      </c>
      <c r="F603" s="9">
        <v>13.5</v>
      </c>
      <c r="G603" s="11" t="s">
        <v>32</v>
      </c>
      <c r="H603" s="11" t="s">
        <v>33</v>
      </c>
      <c r="I603" s="50" t="s">
        <v>34</v>
      </c>
      <c r="J603" s="50" t="s">
        <v>34</v>
      </c>
      <c r="K603" s="10" t="s">
        <v>798</v>
      </c>
      <c r="L603" s="20">
        <v>74867.259999999995</v>
      </c>
      <c r="M603" s="51">
        <v>22460.18</v>
      </c>
      <c r="N603" s="17" t="s">
        <v>799</v>
      </c>
      <c r="O603" s="53" t="s">
        <v>138</v>
      </c>
      <c r="P603" s="53" t="s">
        <v>139</v>
      </c>
      <c r="Q603" s="54">
        <v>15076764689</v>
      </c>
      <c r="R603" s="53" t="s">
        <v>140</v>
      </c>
      <c r="S603" s="11" t="s">
        <v>141</v>
      </c>
      <c r="T603" s="54"/>
    </row>
    <row r="604" spans="1:20" ht="24" hidden="1" customHeight="1">
      <c r="A604" s="15"/>
      <c r="B604" s="17" t="s">
        <v>526</v>
      </c>
      <c r="C604" s="17" t="s">
        <v>801</v>
      </c>
      <c r="D604" s="17" t="s">
        <v>464</v>
      </c>
      <c r="E604" s="17">
        <v>36</v>
      </c>
      <c r="F604" s="9">
        <v>7.2576000000000001</v>
      </c>
      <c r="G604" s="11" t="s">
        <v>32</v>
      </c>
      <c r="H604" s="11" t="s">
        <v>33</v>
      </c>
      <c r="I604" s="50" t="s">
        <v>34</v>
      </c>
      <c r="J604" s="50" t="s">
        <v>34</v>
      </c>
      <c r="K604" s="10" t="s">
        <v>798</v>
      </c>
      <c r="L604" s="20">
        <v>45716.81</v>
      </c>
      <c r="M604" s="51">
        <v>13715.04</v>
      </c>
      <c r="N604" s="17" t="s">
        <v>799</v>
      </c>
      <c r="O604" s="53" t="s">
        <v>138</v>
      </c>
      <c r="P604" s="53" t="s">
        <v>139</v>
      </c>
      <c r="Q604" s="54">
        <v>15076764689</v>
      </c>
      <c r="R604" s="53" t="s">
        <v>140</v>
      </c>
      <c r="S604" s="11" t="s">
        <v>141</v>
      </c>
      <c r="T604" s="54"/>
    </row>
    <row r="605" spans="1:20" ht="24" hidden="1" customHeight="1">
      <c r="A605" s="15"/>
      <c r="B605" s="17" t="s">
        <v>514</v>
      </c>
      <c r="C605" s="17" t="s">
        <v>802</v>
      </c>
      <c r="D605" s="17" t="s">
        <v>31</v>
      </c>
      <c r="E605" s="17">
        <v>54</v>
      </c>
      <c r="F605" s="9">
        <v>10</v>
      </c>
      <c r="G605" s="11" t="s">
        <v>32</v>
      </c>
      <c r="H605" s="11" t="s">
        <v>33</v>
      </c>
      <c r="I605" s="50" t="s">
        <v>34</v>
      </c>
      <c r="J605" s="50" t="s">
        <v>34</v>
      </c>
      <c r="K605" s="10" t="s">
        <v>798</v>
      </c>
      <c r="L605" s="20">
        <v>111823.01</v>
      </c>
      <c r="M605" s="51">
        <v>33546.9</v>
      </c>
      <c r="N605" s="17" t="s">
        <v>799</v>
      </c>
      <c r="O605" s="53" t="s">
        <v>138</v>
      </c>
      <c r="P605" s="53" t="s">
        <v>139</v>
      </c>
      <c r="Q605" s="54">
        <v>15076764689</v>
      </c>
      <c r="R605" s="53" t="s">
        <v>140</v>
      </c>
      <c r="S605" s="11" t="s">
        <v>141</v>
      </c>
      <c r="T605" s="54"/>
    </row>
    <row r="606" spans="1:20" ht="24" hidden="1" customHeight="1">
      <c r="A606" s="15"/>
      <c r="B606" s="17" t="s">
        <v>593</v>
      </c>
      <c r="C606" s="59" t="s">
        <v>803</v>
      </c>
      <c r="D606" s="17" t="s">
        <v>62</v>
      </c>
      <c r="E606" s="17">
        <v>62.29</v>
      </c>
      <c r="F606" s="9">
        <v>7.66167</v>
      </c>
      <c r="G606" s="11" t="s">
        <v>32</v>
      </c>
      <c r="H606" s="11" t="s">
        <v>33</v>
      </c>
      <c r="I606" s="50" t="s">
        <v>34</v>
      </c>
      <c r="J606" s="50" t="s">
        <v>34</v>
      </c>
      <c r="K606" s="10" t="s">
        <v>804</v>
      </c>
      <c r="L606" s="20">
        <v>336255.75</v>
      </c>
      <c r="M606" s="51">
        <v>100876.73</v>
      </c>
      <c r="N606" s="17" t="s">
        <v>805</v>
      </c>
      <c r="O606" s="53" t="s">
        <v>138</v>
      </c>
      <c r="P606" s="53" t="s">
        <v>139</v>
      </c>
      <c r="Q606" s="54">
        <v>15076764689</v>
      </c>
      <c r="R606" s="53" t="s">
        <v>140</v>
      </c>
      <c r="S606" s="11" t="s">
        <v>141</v>
      </c>
      <c r="T606" s="54"/>
    </row>
    <row r="607" spans="1:20" ht="24" customHeight="1">
      <c r="A607" s="15"/>
      <c r="B607" s="17" t="s">
        <v>677</v>
      </c>
      <c r="C607" s="17" t="s">
        <v>806</v>
      </c>
      <c r="D607" s="17" t="s">
        <v>62</v>
      </c>
      <c r="E607" s="17">
        <v>5.45</v>
      </c>
      <c r="F607" s="17">
        <v>5.45</v>
      </c>
      <c r="G607" s="17" t="s">
        <v>72</v>
      </c>
      <c r="H607" s="17" t="s">
        <v>41</v>
      </c>
      <c r="I607" s="50" t="s">
        <v>34</v>
      </c>
      <c r="J607" s="50" t="s">
        <v>34</v>
      </c>
      <c r="K607" s="17" t="s">
        <v>595</v>
      </c>
      <c r="L607" s="20">
        <v>29854.424778761098</v>
      </c>
      <c r="M607" s="20">
        <v>7463.6061946902701</v>
      </c>
      <c r="N607" s="22">
        <v>2021.04</v>
      </c>
      <c r="O607" s="53" t="s">
        <v>74</v>
      </c>
      <c r="P607" s="53" t="s">
        <v>75</v>
      </c>
      <c r="Q607" s="53">
        <v>13269819378</v>
      </c>
      <c r="R607" s="53" t="s">
        <v>76</v>
      </c>
      <c r="S607" s="53" t="s">
        <v>77</v>
      </c>
      <c r="T607" s="54"/>
    </row>
    <row r="608" spans="1:20" ht="24" customHeight="1">
      <c r="A608" s="15"/>
      <c r="B608" s="17" t="s">
        <v>728</v>
      </c>
      <c r="C608" s="17" t="s">
        <v>807</v>
      </c>
      <c r="D608" s="17" t="s">
        <v>62</v>
      </c>
      <c r="E608" s="17">
        <v>2.46</v>
      </c>
      <c r="F608" s="17">
        <v>2.46</v>
      </c>
      <c r="G608" s="17" t="s">
        <v>72</v>
      </c>
      <c r="H608" s="17" t="s">
        <v>41</v>
      </c>
      <c r="I608" s="50" t="s">
        <v>34</v>
      </c>
      <c r="J608" s="50" t="s">
        <v>34</v>
      </c>
      <c r="K608" s="17" t="s">
        <v>808</v>
      </c>
      <c r="L608" s="20">
        <v>21225.663716814201</v>
      </c>
      <c r="M608" s="20">
        <v>5306.4159292036002</v>
      </c>
      <c r="N608" s="22">
        <v>2021.07</v>
      </c>
      <c r="O608" s="53" t="s">
        <v>74</v>
      </c>
      <c r="P608" s="53" t="s">
        <v>75</v>
      </c>
      <c r="Q608" s="53">
        <v>13269819378</v>
      </c>
      <c r="R608" s="53" t="s">
        <v>76</v>
      </c>
      <c r="S608" s="53" t="s">
        <v>77</v>
      </c>
      <c r="T608" s="54"/>
    </row>
    <row r="609" spans="1:20" ht="24" customHeight="1">
      <c r="A609" s="15"/>
      <c r="B609" s="17" t="s">
        <v>728</v>
      </c>
      <c r="C609" s="17" t="s">
        <v>809</v>
      </c>
      <c r="D609" s="17" t="s">
        <v>62</v>
      </c>
      <c r="E609" s="17">
        <v>1.0900000000000001</v>
      </c>
      <c r="F609" s="17">
        <v>1.0900000000000001</v>
      </c>
      <c r="G609" s="17" t="s">
        <v>72</v>
      </c>
      <c r="H609" s="17" t="s">
        <v>41</v>
      </c>
      <c r="I609" s="50" t="s">
        <v>34</v>
      </c>
      <c r="J609" s="50" t="s">
        <v>34</v>
      </c>
      <c r="K609" s="17" t="s">
        <v>808</v>
      </c>
      <c r="L609" s="20">
        <v>9404.8672566371697</v>
      </c>
      <c r="M609" s="20">
        <v>2351.2168141592902</v>
      </c>
      <c r="N609" s="22">
        <v>2021.07</v>
      </c>
      <c r="O609" s="53" t="s">
        <v>74</v>
      </c>
      <c r="P609" s="53" t="s">
        <v>75</v>
      </c>
      <c r="Q609" s="53">
        <v>13269819378</v>
      </c>
      <c r="R609" s="53" t="s">
        <v>76</v>
      </c>
      <c r="S609" s="53" t="s">
        <v>77</v>
      </c>
      <c r="T609" s="54"/>
    </row>
    <row r="610" spans="1:20" ht="24" customHeight="1">
      <c r="A610" s="15"/>
      <c r="B610" s="17" t="s">
        <v>810</v>
      </c>
      <c r="C610" s="17" t="s">
        <v>811</v>
      </c>
      <c r="D610" s="17" t="s">
        <v>131</v>
      </c>
      <c r="E610" s="17">
        <v>410</v>
      </c>
      <c r="F610" s="17"/>
      <c r="G610" s="17" t="s">
        <v>72</v>
      </c>
      <c r="H610" s="17" t="s">
        <v>41</v>
      </c>
      <c r="I610" s="50" t="s">
        <v>34</v>
      </c>
      <c r="J610" s="50" t="s">
        <v>34</v>
      </c>
      <c r="K610" s="17" t="s">
        <v>808</v>
      </c>
      <c r="L610" s="20">
        <v>8707.9646017699106</v>
      </c>
      <c r="M610" s="20">
        <v>2176.9911504424799</v>
      </c>
      <c r="N610" s="22">
        <v>2021.07</v>
      </c>
      <c r="O610" s="53" t="s">
        <v>74</v>
      </c>
      <c r="P610" s="53" t="s">
        <v>75</v>
      </c>
      <c r="Q610" s="53">
        <v>13269819378</v>
      </c>
      <c r="R610" s="53" t="s">
        <v>76</v>
      </c>
      <c r="S610" s="53" t="s">
        <v>77</v>
      </c>
      <c r="T610" s="54"/>
    </row>
    <row r="611" spans="1:20" ht="24" customHeight="1">
      <c r="A611" s="15"/>
      <c r="B611" s="17" t="s">
        <v>634</v>
      </c>
      <c r="C611" s="17" t="s">
        <v>812</v>
      </c>
      <c r="D611" s="17" t="s">
        <v>131</v>
      </c>
      <c r="E611" s="17">
        <v>290</v>
      </c>
      <c r="F611" s="17"/>
      <c r="G611" s="17" t="s">
        <v>72</v>
      </c>
      <c r="H611" s="17" t="s">
        <v>41</v>
      </c>
      <c r="I611" s="50" t="s">
        <v>34</v>
      </c>
      <c r="J611" s="50" t="s">
        <v>34</v>
      </c>
      <c r="K611" s="17" t="s">
        <v>808</v>
      </c>
      <c r="L611" s="20">
        <v>11548.672566371701</v>
      </c>
      <c r="M611" s="20">
        <v>2887.1681415929402</v>
      </c>
      <c r="N611" s="22">
        <v>2021.07</v>
      </c>
      <c r="O611" s="53" t="s">
        <v>74</v>
      </c>
      <c r="P611" s="53" t="s">
        <v>75</v>
      </c>
      <c r="Q611" s="53">
        <v>13269819378</v>
      </c>
      <c r="R611" s="53" t="s">
        <v>76</v>
      </c>
      <c r="S611" s="53" t="s">
        <v>77</v>
      </c>
      <c r="T611" s="54"/>
    </row>
    <row r="612" spans="1:20" ht="24" customHeight="1">
      <c r="A612" s="15"/>
      <c r="B612" s="17" t="s">
        <v>813</v>
      </c>
      <c r="C612" s="17" t="s">
        <v>814</v>
      </c>
      <c r="D612" s="17" t="s">
        <v>131</v>
      </c>
      <c r="E612" s="17">
        <v>170</v>
      </c>
      <c r="F612" s="17"/>
      <c r="G612" s="17" t="s">
        <v>72</v>
      </c>
      <c r="H612" s="17" t="s">
        <v>41</v>
      </c>
      <c r="I612" s="50" t="s">
        <v>34</v>
      </c>
      <c r="J612" s="50" t="s">
        <v>34</v>
      </c>
      <c r="K612" s="17" t="s">
        <v>808</v>
      </c>
      <c r="L612" s="20">
        <v>4061.94690265487</v>
      </c>
      <c r="M612" s="20">
        <v>1015.48672566372</v>
      </c>
      <c r="N612" s="22">
        <v>2021.07</v>
      </c>
      <c r="O612" s="53" t="s">
        <v>74</v>
      </c>
      <c r="P612" s="53" t="s">
        <v>75</v>
      </c>
      <c r="Q612" s="53">
        <v>13269819378</v>
      </c>
      <c r="R612" s="53" t="s">
        <v>76</v>
      </c>
      <c r="S612" s="53" t="s">
        <v>77</v>
      </c>
      <c r="T612" s="54"/>
    </row>
    <row r="613" spans="1:20" ht="24" customHeight="1">
      <c r="A613" s="15"/>
      <c r="B613" s="17" t="s">
        <v>815</v>
      </c>
      <c r="C613" s="17" t="s">
        <v>811</v>
      </c>
      <c r="D613" s="17" t="s">
        <v>131</v>
      </c>
      <c r="E613" s="17">
        <v>200</v>
      </c>
      <c r="F613" s="17"/>
      <c r="G613" s="17" t="s">
        <v>72</v>
      </c>
      <c r="H613" s="17" t="s">
        <v>41</v>
      </c>
      <c r="I613" s="50" t="s">
        <v>34</v>
      </c>
      <c r="J613" s="50" t="s">
        <v>34</v>
      </c>
      <c r="K613" s="17" t="s">
        <v>808</v>
      </c>
      <c r="L613" s="20">
        <v>4247.7876106194699</v>
      </c>
      <c r="M613" s="20">
        <v>1061.94690265487</v>
      </c>
      <c r="N613" s="22">
        <v>2021.07</v>
      </c>
      <c r="O613" s="53" t="s">
        <v>74</v>
      </c>
      <c r="P613" s="53" t="s">
        <v>75</v>
      </c>
      <c r="Q613" s="53">
        <v>13269819378</v>
      </c>
      <c r="R613" s="53" t="s">
        <v>76</v>
      </c>
      <c r="S613" s="53" t="s">
        <v>77</v>
      </c>
      <c r="T613" s="54"/>
    </row>
    <row r="614" spans="1:20" ht="24" customHeight="1">
      <c r="A614" s="15"/>
      <c r="B614" s="17" t="s">
        <v>634</v>
      </c>
      <c r="C614" s="17" t="s">
        <v>812</v>
      </c>
      <c r="D614" s="17" t="s">
        <v>131</v>
      </c>
      <c r="E614" s="17">
        <v>200</v>
      </c>
      <c r="F614" s="17"/>
      <c r="G614" s="17" t="s">
        <v>72</v>
      </c>
      <c r="H614" s="17" t="s">
        <v>41</v>
      </c>
      <c r="I614" s="50" t="s">
        <v>34</v>
      </c>
      <c r="J614" s="50" t="s">
        <v>34</v>
      </c>
      <c r="K614" s="17" t="s">
        <v>808</v>
      </c>
      <c r="L614" s="20">
        <v>7964.6017699115</v>
      </c>
      <c r="M614" s="20">
        <v>1991.15044247787</v>
      </c>
      <c r="N614" s="22">
        <v>2021.07</v>
      </c>
      <c r="O614" s="53" t="s">
        <v>74</v>
      </c>
      <c r="P614" s="53" t="s">
        <v>75</v>
      </c>
      <c r="Q614" s="53">
        <v>13269819378</v>
      </c>
      <c r="R614" s="53" t="s">
        <v>76</v>
      </c>
      <c r="S614" s="53" t="s">
        <v>77</v>
      </c>
      <c r="T614" s="54"/>
    </row>
    <row r="615" spans="1:20" ht="24" customHeight="1">
      <c r="A615" s="15"/>
      <c r="B615" s="17" t="s">
        <v>813</v>
      </c>
      <c r="C615" s="17" t="s">
        <v>814</v>
      </c>
      <c r="D615" s="17" t="s">
        <v>131</v>
      </c>
      <c r="E615" s="17">
        <v>200</v>
      </c>
      <c r="F615" s="17"/>
      <c r="G615" s="17" t="s">
        <v>72</v>
      </c>
      <c r="H615" s="17" t="s">
        <v>41</v>
      </c>
      <c r="I615" s="50" t="s">
        <v>34</v>
      </c>
      <c r="J615" s="50" t="s">
        <v>34</v>
      </c>
      <c r="K615" s="17" t="s">
        <v>808</v>
      </c>
      <c r="L615" s="20">
        <v>4778.7610619468996</v>
      </c>
      <c r="M615" s="20">
        <v>1194.6902654867199</v>
      </c>
      <c r="N615" s="22">
        <v>2021.07</v>
      </c>
      <c r="O615" s="53" t="s">
        <v>74</v>
      </c>
      <c r="P615" s="53" t="s">
        <v>75</v>
      </c>
      <c r="Q615" s="53">
        <v>13269819378</v>
      </c>
      <c r="R615" s="53" t="s">
        <v>76</v>
      </c>
      <c r="S615" s="53" t="s">
        <v>77</v>
      </c>
      <c r="T615" s="54"/>
    </row>
    <row r="616" spans="1:20" ht="24" customHeight="1">
      <c r="A616" s="15"/>
      <c r="B616" s="17" t="s">
        <v>816</v>
      </c>
      <c r="C616" s="17" t="s">
        <v>817</v>
      </c>
      <c r="D616" s="17" t="s">
        <v>131</v>
      </c>
      <c r="E616" s="17">
        <v>50</v>
      </c>
      <c r="F616" s="17"/>
      <c r="G616" s="17" t="s">
        <v>72</v>
      </c>
      <c r="H616" s="17" t="s">
        <v>41</v>
      </c>
      <c r="I616" s="50" t="s">
        <v>34</v>
      </c>
      <c r="J616" s="50" t="s">
        <v>34</v>
      </c>
      <c r="K616" s="17" t="s">
        <v>808</v>
      </c>
      <c r="L616" s="20">
        <v>2389.3805309734498</v>
      </c>
      <c r="M616" s="20">
        <v>597.34513274335995</v>
      </c>
      <c r="N616" s="22">
        <v>2021.07</v>
      </c>
      <c r="O616" s="53" t="s">
        <v>74</v>
      </c>
      <c r="P616" s="53" t="s">
        <v>75</v>
      </c>
      <c r="Q616" s="53">
        <v>13269819378</v>
      </c>
      <c r="R616" s="53" t="s">
        <v>76</v>
      </c>
      <c r="S616" s="53" t="s">
        <v>77</v>
      </c>
      <c r="T616" s="54"/>
    </row>
    <row r="617" spans="1:20" ht="24" customHeight="1">
      <c r="A617" s="15"/>
      <c r="B617" s="17" t="s">
        <v>813</v>
      </c>
      <c r="C617" s="17" t="s">
        <v>818</v>
      </c>
      <c r="D617" s="17" t="s">
        <v>131</v>
      </c>
      <c r="E617" s="17">
        <v>682</v>
      </c>
      <c r="F617" s="17"/>
      <c r="G617" s="17" t="s">
        <v>72</v>
      </c>
      <c r="H617" s="17" t="s">
        <v>41</v>
      </c>
      <c r="I617" s="50" t="s">
        <v>34</v>
      </c>
      <c r="J617" s="50" t="s">
        <v>34</v>
      </c>
      <c r="K617" s="17" t="s">
        <v>808</v>
      </c>
      <c r="L617" s="20">
        <v>16295.5752212389</v>
      </c>
      <c r="M617" s="20">
        <v>4073.8938053096999</v>
      </c>
      <c r="N617" s="22">
        <v>2021.07</v>
      </c>
      <c r="O617" s="53" t="s">
        <v>74</v>
      </c>
      <c r="P617" s="53" t="s">
        <v>75</v>
      </c>
      <c r="Q617" s="53">
        <v>13269819378</v>
      </c>
      <c r="R617" s="53" t="s">
        <v>76</v>
      </c>
      <c r="S617" s="53" t="s">
        <v>77</v>
      </c>
      <c r="T617" s="54"/>
    </row>
    <row r="618" spans="1:20" ht="24" customHeight="1">
      <c r="A618" s="15"/>
      <c r="B618" s="17" t="s">
        <v>813</v>
      </c>
      <c r="C618" s="17" t="s">
        <v>819</v>
      </c>
      <c r="D618" s="17" t="s">
        <v>131</v>
      </c>
      <c r="E618" s="17">
        <v>14</v>
      </c>
      <c r="F618" s="17"/>
      <c r="G618" s="17" t="s">
        <v>72</v>
      </c>
      <c r="H618" s="17" t="s">
        <v>41</v>
      </c>
      <c r="I618" s="50" t="s">
        <v>34</v>
      </c>
      <c r="J618" s="50" t="s">
        <v>34</v>
      </c>
      <c r="K618" s="17" t="s">
        <v>808</v>
      </c>
      <c r="L618" s="20">
        <v>334.51327433628302</v>
      </c>
      <c r="M618" s="20">
        <v>83.628318584070996</v>
      </c>
      <c r="N618" s="22">
        <v>2021.07</v>
      </c>
      <c r="O618" s="53" t="s">
        <v>74</v>
      </c>
      <c r="P618" s="53" t="s">
        <v>75</v>
      </c>
      <c r="Q618" s="53">
        <v>13269819378</v>
      </c>
      <c r="R618" s="53" t="s">
        <v>76</v>
      </c>
      <c r="S618" s="53" t="s">
        <v>77</v>
      </c>
      <c r="T618" s="54"/>
    </row>
    <row r="619" spans="1:20" ht="24" customHeight="1">
      <c r="A619" s="15"/>
      <c r="B619" s="17" t="s">
        <v>813</v>
      </c>
      <c r="C619" s="17" t="s">
        <v>820</v>
      </c>
      <c r="D619" s="17" t="s">
        <v>131</v>
      </c>
      <c r="E619" s="17">
        <v>268</v>
      </c>
      <c r="F619" s="17"/>
      <c r="G619" s="17" t="s">
        <v>72</v>
      </c>
      <c r="H619" s="17" t="s">
        <v>41</v>
      </c>
      <c r="I619" s="50" t="s">
        <v>34</v>
      </c>
      <c r="J619" s="50" t="s">
        <v>34</v>
      </c>
      <c r="K619" s="17" t="s">
        <v>808</v>
      </c>
      <c r="L619" s="20">
        <v>6403.5398230088504</v>
      </c>
      <c r="M619" s="20">
        <v>1600.8849557522101</v>
      </c>
      <c r="N619" s="22">
        <v>2021.07</v>
      </c>
      <c r="O619" s="53" t="s">
        <v>74</v>
      </c>
      <c r="P619" s="53" t="s">
        <v>75</v>
      </c>
      <c r="Q619" s="53">
        <v>13269819378</v>
      </c>
      <c r="R619" s="53" t="s">
        <v>76</v>
      </c>
      <c r="S619" s="53" t="s">
        <v>77</v>
      </c>
      <c r="T619" s="54"/>
    </row>
    <row r="620" spans="1:20" ht="24" customHeight="1">
      <c r="A620" s="15"/>
      <c r="B620" s="17" t="s">
        <v>821</v>
      </c>
      <c r="C620" s="17" t="s">
        <v>822</v>
      </c>
      <c r="D620" s="17" t="s">
        <v>62</v>
      </c>
      <c r="E620" s="17">
        <v>2.0880000000000001</v>
      </c>
      <c r="F620" s="17">
        <v>2.0880000000000001</v>
      </c>
      <c r="G620" s="17" t="s">
        <v>72</v>
      </c>
      <c r="H620" s="17" t="s">
        <v>41</v>
      </c>
      <c r="I620" s="50" t="s">
        <v>34</v>
      </c>
      <c r="J620" s="50" t="s">
        <v>34</v>
      </c>
      <c r="K620" s="17" t="s">
        <v>823</v>
      </c>
      <c r="L620" s="20">
        <v>12982.8118811881</v>
      </c>
      <c r="M620" s="20">
        <v>3245.7029702970099</v>
      </c>
      <c r="N620" s="22">
        <v>2021.07</v>
      </c>
      <c r="O620" s="53" t="s">
        <v>74</v>
      </c>
      <c r="P620" s="53" t="s">
        <v>75</v>
      </c>
      <c r="Q620" s="53">
        <v>13269819378</v>
      </c>
      <c r="R620" s="53" t="s">
        <v>76</v>
      </c>
      <c r="S620" s="53" t="s">
        <v>77</v>
      </c>
      <c r="T620" s="54"/>
    </row>
    <row r="621" spans="1:20" ht="24" customHeight="1">
      <c r="A621" s="15"/>
      <c r="B621" s="17" t="s">
        <v>824</v>
      </c>
      <c r="C621" s="17" t="s">
        <v>825</v>
      </c>
      <c r="D621" s="17" t="s">
        <v>131</v>
      </c>
      <c r="E621" s="17">
        <v>364</v>
      </c>
      <c r="F621" s="17"/>
      <c r="G621" s="17" t="s">
        <v>72</v>
      </c>
      <c r="H621" s="17" t="s">
        <v>41</v>
      </c>
      <c r="I621" s="50" t="s">
        <v>34</v>
      </c>
      <c r="J621" s="50" t="s">
        <v>34</v>
      </c>
      <c r="K621" s="17" t="s">
        <v>808</v>
      </c>
      <c r="L621" s="20">
        <v>5315.0442477876104</v>
      </c>
      <c r="M621" s="20">
        <v>1328.7610619469001</v>
      </c>
      <c r="N621" s="22">
        <v>2021.09</v>
      </c>
      <c r="O621" s="53" t="s">
        <v>74</v>
      </c>
      <c r="P621" s="53" t="s">
        <v>75</v>
      </c>
      <c r="Q621" s="53">
        <v>13269819378</v>
      </c>
      <c r="R621" s="53" t="s">
        <v>76</v>
      </c>
      <c r="S621" s="53" t="s">
        <v>77</v>
      </c>
      <c r="T621" s="54"/>
    </row>
    <row r="622" spans="1:20" ht="24" customHeight="1">
      <c r="A622" s="15"/>
      <c r="B622" s="17" t="s">
        <v>826</v>
      </c>
      <c r="C622" s="17" t="s">
        <v>827</v>
      </c>
      <c r="D622" s="17" t="s">
        <v>131</v>
      </c>
      <c r="E622" s="17">
        <v>20</v>
      </c>
      <c r="F622" s="17"/>
      <c r="G622" s="17" t="s">
        <v>72</v>
      </c>
      <c r="H622" s="17" t="s">
        <v>41</v>
      </c>
      <c r="I622" s="50" t="s">
        <v>34</v>
      </c>
      <c r="J622" s="50" t="s">
        <v>34</v>
      </c>
      <c r="K622" s="17" t="s">
        <v>808</v>
      </c>
      <c r="L622" s="20">
        <v>637.16814159292005</v>
      </c>
      <c r="M622" s="20">
        <v>159.29203539823001</v>
      </c>
      <c r="N622" s="22">
        <v>2021.09</v>
      </c>
      <c r="O622" s="53" t="s">
        <v>74</v>
      </c>
      <c r="P622" s="53" t="s">
        <v>75</v>
      </c>
      <c r="Q622" s="53">
        <v>13269819378</v>
      </c>
      <c r="R622" s="53" t="s">
        <v>76</v>
      </c>
      <c r="S622" s="53" t="s">
        <v>77</v>
      </c>
      <c r="T622" s="54"/>
    </row>
    <row r="623" spans="1:20" ht="24" customHeight="1">
      <c r="A623" s="15"/>
      <c r="B623" s="17" t="s">
        <v>828</v>
      </c>
      <c r="C623" s="17" t="s">
        <v>827</v>
      </c>
      <c r="D623" s="17" t="s">
        <v>131</v>
      </c>
      <c r="E623" s="17">
        <v>20</v>
      </c>
      <c r="F623" s="17"/>
      <c r="G623" s="17" t="s">
        <v>72</v>
      </c>
      <c r="H623" s="17" t="s">
        <v>41</v>
      </c>
      <c r="I623" s="50" t="s">
        <v>34</v>
      </c>
      <c r="J623" s="50" t="s">
        <v>34</v>
      </c>
      <c r="K623" s="17" t="s">
        <v>808</v>
      </c>
      <c r="L623" s="20">
        <v>707.96460176991195</v>
      </c>
      <c r="M623" s="20">
        <v>176.99115044247799</v>
      </c>
      <c r="N623" s="22">
        <v>2021.09</v>
      </c>
      <c r="O623" s="53" t="s">
        <v>74</v>
      </c>
      <c r="P623" s="53" t="s">
        <v>75</v>
      </c>
      <c r="Q623" s="53">
        <v>13269819378</v>
      </c>
      <c r="R623" s="53" t="s">
        <v>76</v>
      </c>
      <c r="S623" s="53" t="s">
        <v>77</v>
      </c>
      <c r="T623" s="54"/>
    </row>
    <row r="624" spans="1:20" ht="24" customHeight="1">
      <c r="A624" s="15"/>
      <c r="B624" s="17" t="s">
        <v>829</v>
      </c>
      <c r="C624" s="17" t="s">
        <v>830</v>
      </c>
      <c r="D624" s="17" t="s">
        <v>131</v>
      </c>
      <c r="E624" s="17">
        <v>20</v>
      </c>
      <c r="F624" s="17"/>
      <c r="G624" s="17" t="s">
        <v>72</v>
      </c>
      <c r="H624" s="17" t="s">
        <v>41</v>
      </c>
      <c r="I624" s="50" t="s">
        <v>34</v>
      </c>
      <c r="J624" s="50" t="s">
        <v>34</v>
      </c>
      <c r="K624" s="17" t="s">
        <v>808</v>
      </c>
      <c r="L624" s="20">
        <v>973.45132743362797</v>
      </c>
      <c r="M624" s="20">
        <v>243.36283185840699</v>
      </c>
      <c r="N624" s="22">
        <v>2021.09</v>
      </c>
      <c r="O624" s="53" t="s">
        <v>74</v>
      </c>
      <c r="P624" s="53" t="s">
        <v>75</v>
      </c>
      <c r="Q624" s="53">
        <v>13269819378</v>
      </c>
      <c r="R624" s="53" t="s">
        <v>76</v>
      </c>
      <c r="S624" s="53" t="s">
        <v>77</v>
      </c>
      <c r="T624" s="54"/>
    </row>
    <row r="625" spans="1:20" ht="24" customHeight="1">
      <c r="A625" s="15"/>
      <c r="B625" s="17" t="s">
        <v>831</v>
      </c>
      <c r="C625" s="17" t="s">
        <v>830</v>
      </c>
      <c r="D625" s="17" t="s">
        <v>131</v>
      </c>
      <c r="E625" s="17">
        <v>20</v>
      </c>
      <c r="F625" s="17"/>
      <c r="G625" s="17" t="s">
        <v>72</v>
      </c>
      <c r="H625" s="17" t="s">
        <v>41</v>
      </c>
      <c r="I625" s="50" t="s">
        <v>34</v>
      </c>
      <c r="J625" s="50" t="s">
        <v>34</v>
      </c>
      <c r="K625" s="17" t="s">
        <v>808</v>
      </c>
      <c r="L625" s="20">
        <v>1061.94690265487</v>
      </c>
      <c r="M625" s="20">
        <v>265.48672566371698</v>
      </c>
      <c r="N625" s="22">
        <v>2021.09</v>
      </c>
      <c r="O625" s="53" t="s">
        <v>74</v>
      </c>
      <c r="P625" s="53" t="s">
        <v>75</v>
      </c>
      <c r="Q625" s="53">
        <v>13269819378</v>
      </c>
      <c r="R625" s="53" t="s">
        <v>76</v>
      </c>
      <c r="S625" s="53" t="s">
        <v>77</v>
      </c>
      <c r="T625" s="54"/>
    </row>
    <row r="626" spans="1:20" ht="24" customHeight="1">
      <c r="A626" s="15"/>
      <c r="B626" s="17" t="s">
        <v>832</v>
      </c>
      <c r="C626" s="17" t="s">
        <v>833</v>
      </c>
      <c r="D626" s="17" t="s">
        <v>131</v>
      </c>
      <c r="E626" s="17">
        <v>40</v>
      </c>
      <c r="F626" s="17"/>
      <c r="G626" s="17" t="s">
        <v>72</v>
      </c>
      <c r="H626" s="17" t="s">
        <v>41</v>
      </c>
      <c r="I626" s="50" t="s">
        <v>34</v>
      </c>
      <c r="J626" s="50" t="s">
        <v>34</v>
      </c>
      <c r="K626" s="17" t="s">
        <v>808</v>
      </c>
      <c r="L626" s="20">
        <v>1592.9203539823</v>
      </c>
      <c r="M626" s="20">
        <v>398.23008849557499</v>
      </c>
      <c r="N626" s="22">
        <v>2021.09</v>
      </c>
      <c r="O626" s="53" t="s">
        <v>74</v>
      </c>
      <c r="P626" s="53" t="s">
        <v>75</v>
      </c>
      <c r="Q626" s="53">
        <v>13269819378</v>
      </c>
      <c r="R626" s="53" t="s">
        <v>76</v>
      </c>
      <c r="S626" s="53" t="s">
        <v>77</v>
      </c>
      <c r="T626" s="54"/>
    </row>
    <row r="627" spans="1:20" ht="24" customHeight="1">
      <c r="A627" s="15"/>
      <c r="B627" s="17" t="s">
        <v>728</v>
      </c>
      <c r="C627" s="17" t="s">
        <v>834</v>
      </c>
      <c r="D627" s="17" t="s">
        <v>62</v>
      </c>
      <c r="E627" s="17">
        <v>12.914999999999999</v>
      </c>
      <c r="F627" s="17">
        <v>12.914999999999999</v>
      </c>
      <c r="G627" s="17" t="s">
        <v>72</v>
      </c>
      <c r="H627" s="17" t="s">
        <v>41</v>
      </c>
      <c r="I627" s="50" t="s">
        <v>34</v>
      </c>
      <c r="J627" s="50" t="s">
        <v>34</v>
      </c>
      <c r="K627" s="17" t="s">
        <v>808</v>
      </c>
      <c r="L627" s="20">
        <v>94405.221238938102</v>
      </c>
      <c r="M627" s="20">
        <v>23601.3053097345</v>
      </c>
      <c r="N627" s="22">
        <v>2021.1</v>
      </c>
      <c r="O627" s="53" t="s">
        <v>74</v>
      </c>
      <c r="P627" s="53" t="s">
        <v>75</v>
      </c>
      <c r="Q627" s="53">
        <v>13269819378</v>
      </c>
      <c r="R627" s="53" t="s">
        <v>76</v>
      </c>
      <c r="S627" s="53" t="s">
        <v>77</v>
      </c>
      <c r="T627" s="54"/>
    </row>
    <row r="628" spans="1:20" ht="24" customHeight="1">
      <c r="A628" s="15"/>
      <c r="B628" s="17" t="s">
        <v>810</v>
      </c>
      <c r="C628" s="17" t="s">
        <v>835</v>
      </c>
      <c r="D628" s="17" t="s">
        <v>131</v>
      </c>
      <c r="E628" s="17">
        <v>350</v>
      </c>
      <c r="F628" s="17"/>
      <c r="G628" s="17" t="s">
        <v>72</v>
      </c>
      <c r="H628" s="17" t="s">
        <v>41</v>
      </c>
      <c r="I628" s="50" t="s">
        <v>34</v>
      </c>
      <c r="J628" s="50" t="s">
        <v>34</v>
      </c>
      <c r="K628" s="17" t="s">
        <v>808</v>
      </c>
      <c r="L628" s="20">
        <v>8982.30088495575</v>
      </c>
      <c r="M628" s="20">
        <v>2245.5752212389398</v>
      </c>
      <c r="N628" s="22">
        <v>2021.1</v>
      </c>
      <c r="O628" s="53" t="s">
        <v>74</v>
      </c>
      <c r="P628" s="53" t="s">
        <v>75</v>
      </c>
      <c r="Q628" s="53">
        <v>13269819378</v>
      </c>
      <c r="R628" s="53" t="s">
        <v>76</v>
      </c>
      <c r="S628" s="53" t="s">
        <v>77</v>
      </c>
      <c r="T628" s="54"/>
    </row>
    <row r="629" spans="1:20" ht="24" customHeight="1">
      <c r="A629" s="15"/>
      <c r="B629" s="17" t="s">
        <v>836</v>
      </c>
      <c r="C629" s="17" t="s">
        <v>837</v>
      </c>
      <c r="D629" s="17" t="s">
        <v>131</v>
      </c>
      <c r="E629" s="17">
        <v>350</v>
      </c>
      <c r="F629" s="17"/>
      <c r="G629" s="17" t="s">
        <v>72</v>
      </c>
      <c r="H629" s="17" t="s">
        <v>41</v>
      </c>
      <c r="I629" s="50" t="s">
        <v>34</v>
      </c>
      <c r="J629" s="50" t="s">
        <v>34</v>
      </c>
      <c r="K629" s="17" t="s">
        <v>808</v>
      </c>
      <c r="L629" s="20">
        <v>8982.30088495575</v>
      </c>
      <c r="M629" s="20">
        <v>2245.5752212389398</v>
      </c>
      <c r="N629" s="22">
        <v>2021.1</v>
      </c>
      <c r="O629" s="53" t="s">
        <v>74</v>
      </c>
      <c r="P629" s="53" t="s">
        <v>75</v>
      </c>
      <c r="Q629" s="53">
        <v>13269819378</v>
      </c>
      <c r="R629" s="53" t="s">
        <v>76</v>
      </c>
      <c r="S629" s="53" t="s">
        <v>77</v>
      </c>
      <c r="T629" s="54"/>
    </row>
    <row r="630" spans="1:20" ht="24" customHeight="1">
      <c r="A630" s="15"/>
      <c r="B630" s="17" t="s">
        <v>838</v>
      </c>
      <c r="C630" s="17" t="s">
        <v>837</v>
      </c>
      <c r="D630" s="17" t="s">
        <v>131</v>
      </c>
      <c r="E630" s="17">
        <v>50</v>
      </c>
      <c r="F630" s="17"/>
      <c r="G630" s="17" t="s">
        <v>72</v>
      </c>
      <c r="H630" s="17" t="s">
        <v>41</v>
      </c>
      <c r="I630" s="50" t="s">
        <v>34</v>
      </c>
      <c r="J630" s="50" t="s">
        <v>34</v>
      </c>
      <c r="K630" s="17" t="s">
        <v>808</v>
      </c>
      <c r="L630" s="20">
        <v>884.95575221238903</v>
      </c>
      <c r="M630" s="20">
        <v>221.238938053097</v>
      </c>
      <c r="N630" s="22">
        <v>2021.1</v>
      </c>
      <c r="O630" s="53" t="s">
        <v>74</v>
      </c>
      <c r="P630" s="53" t="s">
        <v>75</v>
      </c>
      <c r="Q630" s="53">
        <v>13269819378</v>
      </c>
      <c r="R630" s="53" t="s">
        <v>76</v>
      </c>
      <c r="S630" s="53" t="s">
        <v>77</v>
      </c>
      <c r="T630" s="54"/>
    </row>
    <row r="631" spans="1:20" ht="24" customHeight="1">
      <c r="A631" s="15"/>
      <c r="B631" s="17" t="s">
        <v>815</v>
      </c>
      <c r="C631" s="17" t="s">
        <v>835</v>
      </c>
      <c r="D631" s="17" t="s">
        <v>131</v>
      </c>
      <c r="E631" s="17">
        <v>380</v>
      </c>
      <c r="F631" s="17"/>
      <c r="G631" s="17" t="s">
        <v>72</v>
      </c>
      <c r="H631" s="17" t="s">
        <v>41</v>
      </c>
      <c r="I631" s="50" t="s">
        <v>34</v>
      </c>
      <c r="J631" s="50" t="s">
        <v>34</v>
      </c>
      <c r="K631" s="17" t="s">
        <v>808</v>
      </c>
      <c r="L631" s="20">
        <v>9079.6460176991095</v>
      </c>
      <c r="M631" s="20">
        <v>2269.9115044247801</v>
      </c>
      <c r="N631" s="22">
        <v>2021.1</v>
      </c>
      <c r="O631" s="53" t="s">
        <v>74</v>
      </c>
      <c r="P631" s="53" t="s">
        <v>75</v>
      </c>
      <c r="Q631" s="53">
        <v>13269819378</v>
      </c>
      <c r="R631" s="53" t="s">
        <v>76</v>
      </c>
      <c r="S631" s="53" t="s">
        <v>77</v>
      </c>
      <c r="T631" s="54"/>
    </row>
    <row r="632" spans="1:20" ht="24" customHeight="1">
      <c r="A632" s="15"/>
      <c r="B632" s="17" t="s">
        <v>813</v>
      </c>
      <c r="C632" s="17" t="s">
        <v>839</v>
      </c>
      <c r="D632" s="17" t="s">
        <v>131</v>
      </c>
      <c r="E632" s="17">
        <v>100</v>
      </c>
      <c r="F632" s="17"/>
      <c r="G632" s="17" t="s">
        <v>72</v>
      </c>
      <c r="H632" s="17" t="s">
        <v>41</v>
      </c>
      <c r="I632" s="50" t="s">
        <v>34</v>
      </c>
      <c r="J632" s="50" t="s">
        <v>34</v>
      </c>
      <c r="K632" s="17" t="s">
        <v>808</v>
      </c>
      <c r="L632" s="20">
        <v>1327.4336283185801</v>
      </c>
      <c r="M632" s="20">
        <v>331.85840707964599</v>
      </c>
      <c r="N632" s="22">
        <v>2021.1</v>
      </c>
      <c r="O632" s="53" t="s">
        <v>74</v>
      </c>
      <c r="P632" s="53" t="s">
        <v>75</v>
      </c>
      <c r="Q632" s="53">
        <v>13269819378</v>
      </c>
      <c r="R632" s="53" t="s">
        <v>76</v>
      </c>
      <c r="S632" s="53" t="s">
        <v>77</v>
      </c>
      <c r="T632" s="54"/>
    </row>
    <row r="633" spans="1:20" ht="24" customHeight="1">
      <c r="A633" s="15"/>
      <c r="B633" s="17" t="s">
        <v>840</v>
      </c>
      <c r="C633" s="17"/>
      <c r="D633" s="17" t="s">
        <v>131</v>
      </c>
      <c r="E633" s="17">
        <v>250</v>
      </c>
      <c r="F633" s="17"/>
      <c r="G633" s="17" t="s">
        <v>72</v>
      </c>
      <c r="H633" s="17" t="s">
        <v>41</v>
      </c>
      <c r="I633" s="50" t="s">
        <v>34</v>
      </c>
      <c r="J633" s="50" t="s">
        <v>34</v>
      </c>
      <c r="K633" s="17" t="s">
        <v>841</v>
      </c>
      <c r="L633" s="20">
        <v>1732.67</v>
      </c>
      <c r="M633" s="20">
        <v>519.79999999999995</v>
      </c>
      <c r="N633" s="22">
        <v>2021.01</v>
      </c>
      <c r="O633" s="53" t="s">
        <v>74</v>
      </c>
      <c r="P633" s="53" t="s">
        <v>75</v>
      </c>
      <c r="Q633" s="53">
        <v>13269819378</v>
      </c>
      <c r="R633" s="53" t="s">
        <v>76</v>
      </c>
      <c r="S633" s="53" t="s">
        <v>77</v>
      </c>
      <c r="T633" s="54"/>
    </row>
    <row r="634" spans="1:20" ht="24" customHeight="1">
      <c r="A634" s="15"/>
      <c r="B634" s="17" t="s">
        <v>842</v>
      </c>
      <c r="C634" s="17" t="s">
        <v>843</v>
      </c>
      <c r="D634" s="17" t="s">
        <v>131</v>
      </c>
      <c r="E634" s="17">
        <v>350</v>
      </c>
      <c r="F634" s="17"/>
      <c r="G634" s="17" t="s">
        <v>72</v>
      </c>
      <c r="H634" s="17" t="s">
        <v>41</v>
      </c>
      <c r="I634" s="50" t="s">
        <v>34</v>
      </c>
      <c r="J634" s="50" t="s">
        <v>34</v>
      </c>
      <c r="K634" s="17" t="s">
        <v>841</v>
      </c>
      <c r="L634" s="20">
        <v>5198.0200000000004</v>
      </c>
      <c r="M634" s="20">
        <v>1559.41</v>
      </c>
      <c r="N634" s="22">
        <v>2021.01</v>
      </c>
      <c r="O634" s="53" t="s">
        <v>74</v>
      </c>
      <c r="P634" s="53" t="s">
        <v>75</v>
      </c>
      <c r="Q634" s="53">
        <v>13269819378</v>
      </c>
      <c r="R634" s="53" t="s">
        <v>76</v>
      </c>
      <c r="S634" s="53" t="s">
        <v>77</v>
      </c>
      <c r="T634" s="54"/>
    </row>
    <row r="635" spans="1:20" ht="24" hidden="1" customHeight="1">
      <c r="A635" s="15"/>
      <c r="B635" s="17" t="s">
        <v>514</v>
      </c>
      <c r="C635" s="17" t="s">
        <v>844</v>
      </c>
      <c r="D635" s="17" t="s">
        <v>31</v>
      </c>
      <c r="E635" s="17">
        <v>10</v>
      </c>
      <c r="F635" s="17">
        <v>21.666</v>
      </c>
      <c r="G635" s="17" t="s">
        <v>72</v>
      </c>
      <c r="H635" s="17" t="s">
        <v>33</v>
      </c>
      <c r="I635" s="50" t="s">
        <v>34</v>
      </c>
      <c r="J635" s="50" t="s">
        <v>34</v>
      </c>
      <c r="K635" s="17" t="s">
        <v>845</v>
      </c>
      <c r="L635" s="20">
        <v>100353.98230088501</v>
      </c>
      <c r="M635" s="20">
        <v>25088.495575221401</v>
      </c>
      <c r="N635" s="22">
        <v>2021.01</v>
      </c>
      <c r="O635" s="53" t="s">
        <v>846</v>
      </c>
      <c r="P635" s="53" t="s">
        <v>75</v>
      </c>
      <c r="Q635" s="53">
        <v>13269819378</v>
      </c>
      <c r="R635" s="53" t="s">
        <v>76</v>
      </c>
      <c r="S635" s="53" t="s">
        <v>77</v>
      </c>
      <c r="T635" s="54"/>
    </row>
    <row r="636" spans="1:20" ht="24" customHeight="1">
      <c r="A636" s="15"/>
      <c r="B636" s="17" t="s">
        <v>526</v>
      </c>
      <c r="C636" s="17" t="s">
        <v>847</v>
      </c>
      <c r="D636" s="17" t="s">
        <v>62</v>
      </c>
      <c r="E636" s="17">
        <v>1</v>
      </c>
      <c r="F636" s="17">
        <v>1</v>
      </c>
      <c r="G636" s="17" t="s">
        <v>72</v>
      </c>
      <c r="H636" s="17" t="s">
        <v>41</v>
      </c>
      <c r="I636" s="50" t="s">
        <v>34</v>
      </c>
      <c r="J636" s="50" t="s">
        <v>34</v>
      </c>
      <c r="K636" s="17" t="s">
        <v>845</v>
      </c>
      <c r="L636" s="20">
        <v>5663.7168141592902</v>
      </c>
      <c r="M636" s="20">
        <v>1415.92920353983</v>
      </c>
      <c r="N636" s="22">
        <v>2021.01</v>
      </c>
      <c r="O636" s="53" t="s">
        <v>74</v>
      </c>
      <c r="P636" s="53" t="s">
        <v>75</v>
      </c>
      <c r="Q636" s="53">
        <v>13269819378</v>
      </c>
      <c r="R636" s="53" t="s">
        <v>76</v>
      </c>
      <c r="S636" s="53" t="s">
        <v>77</v>
      </c>
      <c r="T636" s="54"/>
    </row>
    <row r="637" spans="1:20" ht="24" customHeight="1">
      <c r="A637" s="15"/>
      <c r="B637" s="17" t="s">
        <v>526</v>
      </c>
      <c r="C637" s="17" t="s">
        <v>848</v>
      </c>
      <c r="D637" s="17" t="s">
        <v>62</v>
      </c>
      <c r="E637" s="17">
        <v>15.194000000000001</v>
      </c>
      <c r="F637" s="17">
        <v>15.194000000000001</v>
      </c>
      <c r="G637" s="17" t="s">
        <v>72</v>
      </c>
      <c r="H637" s="17" t="s">
        <v>41</v>
      </c>
      <c r="I637" s="50" t="s">
        <v>34</v>
      </c>
      <c r="J637" s="50" t="s">
        <v>34</v>
      </c>
      <c r="K637" s="17" t="s">
        <v>595</v>
      </c>
      <c r="L637" s="20">
        <v>82020.707964601796</v>
      </c>
      <c r="M637" s="20">
        <v>20505.176991150402</v>
      </c>
      <c r="N637" s="22">
        <v>2021.04</v>
      </c>
      <c r="O637" s="53" t="s">
        <v>74</v>
      </c>
      <c r="P637" s="53" t="s">
        <v>75</v>
      </c>
      <c r="Q637" s="53">
        <v>13269819378</v>
      </c>
      <c r="R637" s="53" t="s">
        <v>76</v>
      </c>
      <c r="S637" s="53" t="s">
        <v>77</v>
      </c>
      <c r="T637" s="54"/>
    </row>
    <row r="638" spans="1:20" ht="24" customHeight="1">
      <c r="A638" s="15"/>
      <c r="B638" s="17" t="s">
        <v>526</v>
      </c>
      <c r="C638" s="17" t="s">
        <v>615</v>
      </c>
      <c r="D638" s="17" t="s">
        <v>62</v>
      </c>
      <c r="E638" s="17">
        <v>35.694000000000003</v>
      </c>
      <c r="F638" s="17">
        <v>35.694000000000003</v>
      </c>
      <c r="G638" s="17" t="s">
        <v>72</v>
      </c>
      <c r="H638" s="17" t="s">
        <v>41</v>
      </c>
      <c r="I638" s="50" t="s">
        <v>34</v>
      </c>
      <c r="J638" s="50" t="s">
        <v>34</v>
      </c>
      <c r="K638" s="17" t="s">
        <v>595</v>
      </c>
      <c r="L638" s="20">
        <v>192684.42477876099</v>
      </c>
      <c r="M638" s="20">
        <v>48171.106194690103</v>
      </c>
      <c r="N638" s="22">
        <v>2021.04</v>
      </c>
      <c r="O638" s="53" t="s">
        <v>74</v>
      </c>
      <c r="P638" s="53" t="s">
        <v>75</v>
      </c>
      <c r="Q638" s="53">
        <v>13269819378</v>
      </c>
      <c r="R638" s="53" t="s">
        <v>76</v>
      </c>
      <c r="S638" s="53" t="s">
        <v>77</v>
      </c>
      <c r="T638" s="54"/>
    </row>
    <row r="639" spans="1:20" ht="24" customHeight="1">
      <c r="A639" s="15"/>
      <c r="B639" s="17" t="s">
        <v>526</v>
      </c>
      <c r="C639" s="17" t="s">
        <v>849</v>
      </c>
      <c r="D639" s="17" t="s">
        <v>62</v>
      </c>
      <c r="E639" s="17">
        <v>5.556</v>
      </c>
      <c r="F639" s="17">
        <v>5.556</v>
      </c>
      <c r="G639" s="17" t="s">
        <v>72</v>
      </c>
      <c r="H639" s="17" t="s">
        <v>41</v>
      </c>
      <c r="I639" s="50" t="s">
        <v>34</v>
      </c>
      <c r="J639" s="50" t="s">
        <v>34</v>
      </c>
      <c r="K639" s="17" t="s">
        <v>595</v>
      </c>
      <c r="L639" s="20">
        <v>28025.840707964599</v>
      </c>
      <c r="M639" s="20">
        <v>7006.4601769911997</v>
      </c>
      <c r="N639" s="22">
        <v>2021.04</v>
      </c>
      <c r="O639" s="53" t="s">
        <v>74</v>
      </c>
      <c r="P639" s="53" t="s">
        <v>75</v>
      </c>
      <c r="Q639" s="53">
        <v>13269819378</v>
      </c>
      <c r="R639" s="53" t="s">
        <v>76</v>
      </c>
      <c r="S639" s="53" t="s">
        <v>77</v>
      </c>
      <c r="T639" s="54"/>
    </row>
    <row r="640" spans="1:20" ht="24" customHeight="1">
      <c r="A640" s="15"/>
      <c r="B640" s="17" t="s">
        <v>616</v>
      </c>
      <c r="C640" s="17" t="s">
        <v>850</v>
      </c>
      <c r="D640" s="17" t="s">
        <v>62</v>
      </c>
      <c r="E640" s="17">
        <v>2.113</v>
      </c>
      <c r="F640" s="17">
        <v>2.113</v>
      </c>
      <c r="G640" s="17" t="s">
        <v>72</v>
      </c>
      <c r="H640" s="17" t="s">
        <v>41</v>
      </c>
      <c r="I640" s="50" t="s">
        <v>34</v>
      </c>
      <c r="J640" s="50" t="s">
        <v>34</v>
      </c>
      <c r="K640" s="17" t="s">
        <v>595</v>
      </c>
      <c r="L640" s="20">
        <v>10658.495575221201</v>
      </c>
      <c r="M640" s="20">
        <v>2664.6238938053398</v>
      </c>
      <c r="N640" s="22">
        <v>2021.04</v>
      </c>
      <c r="O640" s="53" t="s">
        <v>74</v>
      </c>
      <c r="P640" s="53" t="s">
        <v>75</v>
      </c>
      <c r="Q640" s="53">
        <v>13269819378</v>
      </c>
      <c r="R640" s="53" t="s">
        <v>76</v>
      </c>
      <c r="S640" s="53" t="s">
        <v>77</v>
      </c>
      <c r="T640" s="54"/>
    </row>
    <row r="641" spans="1:20" ht="24" customHeight="1">
      <c r="A641" s="15"/>
      <c r="B641" s="17" t="s">
        <v>526</v>
      </c>
      <c r="C641" s="17" t="s">
        <v>851</v>
      </c>
      <c r="D641" s="17" t="s">
        <v>62</v>
      </c>
      <c r="E641" s="17">
        <v>9.5670000000000002</v>
      </c>
      <c r="F641" s="17">
        <v>9.5670000000000002</v>
      </c>
      <c r="G641" s="17" t="s">
        <v>72</v>
      </c>
      <c r="H641" s="17" t="s">
        <v>41</v>
      </c>
      <c r="I641" s="50" t="s">
        <v>34</v>
      </c>
      <c r="J641" s="50" t="s">
        <v>34</v>
      </c>
      <c r="K641" s="17" t="s">
        <v>595</v>
      </c>
      <c r="L641" s="20">
        <v>51221.548672566401</v>
      </c>
      <c r="M641" s="20">
        <v>12805.3871681416</v>
      </c>
      <c r="N641" s="22">
        <v>2021.04</v>
      </c>
      <c r="O641" s="53" t="s">
        <v>74</v>
      </c>
      <c r="P641" s="53" t="s">
        <v>75</v>
      </c>
      <c r="Q641" s="53">
        <v>13269819378</v>
      </c>
      <c r="R641" s="53" t="s">
        <v>76</v>
      </c>
      <c r="S641" s="53" t="s">
        <v>77</v>
      </c>
      <c r="T641" s="54"/>
    </row>
    <row r="642" spans="1:20" ht="24" customHeight="1">
      <c r="A642" s="15"/>
      <c r="B642" s="17" t="s">
        <v>526</v>
      </c>
      <c r="C642" s="17" t="s">
        <v>614</v>
      </c>
      <c r="D642" s="17" t="s">
        <v>62</v>
      </c>
      <c r="E642" s="17">
        <v>4.8250000000000002</v>
      </c>
      <c r="F642" s="17">
        <v>4.8250000000000002</v>
      </c>
      <c r="G642" s="17" t="s">
        <v>72</v>
      </c>
      <c r="H642" s="17" t="s">
        <v>41</v>
      </c>
      <c r="I642" s="50" t="s">
        <v>34</v>
      </c>
      <c r="J642" s="50" t="s">
        <v>34</v>
      </c>
      <c r="K642" s="17" t="s">
        <v>595</v>
      </c>
      <c r="L642" s="20">
        <v>24765.486725663701</v>
      </c>
      <c r="M642" s="20">
        <v>6191.3716814159197</v>
      </c>
      <c r="N642" s="22">
        <v>2021.04</v>
      </c>
      <c r="O642" s="53" t="s">
        <v>74</v>
      </c>
      <c r="P642" s="53" t="s">
        <v>75</v>
      </c>
      <c r="Q642" s="53">
        <v>13269819378</v>
      </c>
      <c r="R642" s="53" t="s">
        <v>76</v>
      </c>
      <c r="S642" s="53" t="s">
        <v>77</v>
      </c>
      <c r="T642" s="54"/>
    </row>
    <row r="643" spans="1:20" ht="24" customHeight="1">
      <c r="A643" s="15"/>
      <c r="B643" s="17" t="s">
        <v>526</v>
      </c>
      <c r="C643" s="17" t="s">
        <v>614</v>
      </c>
      <c r="D643" s="17" t="s">
        <v>62</v>
      </c>
      <c r="E643" s="17">
        <v>0.96499999999999997</v>
      </c>
      <c r="F643" s="17">
        <v>0.96499999999999997</v>
      </c>
      <c r="G643" s="17" t="s">
        <v>72</v>
      </c>
      <c r="H643" s="17" t="s">
        <v>41</v>
      </c>
      <c r="I643" s="50" t="s">
        <v>34</v>
      </c>
      <c r="J643" s="50" t="s">
        <v>34</v>
      </c>
      <c r="K643" s="17" t="s">
        <v>595</v>
      </c>
      <c r="L643" s="20">
        <v>4953.09734513274</v>
      </c>
      <c r="M643" s="20">
        <v>1238.27433628319</v>
      </c>
      <c r="N643" s="22">
        <v>2021.04</v>
      </c>
      <c r="O643" s="53" t="s">
        <v>74</v>
      </c>
      <c r="P643" s="53" t="s">
        <v>75</v>
      </c>
      <c r="Q643" s="53">
        <v>13269819378</v>
      </c>
      <c r="R643" s="53" t="s">
        <v>76</v>
      </c>
      <c r="S643" s="53" t="s">
        <v>77</v>
      </c>
      <c r="T643" s="54"/>
    </row>
    <row r="644" spans="1:20" ht="24" customHeight="1">
      <c r="A644" s="15"/>
      <c r="B644" s="17" t="s">
        <v>526</v>
      </c>
      <c r="C644" s="17" t="s">
        <v>852</v>
      </c>
      <c r="D644" s="17" t="s">
        <v>62</v>
      </c>
      <c r="E644" s="17">
        <v>11.481999999999999</v>
      </c>
      <c r="F644" s="17">
        <v>11.481999999999999</v>
      </c>
      <c r="G644" s="17" t="s">
        <v>72</v>
      </c>
      <c r="H644" s="17" t="s">
        <v>41</v>
      </c>
      <c r="I644" s="50" t="s">
        <v>34</v>
      </c>
      <c r="J644" s="50" t="s">
        <v>34</v>
      </c>
      <c r="K644" s="17" t="s">
        <v>595</v>
      </c>
      <c r="L644" s="20">
        <v>59238.991150442504</v>
      </c>
      <c r="M644" s="20">
        <v>14809.7477876106</v>
      </c>
      <c r="N644" s="22">
        <v>2021.04</v>
      </c>
      <c r="O644" s="53" t="s">
        <v>74</v>
      </c>
      <c r="P644" s="53" t="s">
        <v>75</v>
      </c>
      <c r="Q644" s="53">
        <v>13269819378</v>
      </c>
      <c r="R644" s="53" t="s">
        <v>76</v>
      </c>
      <c r="S644" s="53" t="s">
        <v>77</v>
      </c>
      <c r="T644" s="54"/>
    </row>
    <row r="645" spans="1:20" ht="24" customHeight="1">
      <c r="A645" s="15"/>
      <c r="B645" s="17" t="s">
        <v>526</v>
      </c>
      <c r="C645" s="17" t="s">
        <v>852</v>
      </c>
      <c r="D645" s="17" t="s">
        <v>62</v>
      </c>
      <c r="E645" s="17">
        <v>3.827</v>
      </c>
      <c r="F645" s="17">
        <v>3.827</v>
      </c>
      <c r="G645" s="17" t="s">
        <v>72</v>
      </c>
      <c r="H645" s="17" t="s">
        <v>41</v>
      </c>
      <c r="I645" s="50" t="s">
        <v>34</v>
      </c>
      <c r="J645" s="50" t="s">
        <v>34</v>
      </c>
      <c r="K645" s="17" t="s">
        <v>595</v>
      </c>
      <c r="L645" s="20">
        <v>19744.610619469</v>
      </c>
      <c r="M645" s="20">
        <v>4936.15265486723</v>
      </c>
      <c r="N645" s="22">
        <v>2021.04</v>
      </c>
      <c r="O645" s="53" t="s">
        <v>74</v>
      </c>
      <c r="P645" s="53" t="s">
        <v>75</v>
      </c>
      <c r="Q645" s="53">
        <v>13269819378</v>
      </c>
      <c r="R645" s="53" t="s">
        <v>76</v>
      </c>
      <c r="S645" s="53" t="s">
        <v>77</v>
      </c>
      <c r="T645" s="54"/>
    </row>
    <row r="646" spans="1:20" ht="24" customHeight="1">
      <c r="A646" s="15"/>
      <c r="B646" s="17" t="s">
        <v>526</v>
      </c>
      <c r="C646" s="17" t="s">
        <v>378</v>
      </c>
      <c r="D646" s="17" t="s">
        <v>62</v>
      </c>
      <c r="E646" s="17">
        <v>1.2569999999999999</v>
      </c>
      <c r="F646" s="17">
        <v>1.2569999999999999</v>
      </c>
      <c r="G646" s="17" t="s">
        <v>72</v>
      </c>
      <c r="H646" s="17" t="s">
        <v>41</v>
      </c>
      <c r="I646" s="50" t="s">
        <v>34</v>
      </c>
      <c r="J646" s="50" t="s">
        <v>34</v>
      </c>
      <c r="K646" s="17" t="s">
        <v>595</v>
      </c>
      <c r="L646" s="20">
        <v>6585.3451327433604</v>
      </c>
      <c r="M646" s="20">
        <v>1646.3362831858401</v>
      </c>
      <c r="N646" s="22">
        <v>2021.04</v>
      </c>
      <c r="O646" s="53" t="s">
        <v>74</v>
      </c>
      <c r="P646" s="53" t="s">
        <v>75</v>
      </c>
      <c r="Q646" s="53">
        <v>13269819378</v>
      </c>
      <c r="R646" s="53" t="s">
        <v>76</v>
      </c>
      <c r="S646" s="53" t="s">
        <v>77</v>
      </c>
      <c r="T646" s="54"/>
    </row>
    <row r="647" spans="1:20" ht="24" hidden="1" customHeight="1">
      <c r="A647" s="15"/>
      <c r="B647" s="17" t="s">
        <v>514</v>
      </c>
      <c r="C647" s="17" t="s">
        <v>853</v>
      </c>
      <c r="D647" s="17" t="s">
        <v>62</v>
      </c>
      <c r="E647" s="17">
        <v>15.718</v>
      </c>
      <c r="F647" s="17">
        <v>15.718</v>
      </c>
      <c r="G647" s="17" t="s">
        <v>72</v>
      </c>
      <c r="H647" s="17" t="s">
        <v>33</v>
      </c>
      <c r="I647" s="50" t="s">
        <v>34</v>
      </c>
      <c r="J647" s="50" t="s">
        <v>34</v>
      </c>
      <c r="K647" s="17" t="s">
        <v>595</v>
      </c>
      <c r="L647" s="20">
        <v>86657.646017699095</v>
      </c>
      <c r="M647" s="20">
        <v>21664.411504424799</v>
      </c>
      <c r="N647" s="22">
        <v>2021.04</v>
      </c>
      <c r="O647" s="53" t="s">
        <v>846</v>
      </c>
      <c r="P647" s="53" t="s">
        <v>75</v>
      </c>
      <c r="Q647" s="53">
        <v>13269819378</v>
      </c>
      <c r="R647" s="53" t="s">
        <v>76</v>
      </c>
      <c r="S647" s="53" t="s">
        <v>77</v>
      </c>
      <c r="T647" s="54"/>
    </row>
    <row r="648" spans="1:20" ht="24" customHeight="1">
      <c r="A648" s="15"/>
      <c r="B648" s="17" t="s">
        <v>699</v>
      </c>
      <c r="C648" s="17" t="s">
        <v>854</v>
      </c>
      <c r="D648" s="17" t="s">
        <v>62</v>
      </c>
      <c r="E648" s="17">
        <v>8.5909999999999993</v>
      </c>
      <c r="F648" s="17">
        <v>8.5909999999999993</v>
      </c>
      <c r="G648" s="17" t="s">
        <v>72</v>
      </c>
      <c r="H648" s="17" t="s">
        <v>41</v>
      </c>
      <c r="I648" s="50" t="s">
        <v>34</v>
      </c>
      <c r="J648" s="50" t="s">
        <v>34</v>
      </c>
      <c r="K648" s="17" t="s">
        <v>595</v>
      </c>
      <c r="L648" s="20">
        <v>55499.380530973503</v>
      </c>
      <c r="M648" s="20">
        <v>13874.8451327434</v>
      </c>
      <c r="N648" s="22">
        <v>2021.04</v>
      </c>
      <c r="O648" s="53" t="s">
        <v>74</v>
      </c>
      <c r="P648" s="53" t="s">
        <v>75</v>
      </c>
      <c r="Q648" s="53">
        <v>13269819378</v>
      </c>
      <c r="R648" s="53" t="s">
        <v>76</v>
      </c>
      <c r="S648" s="53" t="s">
        <v>77</v>
      </c>
      <c r="T648" s="54"/>
    </row>
    <row r="649" spans="1:20" ht="24" customHeight="1">
      <c r="A649" s="15"/>
      <c r="B649" s="17" t="s">
        <v>699</v>
      </c>
      <c r="C649" s="17" t="s">
        <v>855</v>
      </c>
      <c r="D649" s="17" t="s">
        <v>62</v>
      </c>
      <c r="E649" s="17">
        <v>5.0090000000000003</v>
      </c>
      <c r="F649" s="17">
        <v>5.0090000000000003</v>
      </c>
      <c r="G649" s="17" t="s">
        <v>72</v>
      </c>
      <c r="H649" s="17" t="s">
        <v>41</v>
      </c>
      <c r="I649" s="50" t="s">
        <v>34</v>
      </c>
      <c r="J649" s="50" t="s">
        <v>34</v>
      </c>
      <c r="K649" s="17" t="s">
        <v>595</v>
      </c>
      <c r="L649" s="20">
        <v>32359.026548672598</v>
      </c>
      <c r="M649" s="20">
        <v>8089.7566371681996</v>
      </c>
      <c r="N649" s="22">
        <v>2021.04</v>
      </c>
      <c r="O649" s="53" t="s">
        <v>74</v>
      </c>
      <c r="P649" s="53" t="s">
        <v>75</v>
      </c>
      <c r="Q649" s="53">
        <v>13269819378</v>
      </c>
      <c r="R649" s="53" t="s">
        <v>76</v>
      </c>
      <c r="S649" s="53" t="s">
        <v>77</v>
      </c>
      <c r="T649" s="54"/>
    </row>
    <row r="650" spans="1:20" ht="24" customHeight="1">
      <c r="A650" s="15"/>
      <c r="B650" s="17" t="s">
        <v>526</v>
      </c>
      <c r="C650" s="17" t="s">
        <v>856</v>
      </c>
      <c r="D650" s="17" t="s">
        <v>62</v>
      </c>
      <c r="E650" s="17">
        <v>35.479999999999997</v>
      </c>
      <c r="F650" s="17">
        <v>35.479999999999997</v>
      </c>
      <c r="G650" s="17" t="s">
        <v>72</v>
      </c>
      <c r="H650" s="17" t="s">
        <v>41</v>
      </c>
      <c r="I650" s="50" t="s">
        <v>34</v>
      </c>
      <c r="J650" s="50" t="s">
        <v>34</v>
      </c>
      <c r="K650" s="17" t="s">
        <v>808</v>
      </c>
      <c r="L650" s="20">
        <v>204088.49557522099</v>
      </c>
      <c r="M650" s="20">
        <v>51022.123893805001</v>
      </c>
      <c r="N650" s="22">
        <v>2021.07</v>
      </c>
      <c r="O650" s="53" t="s">
        <v>74</v>
      </c>
      <c r="P650" s="53" t="s">
        <v>75</v>
      </c>
      <c r="Q650" s="53">
        <v>13269819378</v>
      </c>
      <c r="R650" s="53" t="s">
        <v>76</v>
      </c>
      <c r="S650" s="53" t="s">
        <v>77</v>
      </c>
      <c r="T650" s="54"/>
    </row>
    <row r="651" spans="1:20" ht="24" customHeight="1">
      <c r="A651" s="15"/>
      <c r="B651" s="17" t="s">
        <v>526</v>
      </c>
      <c r="C651" s="17" t="s">
        <v>857</v>
      </c>
      <c r="D651" s="17" t="s">
        <v>62</v>
      </c>
      <c r="E651" s="17">
        <v>22.86</v>
      </c>
      <c r="F651" s="17">
        <v>22.86</v>
      </c>
      <c r="G651" s="17" t="s">
        <v>72</v>
      </c>
      <c r="H651" s="17" t="s">
        <v>41</v>
      </c>
      <c r="I651" s="50" t="s">
        <v>34</v>
      </c>
      <c r="J651" s="50" t="s">
        <v>34</v>
      </c>
      <c r="K651" s="17" t="s">
        <v>808</v>
      </c>
      <c r="L651" s="20">
        <v>137564.601769912</v>
      </c>
      <c r="M651" s="20">
        <v>34391.150442478</v>
      </c>
      <c r="N651" s="22">
        <v>2021.07</v>
      </c>
      <c r="O651" s="53" t="s">
        <v>74</v>
      </c>
      <c r="P651" s="53" t="s">
        <v>75</v>
      </c>
      <c r="Q651" s="53">
        <v>13269819378</v>
      </c>
      <c r="R651" s="53" t="s">
        <v>76</v>
      </c>
      <c r="S651" s="53" t="s">
        <v>77</v>
      </c>
      <c r="T651" s="54"/>
    </row>
    <row r="652" spans="1:20" ht="24" customHeight="1">
      <c r="A652" s="15"/>
      <c r="B652" s="17" t="s">
        <v>593</v>
      </c>
      <c r="C652" s="17" t="s">
        <v>858</v>
      </c>
      <c r="D652" s="17" t="s">
        <v>62</v>
      </c>
      <c r="E652" s="17">
        <v>8.36</v>
      </c>
      <c r="F652" s="17">
        <v>8.36</v>
      </c>
      <c r="G652" s="17" t="s">
        <v>72</v>
      </c>
      <c r="H652" s="17" t="s">
        <v>41</v>
      </c>
      <c r="I652" s="50" t="s">
        <v>34</v>
      </c>
      <c r="J652" s="50" t="s">
        <v>34</v>
      </c>
      <c r="K652" s="17" t="s">
        <v>808</v>
      </c>
      <c r="L652" s="20">
        <v>49198.230088495598</v>
      </c>
      <c r="M652" s="20">
        <v>12299.5575221239</v>
      </c>
      <c r="N652" s="22">
        <v>2021.07</v>
      </c>
      <c r="O652" s="53" t="s">
        <v>74</v>
      </c>
      <c r="P652" s="53" t="s">
        <v>75</v>
      </c>
      <c r="Q652" s="53">
        <v>13269819378</v>
      </c>
      <c r="R652" s="53" t="s">
        <v>76</v>
      </c>
      <c r="S652" s="53" t="s">
        <v>77</v>
      </c>
      <c r="T652" s="54"/>
    </row>
    <row r="653" spans="1:20" ht="24" customHeight="1">
      <c r="A653" s="15"/>
      <c r="B653" s="17" t="s">
        <v>593</v>
      </c>
      <c r="C653" s="17" t="s">
        <v>859</v>
      </c>
      <c r="D653" s="17" t="s">
        <v>62</v>
      </c>
      <c r="E653" s="17">
        <v>0.51</v>
      </c>
      <c r="F653" s="17">
        <v>0.51</v>
      </c>
      <c r="G653" s="17" t="s">
        <v>72</v>
      </c>
      <c r="H653" s="17" t="s">
        <v>41</v>
      </c>
      <c r="I653" s="50" t="s">
        <v>34</v>
      </c>
      <c r="J653" s="50" t="s">
        <v>34</v>
      </c>
      <c r="K653" s="17" t="s">
        <v>808</v>
      </c>
      <c r="L653" s="20">
        <v>3001.3274336283198</v>
      </c>
      <c r="M653" s="20">
        <v>750.33185840707995</v>
      </c>
      <c r="N653" s="22">
        <v>2021.07</v>
      </c>
      <c r="O653" s="53" t="s">
        <v>74</v>
      </c>
      <c r="P653" s="53" t="s">
        <v>75</v>
      </c>
      <c r="Q653" s="53">
        <v>13269819378</v>
      </c>
      <c r="R653" s="53" t="s">
        <v>76</v>
      </c>
      <c r="S653" s="53" t="s">
        <v>77</v>
      </c>
      <c r="T653" s="54"/>
    </row>
    <row r="654" spans="1:20" ht="24" customHeight="1">
      <c r="A654" s="15"/>
      <c r="B654" s="17" t="s">
        <v>526</v>
      </c>
      <c r="C654" s="17" t="s">
        <v>860</v>
      </c>
      <c r="D654" s="17" t="s">
        <v>62</v>
      </c>
      <c r="E654" s="17">
        <v>4.8499999999999996</v>
      </c>
      <c r="F654" s="17">
        <v>4.8499999999999996</v>
      </c>
      <c r="G654" s="17" t="s">
        <v>72</v>
      </c>
      <c r="H654" s="17" t="s">
        <v>41</v>
      </c>
      <c r="I654" s="50" t="s">
        <v>34</v>
      </c>
      <c r="J654" s="50" t="s">
        <v>34</v>
      </c>
      <c r="K654" s="17" t="s">
        <v>808</v>
      </c>
      <c r="L654" s="20">
        <v>28327.433628318598</v>
      </c>
      <c r="M654" s="20">
        <v>7081.8584070796996</v>
      </c>
      <c r="N654" s="22">
        <v>2021.07</v>
      </c>
      <c r="O654" s="53" t="s">
        <v>74</v>
      </c>
      <c r="P654" s="53" t="s">
        <v>75</v>
      </c>
      <c r="Q654" s="53">
        <v>13269819378</v>
      </c>
      <c r="R654" s="53" t="s">
        <v>76</v>
      </c>
      <c r="S654" s="53" t="s">
        <v>77</v>
      </c>
      <c r="T654" s="54"/>
    </row>
    <row r="655" spans="1:20" ht="24" customHeight="1">
      <c r="A655" s="15"/>
      <c r="B655" s="17" t="s">
        <v>526</v>
      </c>
      <c r="C655" s="17" t="s">
        <v>861</v>
      </c>
      <c r="D655" s="17" t="s">
        <v>62</v>
      </c>
      <c r="E655" s="17">
        <v>5.57</v>
      </c>
      <c r="F655" s="17">
        <v>5.57</v>
      </c>
      <c r="G655" s="17" t="s">
        <v>72</v>
      </c>
      <c r="H655" s="17" t="s">
        <v>41</v>
      </c>
      <c r="I655" s="50" t="s">
        <v>34</v>
      </c>
      <c r="J655" s="50" t="s">
        <v>34</v>
      </c>
      <c r="K655" s="17" t="s">
        <v>808</v>
      </c>
      <c r="L655" s="20">
        <v>32532.743362831901</v>
      </c>
      <c r="M655" s="20">
        <v>8133.1858407079999</v>
      </c>
      <c r="N655" s="22">
        <v>2021.07</v>
      </c>
      <c r="O655" s="53" t="s">
        <v>74</v>
      </c>
      <c r="P655" s="53" t="s">
        <v>75</v>
      </c>
      <c r="Q655" s="53">
        <v>13269819378</v>
      </c>
      <c r="R655" s="53" t="s">
        <v>76</v>
      </c>
      <c r="S655" s="53" t="s">
        <v>77</v>
      </c>
      <c r="T655" s="54"/>
    </row>
    <row r="656" spans="1:20" ht="24" customHeight="1">
      <c r="A656" s="15"/>
      <c r="B656" s="17" t="s">
        <v>526</v>
      </c>
      <c r="C656" s="17" t="s">
        <v>862</v>
      </c>
      <c r="D656" s="17" t="s">
        <v>62</v>
      </c>
      <c r="E656" s="17">
        <v>7.91</v>
      </c>
      <c r="F656" s="17">
        <v>7.91</v>
      </c>
      <c r="G656" s="17" t="s">
        <v>72</v>
      </c>
      <c r="H656" s="17" t="s">
        <v>41</v>
      </c>
      <c r="I656" s="50" t="s">
        <v>34</v>
      </c>
      <c r="J656" s="50" t="s">
        <v>34</v>
      </c>
      <c r="K656" s="17" t="s">
        <v>808</v>
      </c>
      <c r="L656" s="20">
        <v>46200</v>
      </c>
      <c r="M656" s="20">
        <v>11550</v>
      </c>
      <c r="N656" s="22">
        <v>2021.07</v>
      </c>
      <c r="O656" s="53" t="s">
        <v>74</v>
      </c>
      <c r="P656" s="53" t="s">
        <v>75</v>
      </c>
      <c r="Q656" s="53">
        <v>13269819378</v>
      </c>
      <c r="R656" s="53" t="s">
        <v>76</v>
      </c>
      <c r="S656" s="53" t="s">
        <v>77</v>
      </c>
      <c r="T656" s="54"/>
    </row>
    <row r="657" spans="1:20" ht="24" customHeight="1">
      <c r="A657" s="15"/>
      <c r="B657" s="17" t="s">
        <v>593</v>
      </c>
      <c r="C657" s="17" t="s">
        <v>863</v>
      </c>
      <c r="D657" s="17" t="s">
        <v>464</v>
      </c>
      <c r="E657" s="17">
        <v>27</v>
      </c>
      <c r="F657" s="17">
        <v>3.67</v>
      </c>
      <c r="G657" s="17" t="s">
        <v>72</v>
      </c>
      <c r="H657" s="17" t="s">
        <v>41</v>
      </c>
      <c r="I657" s="50" t="s">
        <v>34</v>
      </c>
      <c r="J657" s="50" t="s">
        <v>34</v>
      </c>
      <c r="K657" s="17" t="s">
        <v>823</v>
      </c>
      <c r="L657" s="20">
        <v>20049.504950495</v>
      </c>
      <c r="M657" s="20">
        <v>5012.3762376237</v>
      </c>
      <c r="N657" s="22">
        <v>2021.07</v>
      </c>
      <c r="O657" s="53" t="s">
        <v>74</v>
      </c>
      <c r="P657" s="53" t="s">
        <v>75</v>
      </c>
      <c r="Q657" s="53">
        <v>13269819378</v>
      </c>
      <c r="R657" s="53" t="s">
        <v>76</v>
      </c>
      <c r="S657" s="53" t="s">
        <v>77</v>
      </c>
      <c r="T657" s="54"/>
    </row>
    <row r="658" spans="1:20" ht="24" customHeight="1">
      <c r="A658" s="15"/>
      <c r="B658" s="17" t="s">
        <v>593</v>
      </c>
      <c r="C658" s="17" t="s">
        <v>864</v>
      </c>
      <c r="D658" s="17" t="s">
        <v>464</v>
      </c>
      <c r="E658" s="17">
        <v>9</v>
      </c>
      <c r="F658" s="17">
        <v>0.9</v>
      </c>
      <c r="G658" s="17" t="s">
        <v>72</v>
      </c>
      <c r="H658" s="17" t="s">
        <v>41</v>
      </c>
      <c r="I658" s="50" t="s">
        <v>34</v>
      </c>
      <c r="J658" s="50" t="s">
        <v>34</v>
      </c>
      <c r="K658" s="17" t="s">
        <v>823</v>
      </c>
      <c r="L658" s="20">
        <v>5346.5346534653499</v>
      </c>
      <c r="M658" s="20">
        <v>1336.63366336634</v>
      </c>
      <c r="N658" s="22">
        <v>2021.07</v>
      </c>
      <c r="O658" s="53" t="s">
        <v>74</v>
      </c>
      <c r="P658" s="53" t="s">
        <v>75</v>
      </c>
      <c r="Q658" s="53">
        <v>13269819378</v>
      </c>
      <c r="R658" s="53" t="s">
        <v>76</v>
      </c>
      <c r="S658" s="53" t="s">
        <v>77</v>
      </c>
      <c r="T658" s="54"/>
    </row>
    <row r="659" spans="1:20" ht="24" customHeight="1">
      <c r="A659" s="15"/>
      <c r="B659" s="17" t="s">
        <v>526</v>
      </c>
      <c r="C659" s="17" t="s">
        <v>865</v>
      </c>
      <c r="D659" s="17" t="s">
        <v>464</v>
      </c>
      <c r="E659" s="17">
        <v>4</v>
      </c>
      <c r="F659" s="17">
        <v>0.37</v>
      </c>
      <c r="G659" s="17" t="s">
        <v>72</v>
      </c>
      <c r="H659" s="17" t="s">
        <v>41</v>
      </c>
      <c r="I659" s="50" t="s">
        <v>34</v>
      </c>
      <c r="J659" s="50" t="s">
        <v>34</v>
      </c>
      <c r="K659" s="17" t="s">
        <v>823</v>
      </c>
      <c r="L659" s="20">
        <v>3267.3267326732698</v>
      </c>
      <c r="M659" s="20">
        <v>816.83168316831996</v>
      </c>
      <c r="N659" s="22">
        <v>2021.07</v>
      </c>
      <c r="O659" s="53" t="s">
        <v>74</v>
      </c>
      <c r="P659" s="53" t="s">
        <v>75</v>
      </c>
      <c r="Q659" s="53">
        <v>13269819378</v>
      </c>
      <c r="R659" s="53" t="s">
        <v>76</v>
      </c>
      <c r="S659" s="53" t="s">
        <v>77</v>
      </c>
      <c r="T659" s="54"/>
    </row>
    <row r="660" spans="1:20" ht="24" customHeight="1">
      <c r="A660" s="15"/>
      <c r="B660" s="17" t="s">
        <v>526</v>
      </c>
      <c r="C660" s="17" t="s">
        <v>866</v>
      </c>
      <c r="D660" s="17" t="s">
        <v>464</v>
      </c>
      <c r="E660" s="17">
        <v>4</v>
      </c>
      <c r="F660" s="17">
        <v>2.1</v>
      </c>
      <c r="G660" s="17" t="s">
        <v>72</v>
      </c>
      <c r="H660" s="17" t="s">
        <v>41</v>
      </c>
      <c r="I660" s="50" t="s">
        <v>34</v>
      </c>
      <c r="J660" s="50" t="s">
        <v>34</v>
      </c>
      <c r="K660" s="17" t="s">
        <v>823</v>
      </c>
      <c r="L660" s="20">
        <v>13465.346534653499</v>
      </c>
      <c r="M660" s="20">
        <v>3366.3366336633999</v>
      </c>
      <c r="N660" s="22">
        <v>2021.07</v>
      </c>
      <c r="O660" s="53" t="s">
        <v>74</v>
      </c>
      <c r="P660" s="53" t="s">
        <v>75</v>
      </c>
      <c r="Q660" s="53">
        <v>13269819378</v>
      </c>
      <c r="R660" s="53" t="s">
        <v>76</v>
      </c>
      <c r="S660" s="53" t="s">
        <v>77</v>
      </c>
      <c r="T660" s="54"/>
    </row>
    <row r="661" spans="1:20" ht="24" customHeight="1">
      <c r="A661" s="15"/>
      <c r="B661" s="17" t="s">
        <v>616</v>
      </c>
      <c r="C661" s="17" t="s">
        <v>867</v>
      </c>
      <c r="D661" s="17" t="s">
        <v>464</v>
      </c>
      <c r="E661" s="17">
        <v>34</v>
      </c>
      <c r="F661" s="17">
        <v>1.91</v>
      </c>
      <c r="G661" s="17" t="s">
        <v>72</v>
      </c>
      <c r="H661" s="17" t="s">
        <v>41</v>
      </c>
      <c r="I661" s="50" t="s">
        <v>34</v>
      </c>
      <c r="J661" s="50" t="s">
        <v>34</v>
      </c>
      <c r="K661" s="17" t="s">
        <v>823</v>
      </c>
      <c r="L661" s="20">
        <v>23968.316831683202</v>
      </c>
      <c r="M661" s="20">
        <v>5992.0792079208004</v>
      </c>
      <c r="N661" s="22">
        <v>2021.07</v>
      </c>
      <c r="O661" s="53" t="s">
        <v>74</v>
      </c>
      <c r="P661" s="53" t="s">
        <v>75</v>
      </c>
      <c r="Q661" s="53">
        <v>13269819378</v>
      </c>
      <c r="R661" s="53" t="s">
        <v>76</v>
      </c>
      <c r="S661" s="53" t="s">
        <v>77</v>
      </c>
      <c r="T661" s="54"/>
    </row>
    <row r="662" spans="1:20" ht="24" hidden="1" customHeight="1">
      <c r="A662" s="15"/>
      <c r="B662" s="17" t="s">
        <v>514</v>
      </c>
      <c r="C662" s="17" t="s">
        <v>868</v>
      </c>
      <c r="D662" s="17" t="s">
        <v>31</v>
      </c>
      <c r="E662" s="17">
        <v>100</v>
      </c>
      <c r="F662" s="17">
        <v>1.413</v>
      </c>
      <c r="G662" s="17" t="s">
        <v>72</v>
      </c>
      <c r="H662" s="17" t="s">
        <v>33</v>
      </c>
      <c r="I662" s="50" t="s">
        <v>34</v>
      </c>
      <c r="J662" s="50" t="s">
        <v>34</v>
      </c>
      <c r="K662" s="17" t="s">
        <v>823</v>
      </c>
      <c r="L662" s="20">
        <v>12178.2178217822</v>
      </c>
      <c r="M662" s="20">
        <v>3044.5544554455701</v>
      </c>
      <c r="N662" s="22">
        <v>2021.07</v>
      </c>
      <c r="O662" s="53" t="s">
        <v>846</v>
      </c>
      <c r="P662" s="53" t="s">
        <v>75</v>
      </c>
      <c r="Q662" s="53">
        <v>13269819378</v>
      </c>
      <c r="R662" s="53" t="s">
        <v>76</v>
      </c>
      <c r="S662" s="53" t="s">
        <v>77</v>
      </c>
      <c r="T662" s="54"/>
    </row>
    <row r="663" spans="1:20" ht="24" hidden="1" customHeight="1">
      <c r="A663" s="15"/>
      <c r="B663" s="17" t="s">
        <v>514</v>
      </c>
      <c r="C663" s="17" t="s">
        <v>869</v>
      </c>
      <c r="D663" s="17" t="s">
        <v>31</v>
      </c>
      <c r="E663" s="17">
        <v>10</v>
      </c>
      <c r="F663" s="17">
        <v>0.157</v>
      </c>
      <c r="G663" s="17" t="s">
        <v>72</v>
      </c>
      <c r="H663" s="17" t="s">
        <v>33</v>
      </c>
      <c r="I663" s="50" t="s">
        <v>34</v>
      </c>
      <c r="J663" s="50" t="s">
        <v>34</v>
      </c>
      <c r="K663" s="17" t="s">
        <v>823</v>
      </c>
      <c r="L663" s="20">
        <v>2079.2079207920801</v>
      </c>
      <c r="M663" s="20">
        <v>519.80198019802003</v>
      </c>
      <c r="N663" s="22">
        <v>2021.07</v>
      </c>
      <c r="O663" s="53" t="s">
        <v>846</v>
      </c>
      <c r="P663" s="53" t="s">
        <v>75</v>
      </c>
      <c r="Q663" s="53">
        <v>13269819378</v>
      </c>
      <c r="R663" s="53" t="s">
        <v>76</v>
      </c>
      <c r="S663" s="53" t="s">
        <v>77</v>
      </c>
      <c r="T663" s="54"/>
    </row>
    <row r="664" spans="1:20" ht="24" hidden="1" customHeight="1">
      <c r="A664" s="15"/>
      <c r="B664" s="17" t="s">
        <v>514</v>
      </c>
      <c r="C664" s="17" t="s">
        <v>870</v>
      </c>
      <c r="D664" s="17" t="s">
        <v>31</v>
      </c>
      <c r="E664" s="17">
        <v>34</v>
      </c>
      <c r="F664" s="17">
        <v>6.0049999999999999</v>
      </c>
      <c r="G664" s="17" t="s">
        <v>72</v>
      </c>
      <c r="H664" s="17" t="s">
        <v>33</v>
      </c>
      <c r="I664" s="50" t="s">
        <v>34</v>
      </c>
      <c r="J664" s="50" t="s">
        <v>34</v>
      </c>
      <c r="K664" s="17" t="s">
        <v>823</v>
      </c>
      <c r="L664" s="20">
        <v>42415.841584158399</v>
      </c>
      <c r="M664" s="20">
        <v>10603.9603960396</v>
      </c>
      <c r="N664" s="22">
        <v>2021.07</v>
      </c>
      <c r="O664" s="53" t="s">
        <v>846</v>
      </c>
      <c r="P664" s="53" t="s">
        <v>75</v>
      </c>
      <c r="Q664" s="53">
        <v>13269819378</v>
      </c>
      <c r="R664" s="53" t="s">
        <v>76</v>
      </c>
      <c r="S664" s="53" t="s">
        <v>77</v>
      </c>
      <c r="T664" s="54"/>
    </row>
    <row r="665" spans="1:20" ht="24" hidden="1" customHeight="1">
      <c r="A665" s="15"/>
      <c r="B665" s="17" t="s">
        <v>514</v>
      </c>
      <c r="C665" s="17" t="s">
        <v>871</v>
      </c>
      <c r="D665" s="17" t="s">
        <v>31</v>
      </c>
      <c r="E665" s="17">
        <v>2</v>
      </c>
      <c r="F665" s="17">
        <v>0.251</v>
      </c>
      <c r="G665" s="17" t="s">
        <v>72</v>
      </c>
      <c r="H665" s="17" t="s">
        <v>33</v>
      </c>
      <c r="I665" s="50" t="s">
        <v>34</v>
      </c>
      <c r="J665" s="50" t="s">
        <v>34</v>
      </c>
      <c r="K665" s="17" t="s">
        <v>823</v>
      </c>
      <c r="L665" s="20">
        <v>2325.1089108910901</v>
      </c>
      <c r="M665" s="20">
        <v>581.27722772277002</v>
      </c>
      <c r="N665" s="22">
        <v>2021.07</v>
      </c>
      <c r="O665" s="53" t="s">
        <v>846</v>
      </c>
      <c r="P665" s="53" t="s">
        <v>75</v>
      </c>
      <c r="Q665" s="53">
        <v>13269819378</v>
      </c>
      <c r="R665" s="53" t="s">
        <v>76</v>
      </c>
      <c r="S665" s="53" t="s">
        <v>77</v>
      </c>
      <c r="T665" s="54"/>
    </row>
    <row r="666" spans="1:20" ht="24" customHeight="1">
      <c r="A666" s="15"/>
      <c r="B666" s="17" t="s">
        <v>593</v>
      </c>
      <c r="C666" s="17" t="s">
        <v>872</v>
      </c>
      <c r="D666" s="17" t="s">
        <v>62</v>
      </c>
      <c r="E666" s="17">
        <v>47.91</v>
      </c>
      <c r="F666" s="17">
        <v>47.91</v>
      </c>
      <c r="G666" s="17" t="s">
        <v>72</v>
      </c>
      <c r="H666" s="17" t="s">
        <v>41</v>
      </c>
      <c r="I666" s="50" t="s">
        <v>34</v>
      </c>
      <c r="J666" s="50" t="s">
        <v>34</v>
      </c>
      <c r="K666" s="17" t="s">
        <v>808</v>
      </c>
      <c r="L666" s="20">
        <v>281948.230088496</v>
      </c>
      <c r="M666" s="20">
        <v>70487.057522124</v>
      </c>
      <c r="N666" s="22">
        <v>2021.09</v>
      </c>
      <c r="O666" s="53" t="s">
        <v>74</v>
      </c>
      <c r="P666" s="53" t="s">
        <v>75</v>
      </c>
      <c r="Q666" s="53">
        <v>13269819378</v>
      </c>
      <c r="R666" s="53" t="s">
        <v>76</v>
      </c>
      <c r="S666" s="53" t="s">
        <v>77</v>
      </c>
      <c r="T666" s="54"/>
    </row>
    <row r="667" spans="1:20" ht="24" customHeight="1">
      <c r="A667" s="15"/>
      <c r="B667" s="17" t="s">
        <v>593</v>
      </c>
      <c r="C667" s="17" t="s">
        <v>873</v>
      </c>
      <c r="D667" s="17" t="s">
        <v>62</v>
      </c>
      <c r="E667" s="17">
        <v>2.5859999999999999</v>
      </c>
      <c r="F667" s="17">
        <v>2.5859999999999999</v>
      </c>
      <c r="G667" s="17" t="s">
        <v>72</v>
      </c>
      <c r="H667" s="17" t="s">
        <v>41</v>
      </c>
      <c r="I667" s="50" t="s">
        <v>34</v>
      </c>
      <c r="J667" s="50" t="s">
        <v>34</v>
      </c>
      <c r="K667" s="17" t="s">
        <v>808</v>
      </c>
      <c r="L667" s="20">
        <v>15218.495575221201</v>
      </c>
      <c r="M667" s="20">
        <v>3804.6238938053002</v>
      </c>
      <c r="N667" s="22">
        <v>2021.09</v>
      </c>
      <c r="O667" s="53" t="s">
        <v>74</v>
      </c>
      <c r="P667" s="53" t="s">
        <v>75</v>
      </c>
      <c r="Q667" s="53">
        <v>13269819378</v>
      </c>
      <c r="R667" s="53" t="s">
        <v>76</v>
      </c>
      <c r="S667" s="53" t="s">
        <v>77</v>
      </c>
      <c r="T667" s="54"/>
    </row>
    <row r="668" spans="1:20" ht="24" customHeight="1">
      <c r="A668" s="15"/>
      <c r="B668" s="17" t="s">
        <v>593</v>
      </c>
      <c r="C668" s="17" t="s">
        <v>874</v>
      </c>
      <c r="D668" s="17" t="s">
        <v>62</v>
      </c>
      <c r="E668" s="17">
        <v>16.239999999999998</v>
      </c>
      <c r="F668" s="17">
        <v>16.239999999999998</v>
      </c>
      <c r="G668" s="17" t="s">
        <v>72</v>
      </c>
      <c r="H668" s="17" t="s">
        <v>41</v>
      </c>
      <c r="I668" s="50" t="s">
        <v>34</v>
      </c>
      <c r="J668" s="50" t="s">
        <v>34</v>
      </c>
      <c r="K668" s="17" t="s">
        <v>808</v>
      </c>
      <c r="L668" s="20">
        <v>97440</v>
      </c>
      <c r="M668" s="20">
        <v>24360</v>
      </c>
      <c r="N668" s="22">
        <v>2021.09</v>
      </c>
      <c r="O668" s="53" t="s">
        <v>74</v>
      </c>
      <c r="P668" s="53" t="s">
        <v>75</v>
      </c>
      <c r="Q668" s="53">
        <v>13269819378</v>
      </c>
      <c r="R668" s="53" t="s">
        <v>76</v>
      </c>
      <c r="S668" s="53" t="s">
        <v>77</v>
      </c>
      <c r="T668" s="54"/>
    </row>
    <row r="669" spans="1:20" ht="24" customHeight="1">
      <c r="A669" s="15"/>
      <c r="B669" s="17" t="s">
        <v>875</v>
      </c>
      <c r="C669" s="17" t="s">
        <v>876</v>
      </c>
      <c r="D669" s="17" t="s">
        <v>62</v>
      </c>
      <c r="E669" s="17">
        <v>16.024000000000001</v>
      </c>
      <c r="F669" s="17">
        <v>16.024000000000001</v>
      </c>
      <c r="G669" s="17" t="s">
        <v>72</v>
      </c>
      <c r="H669" s="17" t="s">
        <v>41</v>
      </c>
      <c r="I669" s="50" t="s">
        <v>34</v>
      </c>
      <c r="J669" s="50" t="s">
        <v>34</v>
      </c>
      <c r="K669" s="17" t="s">
        <v>808</v>
      </c>
      <c r="L669" s="20">
        <v>92598.867256637197</v>
      </c>
      <c r="M669" s="20">
        <v>23149.716814159299</v>
      </c>
      <c r="N669" s="22">
        <v>2021.09</v>
      </c>
      <c r="O669" s="53" t="s">
        <v>74</v>
      </c>
      <c r="P669" s="53" t="s">
        <v>75</v>
      </c>
      <c r="Q669" s="53">
        <v>13269819378</v>
      </c>
      <c r="R669" s="53" t="s">
        <v>76</v>
      </c>
      <c r="S669" s="53" t="s">
        <v>77</v>
      </c>
      <c r="T669" s="54"/>
    </row>
    <row r="670" spans="1:20" ht="24" customHeight="1">
      <c r="A670" s="15"/>
      <c r="B670" s="17" t="s">
        <v>593</v>
      </c>
      <c r="C670" s="17" t="s">
        <v>765</v>
      </c>
      <c r="D670" s="17" t="s">
        <v>62</v>
      </c>
      <c r="E670" s="17">
        <v>1.8009999999999999</v>
      </c>
      <c r="F670" s="17">
        <v>1.8009999999999999</v>
      </c>
      <c r="G670" s="17" t="s">
        <v>72</v>
      </c>
      <c r="H670" s="17" t="s">
        <v>41</v>
      </c>
      <c r="I670" s="50" t="s">
        <v>34</v>
      </c>
      <c r="J670" s="50" t="s">
        <v>34</v>
      </c>
      <c r="K670" s="17" t="s">
        <v>808</v>
      </c>
      <c r="L670" s="20">
        <v>10598.8053097345</v>
      </c>
      <c r="M670" s="20">
        <v>2649.70132743363</v>
      </c>
      <c r="N670" s="22">
        <v>2021.1</v>
      </c>
      <c r="O670" s="53" t="s">
        <v>74</v>
      </c>
      <c r="P670" s="53" t="s">
        <v>75</v>
      </c>
      <c r="Q670" s="53">
        <v>13269819378</v>
      </c>
      <c r="R670" s="53" t="s">
        <v>76</v>
      </c>
      <c r="S670" s="53" t="s">
        <v>77</v>
      </c>
      <c r="T670" s="54"/>
    </row>
    <row r="671" spans="1:20" ht="24" customHeight="1">
      <c r="A671" s="15"/>
      <c r="B671" s="17" t="s">
        <v>514</v>
      </c>
      <c r="C671" s="17" t="s">
        <v>877</v>
      </c>
      <c r="D671" s="17" t="s">
        <v>62</v>
      </c>
      <c r="E671" s="17">
        <v>4.3959999999999999</v>
      </c>
      <c r="F671" s="17">
        <v>4.3959999999999999</v>
      </c>
      <c r="G671" s="17" t="s">
        <v>72</v>
      </c>
      <c r="H671" s="17" t="s">
        <v>41</v>
      </c>
      <c r="I671" s="50" t="s">
        <v>34</v>
      </c>
      <c r="J671" s="50" t="s">
        <v>34</v>
      </c>
      <c r="K671" s="17" t="s">
        <v>808</v>
      </c>
      <c r="L671" s="20">
        <v>29410.407079646</v>
      </c>
      <c r="M671" s="20">
        <v>7352.6017699115</v>
      </c>
      <c r="N671" s="22">
        <v>2021.1</v>
      </c>
      <c r="O671" s="53" t="s">
        <v>74</v>
      </c>
      <c r="P671" s="53" t="s">
        <v>75</v>
      </c>
      <c r="Q671" s="53">
        <v>13269819378</v>
      </c>
      <c r="R671" s="53" t="s">
        <v>76</v>
      </c>
      <c r="S671" s="53" t="s">
        <v>77</v>
      </c>
      <c r="T671" s="54"/>
    </row>
    <row r="672" spans="1:20" ht="24" customHeight="1">
      <c r="A672" s="15"/>
      <c r="B672" s="17" t="s">
        <v>875</v>
      </c>
      <c r="C672" s="17" t="s">
        <v>878</v>
      </c>
      <c r="D672" s="17" t="s">
        <v>62</v>
      </c>
      <c r="E672" s="17">
        <v>1.7669999999999999</v>
      </c>
      <c r="F672" s="17">
        <v>1.7669999999999999</v>
      </c>
      <c r="G672" s="17" t="s">
        <v>72</v>
      </c>
      <c r="H672" s="17" t="s">
        <v>41</v>
      </c>
      <c r="I672" s="50" t="s">
        <v>34</v>
      </c>
      <c r="J672" s="50" t="s">
        <v>34</v>
      </c>
      <c r="K672" s="17" t="s">
        <v>808</v>
      </c>
      <c r="L672" s="20">
        <v>10555.088495575201</v>
      </c>
      <c r="M672" s="20">
        <v>2638.7721238938002</v>
      </c>
      <c r="N672" s="22">
        <v>2021.1</v>
      </c>
      <c r="O672" s="53" t="s">
        <v>74</v>
      </c>
      <c r="P672" s="53" t="s">
        <v>75</v>
      </c>
      <c r="Q672" s="53">
        <v>13269819378</v>
      </c>
      <c r="R672" s="53" t="s">
        <v>76</v>
      </c>
      <c r="S672" s="53" t="s">
        <v>77</v>
      </c>
      <c r="T672" s="54"/>
    </row>
    <row r="673" spans="1:20" ht="24" customHeight="1">
      <c r="A673" s="15"/>
      <c r="B673" s="17" t="s">
        <v>875</v>
      </c>
      <c r="C673" s="17" t="s">
        <v>878</v>
      </c>
      <c r="D673" s="17" t="s">
        <v>62</v>
      </c>
      <c r="E673" s="17">
        <v>1.4430000000000001</v>
      </c>
      <c r="F673" s="17">
        <v>1.4430000000000001</v>
      </c>
      <c r="G673" s="17" t="s">
        <v>72</v>
      </c>
      <c r="H673" s="17" t="s">
        <v>41</v>
      </c>
      <c r="I673" s="50" t="s">
        <v>34</v>
      </c>
      <c r="J673" s="50" t="s">
        <v>34</v>
      </c>
      <c r="K673" s="17" t="s">
        <v>808</v>
      </c>
      <c r="L673" s="20">
        <v>8619.6902654867299</v>
      </c>
      <c r="M673" s="20">
        <v>2154.9225663716802</v>
      </c>
      <c r="N673" s="22">
        <v>2021.1</v>
      </c>
      <c r="O673" s="53" t="s">
        <v>74</v>
      </c>
      <c r="P673" s="53" t="s">
        <v>75</v>
      </c>
      <c r="Q673" s="53">
        <v>13269819378</v>
      </c>
      <c r="R673" s="53" t="s">
        <v>76</v>
      </c>
      <c r="S673" s="53" t="s">
        <v>77</v>
      </c>
      <c r="T673" s="54"/>
    </row>
    <row r="674" spans="1:20" ht="24" customHeight="1">
      <c r="A674" s="15"/>
      <c r="B674" s="17" t="s">
        <v>514</v>
      </c>
      <c r="C674" s="17" t="s">
        <v>879</v>
      </c>
      <c r="D674" s="17" t="s">
        <v>62</v>
      </c>
      <c r="E674" s="17">
        <v>8.5350000000000001</v>
      </c>
      <c r="F674" s="17">
        <v>8.5350000000000001</v>
      </c>
      <c r="G674" s="17" t="s">
        <v>72</v>
      </c>
      <c r="H674" s="17" t="s">
        <v>41</v>
      </c>
      <c r="I674" s="50" t="s">
        <v>34</v>
      </c>
      <c r="J674" s="50" t="s">
        <v>34</v>
      </c>
      <c r="K674" s="17" t="s">
        <v>808</v>
      </c>
      <c r="L674" s="20">
        <v>50756.814159292</v>
      </c>
      <c r="M674" s="20">
        <v>12689.203539823</v>
      </c>
      <c r="N674" s="22">
        <v>2021.1</v>
      </c>
      <c r="O674" s="53" t="s">
        <v>74</v>
      </c>
      <c r="P674" s="53" t="s">
        <v>75</v>
      </c>
      <c r="Q674" s="53">
        <v>13269819378</v>
      </c>
      <c r="R674" s="53" t="s">
        <v>76</v>
      </c>
      <c r="S674" s="53" t="s">
        <v>77</v>
      </c>
      <c r="T674" s="54"/>
    </row>
    <row r="675" spans="1:20" ht="24" customHeight="1">
      <c r="A675" s="15"/>
      <c r="B675" s="17" t="s">
        <v>593</v>
      </c>
      <c r="C675" s="17" t="s">
        <v>880</v>
      </c>
      <c r="D675" s="17" t="s">
        <v>62</v>
      </c>
      <c r="E675" s="17">
        <v>2.8959999999999999</v>
      </c>
      <c r="F675" s="17">
        <v>2.8959999999999999</v>
      </c>
      <c r="G675" s="17" t="s">
        <v>72</v>
      </c>
      <c r="H675" s="17" t="s">
        <v>41</v>
      </c>
      <c r="I675" s="50" t="s">
        <v>34</v>
      </c>
      <c r="J675" s="50" t="s">
        <v>34</v>
      </c>
      <c r="K675" s="17" t="s">
        <v>808</v>
      </c>
      <c r="L675" s="20">
        <v>17042.831858407098</v>
      </c>
      <c r="M675" s="20">
        <v>4260.7079646017701</v>
      </c>
      <c r="N675" s="22">
        <v>2021.1</v>
      </c>
      <c r="O675" s="53" t="s">
        <v>74</v>
      </c>
      <c r="P675" s="53" t="s">
        <v>75</v>
      </c>
      <c r="Q675" s="53">
        <v>13269819378</v>
      </c>
      <c r="R675" s="53" t="s">
        <v>76</v>
      </c>
      <c r="S675" s="53" t="s">
        <v>77</v>
      </c>
      <c r="T675" s="54"/>
    </row>
    <row r="676" spans="1:20" ht="24" hidden="1" customHeight="1">
      <c r="A676" s="15"/>
      <c r="B676" s="17" t="s">
        <v>514</v>
      </c>
      <c r="C676" s="17" t="s">
        <v>881</v>
      </c>
      <c r="D676" s="17" t="s">
        <v>62</v>
      </c>
      <c r="E676" s="17">
        <v>0.40400000000000003</v>
      </c>
      <c r="F676" s="17">
        <v>0.40400000000000003</v>
      </c>
      <c r="G676" s="17" t="s">
        <v>72</v>
      </c>
      <c r="H676" s="17" t="s">
        <v>33</v>
      </c>
      <c r="I676" s="50" t="s">
        <v>34</v>
      </c>
      <c r="J676" s="50" t="s">
        <v>34</v>
      </c>
      <c r="K676" s="17" t="s">
        <v>808</v>
      </c>
      <c r="L676" s="20">
        <v>3024.6371681415899</v>
      </c>
      <c r="M676" s="20">
        <v>756.15929203539804</v>
      </c>
      <c r="N676" s="22">
        <v>2021.1</v>
      </c>
      <c r="O676" s="53" t="s">
        <v>846</v>
      </c>
      <c r="P676" s="53" t="s">
        <v>75</v>
      </c>
      <c r="Q676" s="53">
        <v>13269819378</v>
      </c>
      <c r="R676" s="53" t="s">
        <v>76</v>
      </c>
      <c r="S676" s="53" t="s">
        <v>77</v>
      </c>
      <c r="T676" s="54"/>
    </row>
    <row r="677" spans="1:20" ht="24" hidden="1" customHeight="1">
      <c r="A677" s="15"/>
      <c r="B677" s="17" t="s">
        <v>514</v>
      </c>
      <c r="C677" s="17" t="s">
        <v>882</v>
      </c>
      <c r="D677" s="17" t="s">
        <v>62</v>
      </c>
      <c r="E677" s="17">
        <v>0.76400000000000001</v>
      </c>
      <c r="F677" s="17">
        <v>0.76400000000000001</v>
      </c>
      <c r="G677" s="17" t="s">
        <v>72</v>
      </c>
      <c r="H677" s="17" t="s">
        <v>33</v>
      </c>
      <c r="I677" s="50" t="s">
        <v>34</v>
      </c>
      <c r="J677" s="50" t="s">
        <v>34</v>
      </c>
      <c r="K677" s="17" t="s">
        <v>808</v>
      </c>
      <c r="L677" s="20">
        <v>4820.6371681415903</v>
      </c>
      <c r="M677" s="20">
        <v>1205.1592920354001</v>
      </c>
      <c r="N677" s="22">
        <v>2021.1</v>
      </c>
      <c r="O677" s="53" t="s">
        <v>846</v>
      </c>
      <c r="P677" s="53" t="s">
        <v>75</v>
      </c>
      <c r="Q677" s="53">
        <v>13269819378</v>
      </c>
      <c r="R677" s="53" t="s">
        <v>76</v>
      </c>
      <c r="S677" s="53" t="s">
        <v>77</v>
      </c>
      <c r="T677" s="54"/>
    </row>
    <row r="678" spans="1:20" ht="24" hidden="1" customHeight="1">
      <c r="A678" s="15"/>
      <c r="B678" s="17" t="s">
        <v>514</v>
      </c>
      <c r="C678" s="17" t="s">
        <v>883</v>
      </c>
      <c r="D678" s="17" t="s">
        <v>62</v>
      </c>
      <c r="E678" s="17">
        <v>0.89400000000000002</v>
      </c>
      <c r="F678" s="17">
        <v>0.89400000000000002</v>
      </c>
      <c r="G678" s="17" t="s">
        <v>72</v>
      </c>
      <c r="H678" s="17" t="s">
        <v>33</v>
      </c>
      <c r="I678" s="50" t="s">
        <v>34</v>
      </c>
      <c r="J678" s="50" t="s">
        <v>34</v>
      </c>
      <c r="K678" s="17" t="s">
        <v>808</v>
      </c>
      <c r="L678" s="20">
        <v>5640.90265486726</v>
      </c>
      <c r="M678" s="20">
        <v>1410.22566371681</v>
      </c>
      <c r="N678" s="22">
        <v>2021.1</v>
      </c>
      <c r="O678" s="53" t="s">
        <v>846</v>
      </c>
      <c r="P678" s="53" t="s">
        <v>75</v>
      </c>
      <c r="Q678" s="53">
        <v>13269819378</v>
      </c>
      <c r="R678" s="53" t="s">
        <v>76</v>
      </c>
      <c r="S678" s="53" t="s">
        <v>77</v>
      </c>
      <c r="T678" s="54"/>
    </row>
    <row r="679" spans="1:20" ht="24" hidden="1" customHeight="1">
      <c r="A679" s="15"/>
      <c r="B679" s="17" t="s">
        <v>514</v>
      </c>
      <c r="C679" s="17" t="s">
        <v>884</v>
      </c>
      <c r="D679" s="17" t="s">
        <v>62</v>
      </c>
      <c r="E679" s="17">
        <v>8.6910000000000007</v>
      </c>
      <c r="F679" s="17">
        <v>8.6910000000000007</v>
      </c>
      <c r="G679" s="17" t="s">
        <v>72</v>
      </c>
      <c r="H679" s="17" t="s">
        <v>33</v>
      </c>
      <c r="I679" s="50" t="s">
        <v>34</v>
      </c>
      <c r="J679" s="50" t="s">
        <v>34</v>
      </c>
      <c r="K679" s="17" t="s">
        <v>808</v>
      </c>
      <c r="L679" s="20">
        <v>54837.902654867299</v>
      </c>
      <c r="M679" s="20">
        <v>13709.475663716799</v>
      </c>
      <c r="N679" s="22">
        <v>2021.1</v>
      </c>
      <c r="O679" s="53" t="s">
        <v>846</v>
      </c>
      <c r="P679" s="53" t="s">
        <v>75</v>
      </c>
      <c r="Q679" s="53">
        <v>13269819378</v>
      </c>
      <c r="R679" s="53" t="s">
        <v>76</v>
      </c>
      <c r="S679" s="53" t="s">
        <v>77</v>
      </c>
      <c r="T679" s="54"/>
    </row>
    <row r="680" spans="1:20" ht="24" hidden="1" customHeight="1">
      <c r="A680" s="15"/>
      <c r="B680" s="17" t="s">
        <v>514</v>
      </c>
      <c r="C680" s="17" t="s">
        <v>885</v>
      </c>
      <c r="D680" s="17" t="s">
        <v>62</v>
      </c>
      <c r="E680" s="17">
        <v>1.0840000000000001</v>
      </c>
      <c r="F680" s="17">
        <v>1.0840000000000001</v>
      </c>
      <c r="G680" s="17" t="s">
        <v>72</v>
      </c>
      <c r="H680" s="17" t="s">
        <v>33</v>
      </c>
      <c r="I680" s="50" t="s">
        <v>34</v>
      </c>
      <c r="J680" s="50" t="s">
        <v>34</v>
      </c>
      <c r="K680" s="17" t="s">
        <v>808</v>
      </c>
      <c r="L680" s="20">
        <v>6839.7522123893796</v>
      </c>
      <c r="M680" s="20">
        <v>1709.9380530973399</v>
      </c>
      <c r="N680" s="22">
        <v>2021.1</v>
      </c>
      <c r="O680" s="53" t="s">
        <v>846</v>
      </c>
      <c r="P680" s="53" t="s">
        <v>75</v>
      </c>
      <c r="Q680" s="53">
        <v>13269819378</v>
      </c>
      <c r="R680" s="53" t="s">
        <v>76</v>
      </c>
      <c r="S680" s="53" t="s">
        <v>77</v>
      </c>
      <c r="T680" s="54"/>
    </row>
    <row r="681" spans="1:20" ht="24" hidden="1" customHeight="1">
      <c r="A681" s="15"/>
      <c r="B681" s="17" t="s">
        <v>514</v>
      </c>
      <c r="C681" s="17" t="s">
        <v>886</v>
      </c>
      <c r="D681" s="17" t="s">
        <v>62</v>
      </c>
      <c r="E681" s="17">
        <v>59.326000000000001</v>
      </c>
      <c r="F681" s="17">
        <v>59.326000000000001</v>
      </c>
      <c r="G681" s="17" t="s">
        <v>72</v>
      </c>
      <c r="H681" s="17" t="s">
        <v>33</v>
      </c>
      <c r="I681" s="50" t="s">
        <v>34</v>
      </c>
      <c r="J681" s="50" t="s">
        <v>34</v>
      </c>
      <c r="K681" s="17" t="s">
        <v>595</v>
      </c>
      <c r="L681" s="20">
        <v>231003.9</v>
      </c>
      <c r="M681" s="20">
        <v>69301.179999999993</v>
      </c>
      <c r="N681" s="22">
        <v>2020.11</v>
      </c>
      <c r="O681" s="53" t="s">
        <v>846</v>
      </c>
      <c r="P681" s="53" t="s">
        <v>75</v>
      </c>
      <c r="Q681" s="53">
        <v>13269819378</v>
      </c>
      <c r="R681" s="53" t="s">
        <v>76</v>
      </c>
      <c r="S681" s="53" t="s">
        <v>77</v>
      </c>
      <c r="T681" s="54"/>
    </row>
    <row r="682" spans="1:20" ht="24" customHeight="1">
      <c r="A682" s="15"/>
      <c r="B682" s="17" t="s">
        <v>526</v>
      </c>
      <c r="C682" s="17" t="s">
        <v>668</v>
      </c>
      <c r="D682" s="17" t="s">
        <v>62</v>
      </c>
      <c r="E682" s="17">
        <v>38.121000000000002</v>
      </c>
      <c r="F682" s="17">
        <v>38.121000000000002</v>
      </c>
      <c r="G682" s="17" t="s">
        <v>72</v>
      </c>
      <c r="H682" s="17" t="s">
        <v>41</v>
      </c>
      <c r="I682" s="50" t="s">
        <v>34</v>
      </c>
      <c r="J682" s="50" t="s">
        <v>34</v>
      </c>
      <c r="K682" s="17" t="s">
        <v>595</v>
      </c>
      <c r="L682" s="20">
        <v>134266.89000000001</v>
      </c>
      <c r="M682" s="20">
        <v>40280.050000000003</v>
      </c>
      <c r="N682" s="22">
        <v>2020.11</v>
      </c>
      <c r="O682" s="53" t="s">
        <v>74</v>
      </c>
      <c r="P682" s="53" t="s">
        <v>75</v>
      </c>
      <c r="Q682" s="53">
        <v>13269819378</v>
      </c>
      <c r="R682" s="53" t="s">
        <v>76</v>
      </c>
      <c r="S682" s="53" t="s">
        <v>77</v>
      </c>
      <c r="T682" s="54"/>
    </row>
    <row r="683" spans="1:20" ht="24" hidden="1" customHeight="1">
      <c r="A683" s="15"/>
      <c r="B683" s="17" t="s">
        <v>514</v>
      </c>
      <c r="C683" s="17" t="s">
        <v>887</v>
      </c>
      <c r="D683" s="17" t="s">
        <v>888</v>
      </c>
      <c r="E683" s="17">
        <v>333</v>
      </c>
      <c r="F683" s="17" t="s">
        <v>889</v>
      </c>
      <c r="G683" s="17" t="s">
        <v>72</v>
      </c>
      <c r="H683" s="17" t="s">
        <v>33</v>
      </c>
      <c r="I683" s="50" t="s">
        <v>34</v>
      </c>
      <c r="J683" s="50" t="s">
        <v>34</v>
      </c>
      <c r="K683" s="17" t="s">
        <v>798</v>
      </c>
      <c r="L683" s="20">
        <v>57523.539823008803</v>
      </c>
      <c r="M683" s="20">
        <v>14380.884955752201</v>
      </c>
      <c r="N683" s="22">
        <v>2021.07</v>
      </c>
      <c r="O683" s="53" t="s">
        <v>846</v>
      </c>
      <c r="P683" s="53" t="s">
        <v>75</v>
      </c>
      <c r="Q683" s="53">
        <v>13269819378</v>
      </c>
      <c r="R683" s="53" t="s">
        <v>76</v>
      </c>
      <c r="S683" s="53" t="s">
        <v>77</v>
      </c>
      <c r="T683" s="54"/>
    </row>
    <row r="684" spans="1:20" s="14" customFormat="1" ht="24" hidden="1" customHeight="1">
      <c r="A684" s="15">
        <v>2</v>
      </c>
      <c r="B684" s="15" t="s">
        <v>890</v>
      </c>
      <c r="C684" s="11"/>
      <c r="D684" s="11"/>
      <c r="E684" s="9"/>
      <c r="F684" s="9"/>
      <c r="G684" s="11"/>
      <c r="H684" s="11"/>
      <c r="I684" s="11"/>
      <c r="J684" s="11"/>
      <c r="K684" s="11"/>
      <c r="L684" s="12"/>
      <c r="M684" s="12"/>
      <c r="N684" s="11"/>
      <c r="O684" s="11"/>
      <c r="P684" s="11"/>
      <c r="Q684" s="11"/>
      <c r="R684" s="11"/>
      <c r="S684" s="11"/>
      <c r="T684" s="11"/>
    </row>
    <row r="685" spans="1:20" s="14" customFormat="1" ht="24" customHeight="1">
      <c r="A685" s="15"/>
      <c r="B685" s="11" t="s">
        <v>890</v>
      </c>
      <c r="C685" s="11" t="s">
        <v>891</v>
      </c>
      <c r="D685" s="11" t="s">
        <v>62</v>
      </c>
      <c r="E685" s="9">
        <v>22.574999999999999</v>
      </c>
      <c r="F685" s="9"/>
      <c r="G685" s="11" t="s">
        <v>72</v>
      </c>
      <c r="H685" s="11" t="s">
        <v>41</v>
      </c>
      <c r="I685" s="11" t="s">
        <v>34</v>
      </c>
      <c r="J685" s="11" t="s">
        <v>214</v>
      </c>
      <c r="K685" s="11" t="s">
        <v>892</v>
      </c>
      <c r="L685" s="12">
        <v>79464</v>
      </c>
      <c r="M685" s="12">
        <v>23839.200000000001</v>
      </c>
      <c r="N685" s="23">
        <v>42124</v>
      </c>
      <c r="O685" s="11" t="s">
        <v>216</v>
      </c>
      <c r="P685" s="11" t="s">
        <v>217</v>
      </c>
      <c r="Q685" s="11">
        <v>13911525139</v>
      </c>
      <c r="R685" s="11" t="s">
        <v>218</v>
      </c>
      <c r="S685" s="11" t="s">
        <v>77</v>
      </c>
      <c r="T685" s="11"/>
    </row>
    <row r="686" spans="1:20" s="14" customFormat="1" ht="24" customHeight="1">
      <c r="A686" s="15"/>
      <c r="B686" s="11" t="s">
        <v>893</v>
      </c>
      <c r="C686" s="11" t="s">
        <v>891</v>
      </c>
      <c r="D686" s="11" t="s">
        <v>31</v>
      </c>
      <c r="E686" s="9">
        <v>84</v>
      </c>
      <c r="F686" s="9"/>
      <c r="G686" s="11" t="s">
        <v>72</v>
      </c>
      <c r="H686" s="11" t="s">
        <v>41</v>
      </c>
      <c r="I686" s="11" t="s">
        <v>34</v>
      </c>
      <c r="J686" s="11" t="s">
        <v>214</v>
      </c>
      <c r="K686" s="11" t="s">
        <v>892</v>
      </c>
      <c r="L686" s="12">
        <v>6720</v>
      </c>
      <c r="M686" s="12">
        <v>2016</v>
      </c>
      <c r="N686" s="23">
        <v>42124</v>
      </c>
      <c r="O686" s="11" t="s">
        <v>216</v>
      </c>
      <c r="P686" s="11" t="s">
        <v>217</v>
      </c>
      <c r="Q686" s="11">
        <v>13911525139</v>
      </c>
      <c r="R686" s="11" t="s">
        <v>218</v>
      </c>
      <c r="S686" s="11" t="s">
        <v>77</v>
      </c>
      <c r="T686" s="11"/>
    </row>
    <row r="687" spans="1:20" s="14" customFormat="1" ht="24" customHeight="1">
      <c r="A687" s="15"/>
      <c r="B687" s="11" t="s">
        <v>824</v>
      </c>
      <c r="C687" s="11" t="s">
        <v>891</v>
      </c>
      <c r="D687" s="11" t="s">
        <v>131</v>
      </c>
      <c r="E687" s="9">
        <v>260</v>
      </c>
      <c r="F687" s="9"/>
      <c r="G687" s="11" t="s">
        <v>72</v>
      </c>
      <c r="H687" s="11" t="s">
        <v>41</v>
      </c>
      <c r="I687" s="11" t="s">
        <v>34</v>
      </c>
      <c r="J687" s="11" t="s">
        <v>214</v>
      </c>
      <c r="K687" s="11" t="s">
        <v>892</v>
      </c>
      <c r="L687" s="12">
        <v>676</v>
      </c>
      <c r="M687" s="12">
        <v>202.8</v>
      </c>
      <c r="N687" s="23">
        <v>42124</v>
      </c>
      <c r="O687" s="11" t="s">
        <v>216</v>
      </c>
      <c r="P687" s="11" t="s">
        <v>217</v>
      </c>
      <c r="Q687" s="11">
        <v>13911525139</v>
      </c>
      <c r="R687" s="11" t="s">
        <v>218</v>
      </c>
      <c r="S687" s="11" t="s">
        <v>77</v>
      </c>
      <c r="T687" s="11"/>
    </row>
    <row r="688" spans="1:20" s="14" customFormat="1" ht="24" customHeight="1">
      <c r="A688" s="15"/>
      <c r="B688" s="11" t="s">
        <v>890</v>
      </c>
      <c r="C688" s="11" t="s">
        <v>894</v>
      </c>
      <c r="D688" s="11" t="s">
        <v>161</v>
      </c>
      <c r="E688" s="9">
        <f>12.5*29</f>
        <v>362.5</v>
      </c>
      <c r="F688" s="9">
        <f>E688*43/1000</f>
        <v>15.5875</v>
      </c>
      <c r="G688" s="11" t="s">
        <v>87</v>
      </c>
      <c r="H688" s="11" t="s">
        <v>41</v>
      </c>
      <c r="I688" s="11"/>
      <c r="J688" s="11"/>
      <c r="K688" s="11" t="s">
        <v>895</v>
      </c>
      <c r="L688" s="12">
        <f>F688*4600</f>
        <v>71702.5</v>
      </c>
      <c r="M688" s="12">
        <v>30294</v>
      </c>
      <c r="N688" s="11"/>
      <c r="O688" s="11" t="s">
        <v>896</v>
      </c>
      <c r="P688" s="11" t="s">
        <v>98</v>
      </c>
      <c r="Q688" s="11">
        <v>13910285124</v>
      </c>
      <c r="R688" s="11" t="s">
        <v>897</v>
      </c>
      <c r="S688" s="11" t="s">
        <v>68</v>
      </c>
      <c r="T688" s="11"/>
    </row>
    <row r="689" spans="1:20" s="14" customFormat="1" ht="24" customHeight="1">
      <c r="A689" s="15"/>
      <c r="B689" s="11" t="s">
        <v>890</v>
      </c>
      <c r="C689" s="11" t="s">
        <v>898</v>
      </c>
      <c r="D689" s="11" t="s">
        <v>161</v>
      </c>
      <c r="E689" s="9">
        <f>12.5*15</f>
        <v>187.5</v>
      </c>
      <c r="F689" s="9">
        <f>E689*50/1000</f>
        <v>9.375</v>
      </c>
      <c r="G689" s="11" t="s">
        <v>87</v>
      </c>
      <c r="H689" s="11" t="s">
        <v>41</v>
      </c>
      <c r="I689" s="11"/>
      <c r="J689" s="11"/>
      <c r="K689" s="11" t="s">
        <v>895</v>
      </c>
      <c r="L689" s="12">
        <f>F689*4600</f>
        <v>43125</v>
      </c>
      <c r="M689" s="12">
        <v>22275</v>
      </c>
      <c r="N689" s="11"/>
      <c r="O689" s="11" t="s">
        <v>896</v>
      </c>
      <c r="P689" s="11" t="s">
        <v>98</v>
      </c>
      <c r="Q689" s="11">
        <v>13910285124</v>
      </c>
      <c r="R689" s="11" t="s">
        <v>897</v>
      </c>
      <c r="S689" s="11" t="s">
        <v>68</v>
      </c>
      <c r="T689" s="11"/>
    </row>
    <row r="690" spans="1:20" s="14" customFormat="1" ht="24" hidden="1" customHeight="1">
      <c r="A690" s="15"/>
      <c r="B690" s="11" t="s">
        <v>899</v>
      </c>
      <c r="C690" s="11" t="s">
        <v>900</v>
      </c>
      <c r="D690" s="11" t="s">
        <v>62</v>
      </c>
      <c r="E690" s="9">
        <v>64.44</v>
      </c>
      <c r="F690" s="9"/>
      <c r="G690" s="11" t="s">
        <v>32</v>
      </c>
      <c r="H690" s="11" t="s">
        <v>33</v>
      </c>
      <c r="I690" s="11"/>
      <c r="J690" s="11" t="s">
        <v>901</v>
      </c>
      <c r="K690" s="11" t="s">
        <v>902</v>
      </c>
      <c r="L690" s="12">
        <v>239257.42</v>
      </c>
      <c r="M690" s="12">
        <v>239257.42</v>
      </c>
      <c r="N690" s="24">
        <v>44105</v>
      </c>
      <c r="O690" s="11" t="s">
        <v>903</v>
      </c>
      <c r="P690" s="11" t="s">
        <v>904</v>
      </c>
      <c r="Q690" s="11">
        <v>13622035114</v>
      </c>
      <c r="R690" s="11" t="s">
        <v>905</v>
      </c>
      <c r="S690" s="11"/>
      <c r="T690" s="11" t="s">
        <v>906</v>
      </c>
    </row>
    <row r="691" spans="1:20" s="14" customFormat="1" ht="24" customHeight="1">
      <c r="A691" s="15"/>
      <c r="B691" s="11" t="s">
        <v>890</v>
      </c>
      <c r="C691" s="11" t="s">
        <v>907</v>
      </c>
      <c r="D691" s="11" t="s">
        <v>464</v>
      </c>
      <c r="E691" s="9">
        <v>35</v>
      </c>
      <c r="F691" s="9">
        <v>10.5</v>
      </c>
      <c r="G691" s="11" t="s">
        <v>72</v>
      </c>
      <c r="H691" s="11" t="s">
        <v>41</v>
      </c>
      <c r="I691" s="11">
        <v>50</v>
      </c>
      <c r="J691" s="11" t="s">
        <v>908</v>
      </c>
      <c r="K691" s="11" t="s">
        <v>909</v>
      </c>
      <c r="L691" s="12">
        <v>56700</v>
      </c>
      <c r="M691" s="12">
        <v>17010</v>
      </c>
      <c r="N691" s="24">
        <v>43040</v>
      </c>
      <c r="O691" s="11" t="s">
        <v>910</v>
      </c>
      <c r="P691" s="11" t="s">
        <v>911</v>
      </c>
      <c r="Q691" s="11">
        <v>15311359055</v>
      </c>
      <c r="R691" s="11" t="s">
        <v>912</v>
      </c>
      <c r="S691" s="11" t="s">
        <v>68</v>
      </c>
      <c r="T691" s="11"/>
    </row>
    <row r="692" spans="1:20" s="14" customFormat="1" ht="24" customHeight="1">
      <c r="A692" s="15"/>
      <c r="B692" s="11" t="s">
        <v>893</v>
      </c>
      <c r="C692" s="11" t="s">
        <v>913</v>
      </c>
      <c r="D692" s="11" t="s">
        <v>31</v>
      </c>
      <c r="E692" s="9">
        <v>1049</v>
      </c>
      <c r="F692" s="9"/>
      <c r="G692" s="11" t="s">
        <v>32</v>
      </c>
      <c r="H692" s="11" t="s">
        <v>41</v>
      </c>
      <c r="I692" s="11"/>
      <c r="J692" s="11"/>
      <c r="K692" s="11" t="s">
        <v>914</v>
      </c>
      <c r="L692" s="12">
        <v>162595</v>
      </c>
      <c r="M692" s="12">
        <v>135495.83333333299</v>
      </c>
      <c r="N692" s="24">
        <v>43556</v>
      </c>
      <c r="O692" s="11" t="s">
        <v>915</v>
      </c>
      <c r="P692" s="11" t="s">
        <v>916</v>
      </c>
      <c r="Q692" s="11">
        <v>18610823330</v>
      </c>
      <c r="R692" s="11" t="s">
        <v>917</v>
      </c>
      <c r="S692" s="11" t="s">
        <v>77</v>
      </c>
      <c r="T692" s="11" t="s">
        <v>918</v>
      </c>
    </row>
    <row r="693" spans="1:20" s="14" customFormat="1" ht="24" customHeight="1">
      <c r="A693" s="15"/>
      <c r="B693" s="11" t="s">
        <v>893</v>
      </c>
      <c r="C693" s="11" t="s">
        <v>913</v>
      </c>
      <c r="D693" s="11" t="s">
        <v>31</v>
      </c>
      <c r="E693" s="9">
        <v>396</v>
      </c>
      <c r="F693" s="9"/>
      <c r="G693" s="11" t="s">
        <v>32</v>
      </c>
      <c r="H693" s="11" t="s">
        <v>41</v>
      </c>
      <c r="I693" s="11"/>
      <c r="J693" s="11"/>
      <c r="K693" s="11" t="s">
        <v>919</v>
      </c>
      <c r="L693" s="12">
        <v>61380</v>
      </c>
      <c r="M693" s="12">
        <v>51150</v>
      </c>
      <c r="N693" s="24">
        <v>43556</v>
      </c>
      <c r="O693" s="11" t="s">
        <v>915</v>
      </c>
      <c r="P693" s="11" t="s">
        <v>916</v>
      </c>
      <c r="Q693" s="11">
        <v>18610823330</v>
      </c>
      <c r="R693" s="11" t="s">
        <v>917</v>
      </c>
      <c r="S693" s="11" t="s">
        <v>77</v>
      </c>
      <c r="T693" s="11" t="s">
        <v>918</v>
      </c>
    </row>
    <row r="694" spans="1:20" s="14" customFormat="1" ht="24" customHeight="1">
      <c r="A694" s="15"/>
      <c r="B694" s="11" t="s">
        <v>920</v>
      </c>
      <c r="C694" s="11" t="s">
        <v>913</v>
      </c>
      <c r="D694" s="11" t="s">
        <v>31</v>
      </c>
      <c r="E694" s="9">
        <v>4000</v>
      </c>
      <c r="F694" s="9"/>
      <c r="G694" s="11" t="s">
        <v>32</v>
      </c>
      <c r="H694" s="11" t="s">
        <v>41</v>
      </c>
      <c r="I694" s="11"/>
      <c r="J694" s="11"/>
      <c r="K694" s="11" t="s">
        <v>921</v>
      </c>
      <c r="L694" s="12"/>
      <c r="M694" s="12"/>
      <c r="N694" s="24">
        <v>43556</v>
      </c>
      <c r="O694" s="11" t="s">
        <v>915</v>
      </c>
      <c r="P694" s="11" t="s">
        <v>916</v>
      </c>
      <c r="Q694" s="11">
        <v>18610823330</v>
      </c>
      <c r="R694" s="11" t="s">
        <v>917</v>
      </c>
      <c r="S694" s="11" t="s">
        <v>77</v>
      </c>
      <c r="T694" s="11" t="s">
        <v>922</v>
      </c>
    </row>
    <row r="695" spans="1:20" s="14" customFormat="1" ht="24" customHeight="1">
      <c r="A695" s="15"/>
      <c r="B695" s="11" t="s">
        <v>923</v>
      </c>
      <c r="C695" s="11" t="s">
        <v>913</v>
      </c>
      <c r="D695" s="11" t="s">
        <v>31</v>
      </c>
      <c r="E695" s="9">
        <v>5000</v>
      </c>
      <c r="F695" s="9"/>
      <c r="G695" s="11" t="s">
        <v>32</v>
      </c>
      <c r="H695" s="11" t="s">
        <v>41</v>
      </c>
      <c r="I695" s="11"/>
      <c r="J695" s="11"/>
      <c r="K695" s="11" t="s">
        <v>921</v>
      </c>
      <c r="L695" s="12"/>
      <c r="M695" s="12"/>
      <c r="N695" s="24">
        <v>43556</v>
      </c>
      <c r="O695" s="11" t="s">
        <v>915</v>
      </c>
      <c r="P695" s="11" t="s">
        <v>916</v>
      </c>
      <c r="Q695" s="11">
        <v>18610823330</v>
      </c>
      <c r="R695" s="11" t="s">
        <v>917</v>
      </c>
      <c r="S695" s="11" t="s">
        <v>77</v>
      </c>
      <c r="T695" s="11" t="s">
        <v>922</v>
      </c>
    </row>
    <row r="696" spans="1:20" s="14" customFormat="1" ht="24" customHeight="1">
      <c r="A696" s="15"/>
      <c r="B696" s="11" t="s">
        <v>924</v>
      </c>
      <c r="C696" s="11" t="s">
        <v>913</v>
      </c>
      <c r="D696" s="11" t="s">
        <v>31</v>
      </c>
      <c r="E696" s="9">
        <v>5000</v>
      </c>
      <c r="F696" s="9"/>
      <c r="G696" s="11" t="s">
        <v>32</v>
      </c>
      <c r="H696" s="11" t="s">
        <v>41</v>
      </c>
      <c r="I696" s="11"/>
      <c r="J696" s="11"/>
      <c r="K696" s="11" t="s">
        <v>921</v>
      </c>
      <c r="L696" s="12"/>
      <c r="M696" s="12"/>
      <c r="N696" s="24">
        <v>43556</v>
      </c>
      <c r="O696" s="11" t="s">
        <v>915</v>
      </c>
      <c r="P696" s="11" t="s">
        <v>916</v>
      </c>
      <c r="Q696" s="11">
        <v>18610823330</v>
      </c>
      <c r="R696" s="11" t="s">
        <v>917</v>
      </c>
      <c r="S696" s="11" t="s">
        <v>77</v>
      </c>
      <c r="T696" s="11" t="s">
        <v>922</v>
      </c>
    </row>
    <row r="697" spans="1:20" s="14" customFormat="1" ht="24" customHeight="1">
      <c r="A697" s="15"/>
      <c r="B697" s="11" t="s">
        <v>925</v>
      </c>
      <c r="C697" s="11" t="s">
        <v>913</v>
      </c>
      <c r="D697" s="11" t="s">
        <v>131</v>
      </c>
      <c r="E697" s="9">
        <v>13000</v>
      </c>
      <c r="F697" s="9"/>
      <c r="G697" s="11" t="s">
        <v>32</v>
      </c>
      <c r="H697" s="11" t="s">
        <v>41</v>
      </c>
      <c r="I697" s="11"/>
      <c r="J697" s="11"/>
      <c r="K697" s="11" t="s">
        <v>921</v>
      </c>
      <c r="L697" s="12"/>
      <c r="M697" s="12"/>
      <c r="N697" s="24">
        <v>43556</v>
      </c>
      <c r="O697" s="11" t="s">
        <v>915</v>
      </c>
      <c r="P697" s="11" t="s">
        <v>916</v>
      </c>
      <c r="Q697" s="11">
        <v>18610823330</v>
      </c>
      <c r="R697" s="11" t="s">
        <v>917</v>
      </c>
      <c r="S697" s="11" t="s">
        <v>77</v>
      </c>
      <c r="T697" s="11" t="s">
        <v>922</v>
      </c>
    </row>
    <row r="698" spans="1:20" s="14" customFormat="1" ht="24" customHeight="1">
      <c r="A698" s="15"/>
      <c r="B698" s="11" t="s">
        <v>631</v>
      </c>
      <c r="C698" s="11"/>
      <c r="D698" s="11" t="s">
        <v>131</v>
      </c>
      <c r="E698" s="9">
        <v>5000</v>
      </c>
      <c r="F698" s="9"/>
      <c r="G698" s="11" t="s">
        <v>32</v>
      </c>
      <c r="H698" s="11" t="s">
        <v>41</v>
      </c>
      <c r="I698" s="11"/>
      <c r="J698" s="11"/>
      <c r="K698" s="11" t="s">
        <v>921</v>
      </c>
      <c r="L698" s="12"/>
      <c r="M698" s="12"/>
      <c r="N698" s="24">
        <v>43556</v>
      </c>
      <c r="O698" s="11" t="s">
        <v>915</v>
      </c>
      <c r="P698" s="11" t="s">
        <v>916</v>
      </c>
      <c r="Q698" s="11">
        <v>18610823330</v>
      </c>
      <c r="R698" s="11" t="s">
        <v>917</v>
      </c>
      <c r="S698" s="11" t="s">
        <v>77</v>
      </c>
      <c r="T698" s="11" t="s">
        <v>922</v>
      </c>
    </row>
    <row r="699" spans="1:20" s="14" customFormat="1" ht="24" customHeight="1">
      <c r="A699" s="15"/>
      <c r="B699" s="11" t="s">
        <v>926</v>
      </c>
      <c r="C699" s="11"/>
      <c r="D699" s="11" t="s">
        <v>131</v>
      </c>
      <c r="E699" s="9">
        <v>5000</v>
      </c>
      <c r="F699" s="9"/>
      <c r="G699" s="11" t="s">
        <v>32</v>
      </c>
      <c r="H699" s="11" t="s">
        <v>41</v>
      </c>
      <c r="I699" s="11"/>
      <c r="J699" s="11"/>
      <c r="K699" s="11" t="s">
        <v>921</v>
      </c>
      <c r="L699" s="12"/>
      <c r="M699" s="12"/>
      <c r="N699" s="24">
        <v>43556</v>
      </c>
      <c r="O699" s="11" t="s">
        <v>915</v>
      </c>
      <c r="P699" s="11" t="s">
        <v>916</v>
      </c>
      <c r="Q699" s="11">
        <v>18610823330</v>
      </c>
      <c r="R699" s="11" t="s">
        <v>917</v>
      </c>
      <c r="S699" s="11" t="s">
        <v>77</v>
      </c>
      <c r="T699" s="11" t="s">
        <v>922</v>
      </c>
    </row>
    <row r="700" spans="1:20" s="14" customFormat="1" ht="24" customHeight="1">
      <c r="A700" s="15"/>
      <c r="B700" s="11" t="s">
        <v>927</v>
      </c>
      <c r="C700" s="11"/>
      <c r="D700" s="11" t="s">
        <v>464</v>
      </c>
      <c r="E700" s="9">
        <v>10000</v>
      </c>
      <c r="F700" s="9"/>
      <c r="G700" s="11" t="s">
        <v>32</v>
      </c>
      <c r="H700" s="11" t="s">
        <v>41</v>
      </c>
      <c r="I700" s="11"/>
      <c r="J700" s="11"/>
      <c r="K700" s="11" t="s">
        <v>914</v>
      </c>
      <c r="L700" s="12">
        <v>31000</v>
      </c>
      <c r="M700" s="12">
        <v>31000</v>
      </c>
      <c r="N700" s="24">
        <v>43556</v>
      </c>
      <c r="O700" s="11" t="s">
        <v>915</v>
      </c>
      <c r="P700" s="11" t="s">
        <v>916</v>
      </c>
      <c r="Q700" s="11">
        <v>18610823330</v>
      </c>
      <c r="R700" s="11" t="s">
        <v>917</v>
      </c>
      <c r="S700" s="11" t="s">
        <v>77</v>
      </c>
      <c r="T700" s="11"/>
    </row>
    <row r="701" spans="1:20" s="14" customFormat="1" ht="24" customHeight="1">
      <c r="A701" s="15"/>
      <c r="B701" s="11" t="s">
        <v>928</v>
      </c>
      <c r="C701" s="11"/>
      <c r="D701" s="11" t="s">
        <v>131</v>
      </c>
      <c r="E701" s="9">
        <v>10000</v>
      </c>
      <c r="F701" s="9"/>
      <c r="G701" s="11" t="s">
        <v>32</v>
      </c>
      <c r="H701" s="11" t="s">
        <v>41</v>
      </c>
      <c r="I701" s="11"/>
      <c r="J701" s="11"/>
      <c r="K701" s="11" t="s">
        <v>921</v>
      </c>
      <c r="L701" s="12"/>
      <c r="M701" s="12"/>
      <c r="N701" s="24">
        <v>43556</v>
      </c>
      <c r="O701" s="11" t="s">
        <v>915</v>
      </c>
      <c r="P701" s="11" t="s">
        <v>916</v>
      </c>
      <c r="Q701" s="11">
        <v>18610823330</v>
      </c>
      <c r="R701" s="11" t="s">
        <v>917</v>
      </c>
      <c r="S701" s="11" t="s">
        <v>77</v>
      </c>
      <c r="T701" s="11" t="s">
        <v>922</v>
      </c>
    </row>
    <row r="702" spans="1:20" s="14" customFormat="1" ht="24" customHeight="1">
      <c r="A702" s="15"/>
      <c r="B702" s="11" t="s">
        <v>929</v>
      </c>
      <c r="C702" s="11" t="s">
        <v>930</v>
      </c>
      <c r="D702" s="11" t="s">
        <v>31</v>
      </c>
      <c r="E702" s="9">
        <v>8400</v>
      </c>
      <c r="F702" s="9"/>
      <c r="G702" s="11" t="s">
        <v>32</v>
      </c>
      <c r="H702" s="11" t="s">
        <v>41</v>
      </c>
      <c r="I702" s="11"/>
      <c r="J702" s="11"/>
      <c r="K702" s="11" t="s">
        <v>914</v>
      </c>
      <c r="L702" s="12">
        <v>58800</v>
      </c>
      <c r="M702" s="12">
        <v>58800</v>
      </c>
      <c r="N702" s="24">
        <v>43556</v>
      </c>
      <c r="O702" s="11" t="s">
        <v>915</v>
      </c>
      <c r="P702" s="11" t="s">
        <v>916</v>
      </c>
      <c r="Q702" s="11">
        <v>18610823330</v>
      </c>
      <c r="R702" s="11" t="s">
        <v>917</v>
      </c>
      <c r="S702" s="11" t="s">
        <v>77</v>
      </c>
      <c r="T702" s="11"/>
    </row>
    <row r="703" spans="1:20" s="14" customFormat="1" ht="24" customHeight="1">
      <c r="A703" s="15"/>
      <c r="B703" s="11" t="s">
        <v>931</v>
      </c>
      <c r="C703" s="11" t="s">
        <v>930</v>
      </c>
      <c r="D703" s="11" t="s">
        <v>31</v>
      </c>
      <c r="E703" s="9">
        <v>8400</v>
      </c>
      <c r="F703" s="9"/>
      <c r="G703" s="11" t="s">
        <v>32</v>
      </c>
      <c r="H703" s="11" t="s">
        <v>41</v>
      </c>
      <c r="I703" s="11"/>
      <c r="J703" s="11"/>
      <c r="K703" s="11" t="s">
        <v>914</v>
      </c>
      <c r="L703" s="12">
        <v>7560</v>
      </c>
      <c r="M703" s="12">
        <v>7560</v>
      </c>
      <c r="N703" s="24">
        <v>43556</v>
      </c>
      <c r="O703" s="11" t="s">
        <v>915</v>
      </c>
      <c r="P703" s="11" t="s">
        <v>916</v>
      </c>
      <c r="Q703" s="11">
        <v>18610823330</v>
      </c>
      <c r="R703" s="11" t="s">
        <v>917</v>
      </c>
      <c r="S703" s="11" t="s">
        <v>77</v>
      </c>
      <c r="T703" s="11"/>
    </row>
    <row r="704" spans="1:20" s="14" customFormat="1" ht="24" customHeight="1">
      <c r="A704" s="15"/>
      <c r="B704" s="11" t="s">
        <v>932</v>
      </c>
      <c r="C704" s="11" t="s">
        <v>930</v>
      </c>
      <c r="D704" s="11" t="s">
        <v>31</v>
      </c>
      <c r="E704" s="9">
        <v>8400</v>
      </c>
      <c r="F704" s="9"/>
      <c r="G704" s="11" t="s">
        <v>32</v>
      </c>
      <c r="H704" s="11" t="s">
        <v>41</v>
      </c>
      <c r="I704" s="11"/>
      <c r="J704" s="11"/>
      <c r="K704" s="11" t="s">
        <v>914</v>
      </c>
      <c r="L704" s="12">
        <v>7560</v>
      </c>
      <c r="M704" s="12">
        <v>7560</v>
      </c>
      <c r="N704" s="24">
        <v>43556</v>
      </c>
      <c r="O704" s="11" t="s">
        <v>915</v>
      </c>
      <c r="P704" s="11" t="s">
        <v>916</v>
      </c>
      <c r="Q704" s="11">
        <v>18610823330</v>
      </c>
      <c r="R704" s="11" t="s">
        <v>917</v>
      </c>
      <c r="S704" s="11" t="s">
        <v>77</v>
      </c>
      <c r="T704" s="11"/>
    </row>
    <row r="705" spans="1:20" s="14" customFormat="1" ht="24" customHeight="1">
      <c r="A705" s="15"/>
      <c r="B705" s="11" t="s">
        <v>933</v>
      </c>
      <c r="C705" s="11" t="s">
        <v>930</v>
      </c>
      <c r="D705" s="11" t="s">
        <v>31</v>
      </c>
      <c r="E705" s="9">
        <v>8000</v>
      </c>
      <c r="F705" s="9"/>
      <c r="G705" s="11" t="s">
        <v>32</v>
      </c>
      <c r="H705" s="11" t="s">
        <v>41</v>
      </c>
      <c r="I705" s="11"/>
      <c r="J705" s="11"/>
      <c r="K705" s="11" t="s">
        <v>914</v>
      </c>
      <c r="L705" s="12">
        <v>4000</v>
      </c>
      <c r="M705" s="12">
        <v>4000</v>
      </c>
      <c r="N705" s="24">
        <v>43556</v>
      </c>
      <c r="O705" s="11" t="s">
        <v>915</v>
      </c>
      <c r="P705" s="11" t="s">
        <v>916</v>
      </c>
      <c r="Q705" s="11">
        <v>18610823330</v>
      </c>
      <c r="R705" s="11" t="s">
        <v>917</v>
      </c>
      <c r="S705" s="11" t="s">
        <v>77</v>
      </c>
      <c r="T705" s="11"/>
    </row>
    <row r="706" spans="1:20" s="14" customFormat="1" ht="24" customHeight="1">
      <c r="A706" s="15"/>
      <c r="B706" s="11" t="s">
        <v>934</v>
      </c>
      <c r="C706" s="11" t="s">
        <v>930</v>
      </c>
      <c r="D706" s="11" t="s">
        <v>464</v>
      </c>
      <c r="E706" s="9">
        <v>5000</v>
      </c>
      <c r="F706" s="9"/>
      <c r="G706" s="11" t="s">
        <v>32</v>
      </c>
      <c r="H706" s="11" t="s">
        <v>41</v>
      </c>
      <c r="I706" s="11"/>
      <c r="J706" s="11"/>
      <c r="K706" s="11" t="s">
        <v>914</v>
      </c>
      <c r="L706" s="12">
        <v>15000</v>
      </c>
      <c r="M706" s="12">
        <v>15000</v>
      </c>
      <c r="N706" s="24">
        <v>43556</v>
      </c>
      <c r="O706" s="11" t="s">
        <v>915</v>
      </c>
      <c r="P706" s="11" t="s">
        <v>916</v>
      </c>
      <c r="Q706" s="11">
        <v>18610823330</v>
      </c>
      <c r="R706" s="11" t="s">
        <v>917</v>
      </c>
      <c r="S706" s="11" t="s">
        <v>77</v>
      </c>
      <c r="T706" s="11"/>
    </row>
    <row r="707" spans="1:20" s="14" customFormat="1" ht="24" customHeight="1">
      <c r="A707" s="15"/>
      <c r="B707" s="11" t="s">
        <v>935</v>
      </c>
      <c r="C707" s="11" t="s">
        <v>930</v>
      </c>
      <c r="D707" s="11" t="s">
        <v>31</v>
      </c>
      <c r="E707" s="9">
        <v>5200</v>
      </c>
      <c r="F707" s="9"/>
      <c r="G707" s="11" t="s">
        <v>32</v>
      </c>
      <c r="H707" s="11" t="s">
        <v>41</v>
      </c>
      <c r="I707" s="11"/>
      <c r="J707" s="11"/>
      <c r="K707" s="11" t="s">
        <v>914</v>
      </c>
      <c r="L707" s="12">
        <v>20800</v>
      </c>
      <c r="M707" s="12">
        <v>20800</v>
      </c>
      <c r="N707" s="24">
        <v>43556</v>
      </c>
      <c r="O707" s="11" t="s">
        <v>915</v>
      </c>
      <c r="P707" s="11" t="s">
        <v>916</v>
      </c>
      <c r="Q707" s="11">
        <v>18610823330</v>
      </c>
      <c r="R707" s="11" t="s">
        <v>917</v>
      </c>
      <c r="S707" s="11" t="s">
        <v>77</v>
      </c>
      <c r="T707" s="11"/>
    </row>
    <row r="708" spans="1:20" s="14" customFormat="1" ht="24" customHeight="1">
      <c r="A708" s="15"/>
      <c r="B708" s="11" t="s">
        <v>936</v>
      </c>
      <c r="C708" s="11" t="s">
        <v>937</v>
      </c>
      <c r="D708" s="11" t="s">
        <v>31</v>
      </c>
      <c r="E708" s="9">
        <v>400</v>
      </c>
      <c r="F708" s="9"/>
      <c r="G708" s="11" t="s">
        <v>32</v>
      </c>
      <c r="H708" s="11" t="s">
        <v>41</v>
      </c>
      <c r="I708" s="11"/>
      <c r="J708" s="11"/>
      <c r="K708" s="11"/>
      <c r="L708" s="12"/>
      <c r="M708" s="12"/>
      <c r="N708" s="24">
        <v>43556</v>
      </c>
      <c r="O708" s="11" t="s">
        <v>938</v>
      </c>
      <c r="P708" s="11" t="s">
        <v>125</v>
      </c>
      <c r="Q708" s="11">
        <v>15711296788</v>
      </c>
      <c r="R708" s="11" t="s">
        <v>126</v>
      </c>
      <c r="S708" s="11" t="s">
        <v>77</v>
      </c>
      <c r="T708" s="11"/>
    </row>
    <row r="709" spans="1:20" s="14" customFormat="1" ht="24" customHeight="1">
      <c r="A709" s="15"/>
      <c r="B709" s="11" t="s">
        <v>936</v>
      </c>
      <c r="C709" s="11" t="s">
        <v>474</v>
      </c>
      <c r="D709" s="11" t="s">
        <v>31</v>
      </c>
      <c r="E709" s="9">
        <v>315</v>
      </c>
      <c r="F709" s="9"/>
      <c r="G709" s="11" t="s">
        <v>32</v>
      </c>
      <c r="H709" s="11" t="s">
        <v>41</v>
      </c>
      <c r="I709" s="11"/>
      <c r="J709" s="11"/>
      <c r="K709" s="11"/>
      <c r="L709" s="12"/>
      <c r="M709" s="12"/>
      <c r="N709" s="24">
        <v>43556</v>
      </c>
      <c r="O709" s="11" t="s">
        <v>938</v>
      </c>
      <c r="P709" s="11" t="s">
        <v>125</v>
      </c>
      <c r="Q709" s="11">
        <v>15711296788</v>
      </c>
      <c r="R709" s="11" t="s">
        <v>126</v>
      </c>
      <c r="S709" s="11" t="s">
        <v>77</v>
      </c>
      <c r="T709" s="11"/>
    </row>
    <row r="710" spans="1:20" s="14" customFormat="1" ht="24" customHeight="1">
      <c r="A710" s="15"/>
      <c r="B710" s="11" t="s">
        <v>927</v>
      </c>
      <c r="C710" s="11"/>
      <c r="D710" s="11" t="s">
        <v>464</v>
      </c>
      <c r="E710" s="9">
        <v>490</v>
      </c>
      <c r="F710" s="9"/>
      <c r="G710" s="11" t="s">
        <v>32</v>
      </c>
      <c r="H710" s="11" t="s">
        <v>41</v>
      </c>
      <c r="I710" s="11"/>
      <c r="J710" s="11"/>
      <c r="K710" s="11"/>
      <c r="L710" s="12"/>
      <c r="M710" s="12"/>
      <c r="N710" s="24">
        <v>43556</v>
      </c>
      <c r="O710" s="11" t="s">
        <v>938</v>
      </c>
      <c r="P710" s="11" t="s">
        <v>125</v>
      </c>
      <c r="Q710" s="11">
        <v>15711296788</v>
      </c>
      <c r="R710" s="11" t="s">
        <v>126</v>
      </c>
      <c r="S710" s="11" t="s">
        <v>77</v>
      </c>
      <c r="T710" s="11"/>
    </row>
    <row r="711" spans="1:20" s="14" customFormat="1" ht="24" customHeight="1">
      <c r="A711" s="15"/>
      <c r="B711" s="11" t="s">
        <v>939</v>
      </c>
      <c r="C711" s="11"/>
      <c r="D711" s="11" t="s">
        <v>131</v>
      </c>
      <c r="E711" s="9">
        <v>40</v>
      </c>
      <c r="F711" s="9"/>
      <c r="G711" s="11" t="s">
        <v>32</v>
      </c>
      <c r="H711" s="11" t="s">
        <v>41</v>
      </c>
      <c r="I711" s="11"/>
      <c r="J711" s="11"/>
      <c r="K711" s="11"/>
      <c r="L711" s="12"/>
      <c r="M711" s="12"/>
      <c r="N711" s="24">
        <v>43556</v>
      </c>
      <c r="O711" s="11" t="s">
        <v>938</v>
      </c>
      <c r="P711" s="11" t="s">
        <v>125</v>
      </c>
      <c r="Q711" s="11">
        <v>15711296788</v>
      </c>
      <c r="R711" s="11" t="s">
        <v>126</v>
      </c>
      <c r="S711" s="11" t="s">
        <v>77</v>
      </c>
      <c r="T711" s="11"/>
    </row>
    <row r="712" spans="1:20" s="14" customFormat="1" ht="24" customHeight="1">
      <c r="A712" s="15"/>
      <c r="B712" s="11" t="s">
        <v>940</v>
      </c>
      <c r="C712" s="11"/>
      <c r="D712" s="11" t="s">
        <v>31</v>
      </c>
      <c r="E712" s="9">
        <v>10</v>
      </c>
      <c r="F712" s="9"/>
      <c r="G712" s="11" t="s">
        <v>32</v>
      </c>
      <c r="H712" s="11" t="s">
        <v>41</v>
      </c>
      <c r="I712" s="11"/>
      <c r="J712" s="11"/>
      <c r="K712" s="11"/>
      <c r="L712" s="12"/>
      <c r="M712" s="12"/>
      <c r="N712" s="24">
        <v>43556</v>
      </c>
      <c r="O712" s="11" t="s">
        <v>938</v>
      </c>
      <c r="P712" s="11" t="s">
        <v>125</v>
      </c>
      <c r="Q712" s="11">
        <v>15711296788</v>
      </c>
      <c r="R712" s="11" t="s">
        <v>126</v>
      </c>
      <c r="S712" s="11" t="s">
        <v>77</v>
      </c>
      <c r="T712" s="11"/>
    </row>
    <row r="713" spans="1:20" s="14" customFormat="1" ht="24" customHeight="1">
      <c r="A713" s="15"/>
      <c r="B713" s="11" t="s">
        <v>928</v>
      </c>
      <c r="C713" s="11"/>
      <c r="D713" s="11" t="s">
        <v>131</v>
      </c>
      <c r="E713" s="9">
        <v>260</v>
      </c>
      <c r="F713" s="9"/>
      <c r="G713" s="11" t="s">
        <v>32</v>
      </c>
      <c r="H713" s="11" t="s">
        <v>41</v>
      </c>
      <c r="I713" s="11"/>
      <c r="J713" s="11"/>
      <c r="K713" s="11"/>
      <c r="L713" s="12"/>
      <c r="M713" s="12"/>
      <c r="N713" s="24">
        <v>43556</v>
      </c>
      <c r="O713" s="11" t="s">
        <v>938</v>
      </c>
      <c r="P713" s="11" t="s">
        <v>125</v>
      </c>
      <c r="Q713" s="11">
        <v>15711296788</v>
      </c>
      <c r="R713" s="11" t="s">
        <v>126</v>
      </c>
      <c r="S713" s="11" t="s">
        <v>77</v>
      </c>
      <c r="T713" s="11"/>
    </row>
    <row r="714" spans="1:20" s="14" customFormat="1" ht="24" customHeight="1">
      <c r="A714" s="15"/>
      <c r="B714" s="11" t="s">
        <v>941</v>
      </c>
      <c r="C714" s="11"/>
      <c r="D714" s="11" t="s">
        <v>942</v>
      </c>
      <c r="E714" s="9">
        <v>37</v>
      </c>
      <c r="F714" s="9"/>
      <c r="G714" s="11" t="s">
        <v>32</v>
      </c>
      <c r="H714" s="11" t="s">
        <v>41</v>
      </c>
      <c r="I714" s="11"/>
      <c r="J714" s="11"/>
      <c r="K714" s="11"/>
      <c r="L714" s="12"/>
      <c r="M714" s="12"/>
      <c r="N714" s="24">
        <v>43556</v>
      </c>
      <c r="O714" s="11" t="s">
        <v>938</v>
      </c>
      <c r="P714" s="11" t="s">
        <v>125</v>
      </c>
      <c r="Q714" s="11">
        <v>15711296788</v>
      </c>
      <c r="R714" s="11" t="s">
        <v>126</v>
      </c>
      <c r="S714" s="11" t="s">
        <v>77</v>
      </c>
      <c r="T714" s="11"/>
    </row>
    <row r="715" spans="1:20" s="14" customFormat="1" ht="24" customHeight="1">
      <c r="A715" s="15"/>
      <c r="B715" s="11" t="s">
        <v>893</v>
      </c>
      <c r="C715" s="11" t="s">
        <v>943</v>
      </c>
      <c r="D715" s="11" t="s">
        <v>31</v>
      </c>
      <c r="E715" s="9">
        <v>21</v>
      </c>
      <c r="F715" s="9"/>
      <c r="G715" s="11" t="s">
        <v>32</v>
      </c>
      <c r="H715" s="11" t="s">
        <v>41</v>
      </c>
      <c r="I715" s="11"/>
      <c r="J715" s="11"/>
      <c r="K715" s="11"/>
      <c r="L715" s="12"/>
      <c r="M715" s="12"/>
      <c r="N715" s="24">
        <v>43556</v>
      </c>
      <c r="O715" s="11" t="s">
        <v>938</v>
      </c>
      <c r="P715" s="11" t="s">
        <v>125</v>
      </c>
      <c r="Q715" s="11">
        <v>15711296788</v>
      </c>
      <c r="R715" s="11" t="s">
        <v>126</v>
      </c>
      <c r="S715" s="11" t="s">
        <v>77</v>
      </c>
      <c r="T715" s="11"/>
    </row>
    <row r="716" spans="1:20" s="14" customFormat="1" ht="24" customHeight="1">
      <c r="A716" s="15"/>
      <c r="B716" s="11" t="s">
        <v>944</v>
      </c>
      <c r="C716" s="11"/>
      <c r="D716" s="11" t="s">
        <v>31</v>
      </c>
      <c r="E716" s="9">
        <v>71</v>
      </c>
      <c r="F716" s="9"/>
      <c r="G716" s="11" t="s">
        <v>32</v>
      </c>
      <c r="H716" s="11" t="s">
        <v>41</v>
      </c>
      <c r="I716" s="11"/>
      <c r="J716" s="11"/>
      <c r="K716" s="11"/>
      <c r="L716" s="12"/>
      <c r="M716" s="12"/>
      <c r="N716" s="24">
        <v>43556</v>
      </c>
      <c r="O716" s="11" t="s">
        <v>938</v>
      </c>
      <c r="P716" s="11" t="s">
        <v>125</v>
      </c>
      <c r="Q716" s="11">
        <v>15711296788</v>
      </c>
      <c r="R716" s="11" t="s">
        <v>126</v>
      </c>
      <c r="S716" s="11" t="s">
        <v>77</v>
      </c>
      <c r="T716" s="11"/>
    </row>
    <row r="717" spans="1:20" s="14" customFormat="1" ht="24" customHeight="1">
      <c r="A717" s="15"/>
      <c r="B717" s="11" t="s">
        <v>944</v>
      </c>
      <c r="C717" s="11"/>
      <c r="D717" s="11" t="s">
        <v>31</v>
      </c>
      <c r="E717" s="9">
        <v>70</v>
      </c>
      <c r="F717" s="9"/>
      <c r="G717" s="11" t="s">
        <v>32</v>
      </c>
      <c r="H717" s="11" t="s">
        <v>41</v>
      </c>
      <c r="I717" s="11"/>
      <c r="J717" s="11"/>
      <c r="K717" s="11"/>
      <c r="L717" s="12"/>
      <c r="M717" s="12"/>
      <c r="N717" s="24">
        <v>43556</v>
      </c>
      <c r="O717" s="11" t="s">
        <v>938</v>
      </c>
      <c r="P717" s="11" t="s">
        <v>125</v>
      </c>
      <c r="Q717" s="11">
        <v>15711296788</v>
      </c>
      <c r="R717" s="11" t="s">
        <v>126</v>
      </c>
      <c r="S717" s="11" t="s">
        <v>77</v>
      </c>
      <c r="T717" s="11"/>
    </row>
    <row r="718" spans="1:20" s="14" customFormat="1" ht="24" customHeight="1">
      <c r="A718" s="15"/>
      <c r="B718" s="11" t="s">
        <v>945</v>
      </c>
      <c r="C718" s="11"/>
      <c r="D718" s="11" t="s">
        <v>131</v>
      </c>
      <c r="E718" s="9">
        <v>60</v>
      </c>
      <c r="F718" s="9"/>
      <c r="G718" s="11" t="s">
        <v>32</v>
      </c>
      <c r="H718" s="11" t="s">
        <v>41</v>
      </c>
      <c r="I718" s="11"/>
      <c r="J718" s="11"/>
      <c r="K718" s="11"/>
      <c r="L718" s="12"/>
      <c r="M718" s="12"/>
      <c r="N718" s="24">
        <v>43556</v>
      </c>
      <c r="O718" s="11" t="s">
        <v>938</v>
      </c>
      <c r="P718" s="11" t="s">
        <v>125</v>
      </c>
      <c r="Q718" s="11">
        <v>15711296788</v>
      </c>
      <c r="R718" s="11" t="s">
        <v>126</v>
      </c>
      <c r="S718" s="11" t="s">
        <v>77</v>
      </c>
      <c r="T718" s="11"/>
    </row>
    <row r="719" spans="1:20" s="14" customFormat="1" ht="24" customHeight="1">
      <c r="A719" s="15"/>
      <c r="B719" s="11" t="s">
        <v>946</v>
      </c>
      <c r="C719" s="11"/>
      <c r="D719" s="11" t="s">
        <v>942</v>
      </c>
      <c r="E719" s="9">
        <v>40</v>
      </c>
      <c r="F719" s="9"/>
      <c r="G719" s="11" t="s">
        <v>32</v>
      </c>
      <c r="H719" s="11" t="s">
        <v>41</v>
      </c>
      <c r="I719" s="11"/>
      <c r="J719" s="11"/>
      <c r="K719" s="11"/>
      <c r="L719" s="12"/>
      <c r="M719" s="12"/>
      <c r="N719" s="24">
        <v>43556</v>
      </c>
      <c r="O719" s="11" t="s">
        <v>938</v>
      </c>
      <c r="P719" s="11" t="s">
        <v>125</v>
      </c>
      <c r="Q719" s="11">
        <v>15711296788</v>
      </c>
      <c r="R719" s="11" t="s">
        <v>126</v>
      </c>
      <c r="S719" s="11" t="s">
        <v>77</v>
      </c>
      <c r="T719" s="11"/>
    </row>
    <row r="720" spans="1:20" s="14" customFormat="1" ht="24" customHeight="1">
      <c r="A720" s="15"/>
      <c r="B720" s="11" t="s">
        <v>947</v>
      </c>
      <c r="C720" s="11" t="s">
        <v>948</v>
      </c>
      <c r="D720" s="11" t="s">
        <v>131</v>
      </c>
      <c r="E720" s="9">
        <v>40</v>
      </c>
      <c r="F720" s="9"/>
      <c r="G720" s="11" t="s">
        <v>32</v>
      </c>
      <c r="H720" s="11" t="s">
        <v>41</v>
      </c>
      <c r="I720" s="11"/>
      <c r="J720" s="11"/>
      <c r="K720" s="11"/>
      <c r="L720" s="12"/>
      <c r="M720" s="12"/>
      <c r="N720" s="24">
        <v>43556</v>
      </c>
      <c r="O720" s="11" t="s">
        <v>938</v>
      </c>
      <c r="P720" s="11" t="s">
        <v>125</v>
      </c>
      <c r="Q720" s="11">
        <v>15711296788</v>
      </c>
      <c r="R720" s="11" t="s">
        <v>126</v>
      </c>
      <c r="S720" s="11" t="s">
        <v>77</v>
      </c>
      <c r="T720" s="11"/>
    </row>
    <row r="721" spans="1:20" s="14" customFormat="1" ht="24" customHeight="1">
      <c r="A721" s="15"/>
      <c r="B721" s="11" t="s">
        <v>947</v>
      </c>
      <c r="C721" s="11" t="s">
        <v>949</v>
      </c>
      <c r="D721" s="11" t="s">
        <v>131</v>
      </c>
      <c r="E721" s="9">
        <v>188</v>
      </c>
      <c r="F721" s="9"/>
      <c r="G721" s="11" t="s">
        <v>32</v>
      </c>
      <c r="H721" s="11" t="s">
        <v>41</v>
      </c>
      <c r="I721" s="11"/>
      <c r="J721" s="11"/>
      <c r="K721" s="11"/>
      <c r="L721" s="12"/>
      <c r="M721" s="12"/>
      <c r="N721" s="24">
        <v>43556</v>
      </c>
      <c r="O721" s="11" t="s">
        <v>938</v>
      </c>
      <c r="P721" s="11" t="s">
        <v>125</v>
      </c>
      <c r="Q721" s="11">
        <v>15711296788</v>
      </c>
      <c r="R721" s="11" t="s">
        <v>126</v>
      </c>
      <c r="S721" s="11" t="s">
        <v>77</v>
      </c>
      <c r="T721" s="11"/>
    </row>
    <row r="722" spans="1:20" s="14" customFormat="1" ht="24" customHeight="1">
      <c r="A722" s="15"/>
      <c r="B722" s="11" t="s">
        <v>950</v>
      </c>
      <c r="C722" s="11" t="s">
        <v>951</v>
      </c>
      <c r="D722" s="11" t="s">
        <v>31</v>
      </c>
      <c r="E722" s="9">
        <v>445</v>
      </c>
      <c r="F722" s="9"/>
      <c r="G722" s="11" t="s">
        <v>32</v>
      </c>
      <c r="H722" s="11" t="s">
        <v>41</v>
      </c>
      <c r="I722" s="11"/>
      <c r="J722" s="11"/>
      <c r="K722" s="11"/>
      <c r="L722" s="12"/>
      <c r="M722" s="12"/>
      <c r="N722" s="24">
        <v>43556</v>
      </c>
      <c r="O722" s="11" t="s">
        <v>938</v>
      </c>
      <c r="P722" s="11" t="s">
        <v>125</v>
      </c>
      <c r="Q722" s="11">
        <v>15711296788</v>
      </c>
      <c r="R722" s="11" t="s">
        <v>126</v>
      </c>
      <c r="S722" s="11" t="s">
        <v>77</v>
      </c>
      <c r="T722" s="11"/>
    </row>
    <row r="723" spans="1:20" s="14" customFormat="1" ht="24" customHeight="1">
      <c r="A723" s="15"/>
      <c r="B723" s="11" t="s">
        <v>939</v>
      </c>
      <c r="C723" s="11"/>
      <c r="D723" s="11" t="s">
        <v>131</v>
      </c>
      <c r="E723" s="9">
        <v>50</v>
      </c>
      <c r="F723" s="9"/>
      <c r="G723" s="11" t="s">
        <v>32</v>
      </c>
      <c r="H723" s="11" t="s">
        <v>41</v>
      </c>
      <c r="I723" s="11"/>
      <c r="J723" s="11"/>
      <c r="K723" s="11"/>
      <c r="L723" s="12"/>
      <c r="M723" s="12"/>
      <c r="N723" s="24">
        <v>43556</v>
      </c>
      <c r="O723" s="11" t="s">
        <v>938</v>
      </c>
      <c r="P723" s="11" t="s">
        <v>125</v>
      </c>
      <c r="Q723" s="11">
        <v>15711296788</v>
      </c>
      <c r="R723" s="11" t="s">
        <v>126</v>
      </c>
      <c r="S723" s="11" t="s">
        <v>77</v>
      </c>
      <c r="T723" s="11"/>
    </row>
    <row r="724" spans="1:20" s="14" customFormat="1" ht="24" customHeight="1">
      <c r="A724" s="15"/>
      <c r="B724" s="11" t="s">
        <v>952</v>
      </c>
      <c r="C724" s="11" t="s">
        <v>953</v>
      </c>
      <c r="D724" s="11" t="s">
        <v>31</v>
      </c>
      <c r="E724" s="9">
        <v>122</v>
      </c>
      <c r="F724" s="9"/>
      <c r="G724" s="11" t="s">
        <v>32</v>
      </c>
      <c r="H724" s="11" t="s">
        <v>41</v>
      </c>
      <c r="I724" s="11"/>
      <c r="J724" s="11"/>
      <c r="K724" s="11"/>
      <c r="L724" s="12"/>
      <c r="M724" s="12"/>
      <c r="N724" s="24">
        <v>43556</v>
      </c>
      <c r="O724" s="11" t="s">
        <v>938</v>
      </c>
      <c r="P724" s="11" t="s">
        <v>125</v>
      </c>
      <c r="Q724" s="11">
        <v>15711296788</v>
      </c>
      <c r="R724" s="11" t="s">
        <v>126</v>
      </c>
      <c r="S724" s="11" t="s">
        <v>77</v>
      </c>
      <c r="T724" s="11"/>
    </row>
    <row r="725" spans="1:20" s="14" customFormat="1" ht="24" customHeight="1">
      <c r="A725" s="15"/>
      <c r="B725" s="11" t="s">
        <v>954</v>
      </c>
      <c r="C725" s="11" t="s">
        <v>955</v>
      </c>
      <c r="D725" s="11" t="s">
        <v>131</v>
      </c>
      <c r="E725" s="9">
        <v>500</v>
      </c>
      <c r="F725" s="9"/>
      <c r="G725" s="11" t="s">
        <v>32</v>
      </c>
      <c r="H725" s="11" t="s">
        <v>41</v>
      </c>
      <c r="I725" s="11"/>
      <c r="J725" s="11"/>
      <c r="K725" s="11"/>
      <c r="L725" s="12"/>
      <c r="M725" s="12"/>
      <c r="N725" s="24">
        <v>43556</v>
      </c>
      <c r="O725" s="11" t="s">
        <v>938</v>
      </c>
      <c r="P725" s="11" t="s">
        <v>125</v>
      </c>
      <c r="Q725" s="11">
        <v>15711296788</v>
      </c>
      <c r="R725" s="11" t="s">
        <v>126</v>
      </c>
      <c r="S725" s="11" t="s">
        <v>77</v>
      </c>
      <c r="T725" s="11"/>
    </row>
    <row r="726" spans="1:20" s="14" customFormat="1" ht="24" customHeight="1">
      <c r="A726" s="15"/>
      <c r="B726" s="11" t="s">
        <v>634</v>
      </c>
      <c r="C726" s="11" t="s">
        <v>956</v>
      </c>
      <c r="D726" s="11" t="s">
        <v>131</v>
      </c>
      <c r="E726" s="9">
        <v>3200</v>
      </c>
      <c r="F726" s="9"/>
      <c r="G726" s="11" t="s">
        <v>32</v>
      </c>
      <c r="H726" s="11" t="s">
        <v>41</v>
      </c>
      <c r="I726" s="11"/>
      <c r="J726" s="11"/>
      <c r="K726" s="11"/>
      <c r="L726" s="12"/>
      <c r="M726" s="12"/>
      <c r="N726" s="24">
        <v>43556</v>
      </c>
      <c r="O726" s="11" t="s">
        <v>938</v>
      </c>
      <c r="P726" s="11" t="s">
        <v>125</v>
      </c>
      <c r="Q726" s="11">
        <v>15711296788</v>
      </c>
      <c r="R726" s="11" t="s">
        <v>126</v>
      </c>
      <c r="S726" s="11" t="s">
        <v>77</v>
      </c>
      <c r="T726" s="11"/>
    </row>
    <row r="727" spans="1:20" s="14" customFormat="1" ht="24" customHeight="1">
      <c r="A727" s="15"/>
      <c r="B727" s="11" t="s">
        <v>634</v>
      </c>
      <c r="C727" s="11" t="s">
        <v>957</v>
      </c>
      <c r="D727" s="11" t="s">
        <v>131</v>
      </c>
      <c r="E727" s="9">
        <v>2700</v>
      </c>
      <c r="F727" s="9"/>
      <c r="G727" s="11" t="s">
        <v>32</v>
      </c>
      <c r="H727" s="11" t="s">
        <v>41</v>
      </c>
      <c r="I727" s="11"/>
      <c r="J727" s="11"/>
      <c r="K727" s="11"/>
      <c r="L727" s="12"/>
      <c r="M727" s="12"/>
      <c r="N727" s="24">
        <v>43556</v>
      </c>
      <c r="O727" s="11" t="s">
        <v>938</v>
      </c>
      <c r="P727" s="11" t="s">
        <v>125</v>
      </c>
      <c r="Q727" s="11">
        <v>15711296788</v>
      </c>
      <c r="R727" s="11" t="s">
        <v>126</v>
      </c>
      <c r="S727" s="11" t="s">
        <v>77</v>
      </c>
      <c r="T727" s="11"/>
    </row>
    <row r="728" spans="1:20" s="14" customFormat="1" ht="24" customHeight="1">
      <c r="A728" s="15"/>
      <c r="B728" s="11" t="s">
        <v>634</v>
      </c>
      <c r="C728" s="11" t="s">
        <v>958</v>
      </c>
      <c r="D728" s="11" t="s">
        <v>131</v>
      </c>
      <c r="E728" s="9">
        <v>2180</v>
      </c>
      <c r="F728" s="9"/>
      <c r="G728" s="11" t="s">
        <v>32</v>
      </c>
      <c r="H728" s="11" t="s">
        <v>41</v>
      </c>
      <c r="I728" s="11"/>
      <c r="J728" s="11"/>
      <c r="K728" s="11"/>
      <c r="L728" s="12"/>
      <c r="M728" s="12"/>
      <c r="N728" s="24">
        <v>43556</v>
      </c>
      <c r="O728" s="11" t="s">
        <v>938</v>
      </c>
      <c r="P728" s="11" t="s">
        <v>125</v>
      </c>
      <c r="Q728" s="11">
        <v>15711296788</v>
      </c>
      <c r="R728" s="11" t="s">
        <v>126</v>
      </c>
      <c r="S728" s="11" t="s">
        <v>77</v>
      </c>
      <c r="T728" s="11"/>
    </row>
    <row r="729" spans="1:20" s="14" customFormat="1" ht="24" customHeight="1">
      <c r="A729" s="15"/>
      <c r="B729" s="11" t="s">
        <v>634</v>
      </c>
      <c r="C729" s="11" t="s">
        <v>959</v>
      </c>
      <c r="D729" s="11" t="s">
        <v>131</v>
      </c>
      <c r="E729" s="9">
        <v>2430</v>
      </c>
      <c r="F729" s="9"/>
      <c r="G729" s="11" t="s">
        <v>32</v>
      </c>
      <c r="H729" s="11" t="s">
        <v>41</v>
      </c>
      <c r="I729" s="11"/>
      <c r="J729" s="11"/>
      <c r="K729" s="11"/>
      <c r="L729" s="12"/>
      <c r="M729" s="12"/>
      <c r="N729" s="24">
        <v>43556</v>
      </c>
      <c r="O729" s="11" t="s">
        <v>938</v>
      </c>
      <c r="P729" s="11" t="s">
        <v>125</v>
      </c>
      <c r="Q729" s="11">
        <v>15711296788</v>
      </c>
      <c r="R729" s="11" t="s">
        <v>126</v>
      </c>
      <c r="S729" s="11" t="s">
        <v>77</v>
      </c>
      <c r="T729" s="11"/>
    </row>
    <row r="730" spans="1:20" s="14" customFormat="1" ht="24" customHeight="1">
      <c r="A730" s="15"/>
      <c r="B730" s="11" t="s">
        <v>634</v>
      </c>
      <c r="C730" s="11" t="s">
        <v>960</v>
      </c>
      <c r="D730" s="11" t="s">
        <v>131</v>
      </c>
      <c r="E730" s="9">
        <v>1800</v>
      </c>
      <c r="F730" s="9"/>
      <c r="G730" s="11" t="s">
        <v>32</v>
      </c>
      <c r="H730" s="11" t="s">
        <v>41</v>
      </c>
      <c r="I730" s="11"/>
      <c r="J730" s="11"/>
      <c r="K730" s="11"/>
      <c r="L730" s="12"/>
      <c r="M730" s="12"/>
      <c r="N730" s="24">
        <v>43556</v>
      </c>
      <c r="O730" s="11" t="s">
        <v>938</v>
      </c>
      <c r="P730" s="11" t="s">
        <v>125</v>
      </c>
      <c r="Q730" s="11">
        <v>15711296788</v>
      </c>
      <c r="R730" s="11" t="s">
        <v>126</v>
      </c>
      <c r="S730" s="11" t="s">
        <v>77</v>
      </c>
      <c r="T730" s="11"/>
    </row>
    <row r="731" spans="1:20" s="14" customFormat="1" ht="24" customHeight="1">
      <c r="A731" s="15"/>
      <c r="B731" s="11" t="s">
        <v>961</v>
      </c>
      <c r="C731" s="11" t="s">
        <v>962</v>
      </c>
      <c r="D731" s="11" t="s">
        <v>131</v>
      </c>
      <c r="E731" s="9">
        <v>2500</v>
      </c>
      <c r="F731" s="9"/>
      <c r="G731" s="11" t="s">
        <v>32</v>
      </c>
      <c r="H731" s="11" t="s">
        <v>41</v>
      </c>
      <c r="I731" s="11"/>
      <c r="J731" s="11"/>
      <c r="K731" s="11"/>
      <c r="L731" s="12"/>
      <c r="M731" s="12"/>
      <c r="N731" s="24">
        <v>43556</v>
      </c>
      <c r="O731" s="11" t="s">
        <v>938</v>
      </c>
      <c r="P731" s="11" t="s">
        <v>125</v>
      </c>
      <c r="Q731" s="11">
        <v>15711296788</v>
      </c>
      <c r="R731" s="11" t="s">
        <v>126</v>
      </c>
      <c r="S731" s="11" t="s">
        <v>77</v>
      </c>
      <c r="T731" s="11"/>
    </row>
    <row r="732" spans="1:20" s="14" customFormat="1" ht="24" customHeight="1">
      <c r="A732" s="15"/>
      <c r="B732" s="11" t="s">
        <v>961</v>
      </c>
      <c r="C732" s="11" t="s">
        <v>963</v>
      </c>
      <c r="D732" s="11" t="s">
        <v>131</v>
      </c>
      <c r="E732" s="9">
        <v>2700</v>
      </c>
      <c r="F732" s="9"/>
      <c r="G732" s="11" t="s">
        <v>32</v>
      </c>
      <c r="H732" s="11" t="s">
        <v>41</v>
      </c>
      <c r="I732" s="11"/>
      <c r="J732" s="11"/>
      <c r="K732" s="11"/>
      <c r="L732" s="12"/>
      <c r="M732" s="12"/>
      <c r="N732" s="24">
        <v>43556</v>
      </c>
      <c r="O732" s="11" t="s">
        <v>938</v>
      </c>
      <c r="P732" s="11" t="s">
        <v>125</v>
      </c>
      <c r="Q732" s="11">
        <v>15711296788</v>
      </c>
      <c r="R732" s="11" t="s">
        <v>126</v>
      </c>
      <c r="S732" s="11" t="s">
        <v>77</v>
      </c>
      <c r="T732" s="11"/>
    </row>
    <row r="733" spans="1:20" s="14" customFormat="1" ht="24" customHeight="1">
      <c r="A733" s="15"/>
      <c r="B733" s="11" t="s">
        <v>961</v>
      </c>
      <c r="C733" s="11" t="s">
        <v>964</v>
      </c>
      <c r="D733" s="11" t="s">
        <v>131</v>
      </c>
      <c r="E733" s="9">
        <v>2200</v>
      </c>
      <c r="F733" s="9"/>
      <c r="G733" s="11" t="s">
        <v>32</v>
      </c>
      <c r="H733" s="11" t="s">
        <v>41</v>
      </c>
      <c r="I733" s="11"/>
      <c r="J733" s="11"/>
      <c r="K733" s="11"/>
      <c r="L733" s="12"/>
      <c r="M733" s="12"/>
      <c r="N733" s="24">
        <v>43556</v>
      </c>
      <c r="O733" s="11" t="s">
        <v>938</v>
      </c>
      <c r="P733" s="11" t="s">
        <v>125</v>
      </c>
      <c r="Q733" s="11">
        <v>15711296788</v>
      </c>
      <c r="R733" s="11" t="s">
        <v>126</v>
      </c>
      <c r="S733" s="11" t="s">
        <v>77</v>
      </c>
      <c r="T733" s="11"/>
    </row>
    <row r="734" spans="1:20" s="14" customFormat="1" ht="24" customHeight="1">
      <c r="A734" s="15"/>
      <c r="B734" s="11" t="s">
        <v>961</v>
      </c>
      <c r="C734" s="11" t="s">
        <v>965</v>
      </c>
      <c r="D734" s="11" t="s">
        <v>131</v>
      </c>
      <c r="E734" s="9">
        <v>1000</v>
      </c>
      <c r="F734" s="9"/>
      <c r="G734" s="11" t="s">
        <v>32</v>
      </c>
      <c r="H734" s="11" t="s">
        <v>41</v>
      </c>
      <c r="I734" s="11"/>
      <c r="J734" s="11"/>
      <c r="K734" s="11"/>
      <c r="L734" s="12"/>
      <c r="M734" s="12"/>
      <c r="N734" s="24">
        <v>43556</v>
      </c>
      <c r="O734" s="11" t="s">
        <v>938</v>
      </c>
      <c r="P734" s="11" t="s">
        <v>125</v>
      </c>
      <c r="Q734" s="11">
        <v>15711296788</v>
      </c>
      <c r="R734" s="11" t="s">
        <v>126</v>
      </c>
      <c r="S734" s="11" t="s">
        <v>77</v>
      </c>
      <c r="T734" s="11"/>
    </row>
    <row r="735" spans="1:20" s="14" customFormat="1" ht="24" customHeight="1">
      <c r="A735" s="15"/>
      <c r="B735" s="11" t="s">
        <v>961</v>
      </c>
      <c r="C735" s="11" t="s">
        <v>966</v>
      </c>
      <c r="D735" s="11" t="s">
        <v>131</v>
      </c>
      <c r="E735" s="9">
        <v>1800</v>
      </c>
      <c r="F735" s="9"/>
      <c r="G735" s="11" t="s">
        <v>32</v>
      </c>
      <c r="H735" s="11" t="s">
        <v>41</v>
      </c>
      <c r="I735" s="11"/>
      <c r="J735" s="11"/>
      <c r="K735" s="11"/>
      <c r="L735" s="12"/>
      <c r="M735" s="12"/>
      <c r="N735" s="24">
        <v>43556</v>
      </c>
      <c r="O735" s="11" t="s">
        <v>938</v>
      </c>
      <c r="P735" s="11" t="s">
        <v>125</v>
      </c>
      <c r="Q735" s="11">
        <v>15711296788</v>
      </c>
      <c r="R735" s="11" t="s">
        <v>126</v>
      </c>
      <c r="S735" s="11" t="s">
        <v>77</v>
      </c>
      <c r="T735" s="11"/>
    </row>
    <row r="736" spans="1:20" s="14" customFormat="1" ht="24" customHeight="1">
      <c r="A736" s="15"/>
      <c r="B736" s="11" t="s">
        <v>634</v>
      </c>
      <c r="C736" s="11" t="s">
        <v>956</v>
      </c>
      <c r="D736" s="11" t="s">
        <v>131</v>
      </c>
      <c r="E736" s="9">
        <v>800</v>
      </c>
      <c r="F736" s="9"/>
      <c r="G736" s="11" t="s">
        <v>32</v>
      </c>
      <c r="H736" s="11" t="s">
        <v>41</v>
      </c>
      <c r="I736" s="11"/>
      <c r="J736" s="11"/>
      <c r="K736" s="11"/>
      <c r="L736" s="12"/>
      <c r="M736" s="12"/>
      <c r="N736" s="24">
        <v>43556</v>
      </c>
      <c r="O736" s="11" t="s">
        <v>938</v>
      </c>
      <c r="P736" s="11" t="s">
        <v>125</v>
      </c>
      <c r="Q736" s="11">
        <v>15711296788</v>
      </c>
      <c r="R736" s="11" t="s">
        <v>126</v>
      </c>
      <c r="S736" s="11" t="s">
        <v>77</v>
      </c>
      <c r="T736" s="11"/>
    </row>
    <row r="737" spans="1:20" s="14" customFormat="1" ht="24" customHeight="1">
      <c r="A737" s="15"/>
      <c r="B737" s="11" t="s">
        <v>967</v>
      </c>
      <c r="C737" s="11" t="s">
        <v>968</v>
      </c>
      <c r="D737" s="11" t="s">
        <v>131</v>
      </c>
      <c r="E737" s="9">
        <v>800</v>
      </c>
      <c r="F737" s="9"/>
      <c r="G737" s="11" t="s">
        <v>32</v>
      </c>
      <c r="H737" s="11" t="s">
        <v>41</v>
      </c>
      <c r="I737" s="11"/>
      <c r="J737" s="11"/>
      <c r="K737" s="11"/>
      <c r="L737" s="12"/>
      <c r="M737" s="12"/>
      <c r="N737" s="24">
        <v>43556</v>
      </c>
      <c r="O737" s="11" t="s">
        <v>938</v>
      </c>
      <c r="P737" s="11" t="s">
        <v>125</v>
      </c>
      <c r="Q737" s="11">
        <v>15711296788</v>
      </c>
      <c r="R737" s="11" t="s">
        <v>126</v>
      </c>
      <c r="S737" s="11" t="s">
        <v>77</v>
      </c>
      <c r="T737" s="11"/>
    </row>
    <row r="738" spans="1:20" s="14" customFormat="1" ht="24" customHeight="1">
      <c r="A738" s="15"/>
      <c r="B738" s="11" t="s">
        <v>969</v>
      </c>
      <c r="C738" s="11" t="s">
        <v>970</v>
      </c>
      <c r="D738" s="11" t="s">
        <v>131</v>
      </c>
      <c r="E738" s="9">
        <v>2500</v>
      </c>
      <c r="F738" s="9"/>
      <c r="G738" s="11" t="s">
        <v>32</v>
      </c>
      <c r="H738" s="11" t="s">
        <v>41</v>
      </c>
      <c r="I738" s="11"/>
      <c r="J738" s="11"/>
      <c r="K738" s="11"/>
      <c r="L738" s="12"/>
      <c r="M738" s="12"/>
      <c r="N738" s="24">
        <v>43556</v>
      </c>
      <c r="O738" s="11" t="s">
        <v>938</v>
      </c>
      <c r="P738" s="11" t="s">
        <v>125</v>
      </c>
      <c r="Q738" s="11">
        <v>15711296788</v>
      </c>
      <c r="R738" s="11" t="s">
        <v>126</v>
      </c>
      <c r="S738" s="11" t="s">
        <v>77</v>
      </c>
      <c r="T738" s="11"/>
    </row>
    <row r="739" spans="1:20" s="14" customFormat="1" ht="24" customHeight="1">
      <c r="A739" s="15"/>
      <c r="B739" s="11" t="s">
        <v>969</v>
      </c>
      <c r="C739" s="11" t="s">
        <v>962</v>
      </c>
      <c r="D739" s="11" t="s">
        <v>131</v>
      </c>
      <c r="E739" s="9">
        <v>1500</v>
      </c>
      <c r="F739" s="9"/>
      <c r="G739" s="11" t="s">
        <v>32</v>
      </c>
      <c r="H739" s="11" t="s">
        <v>41</v>
      </c>
      <c r="I739" s="11"/>
      <c r="J739" s="11"/>
      <c r="K739" s="11"/>
      <c r="L739" s="12"/>
      <c r="M739" s="12"/>
      <c r="N739" s="24">
        <v>43556</v>
      </c>
      <c r="O739" s="11" t="s">
        <v>938</v>
      </c>
      <c r="P739" s="11" t="s">
        <v>125</v>
      </c>
      <c r="Q739" s="11">
        <v>15711296788</v>
      </c>
      <c r="R739" s="11" t="s">
        <v>126</v>
      </c>
      <c r="S739" s="11" t="s">
        <v>77</v>
      </c>
      <c r="T739" s="11"/>
    </row>
    <row r="740" spans="1:20" s="14" customFormat="1" ht="24" customHeight="1">
      <c r="A740" s="15"/>
      <c r="B740" s="11" t="s">
        <v>969</v>
      </c>
      <c r="C740" s="11" t="s">
        <v>963</v>
      </c>
      <c r="D740" s="11" t="s">
        <v>131</v>
      </c>
      <c r="E740" s="9">
        <v>1400</v>
      </c>
      <c r="F740" s="9"/>
      <c r="G740" s="11" t="s">
        <v>32</v>
      </c>
      <c r="H740" s="11" t="s">
        <v>41</v>
      </c>
      <c r="I740" s="11"/>
      <c r="J740" s="11"/>
      <c r="K740" s="11"/>
      <c r="L740" s="12"/>
      <c r="M740" s="12"/>
      <c r="N740" s="24">
        <v>43556</v>
      </c>
      <c r="O740" s="11" t="s">
        <v>938</v>
      </c>
      <c r="P740" s="11" t="s">
        <v>125</v>
      </c>
      <c r="Q740" s="11">
        <v>15711296788</v>
      </c>
      <c r="R740" s="11" t="s">
        <v>126</v>
      </c>
      <c r="S740" s="11" t="s">
        <v>77</v>
      </c>
      <c r="T740" s="11"/>
    </row>
    <row r="741" spans="1:20" s="14" customFormat="1" ht="24" customHeight="1">
      <c r="A741" s="15"/>
      <c r="B741" s="11" t="s">
        <v>969</v>
      </c>
      <c r="C741" s="11" t="s">
        <v>970</v>
      </c>
      <c r="D741" s="11" t="s">
        <v>131</v>
      </c>
      <c r="E741" s="9">
        <v>5600</v>
      </c>
      <c r="F741" s="9"/>
      <c r="G741" s="11" t="s">
        <v>32</v>
      </c>
      <c r="H741" s="11" t="s">
        <v>41</v>
      </c>
      <c r="I741" s="11"/>
      <c r="J741" s="11"/>
      <c r="K741" s="11"/>
      <c r="L741" s="12"/>
      <c r="M741" s="12"/>
      <c r="N741" s="24">
        <v>43556</v>
      </c>
      <c r="O741" s="11" t="s">
        <v>938</v>
      </c>
      <c r="P741" s="11" t="s">
        <v>125</v>
      </c>
      <c r="Q741" s="11">
        <v>15711296788</v>
      </c>
      <c r="R741" s="11" t="s">
        <v>126</v>
      </c>
      <c r="S741" s="11" t="s">
        <v>77</v>
      </c>
      <c r="T741" s="11"/>
    </row>
    <row r="742" spans="1:20" s="14" customFormat="1" ht="24" customHeight="1">
      <c r="A742" s="15"/>
      <c r="B742" s="11" t="s">
        <v>969</v>
      </c>
      <c r="C742" s="11" t="s">
        <v>971</v>
      </c>
      <c r="D742" s="11" t="s">
        <v>131</v>
      </c>
      <c r="E742" s="9">
        <v>6100</v>
      </c>
      <c r="F742" s="9"/>
      <c r="G742" s="11" t="s">
        <v>32</v>
      </c>
      <c r="H742" s="11" t="s">
        <v>41</v>
      </c>
      <c r="I742" s="11"/>
      <c r="J742" s="11"/>
      <c r="K742" s="11"/>
      <c r="L742" s="12"/>
      <c r="M742" s="12"/>
      <c r="N742" s="24">
        <v>43556</v>
      </c>
      <c r="O742" s="11" t="s">
        <v>938</v>
      </c>
      <c r="P742" s="11" t="s">
        <v>125</v>
      </c>
      <c r="Q742" s="11">
        <v>15711296788</v>
      </c>
      <c r="R742" s="11" t="s">
        <v>126</v>
      </c>
      <c r="S742" s="11" t="s">
        <v>77</v>
      </c>
      <c r="T742" s="11"/>
    </row>
    <row r="743" spans="1:20" s="14" customFormat="1" ht="24" customHeight="1">
      <c r="A743" s="15"/>
      <c r="B743" s="11" t="s">
        <v>961</v>
      </c>
      <c r="C743" s="11" t="s">
        <v>966</v>
      </c>
      <c r="D743" s="11" t="s">
        <v>131</v>
      </c>
      <c r="E743" s="9">
        <v>593</v>
      </c>
      <c r="F743" s="9"/>
      <c r="G743" s="11" t="s">
        <v>32</v>
      </c>
      <c r="H743" s="11" t="s">
        <v>41</v>
      </c>
      <c r="I743" s="11"/>
      <c r="J743" s="11"/>
      <c r="K743" s="11"/>
      <c r="L743" s="12"/>
      <c r="M743" s="12"/>
      <c r="N743" s="24">
        <v>43556</v>
      </c>
      <c r="O743" s="11" t="s">
        <v>938</v>
      </c>
      <c r="P743" s="11" t="s">
        <v>125</v>
      </c>
      <c r="Q743" s="11">
        <v>15711296788</v>
      </c>
      <c r="R743" s="11" t="s">
        <v>126</v>
      </c>
      <c r="S743" s="11" t="s">
        <v>77</v>
      </c>
      <c r="T743" s="11"/>
    </row>
    <row r="744" spans="1:20" s="14" customFormat="1" ht="24" customHeight="1">
      <c r="A744" s="15"/>
      <c r="B744" s="11" t="s">
        <v>961</v>
      </c>
      <c r="C744" s="11" t="s">
        <v>971</v>
      </c>
      <c r="D744" s="11" t="s">
        <v>131</v>
      </c>
      <c r="E744" s="9">
        <v>719</v>
      </c>
      <c r="F744" s="9"/>
      <c r="G744" s="11" t="s">
        <v>32</v>
      </c>
      <c r="H744" s="11" t="s">
        <v>41</v>
      </c>
      <c r="I744" s="11"/>
      <c r="J744" s="11"/>
      <c r="K744" s="11"/>
      <c r="L744" s="12"/>
      <c r="M744" s="12"/>
      <c r="N744" s="24">
        <v>43556</v>
      </c>
      <c r="O744" s="11" t="s">
        <v>938</v>
      </c>
      <c r="P744" s="11" t="s">
        <v>125</v>
      </c>
      <c r="Q744" s="11">
        <v>15711296788</v>
      </c>
      <c r="R744" s="11" t="s">
        <v>126</v>
      </c>
      <c r="S744" s="11" t="s">
        <v>77</v>
      </c>
      <c r="T744" s="11"/>
    </row>
    <row r="745" spans="1:20" s="14" customFormat="1" ht="24" customHeight="1">
      <c r="A745" s="15"/>
      <c r="B745" s="11" t="s">
        <v>961</v>
      </c>
      <c r="C745" s="11" t="s">
        <v>962</v>
      </c>
      <c r="D745" s="11" t="s">
        <v>131</v>
      </c>
      <c r="E745" s="9">
        <v>700</v>
      </c>
      <c r="F745" s="9"/>
      <c r="G745" s="11" t="s">
        <v>32</v>
      </c>
      <c r="H745" s="11" t="s">
        <v>41</v>
      </c>
      <c r="I745" s="11"/>
      <c r="J745" s="11"/>
      <c r="K745" s="11"/>
      <c r="L745" s="12"/>
      <c r="M745" s="12"/>
      <c r="N745" s="24">
        <v>43556</v>
      </c>
      <c r="O745" s="11" t="s">
        <v>938</v>
      </c>
      <c r="P745" s="11" t="s">
        <v>125</v>
      </c>
      <c r="Q745" s="11">
        <v>15711296788</v>
      </c>
      <c r="R745" s="11" t="s">
        <v>126</v>
      </c>
      <c r="S745" s="11" t="s">
        <v>77</v>
      </c>
      <c r="T745" s="11"/>
    </row>
    <row r="746" spans="1:20" s="14" customFormat="1" ht="24" customHeight="1">
      <c r="A746" s="15"/>
      <c r="B746" s="11" t="s">
        <v>961</v>
      </c>
      <c r="C746" s="11" t="s">
        <v>966</v>
      </c>
      <c r="D746" s="11" t="s">
        <v>131</v>
      </c>
      <c r="E746" s="9">
        <v>389</v>
      </c>
      <c r="F746" s="9"/>
      <c r="G746" s="11" t="s">
        <v>32</v>
      </c>
      <c r="H746" s="11" t="s">
        <v>41</v>
      </c>
      <c r="I746" s="11"/>
      <c r="J746" s="11"/>
      <c r="K746" s="11"/>
      <c r="L746" s="12"/>
      <c r="M746" s="12"/>
      <c r="N746" s="24">
        <v>43556</v>
      </c>
      <c r="O746" s="11" t="s">
        <v>938</v>
      </c>
      <c r="P746" s="11" t="s">
        <v>125</v>
      </c>
      <c r="Q746" s="11">
        <v>15711296788</v>
      </c>
      <c r="R746" s="11" t="s">
        <v>126</v>
      </c>
      <c r="S746" s="11" t="s">
        <v>77</v>
      </c>
      <c r="T746" s="11"/>
    </row>
    <row r="747" spans="1:20" s="14" customFormat="1" ht="24" customHeight="1">
      <c r="A747" s="15"/>
      <c r="B747" s="11" t="s">
        <v>961</v>
      </c>
      <c r="C747" s="11" t="s">
        <v>964</v>
      </c>
      <c r="D747" s="11" t="s">
        <v>131</v>
      </c>
      <c r="E747" s="9">
        <v>115</v>
      </c>
      <c r="F747" s="9"/>
      <c r="G747" s="11" t="s">
        <v>32</v>
      </c>
      <c r="H747" s="11" t="s">
        <v>41</v>
      </c>
      <c r="I747" s="11"/>
      <c r="J747" s="11"/>
      <c r="K747" s="11"/>
      <c r="L747" s="12"/>
      <c r="M747" s="12"/>
      <c r="N747" s="24">
        <v>43556</v>
      </c>
      <c r="O747" s="11" t="s">
        <v>938</v>
      </c>
      <c r="P747" s="11" t="s">
        <v>125</v>
      </c>
      <c r="Q747" s="11">
        <v>15711296788</v>
      </c>
      <c r="R747" s="11" t="s">
        <v>126</v>
      </c>
      <c r="S747" s="11" t="s">
        <v>77</v>
      </c>
      <c r="T747" s="11"/>
    </row>
    <row r="748" spans="1:20" s="14" customFormat="1" ht="24" customHeight="1">
      <c r="A748" s="15"/>
      <c r="B748" s="11" t="s">
        <v>961</v>
      </c>
      <c r="C748" s="11" t="s">
        <v>963</v>
      </c>
      <c r="D748" s="11" t="s">
        <v>131</v>
      </c>
      <c r="E748" s="9">
        <v>175</v>
      </c>
      <c r="F748" s="9"/>
      <c r="G748" s="11" t="s">
        <v>32</v>
      </c>
      <c r="H748" s="11" t="s">
        <v>41</v>
      </c>
      <c r="I748" s="11"/>
      <c r="J748" s="11"/>
      <c r="K748" s="11"/>
      <c r="L748" s="12"/>
      <c r="M748" s="12"/>
      <c r="N748" s="24">
        <v>43556</v>
      </c>
      <c r="O748" s="11" t="s">
        <v>938</v>
      </c>
      <c r="P748" s="11" t="s">
        <v>125</v>
      </c>
      <c r="Q748" s="11">
        <v>15711296788</v>
      </c>
      <c r="R748" s="11" t="s">
        <v>126</v>
      </c>
      <c r="S748" s="11" t="s">
        <v>77</v>
      </c>
      <c r="T748" s="11"/>
    </row>
    <row r="749" spans="1:20" s="14" customFormat="1" ht="24" customHeight="1">
      <c r="A749" s="15"/>
      <c r="B749" s="11" t="s">
        <v>961</v>
      </c>
      <c r="C749" s="11" t="s">
        <v>965</v>
      </c>
      <c r="D749" s="11" t="s">
        <v>131</v>
      </c>
      <c r="E749" s="9">
        <v>88</v>
      </c>
      <c r="F749" s="9"/>
      <c r="G749" s="11" t="s">
        <v>32</v>
      </c>
      <c r="H749" s="11" t="s">
        <v>41</v>
      </c>
      <c r="I749" s="11"/>
      <c r="J749" s="11"/>
      <c r="K749" s="11"/>
      <c r="L749" s="12"/>
      <c r="M749" s="12"/>
      <c r="N749" s="24">
        <v>43556</v>
      </c>
      <c r="O749" s="11" t="s">
        <v>938</v>
      </c>
      <c r="P749" s="11" t="s">
        <v>125</v>
      </c>
      <c r="Q749" s="11">
        <v>15711296788</v>
      </c>
      <c r="R749" s="11" t="s">
        <v>126</v>
      </c>
      <c r="S749" s="11" t="s">
        <v>77</v>
      </c>
      <c r="T749" s="11"/>
    </row>
    <row r="750" spans="1:20" s="14" customFormat="1" ht="24" customHeight="1">
      <c r="A750" s="15"/>
      <c r="B750" s="11" t="s">
        <v>961</v>
      </c>
      <c r="C750" s="11" t="s">
        <v>970</v>
      </c>
      <c r="D750" s="11" t="s">
        <v>131</v>
      </c>
      <c r="E750" s="9">
        <v>710</v>
      </c>
      <c r="F750" s="9"/>
      <c r="G750" s="11" t="s">
        <v>32</v>
      </c>
      <c r="H750" s="11" t="s">
        <v>41</v>
      </c>
      <c r="I750" s="11"/>
      <c r="J750" s="11"/>
      <c r="K750" s="11"/>
      <c r="L750" s="12"/>
      <c r="M750" s="12"/>
      <c r="N750" s="24">
        <v>43556</v>
      </c>
      <c r="O750" s="11" t="s">
        <v>938</v>
      </c>
      <c r="P750" s="11" t="s">
        <v>125</v>
      </c>
      <c r="Q750" s="11">
        <v>15711296788</v>
      </c>
      <c r="R750" s="11" t="s">
        <v>126</v>
      </c>
      <c r="S750" s="11" t="s">
        <v>77</v>
      </c>
      <c r="T750" s="11"/>
    </row>
    <row r="751" spans="1:20" s="14" customFormat="1" ht="24" customHeight="1">
      <c r="A751" s="15"/>
      <c r="B751" s="11" t="s">
        <v>969</v>
      </c>
      <c r="C751" s="11" t="s">
        <v>968</v>
      </c>
      <c r="D751" s="11" t="s">
        <v>131</v>
      </c>
      <c r="E751" s="9">
        <v>190</v>
      </c>
      <c r="F751" s="9"/>
      <c r="G751" s="11" t="s">
        <v>32</v>
      </c>
      <c r="H751" s="11" t="s">
        <v>41</v>
      </c>
      <c r="I751" s="11"/>
      <c r="J751" s="11"/>
      <c r="K751" s="11"/>
      <c r="L751" s="12"/>
      <c r="M751" s="12"/>
      <c r="N751" s="24">
        <v>43556</v>
      </c>
      <c r="O751" s="11" t="s">
        <v>938</v>
      </c>
      <c r="P751" s="11" t="s">
        <v>125</v>
      </c>
      <c r="Q751" s="11">
        <v>15711296788</v>
      </c>
      <c r="R751" s="11" t="s">
        <v>126</v>
      </c>
      <c r="S751" s="11" t="s">
        <v>77</v>
      </c>
      <c r="T751" s="11"/>
    </row>
    <row r="752" spans="1:20" s="14" customFormat="1" ht="24" customHeight="1">
      <c r="A752" s="15"/>
      <c r="B752" s="11" t="s">
        <v>969</v>
      </c>
      <c r="C752" s="11" t="s">
        <v>972</v>
      </c>
      <c r="D752" s="11" t="s">
        <v>131</v>
      </c>
      <c r="E752" s="9">
        <v>290</v>
      </c>
      <c r="F752" s="9"/>
      <c r="G752" s="11" t="s">
        <v>32</v>
      </c>
      <c r="H752" s="11" t="s">
        <v>41</v>
      </c>
      <c r="I752" s="11"/>
      <c r="J752" s="11"/>
      <c r="K752" s="11"/>
      <c r="L752" s="12"/>
      <c r="M752" s="12"/>
      <c r="N752" s="24">
        <v>43556</v>
      </c>
      <c r="O752" s="11" t="s">
        <v>938</v>
      </c>
      <c r="P752" s="11" t="s">
        <v>125</v>
      </c>
      <c r="Q752" s="11">
        <v>15711296788</v>
      </c>
      <c r="R752" s="11" t="s">
        <v>126</v>
      </c>
      <c r="S752" s="11" t="s">
        <v>77</v>
      </c>
      <c r="T752" s="11"/>
    </row>
    <row r="753" spans="1:20" s="14" customFormat="1" ht="24" customHeight="1">
      <c r="A753" s="15"/>
      <c r="B753" s="11" t="s">
        <v>969</v>
      </c>
      <c r="C753" s="11" t="s">
        <v>973</v>
      </c>
      <c r="D753" s="11" t="s">
        <v>131</v>
      </c>
      <c r="E753" s="9">
        <v>39</v>
      </c>
      <c r="F753" s="9"/>
      <c r="G753" s="11" t="s">
        <v>32</v>
      </c>
      <c r="H753" s="11" t="s">
        <v>41</v>
      </c>
      <c r="I753" s="11"/>
      <c r="J753" s="11"/>
      <c r="K753" s="11"/>
      <c r="L753" s="12"/>
      <c r="M753" s="12"/>
      <c r="N753" s="24">
        <v>43556</v>
      </c>
      <c r="O753" s="11" t="s">
        <v>938</v>
      </c>
      <c r="P753" s="11" t="s">
        <v>125</v>
      </c>
      <c r="Q753" s="11">
        <v>15711296788</v>
      </c>
      <c r="R753" s="11" t="s">
        <v>126</v>
      </c>
      <c r="S753" s="11" t="s">
        <v>77</v>
      </c>
      <c r="T753" s="11"/>
    </row>
    <row r="754" spans="1:20" s="14" customFormat="1" ht="24" customHeight="1">
      <c r="A754" s="15"/>
      <c r="B754" s="11" t="s">
        <v>950</v>
      </c>
      <c r="C754" s="11" t="s">
        <v>974</v>
      </c>
      <c r="D754" s="11" t="s">
        <v>31</v>
      </c>
      <c r="E754" s="9">
        <v>116</v>
      </c>
      <c r="F754" s="9"/>
      <c r="G754" s="11" t="s">
        <v>32</v>
      </c>
      <c r="H754" s="11" t="s">
        <v>41</v>
      </c>
      <c r="I754" s="11"/>
      <c r="J754" s="11"/>
      <c r="K754" s="11"/>
      <c r="L754" s="12"/>
      <c r="M754" s="12"/>
      <c r="N754" s="24">
        <v>43556</v>
      </c>
      <c r="O754" s="11" t="s">
        <v>938</v>
      </c>
      <c r="P754" s="11" t="s">
        <v>125</v>
      </c>
      <c r="Q754" s="11">
        <v>15711296788</v>
      </c>
      <c r="R754" s="11" t="s">
        <v>126</v>
      </c>
      <c r="S754" s="11" t="s">
        <v>77</v>
      </c>
      <c r="T754" s="11"/>
    </row>
    <row r="755" spans="1:20" s="14" customFormat="1" ht="24" customHeight="1">
      <c r="A755" s="15"/>
      <c r="B755" s="11" t="s">
        <v>952</v>
      </c>
      <c r="C755" s="11" t="s">
        <v>975</v>
      </c>
      <c r="D755" s="11" t="s">
        <v>31</v>
      </c>
      <c r="E755" s="9">
        <v>300</v>
      </c>
      <c r="F755" s="9"/>
      <c r="G755" s="11" t="s">
        <v>32</v>
      </c>
      <c r="H755" s="11" t="s">
        <v>41</v>
      </c>
      <c r="I755" s="11"/>
      <c r="J755" s="11"/>
      <c r="K755" s="11"/>
      <c r="L755" s="12"/>
      <c r="M755" s="12"/>
      <c r="N755" s="24">
        <v>43556</v>
      </c>
      <c r="O755" s="11" t="s">
        <v>938</v>
      </c>
      <c r="P755" s="11" t="s">
        <v>125</v>
      </c>
      <c r="Q755" s="11">
        <v>15711296788</v>
      </c>
      <c r="R755" s="11" t="s">
        <v>126</v>
      </c>
      <c r="S755" s="11" t="s">
        <v>77</v>
      </c>
      <c r="T755" s="11"/>
    </row>
    <row r="756" spans="1:20" s="14" customFormat="1" ht="24" customHeight="1">
      <c r="A756" s="15"/>
      <c r="B756" s="11" t="s">
        <v>976</v>
      </c>
      <c r="C756" s="11" t="s">
        <v>968</v>
      </c>
      <c r="D756" s="11" t="s">
        <v>31</v>
      </c>
      <c r="E756" s="9">
        <v>100</v>
      </c>
      <c r="F756" s="9"/>
      <c r="G756" s="11" t="s">
        <v>32</v>
      </c>
      <c r="H756" s="11" t="s">
        <v>41</v>
      </c>
      <c r="I756" s="11"/>
      <c r="J756" s="11"/>
      <c r="K756" s="11"/>
      <c r="L756" s="12"/>
      <c r="M756" s="12"/>
      <c r="N756" s="24">
        <v>43556</v>
      </c>
      <c r="O756" s="11" t="s">
        <v>938</v>
      </c>
      <c r="P756" s="11" t="s">
        <v>125</v>
      </c>
      <c r="Q756" s="11">
        <v>15711296788</v>
      </c>
      <c r="R756" s="11" t="s">
        <v>126</v>
      </c>
      <c r="S756" s="11" t="s">
        <v>77</v>
      </c>
      <c r="T756" s="11"/>
    </row>
    <row r="757" spans="1:20" s="14" customFormat="1" ht="24" customHeight="1">
      <c r="A757" s="15"/>
      <c r="B757" s="11" t="s">
        <v>976</v>
      </c>
      <c r="C757" s="11" t="s">
        <v>972</v>
      </c>
      <c r="D757" s="11" t="s">
        <v>31</v>
      </c>
      <c r="E757" s="9">
        <v>100</v>
      </c>
      <c r="F757" s="9"/>
      <c r="G757" s="11" t="s">
        <v>32</v>
      </c>
      <c r="H757" s="11" t="s">
        <v>41</v>
      </c>
      <c r="I757" s="11"/>
      <c r="J757" s="11"/>
      <c r="K757" s="11"/>
      <c r="L757" s="12"/>
      <c r="M757" s="12"/>
      <c r="N757" s="24">
        <v>43556</v>
      </c>
      <c r="O757" s="11" t="s">
        <v>938</v>
      </c>
      <c r="P757" s="11" t="s">
        <v>125</v>
      </c>
      <c r="Q757" s="11">
        <v>15711296788</v>
      </c>
      <c r="R757" s="11" t="s">
        <v>126</v>
      </c>
      <c r="S757" s="11" t="s">
        <v>77</v>
      </c>
      <c r="T757" s="11"/>
    </row>
    <row r="758" spans="1:20" s="14" customFormat="1" ht="24" customHeight="1">
      <c r="A758" s="15"/>
      <c r="B758" s="11" t="s">
        <v>976</v>
      </c>
      <c r="C758" s="11" t="s">
        <v>973</v>
      </c>
      <c r="D758" s="11" t="s">
        <v>31</v>
      </c>
      <c r="E758" s="9">
        <v>100</v>
      </c>
      <c r="F758" s="9"/>
      <c r="G758" s="11" t="s">
        <v>32</v>
      </c>
      <c r="H758" s="11" t="s">
        <v>41</v>
      </c>
      <c r="I758" s="11"/>
      <c r="J758" s="11"/>
      <c r="K758" s="11"/>
      <c r="L758" s="12"/>
      <c r="M758" s="12"/>
      <c r="N758" s="24">
        <v>43556</v>
      </c>
      <c r="O758" s="11" t="s">
        <v>938</v>
      </c>
      <c r="P758" s="11" t="s">
        <v>125</v>
      </c>
      <c r="Q758" s="11">
        <v>15711296788</v>
      </c>
      <c r="R758" s="11" t="s">
        <v>126</v>
      </c>
      <c r="S758" s="11" t="s">
        <v>77</v>
      </c>
      <c r="T758" s="11"/>
    </row>
    <row r="759" spans="1:20" s="14" customFormat="1" ht="24" customHeight="1">
      <c r="A759" s="15"/>
      <c r="B759" s="11" t="s">
        <v>967</v>
      </c>
      <c r="C759" s="11" t="s">
        <v>968</v>
      </c>
      <c r="D759" s="11" t="s">
        <v>31</v>
      </c>
      <c r="E759" s="9">
        <v>580</v>
      </c>
      <c r="F759" s="9"/>
      <c r="G759" s="11" t="s">
        <v>32</v>
      </c>
      <c r="H759" s="11" t="s">
        <v>41</v>
      </c>
      <c r="I759" s="11"/>
      <c r="J759" s="11"/>
      <c r="K759" s="11"/>
      <c r="L759" s="12"/>
      <c r="M759" s="12"/>
      <c r="N759" s="24">
        <v>43556</v>
      </c>
      <c r="O759" s="11" t="s">
        <v>938</v>
      </c>
      <c r="P759" s="11" t="s">
        <v>125</v>
      </c>
      <c r="Q759" s="11">
        <v>15711296788</v>
      </c>
      <c r="R759" s="11" t="s">
        <v>126</v>
      </c>
      <c r="S759" s="11" t="s">
        <v>77</v>
      </c>
      <c r="T759" s="11"/>
    </row>
    <row r="760" spans="1:20" s="14" customFormat="1" ht="24" customHeight="1">
      <c r="A760" s="15"/>
      <c r="B760" s="11" t="s">
        <v>967</v>
      </c>
      <c r="C760" s="11" t="s">
        <v>972</v>
      </c>
      <c r="D760" s="11" t="s">
        <v>31</v>
      </c>
      <c r="E760" s="9">
        <v>400</v>
      </c>
      <c r="F760" s="9"/>
      <c r="G760" s="11" t="s">
        <v>32</v>
      </c>
      <c r="H760" s="11" t="s">
        <v>41</v>
      </c>
      <c r="I760" s="11"/>
      <c r="J760" s="11"/>
      <c r="K760" s="11"/>
      <c r="L760" s="12"/>
      <c r="M760" s="12"/>
      <c r="N760" s="24">
        <v>43556</v>
      </c>
      <c r="O760" s="11" t="s">
        <v>938</v>
      </c>
      <c r="P760" s="11" t="s">
        <v>125</v>
      </c>
      <c r="Q760" s="11">
        <v>15711296788</v>
      </c>
      <c r="R760" s="11" t="s">
        <v>126</v>
      </c>
      <c r="S760" s="11" t="s">
        <v>77</v>
      </c>
      <c r="T760" s="11"/>
    </row>
    <row r="761" spans="1:20" s="14" customFormat="1" ht="24" customHeight="1">
      <c r="A761" s="15"/>
      <c r="B761" s="11" t="s">
        <v>967</v>
      </c>
      <c r="C761" s="11" t="s">
        <v>973</v>
      </c>
      <c r="D761" s="11" t="s">
        <v>31</v>
      </c>
      <c r="E761" s="9">
        <v>260</v>
      </c>
      <c r="F761" s="9"/>
      <c r="G761" s="11" t="s">
        <v>32</v>
      </c>
      <c r="H761" s="11" t="s">
        <v>41</v>
      </c>
      <c r="I761" s="11"/>
      <c r="J761" s="11"/>
      <c r="K761" s="11"/>
      <c r="L761" s="12"/>
      <c r="M761" s="12"/>
      <c r="N761" s="24">
        <v>43556</v>
      </c>
      <c r="O761" s="11" t="s">
        <v>938</v>
      </c>
      <c r="P761" s="11" t="s">
        <v>125</v>
      </c>
      <c r="Q761" s="11">
        <v>15711296788</v>
      </c>
      <c r="R761" s="11" t="s">
        <v>126</v>
      </c>
      <c r="S761" s="11" t="s">
        <v>77</v>
      </c>
      <c r="T761" s="11"/>
    </row>
    <row r="762" spans="1:20" s="14" customFormat="1" ht="24" customHeight="1">
      <c r="A762" s="15"/>
      <c r="B762" s="11" t="s">
        <v>977</v>
      </c>
      <c r="C762" s="11">
        <v>60</v>
      </c>
      <c r="D762" s="11" t="s">
        <v>31</v>
      </c>
      <c r="E762" s="9">
        <v>46</v>
      </c>
      <c r="F762" s="9">
        <v>90.8</v>
      </c>
      <c r="G762" s="11" t="s">
        <v>87</v>
      </c>
      <c r="H762" s="11" t="s">
        <v>41</v>
      </c>
      <c r="I762" s="11"/>
      <c r="J762" s="11" t="s">
        <v>978</v>
      </c>
      <c r="K762" s="11" t="s">
        <v>978</v>
      </c>
      <c r="L762" s="12">
        <v>110250</v>
      </c>
      <c r="M762" s="12">
        <v>77175</v>
      </c>
      <c r="N762" s="24">
        <v>43557</v>
      </c>
      <c r="O762" s="11" t="s">
        <v>43</v>
      </c>
      <c r="P762" s="11" t="s">
        <v>44</v>
      </c>
      <c r="Q762" s="11">
        <v>18611425182</v>
      </c>
      <c r="R762" s="11" t="s">
        <v>45</v>
      </c>
      <c r="S762" s="11" t="s">
        <v>46</v>
      </c>
      <c r="T762" s="11"/>
    </row>
    <row r="763" spans="1:20" s="14" customFormat="1" ht="24" customHeight="1">
      <c r="A763" s="15"/>
      <c r="B763" s="11" t="s">
        <v>890</v>
      </c>
      <c r="C763" s="11">
        <v>24</v>
      </c>
      <c r="D763" s="11" t="s">
        <v>62</v>
      </c>
      <c r="E763" s="9">
        <v>16</v>
      </c>
      <c r="F763" s="9">
        <v>0.38400000000000001</v>
      </c>
      <c r="G763" s="11"/>
      <c r="H763" s="11" t="s">
        <v>41</v>
      </c>
      <c r="I763" s="11"/>
      <c r="J763" s="11"/>
      <c r="K763" s="11" t="s">
        <v>521</v>
      </c>
      <c r="L763" s="12"/>
      <c r="M763" s="12">
        <v>768</v>
      </c>
      <c r="N763" s="24">
        <v>43558</v>
      </c>
      <c r="O763" s="11" t="s">
        <v>43</v>
      </c>
      <c r="P763" s="11" t="s">
        <v>44</v>
      </c>
      <c r="Q763" s="11">
        <v>18611425182</v>
      </c>
      <c r="R763" s="11" t="s">
        <v>45</v>
      </c>
      <c r="S763" s="11" t="s">
        <v>46</v>
      </c>
      <c r="T763" s="11"/>
    </row>
    <row r="764" spans="1:20" s="14" customFormat="1" ht="24" customHeight="1">
      <c r="A764" s="15"/>
      <c r="B764" s="11" t="s">
        <v>890</v>
      </c>
      <c r="C764" s="11">
        <v>43</v>
      </c>
      <c r="D764" s="11" t="s">
        <v>62</v>
      </c>
      <c r="E764" s="9">
        <v>132.9</v>
      </c>
      <c r="F764" s="9">
        <v>5.7149999999999999</v>
      </c>
      <c r="G764" s="11"/>
      <c r="H764" s="11" t="s">
        <v>41</v>
      </c>
      <c r="I764" s="11"/>
      <c r="J764" s="11"/>
      <c r="K764" s="11" t="s">
        <v>535</v>
      </c>
      <c r="L764" s="12"/>
      <c r="M764" s="12">
        <v>42100</v>
      </c>
      <c r="N764" s="24">
        <v>43559</v>
      </c>
      <c r="O764" s="11" t="s">
        <v>43</v>
      </c>
      <c r="P764" s="11" t="s">
        <v>44</v>
      </c>
      <c r="Q764" s="11">
        <v>18611425182</v>
      </c>
      <c r="R764" s="11" t="s">
        <v>45</v>
      </c>
      <c r="S764" s="11" t="s">
        <v>46</v>
      </c>
      <c r="T764" s="11"/>
    </row>
    <row r="765" spans="1:20" s="14" customFormat="1" ht="24" customHeight="1">
      <c r="A765" s="15"/>
      <c r="B765" s="11" t="s">
        <v>890</v>
      </c>
      <c r="C765" s="11">
        <v>50</v>
      </c>
      <c r="D765" s="11" t="s">
        <v>62</v>
      </c>
      <c r="E765" s="9">
        <v>243.88</v>
      </c>
      <c r="F765" s="9">
        <v>12.194000000000001</v>
      </c>
      <c r="G765" s="11"/>
      <c r="H765" s="11" t="s">
        <v>41</v>
      </c>
      <c r="I765" s="11"/>
      <c r="J765" s="11"/>
      <c r="K765" s="11" t="s">
        <v>521</v>
      </c>
      <c r="L765" s="12"/>
      <c r="M765" s="12">
        <v>49128</v>
      </c>
      <c r="N765" s="24">
        <v>43560</v>
      </c>
      <c r="O765" s="11" t="s">
        <v>43</v>
      </c>
      <c r="P765" s="11" t="s">
        <v>44</v>
      </c>
      <c r="Q765" s="11">
        <v>18611425182</v>
      </c>
      <c r="R765" s="11" t="s">
        <v>45</v>
      </c>
      <c r="S765" s="11" t="s">
        <v>46</v>
      </c>
      <c r="T765" s="11"/>
    </row>
    <row r="766" spans="1:20" s="14" customFormat="1" ht="24" hidden="1" customHeight="1">
      <c r="A766" s="15"/>
      <c r="B766" s="11" t="s">
        <v>890</v>
      </c>
      <c r="C766" s="11">
        <v>60</v>
      </c>
      <c r="D766" s="11" t="s">
        <v>62</v>
      </c>
      <c r="E766" s="9">
        <v>2985.5</v>
      </c>
      <c r="F766" s="9">
        <v>179.13</v>
      </c>
      <c r="G766" s="11"/>
      <c r="H766" s="11" t="s">
        <v>33</v>
      </c>
      <c r="I766" s="11"/>
      <c r="J766" s="11"/>
      <c r="K766" s="11" t="s">
        <v>979</v>
      </c>
      <c r="L766" s="12"/>
      <c r="M766" s="12">
        <v>571200</v>
      </c>
      <c r="N766" s="24">
        <v>43561</v>
      </c>
      <c r="O766" s="11" t="s">
        <v>980</v>
      </c>
      <c r="P766" s="11" t="s">
        <v>44</v>
      </c>
      <c r="Q766" s="11">
        <v>18611425182</v>
      </c>
      <c r="R766" s="11" t="s">
        <v>45</v>
      </c>
      <c r="S766" s="11" t="s">
        <v>46</v>
      </c>
      <c r="T766" s="11"/>
    </row>
    <row r="767" spans="1:20" s="14" customFormat="1" ht="24" customHeight="1">
      <c r="A767" s="15"/>
      <c r="B767" s="11" t="s">
        <v>890</v>
      </c>
      <c r="C767" s="11">
        <v>60</v>
      </c>
      <c r="D767" s="11" t="s">
        <v>62</v>
      </c>
      <c r="E767" s="9">
        <v>60.7</v>
      </c>
      <c r="F767" s="9">
        <v>3.6419999999999999</v>
      </c>
      <c r="G767" s="11"/>
      <c r="H767" s="11" t="s">
        <v>41</v>
      </c>
      <c r="I767" s="11"/>
      <c r="J767" s="11"/>
      <c r="K767" s="11" t="s">
        <v>979</v>
      </c>
      <c r="L767" s="12"/>
      <c r="M767" s="12"/>
      <c r="N767" s="24">
        <v>43561</v>
      </c>
      <c r="O767" s="11" t="s">
        <v>980</v>
      </c>
      <c r="P767" s="11" t="s">
        <v>44</v>
      </c>
      <c r="Q767" s="11">
        <v>18611425182</v>
      </c>
      <c r="R767" s="11" t="s">
        <v>45</v>
      </c>
      <c r="S767" s="11" t="s">
        <v>46</v>
      </c>
      <c r="T767" s="11"/>
    </row>
    <row r="768" spans="1:20" s="14" customFormat="1" ht="24" hidden="1" customHeight="1">
      <c r="A768" s="15">
        <v>3</v>
      </c>
      <c r="B768" s="15" t="s">
        <v>981</v>
      </c>
      <c r="C768" s="11"/>
      <c r="D768" s="11"/>
      <c r="E768" s="9"/>
      <c r="F768" s="9"/>
      <c r="G768" s="11"/>
      <c r="H768" s="11"/>
      <c r="I768" s="11"/>
      <c r="J768" s="11"/>
      <c r="K768" s="11"/>
      <c r="L768" s="12"/>
      <c r="M768" s="12"/>
      <c r="N768" s="11"/>
      <c r="O768" s="11"/>
      <c r="P768" s="11"/>
      <c r="Q768" s="11"/>
      <c r="R768" s="11"/>
      <c r="S768" s="11"/>
      <c r="T768" s="11"/>
    </row>
    <row r="769" spans="1:20" s="14" customFormat="1" ht="24" hidden="1" customHeight="1">
      <c r="A769" s="15">
        <v>4</v>
      </c>
      <c r="B769" s="15" t="s">
        <v>982</v>
      </c>
      <c r="C769" s="11"/>
      <c r="D769" s="11"/>
      <c r="E769" s="9"/>
      <c r="F769" s="9"/>
      <c r="G769" s="11"/>
      <c r="H769" s="11"/>
      <c r="I769" s="11"/>
      <c r="J769" s="11"/>
      <c r="K769" s="11"/>
      <c r="L769" s="12"/>
      <c r="M769" s="12"/>
      <c r="N769" s="11"/>
      <c r="O769" s="11"/>
      <c r="P769" s="11"/>
      <c r="Q769" s="11"/>
      <c r="R769" s="11"/>
      <c r="S769" s="11"/>
      <c r="T769" s="11"/>
    </row>
    <row r="770" spans="1:20" s="14" customFormat="1" ht="24" hidden="1" customHeight="1">
      <c r="A770" s="15"/>
      <c r="B770" s="11" t="s">
        <v>983</v>
      </c>
      <c r="C770" s="11" t="s">
        <v>984</v>
      </c>
      <c r="D770" s="11" t="s">
        <v>62</v>
      </c>
      <c r="E770" s="9">
        <v>37</v>
      </c>
      <c r="F770" s="9"/>
      <c r="G770" s="11" t="s">
        <v>32</v>
      </c>
      <c r="H770" s="11" t="s">
        <v>33</v>
      </c>
      <c r="I770" s="11" t="s">
        <v>985</v>
      </c>
      <c r="J770" s="11" t="s">
        <v>986</v>
      </c>
      <c r="K770" s="11" t="s">
        <v>52</v>
      </c>
      <c r="L770" s="12">
        <v>244200</v>
      </c>
      <c r="M770" s="12">
        <v>63155.171999999999</v>
      </c>
      <c r="N770" s="11">
        <v>2018.7</v>
      </c>
      <c r="O770" s="11" t="s">
        <v>583</v>
      </c>
      <c r="P770" s="11" t="s">
        <v>113</v>
      </c>
      <c r="Q770" s="11">
        <v>13810668661</v>
      </c>
      <c r="R770" s="11" t="s">
        <v>114</v>
      </c>
      <c r="S770" s="11" t="s">
        <v>115</v>
      </c>
      <c r="T770" s="11"/>
    </row>
    <row r="771" spans="1:20" s="14" customFormat="1" ht="24" hidden="1" customHeight="1">
      <c r="A771" s="15"/>
      <c r="B771" s="11" t="s">
        <v>987</v>
      </c>
      <c r="C771" s="11" t="s">
        <v>988</v>
      </c>
      <c r="D771" s="11" t="s">
        <v>62</v>
      </c>
      <c r="E771" s="9">
        <v>21.83</v>
      </c>
      <c r="F771" s="9"/>
      <c r="G771" s="11" t="s">
        <v>32</v>
      </c>
      <c r="H771" s="11" t="s">
        <v>33</v>
      </c>
      <c r="I771" s="11" t="s">
        <v>989</v>
      </c>
      <c r="J771" s="11" t="s">
        <v>986</v>
      </c>
      <c r="K771" s="11" t="s">
        <v>52</v>
      </c>
      <c r="L771" s="12">
        <v>144078</v>
      </c>
      <c r="M771" s="12">
        <v>37261.550999999999</v>
      </c>
      <c r="N771" s="11" t="s">
        <v>990</v>
      </c>
      <c r="O771" s="11" t="s">
        <v>583</v>
      </c>
      <c r="P771" s="11" t="s">
        <v>113</v>
      </c>
      <c r="Q771" s="11">
        <v>13810668661</v>
      </c>
      <c r="R771" s="11" t="s">
        <v>114</v>
      </c>
      <c r="S771" s="11" t="s">
        <v>115</v>
      </c>
      <c r="T771" s="11"/>
    </row>
    <row r="772" spans="1:20" s="14" customFormat="1" ht="24" hidden="1" customHeight="1">
      <c r="A772" s="15"/>
      <c r="B772" s="11" t="s">
        <v>991</v>
      </c>
      <c r="C772" s="11" t="s">
        <v>992</v>
      </c>
      <c r="D772" s="11" t="s">
        <v>62</v>
      </c>
      <c r="E772" s="9">
        <v>4.04</v>
      </c>
      <c r="F772" s="9"/>
      <c r="G772" s="11" t="s">
        <v>32</v>
      </c>
      <c r="H772" s="11" t="s">
        <v>33</v>
      </c>
      <c r="I772" s="11" t="s">
        <v>993</v>
      </c>
      <c r="J772" s="11" t="s">
        <v>986</v>
      </c>
      <c r="K772" s="11" t="s">
        <v>52</v>
      </c>
      <c r="L772" s="12">
        <v>26664</v>
      </c>
      <c r="M772" s="12">
        <v>6895.8630000000003</v>
      </c>
      <c r="N772" s="11" t="s">
        <v>990</v>
      </c>
      <c r="O772" s="11" t="s">
        <v>583</v>
      </c>
      <c r="P772" s="11" t="s">
        <v>113</v>
      </c>
      <c r="Q772" s="11">
        <v>13810668661</v>
      </c>
      <c r="R772" s="11" t="s">
        <v>114</v>
      </c>
      <c r="S772" s="11" t="s">
        <v>115</v>
      </c>
      <c r="T772" s="11"/>
    </row>
    <row r="773" spans="1:20" s="14" customFormat="1" ht="24" hidden="1" customHeight="1">
      <c r="A773" s="15"/>
      <c r="B773" s="11" t="s">
        <v>983</v>
      </c>
      <c r="C773" s="11" t="s">
        <v>994</v>
      </c>
      <c r="D773" s="11" t="s">
        <v>161</v>
      </c>
      <c r="E773" s="9">
        <v>630</v>
      </c>
      <c r="F773" s="9">
        <v>30.173999999999999</v>
      </c>
      <c r="G773" s="11" t="s">
        <v>32</v>
      </c>
      <c r="H773" s="11" t="s">
        <v>33</v>
      </c>
      <c r="I773" s="11" t="s">
        <v>995</v>
      </c>
      <c r="J773" s="11" t="s">
        <v>986</v>
      </c>
      <c r="K773" s="11" t="s">
        <v>42</v>
      </c>
      <c r="L773" s="12">
        <v>203679</v>
      </c>
      <c r="M773" s="12">
        <v>52675.601999999701</v>
      </c>
      <c r="N773" s="11">
        <v>2019.1</v>
      </c>
      <c r="O773" s="11" t="s">
        <v>583</v>
      </c>
      <c r="P773" s="11" t="s">
        <v>113</v>
      </c>
      <c r="Q773" s="11">
        <v>13810668661</v>
      </c>
      <c r="R773" s="11" t="s">
        <v>114</v>
      </c>
      <c r="S773" s="11" t="s">
        <v>115</v>
      </c>
      <c r="T773" s="11"/>
    </row>
    <row r="774" spans="1:20" s="14" customFormat="1" ht="24" hidden="1" customHeight="1">
      <c r="A774" s="15"/>
      <c r="B774" s="11" t="s">
        <v>996</v>
      </c>
      <c r="C774" s="11" t="s">
        <v>997</v>
      </c>
      <c r="D774" s="11" t="s">
        <v>31</v>
      </c>
      <c r="E774" s="9">
        <v>420</v>
      </c>
      <c r="F774" s="9">
        <v>2.7639999999999998</v>
      </c>
      <c r="G774" s="11" t="s">
        <v>32</v>
      </c>
      <c r="H774" s="11" t="s">
        <v>33</v>
      </c>
      <c r="I774" s="11" t="s">
        <v>998</v>
      </c>
      <c r="J774" s="11" t="s">
        <v>986</v>
      </c>
      <c r="K774" s="11" t="s">
        <v>42</v>
      </c>
      <c r="L774" s="12">
        <v>18648</v>
      </c>
      <c r="M774" s="12">
        <v>4822.7579999999998</v>
      </c>
      <c r="N774" s="11">
        <v>2019.1</v>
      </c>
      <c r="O774" s="11" t="s">
        <v>583</v>
      </c>
      <c r="P774" s="11" t="s">
        <v>113</v>
      </c>
      <c r="Q774" s="11">
        <v>13810668661</v>
      </c>
      <c r="R774" s="11" t="s">
        <v>114</v>
      </c>
      <c r="S774" s="11" t="s">
        <v>115</v>
      </c>
      <c r="T774" s="11"/>
    </row>
    <row r="775" spans="1:20" s="14" customFormat="1" ht="24" hidden="1" customHeight="1">
      <c r="A775" s="15"/>
      <c r="B775" s="11" t="s">
        <v>991</v>
      </c>
      <c r="C775" s="11" t="s">
        <v>999</v>
      </c>
      <c r="D775" s="11" t="s">
        <v>31</v>
      </c>
      <c r="E775" s="9">
        <v>282</v>
      </c>
      <c r="F775" s="9">
        <v>5.07</v>
      </c>
      <c r="G775" s="11" t="s">
        <v>32</v>
      </c>
      <c r="H775" s="11" t="s">
        <v>33</v>
      </c>
      <c r="I775" s="11" t="s">
        <v>1000</v>
      </c>
      <c r="J775" s="11" t="s">
        <v>986</v>
      </c>
      <c r="K775" s="11" t="s">
        <v>42</v>
      </c>
      <c r="L775" s="12">
        <v>34206.6</v>
      </c>
      <c r="M775" s="12">
        <v>8846.5350000000308</v>
      </c>
      <c r="N775" s="11">
        <v>2019.1</v>
      </c>
      <c r="O775" s="11" t="s">
        <v>583</v>
      </c>
      <c r="P775" s="11" t="s">
        <v>113</v>
      </c>
      <c r="Q775" s="11">
        <v>13810668661</v>
      </c>
      <c r="R775" s="11" t="s">
        <v>114</v>
      </c>
      <c r="S775" s="11" t="s">
        <v>115</v>
      </c>
      <c r="T775" s="11"/>
    </row>
    <row r="776" spans="1:20" s="14" customFormat="1" ht="24" hidden="1" customHeight="1">
      <c r="A776" s="15"/>
      <c r="B776" s="11" t="s">
        <v>1001</v>
      </c>
      <c r="C776" s="11" t="s">
        <v>1002</v>
      </c>
      <c r="D776" s="11" t="s">
        <v>31</v>
      </c>
      <c r="E776" s="9">
        <v>277</v>
      </c>
      <c r="F776" s="9">
        <v>1.0249999999999999</v>
      </c>
      <c r="G776" s="11" t="s">
        <v>32</v>
      </c>
      <c r="H776" s="11" t="s">
        <v>33</v>
      </c>
      <c r="I776" s="11" t="s">
        <v>1003</v>
      </c>
      <c r="J776" s="11" t="s">
        <v>986</v>
      </c>
      <c r="K776" s="11" t="s">
        <v>42</v>
      </c>
      <c r="L776" s="12">
        <v>6925</v>
      </c>
      <c r="M776" s="12">
        <v>1790.9490000000001</v>
      </c>
      <c r="N776" s="11">
        <v>2019.1</v>
      </c>
      <c r="O776" s="11" t="s">
        <v>583</v>
      </c>
      <c r="P776" s="11" t="s">
        <v>113</v>
      </c>
      <c r="Q776" s="11">
        <v>13810668661</v>
      </c>
      <c r="R776" s="11" t="s">
        <v>114</v>
      </c>
      <c r="S776" s="11" t="s">
        <v>115</v>
      </c>
      <c r="T776" s="11"/>
    </row>
    <row r="777" spans="1:20" s="14" customFormat="1" ht="24" hidden="1" customHeight="1">
      <c r="A777" s="15"/>
      <c r="B777" s="11" t="s">
        <v>987</v>
      </c>
      <c r="C777" s="11" t="s">
        <v>1004</v>
      </c>
      <c r="D777" s="11" t="s">
        <v>31</v>
      </c>
      <c r="E777" s="9">
        <v>277</v>
      </c>
      <c r="F777" s="9">
        <v>17.356999999999999</v>
      </c>
      <c r="G777" s="11" t="s">
        <v>32</v>
      </c>
      <c r="H777" s="11" t="s">
        <v>33</v>
      </c>
      <c r="I777" s="11" t="s">
        <v>1005</v>
      </c>
      <c r="J777" s="11" t="s">
        <v>986</v>
      </c>
      <c r="K777" s="11" t="s">
        <v>42</v>
      </c>
      <c r="L777" s="12">
        <v>117171</v>
      </c>
      <c r="M777" s="12">
        <v>30302.844000000099</v>
      </c>
      <c r="N777" s="11">
        <v>2019.1</v>
      </c>
      <c r="O777" s="11" t="s">
        <v>583</v>
      </c>
      <c r="P777" s="11" t="s">
        <v>113</v>
      </c>
      <c r="Q777" s="11">
        <v>13810668661</v>
      </c>
      <c r="R777" s="11" t="s">
        <v>114</v>
      </c>
      <c r="S777" s="11" t="s">
        <v>115</v>
      </c>
      <c r="T777" s="11"/>
    </row>
    <row r="778" spans="1:20" s="14" customFormat="1" ht="24" hidden="1" customHeight="1">
      <c r="A778" s="15" t="s">
        <v>1006</v>
      </c>
      <c r="B778" s="13" t="s">
        <v>1007</v>
      </c>
      <c r="C778" s="11"/>
      <c r="D778" s="11"/>
      <c r="E778" s="9"/>
      <c r="F778" s="9"/>
      <c r="G778" s="11"/>
      <c r="H778" s="11"/>
      <c r="I778" s="11"/>
      <c r="J778" s="11"/>
      <c r="K778" s="11"/>
      <c r="L778" s="12"/>
      <c r="M778" s="12"/>
      <c r="N778" s="11"/>
      <c r="O778" s="11"/>
      <c r="P778" s="11"/>
      <c r="Q778" s="11"/>
      <c r="R778" s="11"/>
      <c r="S778" s="11"/>
      <c r="T778" s="11"/>
    </row>
    <row r="779" spans="1:20" s="14" customFormat="1" ht="24" hidden="1" customHeight="1">
      <c r="A779" s="15">
        <v>1</v>
      </c>
      <c r="B779" s="15" t="s">
        <v>1008</v>
      </c>
      <c r="C779" s="11"/>
      <c r="D779" s="11"/>
      <c r="E779" s="9"/>
      <c r="F779" s="9"/>
      <c r="G779" s="11"/>
      <c r="H779" s="11"/>
      <c r="I779" s="11"/>
      <c r="J779" s="11"/>
      <c r="K779" s="11"/>
      <c r="L779" s="12"/>
      <c r="M779" s="12"/>
      <c r="N779" s="11"/>
      <c r="O779" s="11"/>
      <c r="P779" s="11"/>
      <c r="Q779" s="11"/>
      <c r="R779" s="11"/>
      <c r="S779" s="11"/>
      <c r="T779" s="11"/>
    </row>
    <row r="780" spans="1:20" s="14" customFormat="1" ht="24" hidden="1" customHeight="1">
      <c r="A780" s="15"/>
      <c r="B780" s="11" t="s">
        <v>1009</v>
      </c>
      <c r="C780" s="11" t="s">
        <v>1010</v>
      </c>
      <c r="D780" s="11" t="s">
        <v>161</v>
      </c>
      <c r="E780" s="9">
        <v>24169</v>
      </c>
      <c r="F780" s="9">
        <v>92.808000000000007</v>
      </c>
      <c r="G780" s="11" t="s">
        <v>32</v>
      </c>
      <c r="H780" s="11" t="s">
        <v>33</v>
      </c>
      <c r="I780" s="11"/>
      <c r="J780" s="11"/>
      <c r="K780" s="11" t="s">
        <v>1011</v>
      </c>
      <c r="L780" s="12">
        <v>416273.22</v>
      </c>
      <c r="M780" s="12">
        <v>265745.33</v>
      </c>
      <c r="N780" s="11">
        <v>2016.8</v>
      </c>
      <c r="O780" s="11" t="s">
        <v>43</v>
      </c>
      <c r="P780" s="11" t="s">
        <v>44</v>
      </c>
      <c r="Q780" s="11">
        <v>18611425182</v>
      </c>
      <c r="R780" s="11" t="s">
        <v>45</v>
      </c>
      <c r="S780" s="11" t="s">
        <v>46</v>
      </c>
      <c r="T780" s="11"/>
    </row>
    <row r="781" spans="1:20" s="14" customFormat="1" ht="24" hidden="1" customHeight="1">
      <c r="A781" s="15"/>
      <c r="B781" s="11" t="s">
        <v>1012</v>
      </c>
      <c r="C781" s="11" t="s">
        <v>1013</v>
      </c>
      <c r="D781" s="11" t="s">
        <v>464</v>
      </c>
      <c r="E781" s="9">
        <v>2418</v>
      </c>
      <c r="F781" s="9">
        <v>0.22500000000000001</v>
      </c>
      <c r="G781" s="11" t="s">
        <v>32</v>
      </c>
      <c r="H781" s="11" t="s">
        <v>33</v>
      </c>
      <c r="I781" s="11" t="s">
        <v>179</v>
      </c>
      <c r="J781" s="11"/>
      <c r="K781" s="11" t="s">
        <v>1014</v>
      </c>
      <c r="L781" s="12">
        <v>244934</v>
      </c>
      <c r="M781" s="12">
        <v>71340</v>
      </c>
      <c r="N781" s="12">
        <v>2018.1</v>
      </c>
      <c r="O781" s="11" t="s">
        <v>583</v>
      </c>
      <c r="P781" s="11" t="s">
        <v>113</v>
      </c>
      <c r="Q781" s="11">
        <v>13810668661</v>
      </c>
      <c r="R781" s="11" t="s">
        <v>114</v>
      </c>
      <c r="S781" s="11" t="s">
        <v>115</v>
      </c>
      <c r="T781" s="11"/>
    </row>
    <row r="782" spans="1:20" s="14" customFormat="1" ht="24" hidden="1" customHeight="1">
      <c r="A782" s="15"/>
      <c r="B782" s="11" t="s">
        <v>1015</v>
      </c>
      <c r="C782" s="11" t="s">
        <v>1016</v>
      </c>
      <c r="D782" s="9" t="s">
        <v>161</v>
      </c>
      <c r="E782" s="9">
        <v>300</v>
      </c>
      <c r="F782" s="9">
        <v>300</v>
      </c>
      <c r="G782" s="11" t="s">
        <v>32</v>
      </c>
      <c r="H782" s="11" t="s">
        <v>33</v>
      </c>
      <c r="I782" s="11" t="s">
        <v>404</v>
      </c>
      <c r="J782" s="11" t="s">
        <v>404</v>
      </c>
      <c r="K782" s="11" t="s">
        <v>1017</v>
      </c>
      <c r="L782" s="12">
        <v>525663.71681415895</v>
      </c>
      <c r="M782" s="12">
        <v>525663.71681415895</v>
      </c>
      <c r="N782" s="11" t="s">
        <v>1018</v>
      </c>
      <c r="O782" s="16" t="s">
        <v>286</v>
      </c>
      <c r="P782" s="11" t="s">
        <v>392</v>
      </c>
      <c r="Q782" s="11">
        <v>18601194039</v>
      </c>
      <c r="R782" s="11" t="s">
        <v>288</v>
      </c>
      <c r="S782" s="11" t="s">
        <v>115</v>
      </c>
      <c r="T782" s="11"/>
    </row>
    <row r="783" spans="1:20" s="14" customFormat="1" ht="24" hidden="1" customHeight="1">
      <c r="A783" s="15"/>
      <c r="B783" s="11" t="s">
        <v>1015</v>
      </c>
      <c r="C783" s="11" t="s">
        <v>1016</v>
      </c>
      <c r="D783" s="9" t="s">
        <v>161</v>
      </c>
      <c r="E783" s="9">
        <v>250</v>
      </c>
      <c r="F783" s="9">
        <v>250</v>
      </c>
      <c r="G783" s="11" t="s">
        <v>32</v>
      </c>
      <c r="H783" s="11" t="s">
        <v>33</v>
      </c>
      <c r="I783" s="11" t="s">
        <v>404</v>
      </c>
      <c r="J783" s="11" t="s">
        <v>404</v>
      </c>
      <c r="K783" s="11" t="s">
        <v>1019</v>
      </c>
      <c r="L783" s="12">
        <v>438053.09734513302</v>
      </c>
      <c r="M783" s="12">
        <v>438053.09734513302</v>
      </c>
      <c r="N783" s="11" t="s">
        <v>1020</v>
      </c>
      <c r="O783" s="16" t="s">
        <v>286</v>
      </c>
      <c r="P783" s="11" t="s">
        <v>392</v>
      </c>
      <c r="Q783" s="11">
        <v>18601194039</v>
      </c>
      <c r="R783" s="11" t="s">
        <v>288</v>
      </c>
      <c r="S783" s="11" t="s">
        <v>115</v>
      </c>
      <c r="T783" s="11"/>
    </row>
    <row r="784" spans="1:20" s="14" customFormat="1" ht="24" hidden="1" customHeight="1">
      <c r="A784" s="15"/>
      <c r="B784" s="11" t="s">
        <v>1015</v>
      </c>
      <c r="C784" s="11" t="s">
        <v>1016</v>
      </c>
      <c r="D784" s="9" t="s">
        <v>161</v>
      </c>
      <c r="E784" s="9">
        <v>100</v>
      </c>
      <c r="F784" s="9">
        <v>100</v>
      </c>
      <c r="G784" s="11" t="s">
        <v>32</v>
      </c>
      <c r="H784" s="11" t="s">
        <v>33</v>
      </c>
      <c r="I784" s="11" t="s">
        <v>404</v>
      </c>
      <c r="J784" s="11" t="s">
        <v>404</v>
      </c>
      <c r="K784" s="11" t="s">
        <v>1019</v>
      </c>
      <c r="L784" s="12">
        <v>175221.23893805299</v>
      </c>
      <c r="M784" s="12">
        <v>175221.23893805299</v>
      </c>
      <c r="N784" s="11" t="s">
        <v>505</v>
      </c>
      <c r="O784" s="16" t="s">
        <v>286</v>
      </c>
      <c r="P784" s="11" t="s">
        <v>392</v>
      </c>
      <c r="Q784" s="11">
        <v>18601194039</v>
      </c>
      <c r="R784" s="11" t="s">
        <v>288</v>
      </c>
      <c r="S784" s="11" t="s">
        <v>115</v>
      </c>
      <c r="T784" s="11"/>
    </row>
    <row r="785" spans="1:20" s="14" customFormat="1" ht="24" hidden="1" customHeight="1">
      <c r="A785" s="15"/>
      <c r="B785" s="11" t="s">
        <v>1015</v>
      </c>
      <c r="C785" s="11" t="s">
        <v>1021</v>
      </c>
      <c r="D785" s="9" t="s">
        <v>161</v>
      </c>
      <c r="E785" s="9">
        <v>108</v>
      </c>
      <c r="F785" s="9">
        <v>108</v>
      </c>
      <c r="G785" s="11" t="s">
        <v>32</v>
      </c>
      <c r="H785" s="11" t="s">
        <v>33</v>
      </c>
      <c r="I785" s="11" t="s">
        <v>404</v>
      </c>
      <c r="J785" s="11" t="s">
        <v>404</v>
      </c>
      <c r="K785" s="11" t="s">
        <v>1019</v>
      </c>
      <c r="L785" s="12">
        <v>144310.344827586</v>
      </c>
      <c r="M785" s="12">
        <v>144310.344827586</v>
      </c>
      <c r="N785" s="11" t="s">
        <v>505</v>
      </c>
      <c r="O785" s="16" t="s">
        <v>286</v>
      </c>
      <c r="P785" s="11" t="s">
        <v>392</v>
      </c>
      <c r="Q785" s="11">
        <v>18601194039</v>
      </c>
      <c r="R785" s="11" t="s">
        <v>288</v>
      </c>
      <c r="S785" s="11" t="s">
        <v>115</v>
      </c>
      <c r="T785" s="11"/>
    </row>
    <row r="786" spans="1:20" s="14" customFormat="1" ht="24" hidden="1" customHeight="1">
      <c r="A786" s="15"/>
      <c r="B786" s="11" t="s">
        <v>1015</v>
      </c>
      <c r="C786" s="11" t="s">
        <v>1021</v>
      </c>
      <c r="D786" s="9" t="s">
        <v>161</v>
      </c>
      <c r="E786" s="9">
        <v>116</v>
      </c>
      <c r="F786" s="9">
        <v>116</v>
      </c>
      <c r="G786" s="11" t="s">
        <v>32</v>
      </c>
      <c r="H786" s="11" t="s">
        <v>33</v>
      </c>
      <c r="I786" s="11" t="s">
        <v>404</v>
      </c>
      <c r="J786" s="11" t="s">
        <v>404</v>
      </c>
      <c r="K786" s="11" t="s">
        <v>707</v>
      </c>
      <c r="L786" s="12">
        <v>159115.044247788</v>
      </c>
      <c r="M786" s="12">
        <v>159115.044247788</v>
      </c>
      <c r="N786" s="11" t="s">
        <v>639</v>
      </c>
      <c r="O786" s="16" t="s">
        <v>286</v>
      </c>
      <c r="P786" s="11" t="s">
        <v>392</v>
      </c>
      <c r="Q786" s="11">
        <v>18601194039</v>
      </c>
      <c r="R786" s="11" t="s">
        <v>288</v>
      </c>
      <c r="S786" s="11" t="s">
        <v>115</v>
      </c>
      <c r="T786" s="11"/>
    </row>
    <row r="787" spans="1:20" s="14" customFormat="1" ht="24" hidden="1" customHeight="1">
      <c r="A787" s="15"/>
      <c r="B787" s="11" t="s">
        <v>1015</v>
      </c>
      <c r="C787" s="11" t="s">
        <v>1021</v>
      </c>
      <c r="D787" s="9" t="s">
        <v>161</v>
      </c>
      <c r="E787" s="9">
        <v>50</v>
      </c>
      <c r="F787" s="9">
        <v>50</v>
      </c>
      <c r="G787" s="11" t="s">
        <v>32</v>
      </c>
      <c r="H787" s="11" t="s">
        <v>33</v>
      </c>
      <c r="I787" s="11" t="s">
        <v>404</v>
      </c>
      <c r="J787" s="11" t="s">
        <v>404</v>
      </c>
      <c r="K787" s="11" t="s">
        <v>707</v>
      </c>
      <c r="L787" s="12">
        <v>68584.070796460204</v>
      </c>
      <c r="M787" s="12">
        <v>68584.070796460204</v>
      </c>
      <c r="N787" s="11" t="s">
        <v>639</v>
      </c>
      <c r="O787" s="16" t="s">
        <v>286</v>
      </c>
      <c r="P787" s="11" t="s">
        <v>392</v>
      </c>
      <c r="Q787" s="11">
        <v>18601194039</v>
      </c>
      <c r="R787" s="11" t="s">
        <v>288</v>
      </c>
      <c r="S787" s="11" t="s">
        <v>115</v>
      </c>
      <c r="T787" s="11"/>
    </row>
    <row r="788" spans="1:20" s="14" customFormat="1" ht="24" customHeight="1">
      <c r="A788" s="15"/>
      <c r="B788" s="11" t="s">
        <v>1012</v>
      </c>
      <c r="C788" s="11" t="s">
        <v>1022</v>
      </c>
      <c r="D788" s="11" t="s">
        <v>62</v>
      </c>
      <c r="E788" s="11">
        <v>2</v>
      </c>
      <c r="F788" s="11">
        <v>2</v>
      </c>
      <c r="G788" s="11" t="s">
        <v>72</v>
      </c>
      <c r="H788" s="11" t="s">
        <v>41</v>
      </c>
      <c r="I788" s="11"/>
      <c r="J788" s="11"/>
      <c r="K788" s="11" t="s">
        <v>845</v>
      </c>
      <c r="L788" s="12">
        <v>9292.0353982300894</v>
      </c>
      <c r="M788" s="12">
        <v>2323.0088495575301</v>
      </c>
      <c r="N788" s="22">
        <v>2021.01</v>
      </c>
      <c r="O788" s="16" t="s">
        <v>74</v>
      </c>
      <c r="P788" s="16" t="s">
        <v>75</v>
      </c>
      <c r="Q788" s="11">
        <v>13269819378</v>
      </c>
      <c r="R788" s="16" t="s">
        <v>76</v>
      </c>
      <c r="S788" s="16" t="s">
        <v>77</v>
      </c>
      <c r="T788" s="11"/>
    </row>
    <row r="789" spans="1:20" s="14" customFormat="1" ht="24" customHeight="1">
      <c r="A789" s="15"/>
      <c r="B789" s="11" t="s">
        <v>1023</v>
      </c>
      <c r="C789" s="11"/>
      <c r="D789" s="11" t="s">
        <v>131</v>
      </c>
      <c r="E789" s="11">
        <v>350</v>
      </c>
      <c r="F789" s="11"/>
      <c r="G789" s="11" t="s">
        <v>72</v>
      </c>
      <c r="H789" s="11" t="s">
        <v>41</v>
      </c>
      <c r="I789" s="11"/>
      <c r="J789" s="11"/>
      <c r="K789" s="11" t="s">
        <v>845</v>
      </c>
      <c r="L789" s="12">
        <v>2415.9292035398198</v>
      </c>
      <c r="M789" s="12">
        <v>603.98230088496302</v>
      </c>
      <c r="N789" s="22">
        <v>2021.01</v>
      </c>
      <c r="O789" s="16" t="s">
        <v>74</v>
      </c>
      <c r="P789" s="16" t="s">
        <v>75</v>
      </c>
      <c r="Q789" s="11">
        <v>13269819378</v>
      </c>
      <c r="R789" s="16" t="s">
        <v>76</v>
      </c>
      <c r="S789" s="16" t="s">
        <v>77</v>
      </c>
      <c r="T789" s="11"/>
    </row>
    <row r="790" spans="1:20" s="14" customFormat="1" ht="24" customHeight="1">
      <c r="A790" s="15"/>
      <c r="B790" s="11" t="s">
        <v>1024</v>
      </c>
      <c r="C790" s="11"/>
      <c r="D790" s="11" t="s">
        <v>131</v>
      </c>
      <c r="E790" s="11">
        <v>2900</v>
      </c>
      <c r="F790" s="11"/>
      <c r="G790" s="11" t="s">
        <v>72</v>
      </c>
      <c r="H790" s="11" t="s">
        <v>41</v>
      </c>
      <c r="I790" s="11"/>
      <c r="J790" s="11"/>
      <c r="K790" s="11" t="s">
        <v>845</v>
      </c>
      <c r="L790" s="12">
        <v>18734.513274336299</v>
      </c>
      <c r="M790" s="12">
        <v>4683.6283185840803</v>
      </c>
      <c r="N790" s="22">
        <v>2021.01</v>
      </c>
      <c r="O790" s="16" t="s">
        <v>74</v>
      </c>
      <c r="P790" s="16" t="s">
        <v>75</v>
      </c>
      <c r="Q790" s="11">
        <v>13269819378</v>
      </c>
      <c r="R790" s="16" t="s">
        <v>76</v>
      </c>
      <c r="S790" s="16" t="s">
        <v>77</v>
      </c>
      <c r="T790" s="11"/>
    </row>
    <row r="791" spans="1:20" s="14" customFormat="1" ht="24" customHeight="1">
      <c r="A791" s="15"/>
      <c r="B791" s="11" t="s">
        <v>1025</v>
      </c>
      <c r="C791" s="11"/>
      <c r="D791" s="11" t="s">
        <v>131</v>
      </c>
      <c r="E791" s="11">
        <v>150</v>
      </c>
      <c r="F791" s="11"/>
      <c r="G791" s="11" t="s">
        <v>72</v>
      </c>
      <c r="H791" s="11" t="s">
        <v>41</v>
      </c>
      <c r="I791" s="11"/>
      <c r="J791" s="11"/>
      <c r="K791" s="11" t="s">
        <v>845</v>
      </c>
      <c r="L791" s="12">
        <v>1035.3982300885</v>
      </c>
      <c r="M791" s="12">
        <v>258.84955752212301</v>
      </c>
      <c r="N791" s="22">
        <v>2021.01</v>
      </c>
      <c r="O791" s="16" t="s">
        <v>74</v>
      </c>
      <c r="P791" s="16" t="s">
        <v>75</v>
      </c>
      <c r="Q791" s="11">
        <v>13269819378</v>
      </c>
      <c r="R791" s="16" t="s">
        <v>76</v>
      </c>
      <c r="S791" s="16" t="s">
        <v>77</v>
      </c>
      <c r="T791" s="11"/>
    </row>
    <row r="792" spans="1:20" s="14" customFormat="1" ht="24" customHeight="1">
      <c r="A792" s="15"/>
      <c r="B792" s="11" t="s">
        <v>1012</v>
      </c>
      <c r="C792" s="11" t="s">
        <v>1026</v>
      </c>
      <c r="D792" s="11" t="s">
        <v>62</v>
      </c>
      <c r="E792" s="11">
        <v>13.824</v>
      </c>
      <c r="F792" s="11">
        <v>13.824</v>
      </c>
      <c r="G792" s="11" t="s">
        <v>72</v>
      </c>
      <c r="H792" s="11" t="s">
        <v>41</v>
      </c>
      <c r="I792" s="11"/>
      <c r="J792" s="11"/>
      <c r="K792" s="11" t="s">
        <v>1027</v>
      </c>
      <c r="L792" s="12">
        <v>32590.356479999999</v>
      </c>
      <c r="M792" s="12">
        <v>8147.5891199999996</v>
      </c>
      <c r="N792" s="22">
        <v>2021.02</v>
      </c>
      <c r="O792" s="16" t="s">
        <v>74</v>
      </c>
      <c r="P792" s="16" t="s">
        <v>75</v>
      </c>
      <c r="Q792" s="11">
        <v>13269819378</v>
      </c>
      <c r="R792" s="16" t="s">
        <v>76</v>
      </c>
      <c r="S792" s="16" t="s">
        <v>77</v>
      </c>
      <c r="T792" s="11"/>
    </row>
    <row r="793" spans="1:20" s="14" customFormat="1" ht="24" customHeight="1">
      <c r="A793" s="15"/>
      <c r="B793" s="11" t="s">
        <v>1012</v>
      </c>
      <c r="C793" s="11" t="s">
        <v>1028</v>
      </c>
      <c r="D793" s="11" t="s">
        <v>62</v>
      </c>
      <c r="E793" s="11">
        <v>3.11</v>
      </c>
      <c r="F793" s="11">
        <v>3.11</v>
      </c>
      <c r="G793" s="11" t="s">
        <v>72</v>
      </c>
      <c r="H793" s="11" t="s">
        <v>41</v>
      </c>
      <c r="I793" s="11"/>
      <c r="J793" s="11"/>
      <c r="K793" s="11" t="s">
        <v>1027</v>
      </c>
      <c r="L793" s="12">
        <v>7331.8872000000001</v>
      </c>
      <c r="M793" s="12">
        <v>1832.9718</v>
      </c>
      <c r="N793" s="22">
        <v>2021.02</v>
      </c>
      <c r="O793" s="16" t="s">
        <v>74</v>
      </c>
      <c r="P793" s="16" t="s">
        <v>75</v>
      </c>
      <c r="Q793" s="11">
        <v>13269819378</v>
      </c>
      <c r="R793" s="16" t="s">
        <v>76</v>
      </c>
      <c r="S793" s="16" t="s">
        <v>77</v>
      </c>
      <c r="T793" s="11"/>
    </row>
    <row r="794" spans="1:20" s="14" customFormat="1" ht="24" customHeight="1">
      <c r="A794" s="15"/>
      <c r="B794" s="11" t="s">
        <v>1012</v>
      </c>
      <c r="C794" s="11" t="s">
        <v>1026</v>
      </c>
      <c r="D794" s="11" t="s">
        <v>62</v>
      </c>
      <c r="E794" s="11">
        <v>9.2159999999999993</v>
      </c>
      <c r="F794" s="11">
        <v>9.2159999999999993</v>
      </c>
      <c r="G794" s="11" t="s">
        <v>72</v>
      </c>
      <c r="H794" s="11" t="s">
        <v>41</v>
      </c>
      <c r="I794" s="11"/>
      <c r="J794" s="11"/>
      <c r="K794" s="11" t="s">
        <v>1029</v>
      </c>
      <c r="L794" s="12">
        <v>21726.904320000001</v>
      </c>
      <c r="M794" s="12">
        <v>5431.7260800000004</v>
      </c>
      <c r="N794" s="22">
        <v>2021.02</v>
      </c>
      <c r="O794" s="16" t="s">
        <v>74</v>
      </c>
      <c r="P794" s="16" t="s">
        <v>75</v>
      </c>
      <c r="Q794" s="11">
        <v>13269819378</v>
      </c>
      <c r="R794" s="16" t="s">
        <v>76</v>
      </c>
      <c r="S794" s="16" t="s">
        <v>77</v>
      </c>
      <c r="T794" s="11"/>
    </row>
    <row r="795" spans="1:20" s="14" customFormat="1" ht="24" customHeight="1">
      <c r="A795" s="15"/>
      <c r="B795" s="11" t="s">
        <v>762</v>
      </c>
      <c r="C795" s="11" t="s">
        <v>1030</v>
      </c>
      <c r="D795" s="11" t="s">
        <v>62</v>
      </c>
      <c r="E795" s="11">
        <v>70.44</v>
      </c>
      <c r="F795" s="11">
        <v>70.44</v>
      </c>
      <c r="G795" s="11" t="s">
        <v>72</v>
      </c>
      <c r="H795" s="11" t="s">
        <v>41</v>
      </c>
      <c r="I795" s="11"/>
      <c r="J795" s="11"/>
      <c r="K795" s="11" t="s">
        <v>798</v>
      </c>
      <c r="L795" s="12">
        <v>405185.84070796502</v>
      </c>
      <c r="M795" s="12">
        <v>101296.46017699099</v>
      </c>
      <c r="N795" s="22">
        <v>2021.04</v>
      </c>
      <c r="O795" s="16" t="s">
        <v>74</v>
      </c>
      <c r="P795" s="16" t="s">
        <v>75</v>
      </c>
      <c r="Q795" s="11">
        <v>13269819378</v>
      </c>
      <c r="R795" s="16" t="s">
        <v>76</v>
      </c>
      <c r="S795" s="16" t="s">
        <v>77</v>
      </c>
      <c r="T795" s="11"/>
    </row>
    <row r="796" spans="1:20" s="14" customFormat="1" ht="24" customHeight="1">
      <c r="A796" s="15"/>
      <c r="B796" s="11" t="s">
        <v>1012</v>
      </c>
      <c r="C796" s="11" t="s">
        <v>806</v>
      </c>
      <c r="D796" s="11" t="s">
        <v>62</v>
      </c>
      <c r="E796" s="11">
        <v>14.54</v>
      </c>
      <c r="F796" s="11">
        <v>14.54</v>
      </c>
      <c r="G796" s="11" t="s">
        <v>72</v>
      </c>
      <c r="H796" s="11" t="s">
        <v>41</v>
      </c>
      <c r="I796" s="11"/>
      <c r="J796" s="11"/>
      <c r="K796" s="11" t="s">
        <v>595</v>
      </c>
      <c r="L796" s="12">
        <v>80034.336283185796</v>
      </c>
      <c r="M796" s="12">
        <v>20008.584070796402</v>
      </c>
      <c r="N796" s="22">
        <v>2021.04</v>
      </c>
      <c r="O796" s="16" t="s">
        <v>74</v>
      </c>
      <c r="P796" s="16" t="s">
        <v>75</v>
      </c>
      <c r="Q796" s="11">
        <v>13269819378</v>
      </c>
      <c r="R796" s="16" t="s">
        <v>76</v>
      </c>
      <c r="S796" s="16" t="s">
        <v>77</v>
      </c>
      <c r="T796" s="11"/>
    </row>
    <row r="797" spans="1:20" s="14" customFormat="1" ht="24" customHeight="1">
      <c r="A797" s="15"/>
      <c r="B797" s="11" t="s">
        <v>1031</v>
      </c>
      <c r="C797" s="11" t="s">
        <v>1032</v>
      </c>
      <c r="D797" s="11" t="s">
        <v>131</v>
      </c>
      <c r="E797" s="11">
        <v>26</v>
      </c>
      <c r="F797" s="11"/>
      <c r="G797" s="11" t="s">
        <v>72</v>
      </c>
      <c r="H797" s="11" t="s">
        <v>41</v>
      </c>
      <c r="I797" s="11"/>
      <c r="J797" s="11"/>
      <c r="K797" s="11" t="s">
        <v>1029</v>
      </c>
      <c r="L797" s="12">
        <v>8077.68</v>
      </c>
      <c r="M797" s="12">
        <v>1615.12</v>
      </c>
      <c r="N797" s="22">
        <v>2020.05</v>
      </c>
      <c r="O797" s="16" t="s">
        <v>74</v>
      </c>
      <c r="P797" s="16" t="s">
        <v>75</v>
      </c>
      <c r="Q797" s="11">
        <v>13269819378</v>
      </c>
      <c r="R797" s="16" t="s">
        <v>76</v>
      </c>
      <c r="S797" s="16" t="s">
        <v>77</v>
      </c>
      <c r="T797" s="11"/>
    </row>
    <row r="798" spans="1:20" s="14" customFormat="1" ht="24" customHeight="1">
      <c r="A798" s="15"/>
      <c r="B798" s="11" t="s">
        <v>1012</v>
      </c>
      <c r="C798" s="11" t="s">
        <v>1033</v>
      </c>
      <c r="D798" s="11" t="s">
        <v>62</v>
      </c>
      <c r="E798" s="11">
        <v>106.44499999999999</v>
      </c>
      <c r="F798" s="11">
        <v>106.44499999999999</v>
      </c>
      <c r="G798" s="11" t="s">
        <v>72</v>
      </c>
      <c r="H798" s="11" t="s">
        <v>41</v>
      </c>
      <c r="I798" s="11"/>
      <c r="J798" s="11"/>
      <c r="K798" s="11" t="s">
        <v>595</v>
      </c>
      <c r="L798" s="12">
        <v>512914.17</v>
      </c>
      <c r="M798" s="12">
        <v>153874.25</v>
      </c>
      <c r="N798" s="22">
        <v>2021.03</v>
      </c>
      <c r="O798" s="16" t="s">
        <v>74</v>
      </c>
      <c r="P798" s="16" t="s">
        <v>75</v>
      </c>
      <c r="Q798" s="11">
        <v>13269819378</v>
      </c>
      <c r="R798" s="16" t="s">
        <v>76</v>
      </c>
      <c r="S798" s="16" t="s">
        <v>77</v>
      </c>
      <c r="T798" s="11"/>
    </row>
    <row r="799" spans="1:20" s="14" customFormat="1" ht="24" customHeight="1">
      <c r="A799" s="15"/>
      <c r="B799" s="11" t="s">
        <v>1012</v>
      </c>
      <c r="C799" s="11" t="s">
        <v>1034</v>
      </c>
      <c r="D799" s="11" t="s">
        <v>62</v>
      </c>
      <c r="E799" s="11">
        <v>10.967000000000001</v>
      </c>
      <c r="F799" s="11">
        <v>10.967000000000001</v>
      </c>
      <c r="G799" s="11" t="s">
        <v>72</v>
      </c>
      <c r="H799" s="11" t="s">
        <v>41</v>
      </c>
      <c r="I799" s="11"/>
      <c r="J799" s="11"/>
      <c r="K799" s="11" t="s">
        <v>595</v>
      </c>
      <c r="L799" s="12">
        <v>52835.71</v>
      </c>
      <c r="M799" s="12">
        <v>15850.71</v>
      </c>
      <c r="N799" s="22">
        <v>2021.03</v>
      </c>
      <c r="O799" s="16" t="s">
        <v>74</v>
      </c>
      <c r="P799" s="16" t="s">
        <v>75</v>
      </c>
      <c r="Q799" s="11">
        <v>13269819378</v>
      </c>
      <c r="R799" s="16" t="s">
        <v>76</v>
      </c>
      <c r="S799" s="16" t="s">
        <v>77</v>
      </c>
      <c r="T799" s="11"/>
    </row>
    <row r="800" spans="1:20" s="14" customFormat="1" ht="24" customHeight="1">
      <c r="A800" s="15"/>
      <c r="B800" s="11" t="s">
        <v>1035</v>
      </c>
      <c r="C800" s="11" t="s">
        <v>1036</v>
      </c>
      <c r="D800" s="11" t="s">
        <v>131</v>
      </c>
      <c r="E800" s="11">
        <v>13375</v>
      </c>
      <c r="F800" s="11"/>
      <c r="G800" s="11" t="s">
        <v>72</v>
      </c>
      <c r="H800" s="11" t="s">
        <v>41</v>
      </c>
      <c r="I800" s="11"/>
      <c r="J800" s="11"/>
      <c r="K800" s="11" t="s">
        <v>595</v>
      </c>
      <c r="L800" s="12">
        <v>100608.41</v>
      </c>
      <c r="M800" s="12">
        <v>30182.52</v>
      </c>
      <c r="N800" s="22">
        <v>2021.03</v>
      </c>
      <c r="O800" s="16" t="s">
        <v>74</v>
      </c>
      <c r="P800" s="16" t="s">
        <v>75</v>
      </c>
      <c r="Q800" s="11">
        <v>13269819378</v>
      </c>
      <c r="R800" s="16" t="s">
        <v>76</v>
      </c>
      <c r="S800" s="16" t="s">
        <v>77</v>
      </c>
      <c r="T800" s="11"/>
    </row>
    <row r="801" spans="1:20" s="14" customFormat="1" ht="24" customHeight="1">
      <c r="A801" s="15"/>
      <c r="B801" s="11" t="s">
        <v>1025</v>
      </c>
      <c r="C801" s="11" t="s">
        <v>1036</v>
      </c>
      <c r="D801" s="11" t="s">
        <v>131</v>
      </c>
      <c r="E801" s="11">
        <v>4400</v>
      </c>
      <c r="F801" s="11"/>
      <c r="G801" s="11" t="s">
        <v>72</v>
      </c>
      <c r="H801" s="11" t="s">
        <v>41</v>
      </c>
      <c r="I801" s="11"/>
      <c r="J801" s="11"/>
      <c r="K801" s="11" t="s">
        <v>595</v>
      </c>
      <c r="L801" s="12">
        <v>33097.35</v>
      </c>
      <c r="M801" s="12">
        <v>9929.2000000000007</v>
      </c>
      <c r="N801" s="22">
        <v>2021.03</v>
      </c>
      <c r="O801" s="16" t="s">
        <v>74</v>
      </c>
      <c r="P801" s="16" t="s">
        <v>75</v>
      </c>
      <c r="Q801" s="11">
        <v>13269819378</v>
      </c>
      <c r="R801" s="16" t="s">
        <v>76</v>
      </c>
      <c r="S801" s="16" t="s">
        <v>77</v>
      </c>
      <c r="T801" s="11"/>
    </row>
    <row r="802" spans="1:20" s="14" customFormat="1" ht="24" customHeight="1">
      <c r="A802" s="15"/>
      <c r="B802" s="11" t="s">
        <v>1037</v>
      </c>
      <c r="C802" s="11" t="s">
        <v>1036</v>
      </c>
      <c r="D802" s="11" t="s">
        <v>131</v>
      </c>
      <c r="E802" s="11">
        <v>2367</v>
      </c>
      <c r="F802" s="11"/>
      <c r="G802" s="11" t="s">
        <v>72</v>
      </c>
      <c r="H802" s="11" t="s">
        <v>41</v>
      </c>
      <c r="I802" s="11"/>
      <c r="J802" s="11"/>
      <c r="K802" s="11" t="s">
        <v>595</v>
      </c>
      <c r="L802" s="12">
        <v>17804.87</v>
      </c>
      <c r="M802" s="12">
        <v>5341.46</v>
      </c>
      <c r="N802" s="22">
        <v>2021.03</v>
      </c>
      <c r="O802" s="16" t="s">
        <v>74</v>
      </c>
      <c r="P802" s="16" t="s">
        <v>75</v>
      </c>
      <c r="Q802" s="11">
        <v>13269819378</v>
      </c>
      <c r="R802" s="16" t="s">
        <v>76</v>
      </c>
      <c r="S802" s="16" t="s">
        <v>77</v>
      </c>
      <c r="T802" s="11"/>
    </row>
    <row r="803" spans="1:20" s="14" customFormat="1" ht="24" customHeight="1">
      <c r="A803" s="15"/>
      <c r="B803" s="11" t="s">
        <v>1038</v>
      </c>
      <c r="C803" s="11"/>
      <c r="D803" s="11" t="s">
        <v>131</v>
      </c>
      <c r="E803" s="11">
        <v>170</v>
      </c>
      <c r="F803" s="11"/>
      <c r="G803" s="11" t="s">
        <v>72</v>
      </c>
      <c r="H803" s="11" t="s">
        <v>41</v>
      </c>
      <c r="I803" s="11"/>
      <c r="J803" s="11"/>
      <c r="K803" s="11" t="s">
        <v>841</v>
      </c>
      <c r="L803" s="12">
        <v>1178.22</v>
      </c>
      <c r="M803" s="12">
        <v>353.47</v>
      </c>
      <c r="N803" s="22">
        <v>2021.01</v>
      </c>
      <c r="O803" s="16" t="s">
        <v>74</v>
      </c>
      <c r="P803" s="16" t="s">
        <v>75</v>
      </c>
      <c r="Q803" s="11">
        <v>13269819378</v>
      </c>
      <c r="R803" s="16" t="s">
        <v>76</v>
      </c>
      <c r="S803" s="16" t="s">
        <v>77</v>
      </c>
      <c r="T803" s="11"/>
    </row>
    <row r="804" spans="1:20" s="14" customFormat="1" ht="24" customHeight="1">
      <c r="A804" s="15"/>
      <c r="B804" s="11" t="s">
        <v>1039</v>
      </c>
      <c r="C804" s="11"/>
      <c r="D804" s="11" t="s">
        <v>131</v>
      </c>
      <c r="E804" s="11">
        <v>500</v>
      </c>
      <c r="F804" s="11"/>
      <c r="G804" s="11" t="s">
        <v>72</v>
      </c>
      <c r="H804" s="11" t="s">
        <v>41</v>
      </c>
      <c r="I804" s="11"/>
      <c r="J804" s="11"/>
      <c r="K804" s="11" t="s">
        <v>841</v>
      </c>
      <c r="L804" s="12">
        <v>3712.87</v>
      </c>
      <c r="M804" s="12">
        <v>1113.8599999999999</v>
      </c>
      <c r="N804" s="22">
        <v>2021.01</v>
      </c>
      <c r="O804" s="16" t="s">
        <v>74</v>
      </c>
      <c r="P804" s="16" t="s">
        <v>75</v>
      </c>
      <c r="Q804" s="11">
        <v>13269819378</v>
      </c>
      <c r="R804" s="16" t="s">
        <v>76</v>
      </c>
      <c r="S804" s="16" t="s">
        <v>77</v>
      </c>
      <c r="T804" s="11"/>
    </row>
    <row r="805" spans="1:20" ht="24" hidden="1" customHeight="1">
      <c r="A805" s="15"/>
      <c r="B805" s="10" t="s">
        <v>1040</v>
      </c>
      <c r="C805" s="10"/>
      <c r="D805" s="10" t="s">
        <v>161</v>
      </c>
      <c r="E805" s="20">
        <v>120</v>
      </c>
      <c r="F805" s="20"/>
      <c r="G805" s="11" t="s">
        <v>32</v>
      </c>
      <c r="H805" s="11" t="s">
        <v>33</v>
      </c>
      <c r="I805" s="11" t="s">
        <v>404</v>
      </c>
      <c r="J805" s="11" t="s">
        <v>404</v>
      </c>
      <c r="K805" s="11" t="s">
        <v>1041</v>
      </c>
      <c r="L805" s="20">
        <v>196460.18</v>
      </c>
      <c r="M805" s="20">
        <v>196460.177</v>
      </c>
      <c r="N805" s="32">
        <v>44124</v>
      </c>
      <c r="O805" s="53" t="s">
        <v>138</v>
      </c>
      <c r="P805" s="53" t="s">
        <v>139</v>
      </c>
      <c r="Q805" s="54">
        <v>15076764689</v>
      </c>
      <c r="R805" s="53" t="s">
        <v>140</v>
      </c>
      <c r="S805" s="11" t="s">
        <v>141</v>
      </c>
      <c r="T805" s="54"/>
    </row>
    <row r="806" spans="1:20" s="14" customFormat="1" ht="24" hidden="1" customHeight="1">
      <c r="A806" s="15">
        <v>2</v>
      </c>
      <c r="B806" s="15" t="s">
        <v>1042</v>
      </c>
      <c r="C806" s="11"/>
      <c r="D806" s="11"/>
      <c r="E806" s="9"/>
      <c r="F806" s="9"/>
      <c r="G806" s="11"/>
      <c r="H806" s="11"/>
      <c r="I806" s="11"/>
      <c r="J806" s="11"/>
      <c r="K806" s="11"/>
      <c r="L806" s="12"/>
      <c r="M806" s="12"/>
      <c r="N806" s="11"/>
      <c r="O806" s="11"/>
      <c r="P806" s="11"/>
      <c r="Q806" s="11"/>
      <c r="R806" s="11"/>
      <c r="S806" s="11"/>
      <c r="T806" s="11"/>
    </row>
    <row r="807" spans="1:20" s="14" customFormat="1" ht="24" hidden="1" customHeight="1">
      <c r="A807" s="15">
        <v>3</v>
      </c>
      <c r="B807" s="15" t="s">
        <v>1043</v>
      </c>
      <c r="C807" s="11"/>
      <c r="D807" s="11"/>
      <c r="E807" s="9"/>
      <c r="F807" s="9"/>
      <c r="G807" s="11"/>
      <c r="H807" s="11"/>
      <c r="I807" s="11"/>
      <c r="J807" s="11"/>
      <c r="K807" s="11"/>
      <c r="L807" s="12"/>
      <c r="M807" s="12"/>
      <c r="N807" s="11"/>
      <c r="O807" s="11"/>
      <c r="P807" s="11"/>
      <c r="Q807" s="11"/>
      <c r="R807" s="11"/>
      <c r="S807" s="11"/>
      <c r="T807" s="11"/>
    </row>
    <row r="808" spans="1:20" s="14" customFormat="1" ht="24" hidden="1" customHeight="1">
      <c r="A808" s="15">
        <v>4</v>
      </c>
      <c r="B808" s="15" t="s">
        <v>1044</v>
      </c>
      <c r="C808" s="11"/>
      <c r="D808" s="11"/>
      <c r="E808" s="9"/>
      <c r="F808" s="9"/>
      <c r="G808" s="11"/>
      <c r="H808" s="11"/>
      <c r="I808" s="11"/>
      <c r="J808" s="11"/>
      <c r="K808" s="11"/>
      <c r="L808" s="12"/>
      <c r="M808" s="12"/>
      <c r="N808" s="11"/>
      <c r="O808" s="11"/>
      <c r="P808" s="11"/>
      <c r="Q808" s="11"/>
      <c r="R808" s="11"/>
      <c r="S808" s="11"/>
      <c r="T808" s="11"/>
    </row>
    <row r="809" spans="1:20" s="14" customFormat="1" ht="24" hidden="1" customHeight="1">
      <c r="A809" s="15"/>
      <c r="B809" s="11" t="s">
        <v>1045</v>
      </c>
      <c r="C809" s="11" t="s">
        <v>1046</v>
      </c>
      <c r="D809" s="11" t="s">
        <v>62</v>
      </c>
      <c r="E809" s="9">
        <v>77</v>
      </c>
      <c r="F809" s="9">
        <v>72.225999999999999</v>
      </c>
      <c r="G809" s="11" t="s">
        <v>32</v>
      </c>
      <c r="H809" s="11" t="s">
        <v>33</v>
      </c>
      <c r="I809" s="11"/>
      <c r="J809" s="11"/>
      <c r="K809" s="11" t="s">
        <v>1047</v>
      </c>
      <c r="L809" s="12"/>
      <c r="M809" s="34"/>
      <c r="N809" s="23">
        <v>42124</v>
      </c>
      <c r="O809" s="11" t="s">
        <v>43</v>
      </c>
      <c r="P809" s="11" t="s">
        <v>44</v>
      </c>
      <c r="Q809" s="11">
        <v>18611425182</v>
      </c>
      <c r="R809" s="11" t="s">
        <v>45</v>
      </c>
      <c r="S809" s="11" t="s">
        <v>46</v>
      </c>
      <c r="T809" s="11"/>
    </row>
    <row r="810" spans="1:20" s="14" customFormat="1" ht="24" hidden="1" customHeight="1">
      <c r="A810" s="15"/>
      <c r="B810" s="11" t="s">
        <v>1044</v>
      </c>
      <c r="C810" s="11" t="s">
        <v>1048</v>
      </c>
      <c r="D810" s="11" t="s">
        <v>62</v>
      </c>
      <c r="E810" s="9">
        <v>150</v>
      </c>
      <c r="F810" s="9">
        <v>240</v>
      </c>
      <c r="G810" s="11" t="s">
        <v>32</v>
      </c>
      <c r="H810" s="11" t="s">
        <v>33</v>
      </c>
      <c r="I810" s="11"/>
      <c r="J810" s="11"/>
      <c r="K810" s="11" t="s">
        <v>1047</v>
      </c>
      <c r="L810" s="12"/>
      <c r="M810" s="34"/>
      <c r="N810" s="23">
        <v>42125</v>
      </c>
      <c r="O810" s="11" t="s">
        <v>43</v>
      </c>
      <c r="P810" s="11" t="s">
        <v>44</v>
      </c>
      <c r="Q810" s="11">
        <v>18611425182</v>
      </c>
      <c r="R810" s="11" t="s">
        <v>45</v>
      </c>
      <c r="S810" s="11" t="s">
        <v>46</v>
      </c>
      <c r="T810" s="11"/>
    </row>
    <row r="811" spans="1:20" s="14" customFormat="1" ht="24" hidden="1" customHeight="1">
      <c r="A811" s="15"/>
      <c r="B811" s="11" t="s">
        <v>1044</v>
      </c>
      <c r="C811" s="11" t="s">
        <v>1049</v>
      </c>
      <c r="D811" s="11" t="s">
        <v>62</v>
      </c>
      <c r="E811" s="9">
        <v>40</v>
      </c>
      <c r="F811" s="9">
        <v>17.079999999999998</v>
      </c>
      <c r="G811" s="11" t="s">
        <v>32</v>
      </c>
      <c r="H811" s="11" t="s">
        <v>33</v>
      </c>
      <c r="I811" s="11"/>
      <c r="J811" s="11"/>
      <c r="K811" s="11" t="s">
        <v>1047</v>
      </c>
      <c r="L811" s="12"/>
      <c r="M811" s="34"/>
      <c r="N811" s="23">
        <v>42126</v>
      </c>
      <c r="O811" s="11" t="s">
        <v>43</v>
      </c>
      <c r="P811" s="11" t="s">
        <v>44</v>
      </c>
      <c r="Q811" s="11">
        <v>18611425182</v>
      </c>
      <c r="R811" s="11" t="s">
        <v>45</v>
      </c>
      <c r="S811" s="11" t="s">
        <v>46</v>
      </c>
      <c r="T811" s="11"/>
    </row>
    <row r="812" spans="1:20" s="14" customFormat="1" ht="24" hidden="1" customHeight="1">
      <c r="A812" s="15"/>
      <c r="B812" s="11" t="s">
        <v>1044</v>
      </c>
      <c r="C812" s="11" t="s">
        <v>1050</v>
      </c>
      <c r="D812" s="11" t="s">
        <v>62</v>
      </c>
      <c r="E812" s="9">
        <v>1</v>
      </c>
      <c r="F812" s="9">
        <v>0.59</v>
      </c>
      <c r="G812" s="11" t="s">
        <v>32</v>
      </c>
      <c r="H812" s="11" t="s">
        <v>33</v>
      </c>
      <c r="I812" s="11"/>
      <c r="J812" s="11"/>
      <c r="K812" s="11" t="s">
        <v>1047</v>
      </c>
      <c r="L812" s="12"/>
      <c r="M812" s="34"/>
      <c r="N812" s="23">
        <v>42127</v>
      </c>
      <c r="O812" s="11" t="s">
        <v>43</v>
      </c>
      <c r="P812" s="11" t="s">
        <v>44</v>
      </c>
      <c r="Q812" s="11">
        <v>18611425182</v>
      </c>
      <c r="R812" s="11" t="s">
        <v>45</v>
      </c>
      <c r="S812" s="11" t="s">
        <v>46</v>
      </c>
      <c r="T812" s="11"/>
    </row>
    <row r="813" spans="1:20" s="14" customFormat="1" ht="24" hidden="1" customHeight="1">
      <c r="A813" s="15"/>
      <c r="B813" s="11" t="s">
        <v>1044</v>
      </c>
      <c r="C813" s="11" t="s">
        <v>1051</v>
      </c>
      <c r="D813" s="11" t="s">
        <v>62</v>
      </c>
      <c r="E813" s="9">
        <v>15</v>
      </c>
      <c r="F813" s="9">
        <v>10.005000000000001</v>
      </c>
      <c r="G813" s="11" t="s">
        <v>32</v>
      </c>
      <c r="H813" s="11" t="s">
        <v>33</v>
      </c>
      <c r="I813" s="11"/>
      <c r="J813" s="11"/>
      <c r="K813" s="11" t="s">
        <v>1047</v>
      </c>
      <c r="L813" s="12"/>
      <c r="M813" s="34"/>
      <c r="N813" s="23">
        <v>42128</v>
      </c>
      <c r="O813" s="11" t="s">
        <v>43</v>
      </c>
      <c r="P813" s="11" t="s">
        <v>44</v>
      </c>
      <c r="Q813" s="11">
        <v>18611425182</v>
      </c>
      <c r="R813" s="11" t="s">
        <v>45</v>
      </c>
      <c r="S813" s="11" t="s">
        <v>46</v>
      </c>
      <c r="T813" s="11"/>
    </row>
    <row r="814" spans="1:20" s="14" customFormat="1" ht="24" hidden="1" customHeight="1">
      <c r="A814" s="15"/>
      <c r="B814" s="11" t="s">
        <v>1044</v>
      </c>
      <c r="C814" s="11" t="s">
        <v>1052</v>
      </c>
      <c r="D814" s="11" t="s">
        <v>62</v>
      </c>
      <c r="E814" s="9">
        <v>10</v>
      </c>
      <c r="F814" s="9">
        <v>8.69</v>
      </c>
      <c r="G814" s="11" t="s">
        <v>32</v>
      </c>
      <c r="H814" s="11" t="s">
        <v>33</v>
      </c>
      <c r="I814" s="11"/>
      <c r="J814" s="11"/>
      <c r="K814" s="11" t="s">
        <v>1047</v>
      </c>
      <c r="L814" s="12"/>
      <c r="M814" s="34"/>
      <c r="N814" s="23">
        <v>42129</v>
      </c>
      <c r="O814" s="11" t="s">
        <v>43</v>
      </c>
      <c r="P814" s="11" t="s">
        <v>44</v>
      </c>
      <c r="Q814" s="11">
        <v>18611425182</v>
      </c>
      <c r="R814" s="11" t="s">
        <v>45</v>
      </c>
      <c r="S814" s="11" t="s">
        <v>46</v>
      </c>
      <c r="T814" s="11"/>
    </row>
    <row r="815" spans="1:20" s="14" customFormat="1" ht="24" hidden="1" customHeight="1">
      <c r="A815" s="15"/>
      <c r="B815" s="11" t="s">
        <v>1053</v>
      </c>
      <c r="C815" s="11" t="s">
        <v>1054</v>
      </c>
      <c r="D815" s="11" t="s">
        <v>62</v>
      </c>
      <c r="E815" s="9">
        <v>42</v>
      </c>
      <c r="F815" s="9">
        <v>16.632000000000001</v>
      </c>
      <c r="G815" s="11" t="s">
        <v>32</v>
      </c>
      <c r="H815" s="11" t="s">
        <v>33</v>
      </c>
      <c r="I815" s="11"/>
      <c r="J815" s="11"/>
      <c r="K815" s="11" t="s">
        <v>1047</v>
      </c>
      <c r="L815" s="12"/>
      <c r="M815" s="34"/>
      <c r="N815" s="23">
        <v>42130</v>
      </c>
      <c r="O815" s="11" t="s">
        <v>43</v>
      </c>
      <c r="P815" s="11" t="s">
        <v>44</v>
      </c>
      <c r="Q815" s="11">
        <v>18611425182</v>
      </c>
      <c r="R815" s="11" t="s">
        <v>45</v>
      </c>
      <c r="S815" s="11" t="s">
        <v>46</v>
      </c>
      <c r="T815" s="11"/>
    </row>
    <row r="816" spans="1:20" s="14" customFormat="1" ht="24" hidden="1" customHeight="1">
      <c r="A816" s="15"/>
      <c r="B816" s="11" t="s">
        <v>1053</v>
      </c>
      <c r="C816" s="11" t="s">
        <v>1055</v>
      </c>
      <c r="D816" s="11" t="s">
        <v>62</v>
      </c>
      <c r="E816" s="9">
        <v>39</v>
      </c>
      <c r="F816" s="9">
        <v>17.861999999999998</v>
      </c>
      <c r="G816" s="11" t="s">
        <v>32</v>
      </c>
      <c r="H816" s="11" t="s">
        <v>33</v>
      </c>
      <c r="I816" s="11"/>
      <c r="J816" s="11"/>
      <c r="K816" s="11" t="s">
        <v>1047</v>
      </c>
      <c r="L816" s="12"/>
      <c r="M816" s="34"/>
      <c r="N816" s="23">
        <v>42131</v>
      </c>
      <c r="O816" s="11" t="s">
        <v>43</v>
      </c>
      <c r="P816" s="11" t="s">
        <v>44</v>
      </c>
      <c r="Q816" s="11">
        <v>18611425182</v>
      </c>
      <c r="R816" s="11" t="s">
        <v>45</v>
      </c>
      <c r="S816" s="11" t="s">
        <v>46</v>
      </c>
      <c r="T816" s="11"/>
    </row>
    <row r="817" spans="1:20" s="14" customFormat="1" ht="24" hidden="1" customHeight="1">
      <c r="A817" s="15"/>
      <c r="B817" s="11" t="s">
        <v>1053</v>
      </c>
      <c r="C817" s="11" t="s">
        <v>1056</v>
      </c>
      <c r="D817" s="11" t="s">
        <v>62</v>
      </c>
      <c r="E817" s="9">
        <v>26</v>
      </c>
      <c r="F817" s="9">
        <v>8.2159999999999993</v>
      </c>
      <c r="G817" s="11" t="s">
        <v>32</v>
      </c>
      <c r="H817" s="11" t="s">
        <v>33</v>
      </c>
      <c r="I817" s="11"/>
      <c r="J817" s="11"/>
      <c r="K817" s="11" t="s">
        <v>1047</v>
      </c>
      <c r="L817" s="12"/>
      <c r="M817" s="34"/>
      <c r="N817" s="23">
        <v>42132</v>
      </c>
      <c r="O817" s="11" t="s">
        <v>43</v>
      </c>
      <c r="P817" s="11" t="s">
        <v>44</v>
      </c>
      <c r="Q817" s="11">
        <v>18611425182</v>
      </c>
      <c r="R817" s="11" t="s">
        <v>45</v>
      </c>
      <c r="S817" s="11" t="s">
        <v>46</v>
      </c>
      <c r="T817" s="11"/>
    </row>
    <row r="818" spans="1:20" s="14" customFormat="1" ht="24" hidden="1" customHeight="1">
      <c r="A818" s="15"/>
      <c r="B818" s="11" t="s">
        <v>1053</v>
      </c>
      <c r="C818" s="11" t="s">
        <v>1057</v>
      </c>
      <c r="D818" s="11" t="s">
        <v>62</v>
      </c>
      <c r="E818" s="9">
        <v>1</v>
      </c>
      <c r="F818" s="9">
        <v>0.22600000000000001</v>
      </c>
      <c r="G818" s="11" t="s">
        <v>32</v>
      </c>
      <c r="H818" s="11" t="s">
        <v>33</v>
      </c>
      <c r="I818" s="11"/>
      <c r="J818" s="11"/>
      <c r="K818" s="11" t="s">
        <v>1047</v>
      </c>
      <c r="L818" s="12"/>
      <c r="M818" s="34"/>
      <c r="N818" s="23">
        <v>42133</v>
      </c>
      <c r="O818" s="11" t="s">
        <v>43</v>
      </c>
      <c r="P818" s="11" t="s">
        <v>44</v>
      </c>
      <c r="Q818" s="11">
        <v>18611425182</v>
      </c>
      <c r="R818" s="11" t="s">
        <v>45</v>
      </c>
      <c r="S818" s="11" t="s">
        <v>46</v>
      </c>
      <c r="T818" s="11"/>
    </row>
    <row r="819" spans="1:20" s="14" customFormat="1" ht="24" hidden="1" customHeight="1">
      <c r="A819" s="15"/>
      <c r="B819" s="11" t="s">
        <v>1058</v>
      </c>
      <c r="C819" s="11" t="s">
        <v>1059</v>
      </c>
      <c r="D819" s="11" t="s">
        <v>62</v>
      </c>
      <c r="E819" s="9">
        <v>130</v>
      </c>
      <c r="F819" s="9">
        <v>53.381999999999998</v>
      </c>
      <c r="G819" s="11" t="s">
        <v>32</v>
      </c>
      <c r="H819" s="11" t="s">
        <v>33</v>
      </c>
      <c r="I819" s="11"/>
      <c r="J819" s="11"/>
      <c r="K819" s="11" t="s">
        <v>1047</v>
      </c>
      <c r="L819" s="12"/>
      <c r="M819" s="34"/>
      <c r="N819" s="23">
        <v>42134</v>
      </c>
      <c r="O819" s="11" t="s">
        <v>43</v>
      </c>
      <c r="P819" s="11" t="s">
        <v>44</v>
      </c>
      <c r="Q819" s="11">
        <v>18611425182</v>
      </c>
      <c r="R819" s="11" t="s">
        <v>45</v>
      </c>
      <c r="S819" s="11" t="s">
        <v>46</v>
      </c>
      <c r="T819" s="11"/>
    </row>
    <row r="820" spans="1:20" s="14" customFormat="1" ht="24" hidden="1" customHeight="1">
      <c r="A820" s="15"/>
      <c r="B820" s="11" t="s">
        <v>1058</v>
      </c>
      <c r="C820" s="11" t="s">
        <v>1060</v>
      </c>
      <c r="D820" s="11" t="s">
        <v>62</v>
      </c>
      <c r="E820" s="9">
        <v>72</v>
      </c>
      <c r="F820" s="9">
        <v>26.64</v>
      </c>
      <c r="G820" s="11" t="s">
        <v>32</v>
      </c>
      <c r="H820" s="11" t="s">
        <v>33</v>
      </c>
      <c r="I820" s="11"/>
      <c r="J820" s="11"/>
      <c r="K820" s="11" t="s">
        <v>1047</v>
      </c>
      <c r="L820" s="12"/>
      <c r="M820" s="34"/>
      <c r="N820" s="23">
        <v>42135</v>
      </c>
      <c r="O820" s="11" t="s">
        <v>43</v>
      </c>
      <c r="P820" s="11" t="s">
        <v>44</v>
      </c>
      <c r="Q820" s="11">
        <v>18611425182</v>
      </c>
      <c r="R820" s="11" t="s">
        <v>45</v>
      </c>
      <c r="S820" s="11" t="s">
        <v>46</v>
      </c>
      <c r="T820" s="11"/>
    </row>
    <row r="821" spans="1:20" s="14" customFormat="1" ht="24" hidden="1" customHeight="1">
      <c r="A821" s="15"/>
      <c r="B821" s="11" t="s">
        <v>1058</v>
      </c>
      <c r="C821" s="11" t="s">
        <v>1061</v>
      </c>
      <c r="D821" s="11" t="s">
        <v>62</v>
      </c>
      <c r="E821" s="9">
        <v>4.5999999999999996</v>
      </c>
      <c r="F821" s="9">
        <v>1.84</v>
      </c>
      <c r="G821" s="11" t="s">
        <v>32</v>
      </c>
      <c r="H821" s="11" t="s">
        <v>33</v>
      </c>
      <c r="I821" s="11"/>
      <c r="J821" s="11"/>
      <c r="K821" s="11" t="s">
        <v>1047</v>
      </c>
      <c r="L821" s="12"/>
      <c r="M821" s="34"/>
      <c r="N821" s="23">
        <v>42136</v>
      </c>
      <c r="O821" s="11" t="s">
        <v>43</v>
      </c>
      <c r="P821" s="11" t="s">
        <v>44</v>
      </c>
      <c r="Q821" s="11">
        <v>18611425182</v>
      </c>
      <c r="R821" s="11" t="s">
        <v>45</v>
      </c>
      <c r="S821" s="11" t="s">
        <v>46</v>
      </c>
      <c r="T821" s="11"/>
    </row>
    <row r="822" spans="1:20" s="14" customFormat="1" ht="24" hidden="1" customHeight="1">
      <c r="A822" s="15"/>
      <c r="B822" s="11" t="s">
        <v>1058</v>
      </c>
      <c r="C822" s="11" t="s">
        <v>1062</v>
      </c>
      <c r="D822" s="11" t="s">
        <v>62</v>
      </c>
      <c r="E822" s="9">
        <v>5</v>
      </c>
      <c r="F822" s="9">
        <v>1.8049999999999999</v>
      </c>
      <c r="G822" s="11" t="s">
        <v>32</v>
      </c>
      <c r="H822" s="11" t="s">
        <v>33</v>
      </c>
      <c r="I822" s="11"/>
      <c r="J822" s="11"/>
      <c r="K822" s="11" t="s">
        <v>1047</v>
      </c>
      <c r="L822" s="12"/>
      <c r="M822" s="34"/>
      <c r="N822" s="23">
        <v>42137</v>
      </c>
      <c r="O822" s="11" t="s">
        <v>43</v>
      </c>
      <c r="P822" s="11" t="s">
        <v>44</v>
      </c>
      <c r="Q822" s="11">
        <v>18611425182</v>
      </c>
      <c r="R822" s="11" t="s">
        <v>45</v>
      </c>
      <c r="S822" s="11" t="s">
        <v>46</v>
      </c>
      <c r="T822" s="11"/>
    </row>
    <row r="823" spans="1:20" s="14" customFormat="1" ht="24" hidden="1" customHeight="1">
      <c r="A823" s="15"/>
      <c r="B823" s="11" t="s">
        <v>1063</v>
      </c>
      <c r="C823" s="11" t="s">
        <v>1064</v>
      </c>
      <c r="D823" s="11" t="s">
        <v>62</v>
      </c>
      <c r="E823" s="9">
        <v>82</v>
      </c>
      <c r="F823" s="9">
        <v>0.41</v>
      </c>
      <c r="G823" s="11" t="s">
        <v>32</v>
      </c>
      <c r="H823" s="11" t="s">
        <v>33</v>
      </c>
      <c r="I823" s="11"/>
      <c r="J823" s="11"/>
      <c r="K823" s="11" t="s">
        <v>1047</v>
      </c>
      <c r="L823" s="12"/>
      <c r="M823" s="34"/>
      <c r="N823" s="23">
        <v>42138</v>
      </c>
      <c r="O823" s="11" t="s">
        <v>43</v>
      </c>
      <c r="P823" s="11" t="s">
        <v>44</v>
      </c>
      <c r="Q823" s="11">
        <v>18611425182</v>
      </c>
      <c r="R823" s="11" t="s">
        <v>45</v>
      </c>
      <c r="S823" s="11" t="s">
        <v>46</v>
      </c>
      <c r="T823" s="11"/>
    </row>
    <row r="824" spans="1:20" s="14" customFormat="1" ht="24" hidden="1" customHeight="1">
      <c r="A824" s="15"/>
      <c r="B824" s="11" t="s">
        <v>1044</v>
      </c>
      <c r="C824" s="11" t="s">
        <v>1052</v>
      </c>
      <c r="D824" s="11" t="s">
        <v>62</v>
      </c>
      <c r="E824" s="9">
        <v>110</v>
      </c>
      <c r="F824" s="9">
        <v>80.180000000000007</v>
      </c>
      <c r="G824" s="11" t="s">
        <v>32</v>
      </c>
      <c r="H824" s="11" t="s">
        <v>33</v>
      </c>
      <c r="I824" s="11"/>
      <c r="J824" s="11"/>
      <c r="K824" s="11" t="s">
        <v>1065</v>
      </c>
      <c r="L824" s="12"/>
      <c r="M824" s="34"/>
      <c r="N824" s="23">
        <v>42139</v>
      </c>
      <c r="O824" s="11" t="s">
        <v>43</v>
      </c>
      <c r="P824" s="11" t="s">
        <v>44</v>
      </c>
      <c r="Q824" s="11">
        <v>18611425182</v>
      </c>
      <c r="R824" s="11" t="s">
        <v>45</v>
      </c>
      <c r="S824" s="11" t="s">
        <v>46</v>
      </c>
      <c r="T824" s="11"/>
    </row>
    <row r="825" spans="1:20" s="14" customFormat="1" ht="24" hidden="1" customHeight="1">
      <c r="A825" s="15"/>
      <c r="B825" s="11" t="s">
        <v>1044</v>
      </c>
      <c r="C825" s="11" t="s">
        <v>1066</v>
      </c>
      <c r="D825" s="11" t="s">
        <v>62</v>
      </c>
      <c r="E825" s="9">
        <v>13</v>
      </c>
      <c r="F825" s="1793">
        <v>78.42</v>
      </c>
      <c r="G825" s="11" t="s">
        <v>32</v>
      </c>
      <c r="H825" s="11" t="s">
        <v>33</v>
      </c>
      <c r="I825" s="11"/>
      <c r="J825" s="11"/>
      <c r="K825" s="11" t="s">
        <v>1067</v>
      </c>
      <c r="L825" s="12"/>
      <c r="M825" s="34"/>
      <c r="N825" s="23">
        <v>42140</v>
      </c>
      <c r="O825" s="11" t="s">
        <v>43</v>
      </c>
      <c r="P825" s="11" t="s">
        <v>44</v>
      </c>
      <c r="Q825" s="11">
        <v>18611425182</v>
      </c>
      <c r="R825" s="11" t="s">
        <v>45</v>
      </c>
      <c r="S825" s="11" t="s">
        <v>46</v>
      </c>
      <c r="T825" s="11"/>
    </row>
    <row r="826" spans="1:20" s="14" customFormat="1" ht="24" hidden="1" customHeight="1">
      <c r="A826" s="15"/>
      <c r="B826" s="11" t="s">
        <v>1044</v>
      </c>
      <c r="C826" s="11" t="s">
        <v>1068</v>
      </c>
      <c r="D826" s="11" t="s">
        <v>62</v>
      </c>
      <c r="E826" s="9">
        <v>21</v>
      </c>
      <c r="F826" s="1794"/>
      <c r="G826" s="11" t="s">
        <v>32</v>
      </c>
      <c r="H826" s="11" t="s">
        <v>33</v>
      </c>
      <c r="I826" s="11"/>
      <c r="J826" s="11"/>
      <c r="K826" s="11" t="s">
        <v>1067</v>
      </c>
      <c r="L826" s="12"/>
      <c r="M826" s="12"/>
      <c r="N826" s="23">
        <v>42141</v>
      </c>
      <c r="O826" s="11" t="s">
        <v>43</v>
      </c>
      <c r="P826" s="11" t="s">
        <v>44</v>
      </c>
      <c r="Q826" s="11">
        <v>18611425182</v>
      </c>
      <c r="R826" s="11" t="s">
        <v>45</v>
      </c>
      <c r="S826" s="11" t="s">
        <v>46</v>
      </c>
      <c r="T826" s="11"/>
    </row>
    <row r="827" spans="1:20" s="14" customFormat="1" ht="24" hidden="1" customHeight="1">
      <c r="A827" s="15"/>
      <c r="B827" s="11" t="s">
        <v>1045</v>
      </c>
      <c r="C827" s="11">
        <v>800</v>
      </c>
      <c r="D827" s="11" t="s">
        <v>62</v>
      </c>
      <c r="E827" s="9">
        <v>6</v>
      </c>
      <c r="F827" s="1794"/>
      <c r="G827" s="11" t="s">
        <v>32</v>
      </c>
      <c r="H827" s="11" t="s">
        <v>33</v>
      </c>
      <c r="I827" s="11"/>
      <c r="J827" s="11"/>
      <c r="K827" s="11" t="s">
        <v>1067</v>
      </c>
      <c r="L827" s="34"/>
      <c r="M827" s="34"/>
      <c r="N827" s="23">
        <v>42142</v>
      </c>
      <c r="O827" s="11" t="s">
        <v>43</v>
      </c>
      <c r="P827" s="11" t="s">
        <v>44</v>
      </c>
      <c r="Q827" s="11">
        <v>18611425182</v>
      </c>
      <c r="R827" s="11" t="s">
        <v>45</v>
      </c>
      <c r="S827" s="11" t="s">
        <v>46</v>
      </c>
      <c r="T827" s="11"/>
    </row>
    <row r="828" spans="1:20" s="14" customFormat="1" ht="24" hidden="1" customHeight="1">
      <c r="A828" s="15"/>
      <c r="B828" s="11" t="s">
        <v>1053</v>
      </c>
      <c r="C828" s="11" t="s">
        <v>1069</v>
      </c>
      <c r="D828" s="11" t="s">
        <v>62</v>
      </c>
      <c r="E828" s="9">
        <v>2</v>
      </c>
      <c r="F828" s="1794"/>
      <c r="G828" s="11" t="s">
        <v>32</v>
      </c>
      <c r="H828" s="11" t="s">
        <v>33</v>
      </c>
      <c r="I828" s="11"/>
      <c r="J828" s="11"/>
      <c r="K828" s="11" t="s">
        <v>1067</v>
      </c>
      <c r="L828" s="34"/>
      <c r="M828" s="34"/>
      <c r="N828" s="23">
        <v>42143</v>
      </c>
      <c r="O828" s="11" t="s">
        <v>43</v>
      </c>
      <c r="P828" s="11" t="s">
        <v>44</v>
      </c>
      <c r="Q828" s="11">
        <v>18611425182</v>
      </c>
      <c r="R828" s="11" t="s">
        <v>45</v>
      </c>
      <c r="S828" s="11" t="s">
        <v>46</v>
      </c>
      <c r="T828" s="11"/>
    </row>
    <row r="829" spans="1:20" s="14" customFormat="1" ht="24" hidden="1" customHeight="1">
      <c r="A829" s="15"/>
      <c r="B829" s="11" t="s">
        <v>1070</v>
      </c>
      <c r="C829" s="11"/>
      <c r="D829" s="11" t="s">
        <v>62</v>
      </c>
      <c r="E829" s="9">
        <v>38</v>
      </c>
      <c r="F829" s="1795"/>
      <c r="G829" s="11" t="s">
        <v>32</v>
      </c>
      <c r="H829" s="11" t="s">
        <v>33</v>
      </c>
      <c r="I829" s="11"/>
      <c r="J829" s="11"/>
      <c r="K829" s="11" t="s">
        <v>1067</v>
      </c>
      <c r="L829" s="34"/>
      <c r="M829" s="34"/>
      <c r="N829" s="23">
        <v>42144</v>
      </c>
      <c r="O829" s="11" t="s">
        <v>43</v>
      </c>
      <c r="P829" s="11" t="s">
        <v>44</v>
      </c>
      <c r="Q829" s="11">
        <v>18611425182</v>
      </c>
      <c r="R829" s="11" t="s">
        <v>45</v>
      </c>
      <c r="S829" s="11" t="s">
        <v>46</v>
      </c>
      <c r="T829" s="11"/>
    </row>
    <row r="830" spans="1:20" s="14" customFormat="1" ht="24" customHeight="1">
      <c r="A830" s="15"/>
      <c r="B830" s="11" t="s">
        <v>1044</v>
      </c>
      <c r="C830" s="11">
        <v>800</v>
      </c>
      <c r="D830" s="11" t="s">
        <v>62</v>
      </c>
      <c r="E830" s="9">
        <v>64</v>
      </c>
      <c r="F830" s="9">
        <v>30.76</v>
      </c>
      <c r="G830" s="11" t="s">
        <v>32</v>
      </c>
      <c r="H830" s="11" t="s">
        <v>41</v>
      </c>
      <c r="I830" s="11"/>
      <c r="J830" s="11"/>
      <c r="K830" s="11" t="s">
        <v>535</v>
      </c>
      <c r="L830" s="34"/>
      <c r="M830" s="34"/>
      <c r="N830" s="23">
        <v>42145</v>
      </c>
      <c r="O830" s="11" t="s">
        <v>43</v>
      </c>
      <c r="P830" s="11" t="s">
        <v>44</v>
      </c>
      <c r="Q830" s="11">
        <v>18611425182</v>
      </c>
      <c r="R830" s="11" t="s">
        <v>45</v>
      </c>
      <c r="S830" s="11" t="s">
        <v>46</v>
      </c>
      <c r="T830" s="11"/>
    </row>
    <row r="831" spans="1:20" s="14" customFormat="1" ht="24" customHeight="1">
      <c r="A831" s="15"/>
      <c r="B831" s="11" t="s">
        <v>1044</v>
      </c>
      <c r="C831" s="11">
        <v>800</v>
      </c>
      <c r="D831" s="11" t="s">
        <v>62</v>
      </c>
      <c r="E831" s="9"/>
      <c r="F831" s="9">
        <v>128.26</v>
      </c>
      <c r="G831" s="11" t="s">
        <v>32</v>
      </c>
      <c r="H831" s="11" t="s">
        <v>41</v>
      </c>
      <c r="I831" s="11"/>
      <c r="J831" s="11"/>
      <c r="K831" s="11" t="s">
        <v>1071</v>
      </c>
      <c r="L831" s="34"/>
      <c r="M831" s="34"/>
      <c r="N831" s="23">
        <v>42146</v>
      </c>
      <c r="O831" s="11" t="s">
        <v>43</v>
      </c>
      <c r="P831" s="11" t="s">
        <v>44</v>
      </c>
      <c r="Q831" s="11">
        <v>18611425182</v>
      </c>
      <c r="R831" s="11" t="s">
        <v>45</v>
      </c>
      <c r="S831" s="11" t="s">
        <v>46</v>
      </c>
      <c r="T831" s="11"/>
    </row>
    <row r="832" spans="1:20" s="14" customFormat="1" ht="24" hidden="1" customHeight="1">
      <c r="A832" s="15"/>
      <c r="B832" s="11" t="s">
        <v>1044</v>
      </c>
      <c r="C832" s="11" t="s">
        <v>1072</v>
      </c>
      <c r="D832" s="11" t="s">
        <v>464</v>
      </c>
      <c r="E832" s="9">
        <v>225</v>
      </c>
      <c r="F832" s="9">
        <v>60.579000000000001</v>
      </c>
      <c r="G832" s="11" t="s">
        <v>32</v>
      </c>
      <c r="H832" s="11" t="s">
        <v>33</v>
      </c>
      <c r="I832" s="11"/>
      <c r="J832" s="11" t="s">
        <v>901</v>
      </c>
      <c r="K832" s="11" t="s">
        <v>52</v>
      </c>
      <c r="L832" s="12">
        <v>315010.8</v>
      </c>
      <c r="M832" s="12">
        <v>315010.8</v>
      </c>
      <c r="N832" s="24">
        <v>44044</v>
      </c>
      <c r="O832" s="11" t="s">
        <v>903</v>
      </c>
      <c r="P832" s="11" t="s">
        <v>904</v>
      </c>
      <c r="Q832" s="11">
        <v>13622035114</v>
      </c>
      <c r="R832" s="11" t="s">
        <v>905</v>
      </c>
      <c r="S832" s="60"/>
      <c r="T832" s="60"/>
    </row>
    <row r="833" spans="1:20" s="14" customFormat="1" ht="24" hidden="1" customHeight="1">
      <c r="A833" s="15"/>
      <c r="B833" s="11" t="s">
        <v>1044</v>
      </c>
      <c r="C833" s="11" t="s">
        <v>1073</v>
      </c>
      <c r="D833" s="11" t="s">
        <v>464</v>
      </c>
      <c r="E833" s="9">
        <v>239</v>
      </c>
      <c r="F833" s="9">
        <v>75.414000000000001</v>
      </c>
      <c r="G833" s="11" t="s">
        <v>32</v>
      </c>
      <c r="H833" s="11" t="s">
        <v>33</v>
      </c>
      <c r="I833" s="11"/>
      <c r="J833" s="11" t="s">
        <v>901</v>
      </c>
      <c r="K833" s="11" t="s">
        <v>52</v>
      </c>
      <c r="L833" s="12">
        <v>392152.8</v>
      </c>
      <c r="M833" s="12">
        <v>392152.8</v>
      </c>
      <c r="N833" s="24">
        <v>44044</v>
      </c>
      <c r="O833" s="11" t="s">
        <v>903</v>
      </c>
      <c r="P833" s="11" t="s">
        <v>904</v>
      </c>
      <c r="Q833" s="11">
        <v>13622035114</v>
      </c>
      <c r="R833" s="11" t="s">
        <v>905</v>
      </c>
      <c r="S833" s="60"/>
      <c r="T833" s="60"/>
    </row>
    <row r="834" spans="1:20" s="14" customFormat="1" ht="24" hidden="1" customHeight="1">
      <c r="A834" s="15"/>
      <c r="B834" s="11" t="s">
        <v>1044</v>
      </c>
      <c r="C834" s="11" t="s">
        <v>1074</v>
      </c>
      <c r="D834" s="11" t="s">
        <v>464</v>
      </c>
      <c r="E834" s="9">
        <v>313</v>
      </c>
      <c r="F834" s="9">
        <v>131.053</v>
      </c>
      <c r="G834" s="11" t="s">
        <v>32</v>
      </c>
      <c r="H834" s="11" t="s">
        <v>33</v>
      </c>
      <c r="I834" s="11"/>
      <c r="J834" s="11" t="s">
        <v>901</v>
      </c>
      <c r="K834" s="11" t="s">
        <v>52</v>
      </c>
      <c r="L834" s="12">
        <v>681475.6</v>
      </c>
      <c r="M834" s="12">
        <v>681475.6</v>
      </c>
      <c r="N834" s="24">
        <v>44044</v>
      </c>
      <c r="O834" s="11" t="s">
        <v>903</v>
      </c>
      <c r="P834" s="11" t="s">
        <v>904</v>
      </c>
      <c r="Q834" s="11">
        <v>13622035114</v>
      </c>
      <c r="R834" s="11" t="s">
        <v>905</v>
      </c>
      <c r="S834" s="60"/>
      <c r="T834" s="60"/>
    </row>
    <row r="835" spans="1:20" s="14" customFormat="1" ht="24" hidden="1" customHeight="1">
      <c r="A835" s="15"/>
      <c r="B835" s="11" t="s">
        <v>1044</v>
      </c>
      <c r="C835" s="11" t="s">
        <v>1075</v>
      </c>
      <c r="D835" s="11" t="s">
        <v>464</v>
      </c>
      <c r="E835" s="9">
        <v>491</v>
      </c>
      <c r="F835" s="9">
        <v>190.92</v>
      </c>
      <c r="G835" s="11" t="s">
        <v>32</v>
      </c>
      <c r="H835" s="11" t="s">
        <v>33</v>
      </c>
      <c r="I835" s="11"/>
      <c r="J835" s="11" t="s">
        <v>901</v>
      </c>
      <c r="K835" s="11" t="s">
        <v>52</v>
      </c>
      <c r="L835" s="12">
        <v>992784</v>
      </c>
      <c r="M835" s="12">
        <v>992784</v>
      </c>
      <c r="N835" s="24">
        <v>44044</v>
      </c>
      <c r="O835" s="11" t="s">
        <v>903</v>
      </c>
      <c r="P835" s="11" t="s">
        <v>904</v>
      </c>
      <c r="Q835" s="11">
        <v>13622035114</v>
      </c>
      <c r="R835" s="11" t="s">
        <v>905</v>
      </c>
      <c r="S835" s="60"/>
      <c r="T835" s="60"/>
    </row>
    <row r="836" spans="1:20" s="14" customFormat="1" ht="24" hidden="1" customHeight="1">
      <c r="A836" s="15"/>
      <c r="B836" s="11" t="s">
        <v>1044</v>
      </c>
      <c r="C836" s="11" t="s">
        <v>1076</v>
      </c>
      <c r="D836" s="11" t="s">
        <v>464</v>
      </c>
      <c r="E836" s="9">
        <v>36</v>
      </c>
      <c r="F836" s="9">
        <v>19.634</v>
      </c>
      <c r="G836" s="11" t="s">
        <v>32</v>
      </c>
      <c r="H836" s="11" t="s">
        <v>33</v>
      </c>
      <c r="I836" s="11"/>
      <c r="J836" s="11" t="s">
        <v>901</v>
      </c>
      <c r="K836" s="11" t="s">
        <v>52</v>
      </c>
      <c r="L836" s="12">
        <v>102096.8</v>
      </c>
      <c r="M836" s="12">
        <v>102096.8</v>
      </c>
      <c r="N836" s="24">
        <v>44044</v>
      </c>
      <c r="O836" s="11" t="s">
        <v>903</v>
      </c>
      <c r="P836" s="11" t="s">
        <v>904</v>
      </c>
      <c r="Q836" s="11">
        <v>13622035114</v>
      </c>
      <c r="R836" s="11" t="s">
        <v>905</v>
      </c>
      <c r="S836" s="60"/>
      <c r="T836" s="60"/>
    </row>
    <row r="837" spans="1:20" s="14" customFormat="1" ht="24" hidden="1" customHeight="1">
      <c r="A837" s="15"/>
      <c r="B837" s="11" t="s">
        <v>1044</v>
      </c>
      <c r="C837" s="11" t="s">
        <v>1077</v>
      </c>
      <c r="D837" s="11" t="s">
        <v>464</v>
      </c>
      <c r="E837" s="9">
        <v>474</v>
      </c>
      <c r="F837" s="9">
        <v>517.04300000000001</v>
      </c>
      <c r="G837" s="11" t="s">
        <v>32</v>
      </c>
      <c r="H837" s="11" t="s">
        <v>33</v>
      </c>
      <c r="I837" s="11"/>
      <c r="J837" s="11" t="s">
        <v>901</v>
      </c>
      <c r="K837" s="11" t="s">
        <v>52</v>
      </c>
      <c r="L837" s="12">
        <v>2688623.6</v>
      </c>
      <c r="M837" s="12">
        <v>2688623.6</v>
      </c>
      <c r="N837" s="24">
        <v>44044</v>
      </c>
      <c r="O837" s="11" t="s">
        <v>903</v>
      </c>
      <c r="P837" s="11" t="s">
        <v>904</v>
      </c>
      <c r="Q837" s="11">
        <v>13622035114</v>
      </c>
      <c r="R837" s="11" t="s">
        <v>905</v>
      </c>
      <c r="S837" s="60"/>
      <c r="T837" s="60"/>
    </row>
    <row r="838" spans="1:20" s="14" customFormat="1" ht="24" hidden="1" customHeight="1">
      <c r="A838" s="15"/>
      <c r="B838" s="11" t="s">
        <v>1044</v>
      </c>
      <c r="C838" s="11" t="s">
        <v>1078</v>
      </c>
      <c r="D838" s="11" t="s">
        <v>464</v>
      </c>
      <c r="E838" s="9">
        <v>702</v>
      </c>
      <c r="F838" s="9">
        <v>1094.277</v>
      </c>
      <c r="G838" s="11" t="s">
        <v>32</v>
      </c>
      <c r="H838" s="11" t="s">
        <v>33</v>
      </c>
      <c r="I838" s="11"/>
      <c r="J838" s="11" t="s">
        <v>901</v>
      </c>
      <c r="K838" s="11" t="s">
        <v>52</v>
      </c>
      <c r="L838" s="12">
        <v>5690240.4000000004</v>
      </c>
      <c r="M838" s="12">
        <v>5690240.4000000004</v>
      </c>
      <c r="N838" s="24">
        <v>44044</v>
      </c>
      <c r="O838" s="11" t="s">
        <v>903</v>
      </c>
      <c r="P838" s="11" t="s">
        <v>904</v>
      </c>
      <c r="Q838" s="11">
        <v>13622035114</v>
      </c>
      <c r="R838" s="11" t="s">
        <v>905</v>
      </c>
      <c r="S838" s="60"/>
      <c r="T838" s="60"/>
    </row>
    <row r="839" spans="1:20" s="14" customFormat="1" ht="24" hidden="1" customHeight="1">
      <c r="A839" s="15"/>
      <c r="B839" s="11" t="s">
        <v>1044</v>
      </c>
      <c r="C839" s="11" t="s">
        <v>1079</v>
      </c>
      <c r="D839" s="11" t="s">
        <v>131</v>
      </c>
      <c r="E839" s="9">
        <v>525</v>
      </c>
      <c r="F839" s="9">
        <v>640.505</v>
      </c>
      <c r="G839" s="11" t="s">
        <v>32</v>
      </c>
      <c r="H839" s="11" t="s">
        <v>33</v>
      </c>
      <c r="I839" s="11"/>
      <c r="J839" s="11" t="s">
        <v>901</v>
      </c>
      <c r="K839" s="11" t="s">
        <v>52</v>
      </c>
      <c r="L839" s="12">
        <v>3490752.25</v>
      </c>
      <c r="M839" s="12">
        <v>3490752.25</v>
      </c>
      <c r="N839" s="24">
        <v>44044</v>
      </c>
      <c r="O839" s="11" t="s">
        <v>903</v>
      </c>
      <c r="P839" s="11" t="s">
        <v>904</v>
      </c>
      <c r="Q839" s="11">
        <v>13622035114</v>
      </c>
      <c r="R839" s="11" t="s">
        <v>905</v>
      </c>
      <c r="S839" s="60"/>
      <c r="T839" s="60"/>
    </row>
    <row r="840" spans="1:20" s="14" customFormat="1" ht="24" hidden="1" customHeight="1">
      <c r="A840" s="15"/>
      <c r="B840" s="11" t="s">
        <v>1044</v>
      </c>
      <c r="C840" s="11" t="s">
        <v>1080</v>
      </c>
      <c r="D840" s="11" t="s">
        <v>464</v>
      </c>
      <c r="E840" s="9">
        <v>67</v>
      </c>
      <c r="F840" s="9">
        <v>27.465</v>
      </c>
      <c r="G840" s="11" t="s">
        <v>32</v>
      </c>
      <c r="H840" s="11" t="s">
        <v>33</v>
      </c>
      <c r="I840" s="11"/>
      <c r="J840" s="11" t="s">
        <v>901</v>
      </c>
      <c r="K840" s="11" t="s">
        <v>52</v>
      </c>
      <c r="L840" s="12">
        <v>142818</v>
      </c>
      <c r="M840" s="12">
        <v>142818</v>
      </c>
      <c r="N840" s="24">
        <v>44044</v>
      </c>
      <c r="O840" s="11" t="s">
        <v>903</v>
      </c>
      <c r="P840" s="11" t="s">
        <v>904</v>
      </c>
      <c r="Q840" s="11">
        <v>13622035114</v>
      </c>
      <c r="R840" s="11" t="s">
        <v>905</v>
      </c>
      <c r="S840" s="60"/>
      <c r="T840" s="60"/>
    </row>
    <row r="841" spans="1:20" s="14" customFormat="1" ht="24" hidden="1" customHeight="1">
      <c r="A841" s="15"/>
      <c r="B841" s="11" t="s">
        <v>1044</v>
      </c>
      <c r="C841" s="11" t="s">
        <v>1081</v>
      </c>
      <c r="D841" s="11" t="s">
        <v>464</v>
      </c>
      <c r="E841" s="9">
        <v>99</v>
      </c>
      <c r="F841" s="9">
        <v>49.143999999999998</v>
      </c>
      <c r="G841" s="11" t="s">
        <v>32</v>
      </c>
      <c r="H841" s="11" t="s">
        <v>33</v>
      </c>
      <c r="I841" s="11"/>
      <c r="J841" s="11" t="s">
        <v>901</v>
      </c>
      <c r="K841" s="11" t="s">
        <v>52</v>
      </c>
      <c r="L841" s="12">
        <v>255548.79999999999</v>
      </c>
      <c r="M841" s="12">
        <v>255548.79999999999</v>
      </c>
      <c r="N841" s="24">
        <v>44044</v>
      </c>
      <c r="O841" s="11" t="s">
        <v>903</v>
      </c>
      <c r="P841" s="11" t="s">
        <v>904</v>
      </c>
      <c r="Q841" s="11">
        <v>13622035114</v>
      </c>
      <c r="R841" s="11" t="s">
        <v>905</v>
      </c>
      <c r="S841" s="60"/>
      <c r="T841" s="60"/>
    </row>
    <row r="842" spans="1:20" s="14" customFormat="1" ht="24" hidden="1" customHeight="1">
      <c r="A842" s="15"/>
      <c r="B842" s="11" t="s">
        <v>1044</v>
      </c>
      <c r="C842" s="11" t="s">
        <v>1082</v>
      </c>
      <c r="D842" s="11" t="s">
        <v>464</v>
      </c>
      <c r="E842" s="9">
        <v>100</v>
      </c>
      <c r="F842" s="9">
        <v>59.951999999999998</v>
      </c>
      <c r="G842" s="11" t="s">
        <v>32</v>
      </c>
      <c r="H842" s="11" t="s">
        <v>33</v>
      </c>
      <c r="I842" s="11"/>
      <c r="J842" s="11" t="s">
        <v>901</v>
      </c>
      <c r="K842" s="11" t="s">
        <v>52</v>
      </c>
      <c r="L842" s="12">
        <v>311750.40000000002</v>
      </c>
      <c r="M842" s="12">
        <v>311750.40000000002</v>
      </c>
      <c r="N842" s="24">
        <v>44044</v>
      </c>
      <c r="O842" s="11" t="s">
        <v>903</v>
      </c>
      <c r="P842" s="11" t="s">
        <v>904</v>
      </c>
      <c r="Q842" s="11">
        <v>13622035114</v>
      </c>
      <c r="R842" s="11" t="s">
        <v>905</v>
      </c>
      <c r="S842" s="60"/>
      <c r="T842" s="60"/>
    </row>
    <row r="843" spans="1:20" s="14" customFormat="1" ht="24" hidden="1" customHeight="1">
      <c r="A843" s="15"/>
      <c r="B843" s="11" t="s">
        <v>1044</v>
      </c>
      <c r="C843" s="11" t="s">
        <v>1083</v>
      </c>
      <c r="D843" s="11" t="s">
        <v>464</v>
      </c>
      <c r="E843" s="9">
        <v>211</v>
      </c>
      <c r="F843" s="9">
        <v>114.395</v>
      </c>
      <c r="G843" s="11" t="s">
        <v>32</v>
      </c>
      <c r="H843" s="11" t="s">
        <v>33</v>
      </c>
      <c r="I843" s="11"/>
      <c r="J843" s="11" t="s">
        <v>901</v>
      </c>
      <c r="K843" s="11" t="s">
        <v>52</v>
      </c>
      <c r="L843" s="12">
        <v>594854</v>
      </c>
      <c r="M843" s="12">
        <v>594854</v>
      </c>
      <c r="N843" s="24">
        <v>44044</v>
      </c>
      <c r="O843" s="11" t="s">
        <v>903</v>
      </c>
      <c r="P843" s="11" t="s">
        <v>904</v>
      </c>
      <c r="Q843" s="11">
        <v>13622035114</v>
      </c>
      <c r="R843" s="11" t="s">
        <v>905</v>
      </c>
      <c r="S843" s="60"/>
      <c r="T843" s="60"/>
    </row>
    <row r="844" spans="1:20" s="14" customFormat="1" ht="24" hidden="1" customHeight="1">
      <c r="A844" s="15"/>
      <c r="B844" s="11" t="s">
        <v>1044</v>
      </c>
      <c r="C844" s="11" t="s">
        <v>1084</v>
      </c>
      <c r="D844" s="11" t="s">
        <v>464</v>
      </c>
      <c r="E844" s="9">
        <v>12</v>
      </c>
      <c r="F844" s="9">
        <v>8.8209999999999997</v>
      </c>
      <c r="G844" s="11" t="s">
        <v>32</v>
      </c>
      <c r="H844" s="11" t="s">
        <v>33</v>
      </c>
      <c r="I844" s="11"/>
      <c r="J844" s="11" t="s">
        <v>901</v>
      </c>
      <c r="K844" s="11" t="s">
        <v>52</v>
      </c>
      <c r="L844" s="12">
        <v>45869.2</v>
      </c>
      <c r="M844" s="12">
        <v>45869.2</v>
      </c>
      <c r="N844" s="24">
        <v>44044</v>
      </c>
      <c r="O844" s="11" t="s">
        <v>903</v>
      </c>
      <c r="P844" s="11" t="s">
        <v>904</v>
      </c>
      <c r="Q844" s="11">
        <v>13622035114</v>
      </c>
      <c r="R844" s="11" t="s">
        <v>905</v>
      </c>
      <c r="S844" s="60"/>
      <c r="T844" s="60"/>
    </row>
    <row r="845" spans="1:20" s="14" customFormat="1" ht="24" hidden="1" customHeight="1">
      <c r="A845" s="15"/>
      <c r="B845" s="11" t="s">
        <v>1044</v>
      </c>
      <c r="C845" s="11" t="s">
        <v>1085</v>
      </c>
      <c r="D845" s="11" t="s">
        <v>464</v>
      </c>
      <c r="E845" s="9">
        <v>248</v>
      </c>
      <c r="F845" s="9">
        <v>364.61399999999998</v>
      </c>
      <c r="G845" s="11" t="s">
        <v>32</v>
      </c>
      <c r="H845" s="11" t="s">
        <v>33</v>
      </c>
      <c r="I845" s="11"/>
      <c r="J845" s="11" t="s">
        <v>901</v>
      </c>
      <c r="K845" s="11" t="s">
        <v>52</v>
      </c>
      <c r="L845" s="12">
        <v>1895992.8</v>
      </c>
      <c r="M845" s="12">
        <v>1895992.8</v>
      </c>
      <c r="N845" s="24">
        <v>44044</v>
      </c>
      <c r="O845" s="11" t="s">
        <v>903</v>
      </c>
      <c r="P845" s="11" t="s">
        <v>904</v>
      </c>
      <c r="Q845" s="11">
        <v>13622035114</v>
      </c>
      <c r="R845" s="11" t="s">
        <v>905</v>
      </c>
      <c r="S845" s="60"/>
      <c r="T845" s="60"/>
    </row>
    <row r="846" spans="1:20" s="14" customFormat="1" ht="24" hidden="1" customHeight="1">
      <c r="A846" s="15"/>
      <c r="B846" s="11" t="s">
        <v>1044</v>
      </c>
      <c r="C846" s="11" t="s">
        <v>1086</v>
      </c>
      <c r="D846" s="11" t="s">
        <v>464</v>
      </c>
      <c r="E846" s="9">
        <v>336</v>
      </c>
      <c r="F846" s="9">
        <v>720.572</v>
      </c>
      <c r="G846" s="11" t="s">
        <v>32</v>
      </c>
      <c r="H846" s="11" t="s">
        <v>33</v>
      </c>
      <c r="I846" s="11"/>
      <c r="J846" s="11" t="s">
        <v>901</v>
      </c>
      <c r="K846" s="11" t="s">
        <v>52</v>
      </c>
      <c r="L846" s="12">
        <v>3746974.4</v>
      </c>
      <c r="M846" s="12">
        <v>3746974.4</v>
      </c>
      <c r="N846" s="24">
        <v>44044</v>
      </c>
      <c r="O846" s="11" t="s">
        <v>903</v>
      </c>
      <c r="P846" s="11" t="s">
        <v>904</v>
      </c>
      <c r="Q846" s="11">
        <v>13622035114</v>
      </c>
      <c r="R846" s="11" t="s">
        <v>905</v>
      </c>
      <c r="S846" s="60"/>
      <c r="T846" s="60"/>
    </row>
    <row r="847" spans="1:20" s="14" customFormat="1" ht="24" hidden="1" customHeight="1">
      <c r="A847" s="15"/>
      <c r="B847" s="11" t="s">
        <v>1044</v>
      </c>
      <c r="C847" s="11" t="s">
        <v>1087</v>
      </c>
      <c r="D847" s="11" t="s">
        <v>131</v>
      </c>
      <c r="E847" s="9">
        <v>184</v>
      </c>
      <c r="F847" s="9">
        <v>309.00700000000001</v>
      </c>
      <c r="G847" s="11" t="s">
        <v>32</v>
      </c>
      <c r="H847" s="11" t="s">
        <v>33</v>
      </c>
      <c r="I847" s="11"/>
      <c r="J847" s="11" t="s">
        <v>901</v>
      </c>
      <c r="K847" s="11" t="s">
        <v>52</v>
      </c>
      <c r="L847" s="12">
        <v>1684088.15</v>
      </c>
      <c r="M847" s="12">
        <v>1684088.15</v>
      </c>
      <c r="N847" s="24">
        <v>44044</v>
      </c>
      <c r="O847" s="11" t="s">
        <v>903</v>
      </c>
      <c r="P847" s="11" t="s">
        <v>904</v>
      </c>
      <c r="Q847" s="11">
        <v>13622035114</v>
      </c>
      <c r="R847" s="11" t="s">
        <v>905</v>
      </c>
      <c r="S847" s="60"/>
      <c r="T847" s="60"/>
    </row>
    <row r="848" spans="1:20" s="14" customFormat="1" ht="24" hidden="1" customHeight="1">
      <c r="A848" s="15"/>
      <c r="B848" s="11" t="s">
        <v>1044</v>
      </c>
      <c r="C848" s="11" t="s">
        <v>1063</v>
      </c>
      <c r="D848" s="11" t="s">
        <v>131</v>
      </c>
      <c r="E848" s="9">
        <v>3814</v>
      </c>
      <c r="F848" s="9">
        <v>43.097999999999999</v>
      </c>
      <c r="G848" s="11" t="s">
        <v>32</v>
      </c>
      <c r="H848" s="11" t="s">
        <v>33</v>
      </c>
      <c r="I848" s="11"/>
      <c r="J848" s="11" t="s">
        <v>901</v>
      </c>
      <c r="K848" s="11" t="s">
        <v>52</v>
      </c>
      <c r="L848" s="12">
        <v>234884.1</v>
      </c>
      <c r="M848" s="12">
        <v>234884.1</v>
      </c>
      <c r="N848" s="24">
        <v>44044</v>
      </c>
      <c r="O848" s="11" t="s">
        <v>903</v>
      </c>
      <c r="P848" s="11" t="s">
        <v>904</v>
      </c>
      <c r="Q848" s="11">
        <v>13622035114</v>
      </c>
      <c r="R848" s="11" t="s">
        <v>905</v>
      </c>
      <c r="S848" s="60"/>
      <c r="T848" s="60"/>
    </row>
    <row r="849" spans="1:20" s="14" customFormat="1" ht="24" hidden="1" customHeight="1">
      <c r="A849" s="15"/>
      <c r="B849" s="11" t="s">
        <v>1058</v>
      </c>
      <c r="C849" s="11" t="s">
        <v>1088</v>
      </c>
      <c r="D849" s="11" t="s">
        <v>62</v>
      </c>
      <c r="E849" s="9">
        <v>417.14400000000001</v>
      </c>
      <c r="F849" s="9">
        <v>417.14400000000001</v>
      </c>
      <c r="G849" s="11" t="s">
        <v>32</v>
      </c>
      <c r="H849" s="11" t="s">
        <v>33</v>
      </c>
      <c r="I849" s="11"/>
      <c r="J849" s="11" t="s">
        <v>901</v>
      </c>
      <c r="K849" s="11" t="s">
        <v>1089</v>
      </c>
      <c r="L849" s="12">
        <v>541369.48</v>
      </c>
      <c r="M849" s="12">
        <v>541369.48</v>
      </c>
      <c r="N849" s="24">
        <v>43826</v>
      </c>
      <c r="O849" s="11" t="s">
        <v>903</v>
      </c>
      <c r="P849" s="11" t="s">
        <v>904</v>
      </c>
      <c r="Q849" s="11">
        <v>13622035114</v>
      </c>
      <c r="R849" s="11" t="s">
        <v>905</v>
      </c>
      <c r="S849" s="60"/>
      <c r="T849" s="60"/>
    </row>
    <row r="850" spans="1:20" s="14" customFormat="1" ht="24" hidden="1" customHeight="1">
      <c r="A850" s="15"/>
      <c r="B850" s="11" t="s">
        <v>1058</v>
      </c>
      <c r="C850" s="11" t="s">
        <v>1090</v>
      </c>
      <c r="D850" s="11" t="s">
        <v>62</v>
      </c>
      <c r="E850" s="9">
        <v>234.946</v>
      </c>
      <c r="F850" s="9">
        <v>234.946</v>
      </c>
      <c r="G850" s="11" t="s">
        <v>32</v>
      </c>
      <c r="H850" s="11" t="s">
        <v>33</v>
      </c>
      <c r="I850" s="11"/>
      <c r="J850" s="11" t="s">
        <v>901</v>
      </c>
      <c r="K850" s="11" t="s">
        <v>1089</v>
      </c>
      <c r="L850" s="12">
        <v>304912.92</v>
      </c>
      <c r="M850" s="12">
        <v>304912.92</v>
      </c>
      <c r="N850" s="24">
        <v>43826</v>
      </c>
      <c r="O850" s="11" t="s">
        <v>903</v>
      </c>
      <c r="P850" s="11" t="s">
        <v>904</v>
      </c>
      <c r="Q850" s="11">
        <v>13622035114</v>
      </c>
      <c r="R850" s="11" t="s">
        <v>905</v>
      </c>
      <c r="S850" s="60"/>
      <c r="T850" s="60"/>
    </row>
    <row r="851" spans="1:20" s="14" customFormat="1" ht="24" hidden="1" customHeight="1">
      <c r="A851" s="15"/>
      <c r="B851" s="11" t="s">
        <v>755</v>
      </c>
      <c r="C851" s="11" t="s">
        <v>1091</v>
      </c>
      <c r="D851" s="11" t="s">
        <v>62</v>
      </c>
      <c r="E851" s="9">
        <v>35.371000000000002</v>
      </c>
      <c r="F851" s="9">
        <v>35.371000000000002</v>
      </c>
      <c r="G851" s="11" t="s">
        <v>32</v>
      </c>
      <c r="H851" s="11" t="s">
        <v>33</v>
      </c>
      <c r="I851" s="11"/>
      <c r="J851" s="11" t="s">
        <v>901</v>
      </c>
      <c r="K851" s="11" t="s">
        <v>1089</v>
      </c>
      <c r="L851" s="12">
        <v>52826.59</v>
      </c>
      <c r="M851" s="12">
        <v>52826.59</v>
      </c>
      <c r="N851" s="24">
        <v>43826</v>
      </c>
      <c r="O851" s="11" t="s">
        <v>903</v>
      </c>
      <c r="P851" s="11" t="s">
        <v>904</v>
      </c>
      <c r="Q851" s="11">
        <v>13622035114</v>
      </c>
      <c r="R851" s="11" t="s">
        <v>905</v>
      </c>
      <c r="S851" s="60"/>
      <c r="T851" s="60"/>
    </row>
    <row r="852" spans="1:20" s="14" customFormat="1" ht="24" hidden="1" customHeight="1">
      <c r="A852" s="15"/>
      <c r="B852" s="11" t="s">
        <v>1092</v>
      </c>
      <c r="C852" s="11"/>
      <c r="D852" s="11" t="s">
        <v>62</v>
      </c>
      <c r="E852" s="9">
        <v>128.25399999999999</v>
      </c>
      <c r="F852" s="9">
        <v>128.25399999999999</v>
      </c>
      <c r="G852" s="11" t="s">
        <v>32</v>
      </c>
      <c r="H852" s="11" t="s">
        <v>33</v>
      </c>
      <c r="I852" s="11"/>
      <c r="J852" s="11" t="s">
        <v>901</v>
      </c>
      <c r="K852" s="11" t="s">
        <v>1089</v>
      </c>
      <c r="L852" s="12">
        <v>158521.95000000001</v>
      </c>
      <c r="M852" s="12">
        <v>158521.95000000001</v>
      </c>
      <c r="N852" s="24">
        <v>43826</v>
      </c>
      <c r="O852" s="11" t="s">
        <v>903</v>
      </c>
      <c r="P852" s="11" t="s">
        <v>904</v>
      </c>
      <c r="Q852" s="11">
        <v>13622035114</v>
      </c>
      <c r="R852" s="11" t="s">
        <v>905</v>
      </c>
      <c r="S852" s="60"/>
      <c r="T852" s="60"/>
    </row>
    <row r="853" spans="1:20" s="14" customFormat="1" ht="24" hidden="1" customHeight="1">
      <c r="A853" s="15"/>
      <c r="B853" s="11" t="s">
        <v>1070</v>
      </c>
      <c r="C853" s="11"/>
      <c r="D853" s="11" t="s">
        <v>62</v>
      </c>
      <c r="E853" s="9">
        <v>32.731999999999999</v>
      </c>
      <c r="F853" s="9">
        <v>32.731999999999999</v>
      </c>
      <c r="G853" s="11" t="s">
        <v>32</v>
      </c>
      <c r="H853" s="11" t="s">
        <v>33</v>
      </c>
      <c r="I853" s="11"/>
      <c r="J853" s="11" t="s">
        <v>901</v>
      </c>
      <c r="K853" s="11" t="s">
        <v>1089</v>
      </c>
      <c r="L853" s="12">
        <v>48885.24</v>
      </c>
      <c r="M853" s="12">
        <v>48885.24</v>
      </c>
      <c r="N853" s="24">
        <v>43826</v>
      </c>
      <c r="O853" s="11" t="s">
        <v>903</v>
      </c>
      <c r="P853" s="11" t="s">
        <v>904</v>
      </c>
      <c r="Q853" s="11">
        <v>13622035114</v>
      </c>
      <c r="R853" s="11" t="s">
        <v>905</v>
      </c>
      <c r="S853" s="60"/>
      <c r="T853" s="60"/>
    </row>
    <row r="854" spans="1:20" s="14" customFormat="1" ht="24" hidden="1" customHeight="1">
      <c r="A854" s="15"/>
      <c r="B854" s="11" t="s">
        <v>1044</v>
      </c>
      <c r="C854" s="11" t="s">
        <v>1093</v>
      </c>
      <c r="D854" s="11" t="s">
        <v>62</v>
      </c>
      <c r="E854" s="9">
        <v>364.55099999999999</v>
      </c>
      <c r="F854" s="9"/>
      <c r="G854" s="11" t="s">
        <v>32</v>
      </c>
      <c r="H854" s="11" t="s">
        <v>33</v>
      </c>
      <c r="I854" s="11"/>
      <c r="J854" s="11"/>
      <c r="K854" s="11" t="s">
        <v>1094</v>
      </c>
      <c r="L854" s="12">
        <v>2459781.54</v>
      </c>
      <c r="M854" s="12">
        <v>1779672.16</v>
      </c>
      <c r="N854" s="11">
        <v>2020.12</v>
      </c>
      <c r="O854" s="11" t="s">
        <v>227</v>
      </c>
      <c r="P854" s="11" t="s">
        <v>119</v>
      </c>
      <c r="Q854" s="11">
        <v>18611227933</v>
      </c>
      <c r="R854" s="11" t="s">
        <v>120</v>
      </c>
      <c r="S854" s="60" t="s">
        <v>93</v>
      </c>
      <c r="T854" s="60"/>
    </row>
    <row r="855" spans="1:20" s="14" customFormat="1" ht="24" hidden="1" customHeight="1">
      <c r="A855" s="15"/>
      <c r="B855" s="11" t="s">
        <v>1044</v>
      </c>
      <c r="C855" s="11" t="s">
        <v>1095</v>
      </c>
      <c r="D855" s="11" t="s">
        <v>62</v>
      </c>
      <c r="E855" s="9">
        <v>214.75</v>
      </c>
      <c r="F855" s="9"/>
      <c r="G855" s="11" t="s">
        <v>32</v>
      </c>
      <c r="H855" s="11" t="s">
        <v>33</v>
      </c>
      <c r="I855" s="11"/>
      <c r="J855" s="11"/>
      <c r="K855" s="11" t="s">
        <v>1094</v>
      </c>
      <c r="L855" s="12">
        <v>1678180.2451120401</v>
      </c>
      <c r="M855" s="12">
        <v>1338085.13511204</v>
      </c>
      <c r="N855" s="11">
        <v>2021.7</v>
      </c>
      <c r="O855" s="11" t="s">
        <v>227</v>
      </c>
      <c r="P855" s="11" t="s">
        <v>119</v>
      </c>
      <c r="Q855" s="11">
        <v>18611227933</v>
      </c>
      <c r="R855" s="11" t="s">
        <v>120</v>
      </c>
      <c r="S855" s="60" t="s">
        <v>93</v>
      </c>
      <c r="T855" s="60"/>
    </row>
    <row r="856" spans="1:20" s="14" customFormat="1" ht="24" hidden="1" customHeight="1">
      <c r="A856" s="15"/>
      <c r="B856" s="11" t="s">
        <v>1096</v>
      </c>
      <c r="C856" s="11" t="s">
        <v>1095</v>
      </c>
      <c r="D856" s="11" t="s">
        <v>62</v>
      </c>
      <c r="E856" s="9">
        <v>20.07</v>
      </c>
      <c r="F856" s="9"/>
      <c r="G856" s="11" t="s">
        <v>32</v>
      </c>
      <c r="H856" s="11" t="s">
        <v>33</v>
      </c>
      <c r="I856" s="11"/>
      <c r="J856" s="11"/>
      <c r="K856" s="11" t="s">
        <v>52</v>
      </c>
      <c r="L856" s="12">
        <v>105678.31858407101</v>
      </c>
      <c r="M856" s="12">
        <v>105678.31858407101</v>
      </c>
      <c r="N856" s="11">
        <v>2021.4</v>
      </c>
      <c r="O856" s="11" t="s">
        <v>227</v>
      </c>
      <c r="P856" s="11" t="s">
        <v>119</v>
      </c>
      <c r="Q856" s="11">
        <v>18611227933</v>
      </c>
      <c r="R856" s="11" t="s">
        <v>120</v>
      </c>
      <c r="S856" s="60" t="s">
        <v>93</v>
      </c>
      <c r="T856" s="60"/>
    </row>
    <row r="857" spans="1:20" s="14" customFormat="1" ht="24" hidden="1" customHeight="1">
      <c r="A857" s="15">
        <v>5</v>
      </c>
      <c r="B857" s="15" t="s">
        <v>1097</v>
      </c>
      <c r="C857" s="11"/>
      <c r="D857" s="11"/>
      <c r="E857" s="9"/>
      <c r="F857" s="9"/>
      <c r="G857" s="11"/>
      <c r="H857" s="11"/>
      <c r="I857" s="11"/>
      <c r="J857" s="11"/>
      <c r="K857" s="11"/>
      <c r="L857" s="12"/>
      <c r="M857" s="12"/>
      <c r="N857" s="11"/>
      <c r="O857" s="11"/>
      <c r="P857" s="11"/>
      <c r="Q857" s="11"/>
      <c r="R857" s="11"/>
      <c r="S857" s="11"/>
      <c r="T857" s="11"/>
    </row>
    <row r="858" spans="1:20" s="14" customFormat="1" ht="24" hidden="1" customHeight="1">
      <c r="A858" s="15"/>
      <c r="B858" s="11" t="s">
        <v>1097</v>
      </c>
      <c r="C858" s="11" t="s">
        <v>1098</v>
      </c>
      <c r="D858" s="9" t="s">
        <v>464</v>
      </c>
      <c r="E858" s="9">
        <v>300</v>
      </c>
      <c r="F858" s="9">
        <v>273.95999999999998</v>
      </c>
      <c r="G858" s="11" t="s">
        <v>32</v>
      </c>
      <c r="H858" s="11" t="s">
        <v>33</v>
      </c>
      <c r="I858" s="11" t="s">
        <v>404</v>
      </c>
      <c r="J858" s="11" t="s">
        <v>404</v>
      </c>
      <c r="K858" s="11" t="s">
        <v>1017</v>
      </c>
      <c r="L858" s="12">
        <v>1300884.95575221</v>
      </c>
      <c r="M858" s="12">
        <v>650442.47787610604</v>
      </c>
      <c r="N858" s="12" t="s">
        <v>1099</v>
      </c>
      <c r="O858" s="11" t="s">
        <v>286</v>
      </c>
      <c r="P858" s="11" t="s">
        <v>392</v>
      </c>
      <c r="Q858" s="11">
        <v>18601194039</v>
      </c>
      <c r="R858" s="11" t="s">
        <v>288</v>
      </c>
      <c r="S858" s="11" t="s">
        <v>115</v>
      </c>
      <c r="T858" s="11"/>
    </row>
    <row r="859" spans="1:20" s="14" customFormat="1" ht="24" hidden="1" customHeight="1">
      <c r="A859" s="15"/>
      <c r="B859" s="11" t="s">
        <v>1097</v>
      </c>
      <c r="C859" s="11" t="s">
        <v>1100</v>
      </c>
      <c r="D859" s="9" t="s">
        <v>464</v>
      </c>
      <c r="E859" s="9">
        <v>295</v>
      </c>
      <c r="F859" s="9">
        <v>202.05</v>
      </c>
      <c r="G859" s="11" t="s">
        <v>32</v>
      </c>
      <c r="H859" s="11" t="s">
        <v>33</v>
      </c>
      <c r="I859" s="11" t="s">
        <v>404</v>
      </c>
      <c r="J859" s="11" t="s">
        <v>404</v>
      </c>
      <c r="K859" s="11" t="s">
        <v>1017</v>
      </c>
      <c r="L859" s="12">
        <v>965929.20353982295</v>
      </c>
      <c r="M859" s="12">
        <v>484601.769911504</v>
      </c>
      <c r="N859" s="23" t="s">
        <v>1101</v>
      </c>
      <c r="O859" s="11" t="s">
        <v>286</v>
      </c>
      <c r="P859" s="11" t="s">
        <v>392</v>
      </c>
      <c r="Q859" s="11">
        <v>18601194039</v>
      </c>
      <c r="R859" s="11" t="s">
        <v>288</v>
      </c>
      <c r="S859" s="11" t="s">
        <v>115</v>
      </c>
      <c r="T859" s="11"/>
    </row>
    <row r="860" spans="1:20" s="14" customFormat="1" ht="24" hidden="1" customHeight="1">
      <c r="A860" s="15"/>
      <c r="B860" s="11" t="s">
        <v>1102</v>
      </c>
      <c r="C860" s="11" t="s">
        <v>1103</v>
      </c>
      <c r="D860" s="11" t="s">
        <v>62</v>
      </c>
      <c r="E860" s="11">
        <v>391.762</v>
      </c>
      <c r="F860" s="11">
        <v>391.762</v>
      </c>
      <c r="G860" s="11" t="s">
        <v>72</v>
      </c>
      <c r="H860" s="11" t="s">
        <v>33</v>
      </c>
      <c r="I860" s="11"/>
      <c r="J860" s="11"/>
      <c r="K860" s="11" t="s">
        <v>1104</v>
      </c>
      <c r="L860" s="12">
        <v>2392175.0442477898</v>
      </c>
      <c r="M860" s="12">
        <v>598043.76106194698</v>
      </c>
      <c r="N860" s="22">
        <v>2022.01</v>
      </c>
      <c r="O860" s="11" t="s">
        <v>1105</v>
      </c>
      <c r="P860" s="11" t="s">
        <v>75</v>
      </c>
      <c r="Q860" s="11">
        <v>13269819378</v>
      </c>
      <c r="R860" s="11" t="s">
        <v>76</v>
      </c>
      <c r="S860" s="11" t="s">
        <v>77</v>
      </c>
      <c r="T860" s="11"/>
    </row>
    <row r="861" spans="1:20" s="14" customFormat="1" ht="24" hidden="1" customHeight="1">
      <c r="A861" s="15"/>
      <c r="B861" s="11" t="s">
        <v>1102</v>
      </c>
      <c r="C861" s="11" t="s">
        <v>1106</v>
      </c>
      <c r="D861" s="11" t="s">
        <v>62</v>
      </c>
      <c r="E861" s="11">
        <v>208.8</v>
      </c>
      <c r="F861" s="11">
        <v>208.8</v>
      </c>
      <c r="G861" s="11" t="s">
        <v>72</v>
      </c>
      <c r="H861" s="11" t="s">
        <v>33</v>
      </c>
      <c r="I861" s="11"/>
      <c r="J861" s="11"/>
      <c r="K861" s="11" t="s">
        <v>595</v>
      </c>
      <c r="L861" s="12">
        <v>890633.58</v>
      </c>
      <c r="M861" s="12">
        <v>267190.06</v>
      </c>
      <c r="N861" s="22">
        <v>2020.11</v>
      </c>
      <c r="O861" s="11" t="s">
        <v>1105</v>
      </c>
      <c r="P861" s="11" t="s">
        <v>75</v>
      </c>
      <c r="Q861" s="11">
        <v>13269819378</v>
      </c>
      <c r="R861" s="11" t="s">
        <v>76</v>
      </c>
      <c r="S861" s="11" t="s">
        <v>77</v>
      </c>
      <c r="T861" s="11"/>
    </row>
    <row r="862" spans="1:20" s="14" customFormat="1" ht="24" hidden="1" customHeight="1">
      <c r="A862" s="15">
        <v>6</v>
      </c>
      <c r="B862" s="15" t="s">
        <v>1107</v>
      </c>
      <c r="C862" s="11"/>
      <c r="D862" s="11"/>
      <c r="E862" s="9"/>
      <c r="F862" s="9"/>
      <c r="G862" s="11"/>
      <c r="H862" s="11"/>
      <c r="I862" s="11"/>
      <c r="J862" s="11"/>
      <c r="K862" s="11"/>
      <c r="L862" s="12"/>
      <c r="M862" s="12"/>
      <c r="N862" s="11"/>
      <c r="O862" s="11"/>
      <c r="P862" s="11"/>
      <c r="Q862" s="11"/>
      <c r="R862" s="11"/>
      <c r="S862" s="11"/>
      <c r="T862" s="11"/>
    </row>
    <row r="863" spans="1:20" s="14" customFormat="1" ht="24" hidden="1" customHeight="1">
      <c r="A863" s="15" t="s">
        <v>1108</v>
      </c>
      <c r="B863" s="13" t="s">
        <v>1109</v>
      </c>
      <c r="C863" s="11"/>
      <c r="D863" s="11"/>
      <c r="E863" s="9"/>
      <c r="F863" s="9"/>
      <c r="G863" s="11"/>
      <c r="H863" s="11"/>
      <c r="I863" s="11"/>
      <c r="J863" s="11"/>
      <c r="K863" s="11"/>
      <c r="L863" s="12"/>
      <c r="M863" s="12"/>
      <c r="N863" s="11"/>
      <c r="O863" s="11"/>
      <c r="P863" s="11"/>
      <c r="Q863" s="11"/>
      <c r="R863" s="11"/>
      <c r="S863" s="11"/>
      <c r="T863" s="11"/>
    </row>
    <row r="864" spans="1:20" s="14" customFormat="1" ht="24" hidden="1" customHeight="1">
      <c r="A864" s="15">
        <v>1</v>
      </c>
      <c r="B864" s="15" t="s">
        <v>1110</v>
      </c>
      <c r="C864" s="11"/>
      <c r="D864" s="11"/>
      <c r="E864" s="9"/>
      <c r="F864" s="9"/>
      <c r="G864" s="11"/>
      <c r="H864" s="11"/>
      <c r="I864" s="11"/>
      <c r="J864" s="11"/>
      <c r="K864" s="11"/>
      <c r="L864" s="12"/>
      <c r="M864" s="12"/>
      <c r="N864" s="11"/>
      <c r="O864" s="11"/>
      <c r="P864" s="11"/>
      <c r="Q864" s="11"/>
      <c r="R864" s="11"/>
      <c r="S864" s="11"/>
      <c r="T864" s="11"/>
    </row>
    <row r="865" spans="1:20" s="14" customFormat="1" ht="24" hidden="1" customHeight="1">
      <c r="A865" s="15"/>
      <c r="B865" s="11" t="s">
        <v>1111</v>
      </c>
      <c r="C865" s="11" t="s">
        <v>1112</v>
      </c>
      <c r="D865" s="11" t="s">
        <v>62</v>
      </c>
      <c r="E865" s="9">
        <v>69.25</v>
      </c>
      <c r="F865" s="9"/>
      <c r="G865" s="11" t="s">
        <v>32</v>
      </c>
      <c r="H865" s="11" t="s">
        <v>33</v>
      </c>
      <c r="I865" s="11"/>
      <c r="J865" s="11" t="s">
        <v>901</v>
      </c>
      <c r="K865" s="11" t="s">
        <v>89</v>
      </c>
      <c r="L865" s="12">
        <v>547075</v>
      </c>
      <c r="M865" s="12">
        <v>547075</v>
      </c>
      <c r="N865" s="24">
        <v>43952</v>
      </c>
      <c r="O865" s="11" t="s">
        <v>903</v>
      </c>
      <c r="P865" s="11" t="s">
        <v>904</v>
      </c>
      <c r="Q865" s="11">
        <v>13622035114</v>
      </c>
      <c r="R865" s="11" t="s">
        <v>905</v>
      </c>
      <c r="S865" s="60"/>
      <c r="T865" s="60"/>
    </row>
    <row r="866" spans="1:20" s="14" customFormat="1" ht="24" hidden="1" customHeight="1">
      <c r="A866" s="15"/>
      <c r="B866" s="11" t="s">
        <v>85</v>
      </c>
      <c r="C866" s="11" t="s">
        <v>1113</v>
      </c>
      <c r="D866" s="11" t="s">
        <v>62</v>
      </c>
      <c r="E866" s="9">
        <v>3.98</v>
      </c>
      <c r="F866" s="9"/>
      <c r="G866" s="11" t="s">
        <v>32</v>
      </c>
      <c r="H866" s="11" t="s">
        <v>33</v>
      </c>
      <c r="I866" s="11"/>
      <c r="J866" s="11" t="s">
        <v>901</v>
      </c>
      <c r="K866" s="11" t="s">
        <v>89</v>
      </c>
      <c r="L866" s="12">
        <v>29054</v>
      </c>
      <c r="M866" s="12">
        <v>29054</v>
      </c>
      <c r="N866" s="24">
        <v>43952</v>
      </c>
      <c r="O866" s="11" t="s">
        <v>903</v>
      </c>
      <c r="P866" s="11" t="s">
        <v>904</v>
      </c>
      <c r="Q866" s="11">
        <v>13622035114</v>
      </c>
      <c r="R866" s="11" t="s">
        <v>905</v>
      </c>
      <c r="S866" s="60"/>
      <c r="T866" s="60"/>
    </row>
    <row r="867" spans="1:20" s="14" customFormat="1" ht="24" hidden="1" customHeight="1">
      <c r="A867" s="15"/>
      <c r="B867" s="11" t="s">
        <v>1114</v>
      </c>
      <c r="C867" s="11" t="s">
        <v>1115</v>
      </c>
      <c r="D867" s="11" t="s">
        <v>62</v>
      </c>
      <c r="E867" s="9">
        <v>1.7</v>
      </c>
      <c r="F867" s="9"/>
      <c r="G867" s="11" t="s">
        <v>32</v>
      </c>
      <c r="H867" s="11" t="s">
        <v>33</v>
      </c>
      <c r="I867" s="11"/>
      <c r="J867" s="11" t="s">
        <v>901</v>
      </c>
      <c r="K867" s="11" t="s">
        <v>89</v>
      </c>
      <c r="L867" s="12">
        <v>12410</v>
      </c>
      <c r="M867" s="12">
        <v>12410</v>
      </c>
      <c r="N867" s="24">
        <v>43952</v>
      </c>
      <c r="O867" s="11" t="s">
        <v>903</v>
      </c>
      <c r="P867" s="11" t="s">
        <v>904</v>
      </c>
      <c r="Q867" s="11">
        <v>13622035114</v>
      </c>
      <c r="R867" s="11" t="s">
        <v>905</v>
      </c>
      <c r="S867" s="60"/>
      <c r="T867" s="60"/>
    </row>
    <row r="868" spans="1:20" s="14" customFormat="1" ht="24" hidden="1" customHeight="1">
      <c r="A868" s="15"/>
      <c r="B868" s="11" t="s">
        <v>1116</v>
      </c>
      <c r="C868" s="11" t="s">
        <v>1117</v>
      </c>
      <c r="D868" s="11" t="s">
        <v>62</v>
      </c>
      <c r="E868" s="9">
        <v>1.65</v>
      </c>
      <c r="F868" s="9"/>
      <c r="G868" s="11" t="s">
        <v>32</v>
      </c>
      <c r="H868" s="11" t="s">
        <v>33</v>
      </c>
      <c r="I868" s="11"/>
      <c r="J868" s="11" t="s">
        <v>901</v>
      </c>
      <c r="K868" s="11" t="s">
        <v>89</v>
      </c>
      <c r="L868" s="12">
        <v>12045</v>
      </c>
      <c r="M868" s="12">
        <v>12045</v>
      </c>
      <c r="N868" s="24">
        <v>43952</v>
      </c>
      <c r="O868" s="11" t="s">
        <v>903</v>
      </c>
      <c r="P868" s="11" t="s">
        <v>904</v>
      </c>
      <c r="Q868" s="11">
        <v>13622035114</v>
      </c>
      <c r="R868" s="11" t="s">
        <v>905</v>
      </c>
      <c r="S868" s="60"/>
      <c r="T868" s="60"/>
    </row>
    <row r="869" spans="1:20" s="14" customFormat="1" ht="24" hidden="1" customHeight="1">
      <c r="A869" s="15"/>
      <c r="B869" s="11" t="s">
        <v>1118</v>
      </c>
      <c r="C869" s="11" t="s">
        <v>1117</v>
      </c>
      <c r="D869" s="11" t="s">
        <v>62</v>
      </c>
      <c r="E869" s="9">
        <v>1.65</v>
      </c>
      <c r="F869" s="9"/>
      <c r="G869" s="11" t="s">
        <v>32</v>
      </c>
      <c r="H869" s="11" t="s">
        <v>33</v>
      </c>
      <c r="I869" s="11"/>
      <c r="J869" s="11" t="s">
        <v>901</v>
      </c>
      <c r="K869" s="11" t="s">
        <v>89</v>
      </c>
      <c r="L869" s="12">
        <v>18000</v>
      </c>
      <c r="M869" s="12">
        <v>18000</v>
      </c>
      <c r="N869" s="24">
        <v>43952</v>
      </c>
      <c r="O869" s="11" t="s">
        <v>903</v>
      </c>
      <c r="P869" s="11" t="s">
        <v>904</v>
      </c>
      <c r="Q869" s="11">
        <v>13622035114</v>
      </c>
      <c r="R869" s="11" t="s">
        <v>905</v>
      </c>
      <c r="S869" s="60"/>
      <c r="T869" s="60"/>
    </row>
    <row r="870" spans="1:20" s="14" customFormat="1" ht="24" hidden="1" customHeight="1">
      <c r="A870" s="15"/>
      <c r="B870" s="11" t="s">
        <v>1119</v>
      </c>
      <c r="C870" s="11" t="s">
        <v>1120</v>
      </c>
      <c r="D870" s="11" t="s">
        <v>62</v>
      </c>
      <c r="E870" s="9">
        <v>84.09</v>
      </c>
      <c r="F870" s="9"/>
      <c r="G870" s="11" t="s">
        <v>32</v>
      </c>
      <c r="H870" s="11" t="s">
        <v>33</v>
      </c>
      <c r="I870" s="11"/>
      <c r="J870" s="11" t="s">
        <v>901</v>
      </c>
      <c r="K870" s="11" t="s">
        <v>89</v>
      </c>
      <c r="L870" s="12">
        <v>714765</v>
      </c>
      <c r="M870" s="12">
        <v>714765</v>
      </c>
      <c r="N870" s="24">
        <v>43952</v>
      </c>
      <c r="O870" s="11" t="s">
        <v>903</v>
      </c>
      <c r="P870" s="11" t="s">
        <v>904</v>
      </c>
      <c r="Q870" s="11">
        <v>13622035114</v>
      </c>
      <c r="R870" s="11" t="s">
        <v>905</v>
      </c>
      <c r="S870" s="60"/>
      <c r="T870" s="60"/>
    </row>
    <row r="871" spans="1:20" s="14" customFormat="1" ht="24" hidden="1" customHeight="1">
      <c r="A871" s="15"/>
      <c r="B871" s="11" t="s">
        <v>1121</v>
      </c>
      <c r="C871" s="11" t="s">
        <v>1122</v>
      </c>
      <c r="D871" s="11" t="s">
        <v>62</v>
      </c>
      <c r="E871" s="9">
        <v>10.8</v>
      </c>
      <c r="F871" s="9"/>
      <c r="G871" s="11" t="s">
        <v>32</v>
      </c>
      <c r="H871" s="11" t="s">
        <v>33</v>
      </c>
      <c r="I871" s="11"/>
      <c r="J871" s="11" t="s">
        <v>901</v>
      </c>
      <c r="K871" s="11" t="s">
        <v>89</v>
      </c>
      <c r="L871" s="12">
        <v>78840</v>
      </c>
      <c r="M871" s="12">
        <v>78840</v>
      </c>
      <c r="N871" s="24">
        <v>43952</v>
      </c>
      <c r="O871" s="11" t="s">
        <v>903</v>
      </c>
      <c r="P871" s="11" t="s">
        <v>904</v>
      </c>
      <c r="Q871" s="11">
        <v>13622035114</v>
      </c>
      <c r="R871" s="11" t="s">
        <v>905</v>
      </c>
      <c r="S871" s="60"/>
      <c r="T871" s="60"/>
    </row>
    <row r="872" spans="1:20" s="14" customFormat="1" ht="24" hidden="1" customHeight="1">
      <c r="A872" s="15"/>
      <c r="B872" s="11" t="s">
        <v>1123</v>
      </c>
      <c r="C872" s="11" t="s">
        <v>1117</v>
      </c>
      <c r="D872" s="11" t="s">
        <v>79</v>
      </c>
      <c r="E872" s="9">
        <v>1</v>
      </c>
      <c r="F872" s="9">
        <v>1.2</v>
      </c>
      <c r="G872" s="11" t="s">
        <v>32</v>
      </c>
      <c r="H872" s="11" t="s">
        <v>33</v>
      </c>
      <c r="I872" s="11"/>
      <c r="J872" s="11" t="s">
        <v>901</v>
      </c>
      <c r="K872" s="11" t="s">
        <v>89</v>
      </c>
      <c r="L872" s="12">
        <v>12000</v>
      </c>
      <c r="M872" s="12">
        <v>12000</v>
      </c>
      <c r="N872" s="24">
        <v>43952</v>
      </c>
      <c r="O872" s="11" t="s">
        <v>903</v>
      </c>
      <c r="P872" s="11" t="s">
        <v>904</v>
      </c>
      <c r="Q872" s="11">
        <v>13622035114</v>
      </c>
      <c r="R872" s="11" t="s">
        <v>905</v>
      </c>
      <c r="S872" s="60"/>
      <c r="T872" s="60"/>
    </row>
    <row r="873" spans="1:20" s="14" customFormat="1" ht="24" hidden="1" customHeight="1">
      <c r="A873" s="15"/>
      <c r="B873" s="11" t="s">
        <v>1119</v>
      </c>
      <c r="C873" s="11" t="s">
        <v>1120</v>
      </c>
      <c r="D873" s="11" t="s">
        <v>62</v>
      </c>
      <c r="E873" s="9">
        <v>5.58</v>
      </c>
      <c r="F873" s="9"/>
      <c r="G873" s="11" t="s">
        <v>32</v>
      </c>
      <c r="H873" s="11" t="s">
        <v>33</v>
      </c>
      <c r="I873" s="11"/>
      <c r="J873" s="11" t="s">
        <v>901</v>
      </c>
      <c r="K873" s="11" t="s">
        <v>89</v>
      </c>
      <c r="L873" s="12">
        <v>47430</v>
      </c>
      <c r="M873" s="12">
        <v>47430</v>
      </c>
      <c r="N873" s="24">
        <v>43952</v>
      </c>
      <c r="O873" s="11" t="s">
        <v>903</v>
      </c>
      <c r="P873" s="11" t="s">
        <v>904</v>
      </c>
      <c r="Q873" s="11">
        <v>13622035114</v>
      </c>
      <c r="R873" s="11" t="s">
        <v>905</v>
      </c>
      <c r="S873" s="60"/>
      <c r="T873" s="60"/>
    </row>
    <row r="874" spans="1:20" s="14" customFormat="1" ht="24" hidden="1" customHeight="1">
      <c r="A874" s="15"/>
      <c r="B874" s="11" t="s">
        <v>1124</v>
      </c>
      <c r="C874" s="11" t="s">
        <v>1113</v>
      </c>
      <c r="D874" s="11" t="s">
        <v>62</v>
      </c>
      <c r="E874" s="9">
        <v>5.6</v>
      </c>
      <c r="F874" s="9"/>
      <c r="G874" s="11" t="s">
        <v>32</v>
      </c>
      <c r="H874" s="11" t="s">
        <v>33</v>
      </c>
      <c r="I874" s="11"/>
      <c r="J874" s="11" t="s">
        <v>901</v>
      </c>
      <c r="K874" s="11" t="s">
        <v>89</v>
      </c>
      <c r="L874" s="12">
        <v>40880</v>
      </c>
      <c r="M874" s="12">
        <v>40880</v>
      </c>
      <c r="N874" s="24">
        <v>43952</v>
      </c>
      <c r="O874" s="11" t="s">
        <v>903</v>
      </c>
      <c r="P874" s="11" t="s">
        <v>904</v>
      </c>
      <c r="Q874" s="11">
        <v>13622035114</v>
      </c>
      <c r="R874" s="11" t="s">
        <v>905</v>
      </c>
      <c r="S874" s="60"/>
      <c r="T874" s="60"/>
    </row>
    <row r="875" spans="1:20" s="14" customFormat="1" ht="24" hidden="1" customHeight="1">
      <c r="A875" s="15"/>
      <c r="B875" s="11" t="s">
        <v>1111</v>
      </c>
      <c r="C875" s="11" t="s">
        <v>1112</v>
      </c>
      <c r="D875" s="11" t="s">
        <v>62</v>
      </c>
      <c r="E875" s="9">
        <v>149.06</v>
      </c>
      <c r="F875" s="9"/>
      <c r="G875" s="11" t="s">
        <v>32</v>
      </c>
      <c r="H875" s="11" t="s">
        <v>33</v>
      </c>
      <c r="I875" s="11"/>
      <c r="J875" s="11" t="s">
        <v>901</v>
      </c>
      <c r="K875" s="11" t="s">
        <v>89</v>
      </c>
      <c r="L875" s="12">
        <v>1177574</v>
      </c>
      <c r="M875" s="12">
        <v>1177574</v>
      </c>
      <c r="N875" s="24">
        <v>43952</v>
      </c>
      <c r="O875" s="11" t="s">
        <v>903</v>
      </c>
      <c r="P875" s="11" t="s">
        <v>904</v>
      </c>
      <c r="Q875" s="11">
        <v>13622035114</v>
      </c>
      <c r="R875" s="11" t="s">
        <v>905</v>
      </c>
      <c r="S875" s="60"/>
      <c r="T875" s="60"/>
    </row>
    <row r="876" spans="1:20" s="14" customFormat="1" ht="24" hidden="1" customHeight="1">
      <c r="A876" s="15"/>
      <c r="B876" s="11" t="s">
        <v>1125</v>
      </c>
      <c r="C876" s="11" t="s">
        <v>1113</v>
      </c>
      <c r="D876" s="11" t="s">
        <v>62</v>
      </c>
      <c r="E876" s="9">
        <v>5.73</v>
      </c>
      <c r="F876" s="9"/>
      <c r="G876" s="11" t="s">
        <v>32</v>
      </c>
      <c r="H876" s="11" t="s">
        <v>33</v>
      </c>
      <c r="I876" s="11"/>
      <c r="J876" s="11" t="s">
        <v>901</v>
      </c>
      <c r="K876" s="11" t="s">
        <v>89</v>
      </c>
      <c r="L876" s="12">
        <v>41829</v>
      </c>
      <c r="M876" s="12">
        <v>41829</v>
      </c>
      <c r="N876" s="24">
        <v>43952</v>
      </c>
      <c r="O876" s="11" t="s">
        <v>903</v>
      </c>
      <c r="P876" s="11" t="s">
        <v>904</v>
      </c>
      <c r="Q876" s="11">
        <v>13622035114</v>
      </c>
      <c r="R876" s="11" t="s">
        <v>905</v>
      </c>
      <c r="S876" s="60"/>
      <c r="T876" s="60"/>
    </row>
    <row r="877" spans="1:20" s="14" customFormat="1" ht="24" hidden="1" customHeight="1">
      <c r="A877" s="15"/>
      <c r="B877" s="11" t="s">
        <v>1114</v>
      </c>
      <c r="C877" s="11" t="s">
        <v>1115</v>
      </c>
      <c r="D877" s="11" t="s">
        <v>62</v>
      </c>
      <c r="E877" s="9">
        <v>22.4</v>
      </c>
      <c r="F877" s="9"/>
      <c r="G877" s="11" t="s">
        <v>32</v>
      </c>
      <c r="H877" s="11" t="s">
        <v>33</v>
      </c>
      <c r="I877" s="11"/>
      <c r="J877" s="11" t="s">
        <v>901</v>
      </c>
      <c r="K877" s="11" t="s">
        <v>89</v>
      </c>
      <c r="L877" s="12">
        <v>163520</v>
      </c>
      <c r="M877" s="12">
        <v>163520</v>
      </c>
      <c r="N877" s="24">
        <v>43952</v>
      </c>
      <c r="O877" s="11" t="s">
        <v>903</v>
      </c>
      <c r="P877" s="11" t="s">
        <v>904</v>
      </c>
      <c r="Q877" s="11">
        <v>13622035114</v>
      </c>
      <c r="R877" s="11" t="s">
        <v>905</v>
      </c>
      <c r="S877" s="60"/>
      <c r="T877" s="60"/>
    </row>
    <row r="878" spans="1:20" s="14" customFormat="1" ht="24" hidden="1" customHeight="1">
      <c r="A878" s="15"/>
      <c r="B878" s="11" t="s">
        <v>1126</v>
      </c>
      <c r="C878" s="11" t="s">
        <v>1120</v>
      </c>
      <c r="D878" s="11" t="s">
        <v>62</v>
      </c>
      <c r="E878" s="9">
        <v>179.17</v>
      </c>
      <c r="F878" s="9"/>
      <c r="G878" s="11" t="s">
        <v>32</v>
      </c>
      <c r="H878" s="11" t="s">
        <v>33</v>
      </c>
      <c r="I878" s="11"/>
      <c r="J878" s="11" t="s">
        <v>901</v>
      </c>
      <c r="K878" s="11" t="s">
        <v>89</v>
      </c>
      <c r="L878" s="12">
        <v>1522945</v>
      </c>
      <c r="M878" s="12">
        <v>1522945</v>
      </c>
      <c r="N878" s="24">
        <v>43952</v>
      </c>
      <c r="O878" s="11" t="s">
        <v>903</v>
      </c>
      <c r="P878" s="11" t="s">
        <v>904</v>
      </c>
      <c r="Q878" s="11">
        <v>13622035114</v>
      </c>
      <c r="R878" s="11" t="s">
        <v>905</v>
      </c>
      <c r="S878" s="60"/>
      <c r="T878" s="60"/>
    </row>
    <row r="879" spans="1:20" s="14" customFormat="1" ht="24" hidden="1" customHeight="1">
      <c r="A879" s="15"/>
      <c r="B879" s="11" t="s">
        <v>1111</v>
      </c>
      <c r="C879" s="11" t="s">
        <v>1112</v>
      </c>
      <c r="D879" s="11" t="s">
        <v>62</v>
      </c>
      <c r="E879" s="9">
        <v>60.91</v>
      </c>
      <c r="F879" s="9"/>
      <c r="G879" s="11" t="s">
        <v>32</v>
      </c>
      <c r="H879" s="11" t="s">
        <v>33</v>
      </c>
      <c r="I879" s="11"/>
      <c r="J879" s="11" t="s">
        <v>901</v>
      </c>
      <c r="K879" s="11" t="s">
        <v>89</v>
      </c>
      <c r="L879" s="12">
        <v>481189</v>
      </c>
      <c r="M879" s="12">
        <v>481189</v>
      </c>
      <c r="N879" s="24">
        <v>43952</v>
      </c>
      <c r="O879" s="11" t="s">
        <v>903</v>
      </c>
      <c r="P879" s="11" t="s">
        <v>904</v>
      </c>
      <c r="Q879" s="11">
        <v>13622035114</v>
      </c>
      <c r="R879" s="11" t="s">
        <v>905</v>
      </c>
      <c r="S879" s="60"/>
      <c r="T879" s="60"/>
    </row>
    <row r="880" spans="1:20" s="14" customFormat="1" ht="24" hidden="1" customHeight="1">
      <c r="A880" s="15"/>
      <c r="B880" s="11" t="s">
        <v>1126</v>
      </c>
      <c r="C880" s="11" t="s">
        <v>1127</v>
      </c>
      <c r="D880" s="11" t="s">
        <v>62</v>
      </c>
      <c r="E880" s="9">
        <v>72.510000000000005</v>
      </c>
      <c r="F880" s="9"/>
      <c r="G880" s="11" t="s">
        <v>32</v>
      </c>
      <c r="H880" s="11" t="s">
        <v>33</v>
      </c>
      <c r="I880" s="11"/>
      <c r="J880" s="11" t="s">
        <v>901</v>
      </c>
      <c r="K880" s="11" t="s">
        <v>89</v>
      </c>
      <c r="L880" s="12">
        <v>616335</v>
      </c>
      <c r="M880" s="12">
        <v>616335</v>
      </c>
      <c r="N880" s="24">
        <v>43952</v>
      </c>
      <c r="O880" s="11" t="s">
        <v>903</v>
      </c>
      <c r="P880" s="11" t="s">
        <v>904</v>
      </c>
      <c r="Q880" s="11">
        <v>13622035114</v>
      </c>
      <c r="R880" s="11" t="s">
        <v>905</v>
      </c>
      <c r="S880" s="60"/>
      <c r="T880" s="60"/>
    </row>
    <row r="881" spans="1:20" s="14" customFormat="1" ht="24" hidden="1" customHeight="1">
      <c r="A881" s="15"/>
      <c r="B881" s="11" t="s">
        <v>1121</v>
      </c>
      <c r="C881" s="11" t="s">
        <v>1122</v>
      </c>
      <c r="D881" s="11" t="s">
        <v>62</v>
      </c>
      <c r="E881" s="9">
        <v>52.63</v>
      </c>
      <c r="F881" s="9"/>
      <c r="G881" s="11" t="s">
        <v>32</v>
      </c>
      <c r="H881" s="11" t="s">
        <v>33</v>
      </c>
      <c r="I881" s="11"/>
      <c r="J881" s="11" t="s">
        <v>901</v>
      </c>
      <c r="K881" s="11" t="s">
        <v>89</v>
      </c>
      <c r="L881" s="12">
        <v>384199</v>
      </c>
      <c r="M881" s="12">
        <v>384199</v>
      </c>
      <c r="N881" s="24">
        <v>43952</v>
      </c>
      <c r="O881" s="11" t="s">
        <v>903</v>
      </c>
      <c r="P881" s="11" t="s">
        <v>904</v>
      </c>
      <c r="Q881" s="11">
        <v>13622035114</v>
      </c>
      <c r="R881" s="11" t="s">
        <v>905</v>
      </c>
      <c r="S881" s="60"/>
      <c r="T881" s="60"/>
    </row>
    <row r="882" spans="1:20" s="14" customFormat="1" ht="24" hidden="1" customHeight="1">
      <c r="A882" s="15"/>
      <c r="B882" s="11" t="s">
        <v>1128</v>
      </c>
      <c r="C882" s="11" t="s">
        <v>1122</v>
      </c>
      <c r="D882" s="11" t="s">
        <v>62</v>
      </c>
      <c r="E882" s="9">
        <v>1.8</v>
      </c>
      <c r="F882" s="9"/>
      <c r="G882" s="11" t="s">
        <v>32</v>
      </c>
      <c r="H882" s="11" t="s">
        <v>33</v>
      </c>
      <c r="I882" s="11"/>
      <c r="J882" s="11" t="s">
        <v>901</v>
      </c>
      <c r="K882" s="11" t="s">
        <v>89</v>
      </c>
      <c r="L882" s="12">
        <v>13140</v>
      </c>
      <c r="M882" s="12">
        <v>13140</v>
      </c>
      <c r="N882" s="24">
        <v>43952</v>
      </c>
      <c r="O882" s="11" t="s">
        <v>903</v>
      </c>
      <c r="P882" s="11" t="s">
        <v>904</v>
      </c>
      <c r="Q882" s="11">
        <v>13622035114</v>
      </c>
      <c r="R882" s="11" t="s">
        <v>905</v>
      </c>
      <c r="S882" s="60"/>
      <c r="T882" s="60"/>
    </row>
    <row r="883" spans="1:20" s="14" customFormat="1" ht="24" hidden="1" customHeight="1">
      <c r="A883" s="15"/>
      <c r="B883" s="11" t="s">
        <v>1129</v>
      </c>
      <c r="C883" s="11"/>
      <c r="D883" s="11" t="s">
        <v>62</v>
      </c>
      <c r="E883" s="9">
        <v>11.6</v>
      </c>
      <c r="F883" s="9"/>
      <c r="G883" s="11" t="s">
        <v>32</v>
      </c>
      <c r="H883" s="11" t="s">
        <v>33</v>
      </c>
      <c r="I883" s="11"/>
      <c r="J883" s="11" t="s">
        <v>901</v>
      </c>
      <c r="K883" s="11" t="s">
        <v>89</v>
      </c>
      <c r="L883" s="12">
        <v>84680</v>
      </c>
      <c r="M883" s="12">
        <v>84680</v>
      </c>
      <c r="N883" s="24">
        <v>43952</v>
      </c>
      <c r="O883" s="11" t="s">
        <v>903</v>
      </c>
      <c r="P883" s="11" t="s">
        <v>904</v>
      </c>
      <c r="Q883" s="11">
        <v>13622035114</v>
      </c>
      <c r="R883" s="11" t="s">
        <v>905</v>
      </c>
      <c r="S883" s="60"/>
      <c r="T883" s="60"/>
    </row>
    <row r="884" spans="1:20" s="14" customFormat="1" ht="24" hidden="1" customHeight="1">
      <c r="A884" s="15"/>
      <c r="B884" s="11" t="s">
        <v>1130</v>
      </c>
      <c r="C884" s="11"/>
      <c r="D884" s="11" t="s">
        <v>62</v>
      </c>
      <c r="E884" s="9">
        <v>22.76</v>
      </c>
      <c r="F884" s="9"/>
      <c r="G884" s="11" t="s">
        <v>32</v>
      </c>
      <c r="H884" s="11" t="s">
        <v>33</v>
      </c>
      <c r="I884" s="11"/>
      <c r="J884" s="11" t="s">
        <v>901</v>
      </c>
      <c r="K884" s="11" t="s">
        <v>89</v>
      </c>
      <c r="L884" s="12">
        <v>166148</v>
      </c>
      <c r="M884" s="12">
        <v>166148</v>
      </c>
      <c r="N884" s="24">
        <v>43952</v>
      </c>
      <c r="O884" s="11" t="s">
        <v>903</v>
      </c>
      <c r="P884" s="11" t="s">
        <v>904</v>
      </c>
      <c r="Q884" s="11">
        <v>13622035114</v>
      </c>
      <c r="R884" s="11" t="s">
        <v>905</v>
      </c>
      <c r="S884" s="60"/>
      <c r="T884" s="60"/>
    </row>
    <row r="885" spans="1:20" s="14" customFormat="1" ht="24" hidden="1" customHeight="1">
      <c r="A885" s="15"/>
      <c r="B885" s="11" t="s">
        <v>1126</v>
      </c>
      <c r="C885" s="11" t="s">
        <v>1131</v>
      </c>
      <c r="D885" s="11" t="s">
        <v>62</v>
      </c>
      <c r="E885" s="9">
        <v>144.30000000000001</v>
      </c>
      <c r="F885" s="9"/>
      <c r="G885" s="11" t="s">
        <v>32</v>
      </c>
      <c r="H885" s="11" t="s">
        <v>33</v>
      </c>
      <c r="I885" s="11"/>
      <c r="J885" s="11" t="s">
        <v>901</v>
      </c>
      <c r="K885" s="11" t="s">
        <v>89</v>
      </c>
      <c r="L885" s="12">
        <v>1226550</v>
      </c>
      <c r="M885" s="12">
        <v>1226550</v>
      </c>
      <c r="N885" s="24">
        <v>43952</v>
      </c>
      <c r="O885" s="11" t="s">
        <v>903</v>
      </c>
      <c r="P885" s="11" t="s">
        <v>904</v>
      </c>
      <c r="Q885" s="11">
        <v>13622035114</v>
      </c>
      <c r="R885" s="11" t="s">
        <v>905</v>
      </c>
      <c r="S885" s="60"/>
      <c r="T885" s="60"/>
    </row>
    <row r="886" spans="1:20" s="14" customFormat="1" ht="24" hidden="1" customHeight="1">
      <c r="A886" s="15"/>
      <c r="B886" s="11" t="s">
        <v>1111</v>
      </c>
      <c r="C886" s="11" t="s">
        <v>1132</v>
      </c>
      <c r="D886" s="11" t="s">
        <v>62</v>
      </c>
      <c r="E886" s="9">
        <v>135.16999999999999</v>
      </c>
      <c r="F886" s="9"/>
      <c r="G886" s="11" t="s">
        <v>32</v>
      </c>
      <c r="H886" s="11" t="s">
        <v>33</v>
      </c>
      <c r="I886" s="11"/>
      <c r="J886" s="11" t="s">
        <v>901</v>
      </c>
      <c r="K886" s="11" t="s">
        <v>89</v>
      </c>
      <c r="L886" s="12">
        <v>1067843</v>
      </c>
      <c r="M886" s="12">
        <v>1067843</v>
      </c>
      <c r="N886" s="24">
        <v>43952</v>
      </c>
      <c r="O886" s="11" t="s">
        <v>903</v>
      </c>
      <c r="P886" s="11" t="s">
        <v>904</v>
      </c>
      <c r="Q886" s="11">
        <v>13622035114</v>
      </c>
      <c r="R886" s="11" t="s">
        <v>905</v>
      </c>
      <c r="S886" s="60"/>
      <c r="T886" s="60"/>
    </row>
    <row r="887" spans="1:20" s="14" customFormat="1" ht="24" hidden="1" customHeight="1">
      <c r="A887" s="15"/>
      <c r="B887" s="11" t="s">
        <v>1133</v>
      </c>
      <c r="C887" s="11" t="s">
        <v>1033</v>
      </c>
      <c r="D887" s="11" t="s">
        <v>62</v>
      </c>
      <c r="E887" s="9">
        <v>27.3</v>
      </c>
      <c r="F887" s="9"/>
      <c r="G887" s="11" t="s">
        <v>32</v>
      </c>
      <c r="H887" s="11" t="s">
        <v>33</v>
      </c>
      <c r="I887" s="11"/>
      <c r="J887" s="11" t="s">
        <v>901</v>
      </c>
      <c r="K887" s="11" t="s">
        <v>89</v>
      </c>
      <c r="L887" s="12">
        <v>199290</v>
      </c>
      <c r="M887" s="12">
        <v>199290</v>
      </c>
      <c r="N887" s="24">
        <v>43952</v>
      </c>
      <c r="O887" s="11" t="s">
        <v>903</v>
      </c>
      <c r="P887" s="11" t="s">
        <v>904</v>
      </c>
      <c r="Q887" s="11">
        <v>13622035114</v>
      </c>
      <c r="R887" s="11" t="s">
        <v>905</v>
      </c>
      <c r="S887" s="60"/>
      <c r="T887" s="60"/>
    </row>
    <row r="888" spans="1:20" s="14" customFormat="1" ht="24" hidden="1" customHeight="1">
      <c r="A888" s="15"/>
      <c r="B888" s="11" t="s">
        <v>1111</v>
      </c>
      <c r="C888" s="11" t="s">
        <v>1132</v>
      </c>
      <c r="D888" s="11" t="s">
        <v>62</v>
      </c>
      <c r="E888" s="9">
        <v>136.71</v>
      </c>
      <c r="F888" s="9"/>
      <c r="G888" s="11" t="s">
        <v>32</v>
      </c>
      <c r="H888" s="11" t="s">
        <v>33</v>
      </c>
      <c r="I888" s="11"/>
      <c r="J888" s="11" t="s">
        <v>901</v>
      </c>
      <c r="K888" s="11" t="s">
        <v>89</v>
      </c>
      <c r="L888" s="12">
        <v>1080009</v>
      </c>
      <c r="M888" s="12">
        <v>1080009</v>
      </c>
      <c r="N888" s="24">
        <v>43952</v>
      </c>
      <c r="O888" s="11" t="s">
        <v>903</v>
      </c>
      <c r="P888" s="11" t="s">
        <v>904</v>
      </c>
      <c r="Q888" s="11">
        <v>13622035114</v>
      </c>
      <c r="R888" s="11" t="s">
        <v>905</v>
      </c>
      <c r="S888" s="60"/>
      <c r="T888" s="60"/>
    </row>
    <row r="889" spans="1:20" s="14" customFormat="1" ht="24" hidden="1" customHeight="1">
      <c r="A889" s="15"/>
      <c r="B889" s="11" t="s">
        <v>1133</v>
      </c>
      <c r="C889" s="11" t="s">
        <v>1134</v>
      </c>
      <c r="D889" s="11" t="s">
        <v>62</v>
      </c>
      <c r="E889" s="9">
        <v>142.68</v>
      </c>
      <c r="F889" s="9"/>
      <c r="G889" s="11" t="s">
        <v>32</v>
      </c>
      <c r="H889" s="11" t="s">
        <v>33</v>
      </c>
      <c r="I889" s="11"/>
      <c r="J889" s="11" t="s">
        <v>901</v>
      </c>
      <c r="K889" s="11" t="s">
        <v>89</v>
      </c>
      <c r="L889" s="12">
        <v>1041564</v>
      </c>
      <c r="M889" s="12">
        <v>1041564</v>
      </c>
      <c r="N889" s="24">
        <v>43952</v>
      </c>
      <c r="O889" s="11" t="s">
        <v>903</v>
      </c>
      <c r="P889" s="11" t="s">
        <v>904</v>
      </c>
      <c r="Q889" s="11">
        <v>13622035114</v>
      </c>
      <c r="R889" s="11" t="s">
        <v>905</v>
      </c>
      <c r="S889" s="60"/>
      <c r="T889" s="60"/>
    </row>
    <row r="890" spans="1:20" s="14" customFormat="1" ht="24" hidden="1" customHeight="1">
      <c r="A890" s="15"/>
      <c r="B890" s="11" t="s">
        <v>1133</v>
      </c>
      <c r="C890" s="11" t="s">
        <v>1135</v>
      </c>
      <c r="D890" s="11" t="s">
        <v>62</v>
      </c>
      <c r="E890" s="9">
        <v>27.2</v>
      </c>
      <c r="F890" s="9"/>
      <c r="G890" s="11" t="s">
        <v>32</v>
      </c>
      <c r="H890" s="11" t="s">
        <v>33</v>
      </c>
      <c r="I890" s="11"/>
      <c r="J890" s="11" t="s">
        <v>901</v>
      </c>
      <c r="K890" s="11" t="s">
        <v>89</v>
      </c>
      <c r="L890" s="12">
        <v>198560</v>
      </c>
      <c r="M890" s="12">
        <v>198560</v>
      </c>
      <c r="N890" s="24">
        <v>43952</v>
      </c>
      <c r="O890" s="11" t="s">
        <v>903</v>
      </c>
      <c r="P890" s="11" t="s">
        <v>904</v>
      </c>
      <c r="Q890" s="11">
        <v>13622035114</v>
      </c>
      <c r="R890" s="11" t="s">
        <v>905</v>
      </c>
      <c r="S890" s="60"/>
      <c r="T890" s="60"/>
    </row>
    <row r="891" spans="1:20" s="14" customFormat="1" ht="24" hidden="1" customHeight="1">
      <c r="A891" s="15"/>
      <c r="B891" s="11" t="s">
        <v>1126</v>
      </c>
      <c r="C891" s="11" t="s">
        <v>1131</v>
      </c>
      <c r="D891" s="11" t="s">
        <v>62</v>
      </c>
      <c r="E891" s="9">
        <v>140.53</v>
      </c>
      <c r="F891" s="9"/>
      <c r="G891" s="11" t="s">
        <v>32</v>
      </c>
      <c r="H891" s="11" t="s">
        <v>33</v>
      </c>
      <c r="I891" s="11"/>
      <c r="J891" s="11" t="s">
        <v>901</v>
      </c>
      <c r="K891" s="11" t="s">
        <v>89</v>
      </c>
      <c r="L891" s="12">
        <v>1194505</v>
      </c>
      <c r="M891" s="12">
        <v>1194505</v>
      </c>
      <c r="N891" s="24">
        <v>43952</v>
      </c>
      <c r="O891" s="11" t="s">
        <v>903</v>
      </c>
      <c r="P891" s="11" t="s">
        <v>904</v>
      </c>
      <c r="Q891" s="11">
        <v>13622035114</v>
      </c>
      <c r="R891" s="11" t="s">
        <v>905</v>
      </c>
      <c r="S891" s="60"/>
      <c r="T891" s="60"/>
    </row>
    <row r="892" spans="1:20" s="14" customFormat="1" ht="24" hidden="1" customHeight="1">
      <c r="A892" s="15"/>
      <c r="B892" s="11" t="s">
        <v>1136</v>
      </c>
      <c r="C892" s="11"/>
      <c r="D892" s="11" t="s">
        <v>79</v>
      </c>
      <c r="E892" s="9">
        <v>1</v>
      </c>
      <c r="F892" s="9"/>
      <c r="G892" s="11" t="s">
        <v>32</v>
      </c>
      <c r="H892" s="11" t="s">
        <v>33</v>
      </c>
      <c r="I892" s="11"/>
      <c r="J892" s="11" t="s">
        <v>901</v>
      </c>
      <c r="K892" s="11" t="s">
        <v>89</v>
      </c>
      <c r="L892" s="12">
        <v>36000</v>
      </c>
      <c r="M892" s="12">
        <v>36000</v>
      </c>
      <c r="N892" s="24">
        <v>43952</v>
      </c>
      <c r="O892" s="11" t="s">
        <v>903</v>
      </c>
      <c r="P892" s="11" t="s">
        <v>904</v>
      </c>
      <c r="Q892" s="11">
        <v>13622035114</v>
      </c>
      <c r="R892" s="11" t="s">
        <v>905</v>
      </c>
      <c r="S892" s="60"/>
      <c r="T892" s="60"/>
    </row>
    <row r="893" spans="1:20" s="14" customFormat="1" ht="24" hidden="1" customHeight="1">
      <c r="A893" s="15"/>
      <c r="B893" s="11" t="s">
        <v>1137</v>
      </c>
      <c r="C893" s="11"/>
      <c r="D893" s="11" t="s">
        <v>79</v>
      </c>
      <c r="E893" s="9">
        <v>1</v>
      </c>
      <c r="F893" s="9"/>
      <c r="G893" s="11" t="s">
        <v>32</v>
      </c>
      <c r="H893" s="11" t="s">
        <v>33</v>
      </c>
      <c r="I893" s="11"/>
      <c r="J893" s="11" t="s">
        <v>901</v>
      </c>
      <c r="K893" s="11" t="s">
        <v>89</v>
      </c>
      <c r="L893" s="12">
        <v>69000</v>
      </c>
      <c r="M893" s="12">
        <v>69000</v>
      </c>
      <c r="N893" s="24">
        <v>43952</v>
      </c>
      <c r="O893" s="11" t="s">
        <v>903</v>
      </c>
      <c r="P893" s="11" t="s">
        <v>904</v>
      </c>
      <c r="Q893" s="11">
        <v>13622035114</v>
      </c>
      <c r="R893" s="11" t="s">
        <v>905</v>
      </c>
      <c r="S893" s="60"/>
      <c r="T893" s="60"/>
    </row>
    <row r="894" spans="1:20" s="14" customFormat="1" ht="24" hidden="1" customHeight="1">
      <c r="A894" s="15"/>
      <c r="B894" s="11" t="s">
        <v>1138</v>
      </c>
      <c r="C894" s="11"/>
      <c r="D894" s="11" t="s">
        <v>62</v>
      </c>
      <c r="E894" s="9">
        <v>48.38</v>
      </c>
      <c r="F894" s="9"/>
      <c r="G894" s="11" t="s">
        <v>32</v>
      </c>
      <c r="H894" s="11" t="s">
        <v>33</v>
      </c>
      <c r="I894" s="11"/>
      <c r="J894" s="11" t="s">
        <v>901</v>
      </c>
      <c r="K894" s="11" t="s">
        <v>89</v>
      </c>
      <c r="L894" s="12">
        <v>353174</v>
      </c>
      <c r="M894" s="12">
        <v>353174</v>
      </c>
      <c r="N894" s="24">
        <v>43952</v>
      </c>
      <c r="O894" s="11" t="s">
        <v>903</v>
      </c>
      <c r="P894" s="11" t="s">
        <v>904</v>
      </c>
      <c r="Q894" s="11">
        <v>13622035114</v>
      </c>
      <c r="R894" s="11" t="s">
        <v>905</v>
      </c>
      <c r="S894" s="60"/>
      <c r="T894" s="60"/>
    </row>
    <row r="895" spans="1:20" s="14" customFormat="1" ht="24" hidden="1" customHeight="1">
      <c r="A895" s="15"/>
      <c r="B895" s="11" t="s">
        <v>1139</v>
      </c>
      <c r="C895" s="11"/>
      <c r="D895" s="11" t="s">
        <v>62</v>
      </c>
      <c r="E895" s="9">
        <v>22.61</v>
      </c>
      <c r="F895" s="9"/>
      <c r="G895" s="11" t="s">
        <v>32</v>
      </c>
      <c r="H895" s="11" t="s">
        <v>33</v>
      </c>
      <c r="I895" s="11"/>
      <c r="J895" s="11" t="s">
        <v>901</v>
      </c>
      <c r="K895" s="11" t="s">
        <v>89</v>
      </c>
      <c r="L895" s="12">
        <v>165053</v>
      </c>
      <c r="M895" s="12">
        <v>165053</v>
      </c>
      <c r="N895" s="24">
        <v>43952</v>
      </c>
      <c r="O895" s="11" t="s">
        <v>903</v>
      </c>
      <c r="P895" s="11" t="s">
        <v>904</v>
      </c>
      <c r="Q895" s="11">
        <v>13622035114</v>
      </c>
      <c r="R895" s="11" t="s">
        <v>905</v>
      </c>
      <c r="S895" s="60"/>
      <c r="T895" s="60"/>
    </row>
    <row r="896" spans="1:20" s="14" customFormat="1" ht="24" hidden="1" customHeight="1">
      <c r="A896" s="15"/>
      <c r="B896" s="11" t="s">
        <v>1140</v>
      </c>
      <c r="C896" s="11" t="s">
        <v>1141</v>
      </c>
      <c r="D896" s="11" t="s">
        <v>79</v>
      </c>
      <c r="E896" s="9">
        <v>2</v>
      </c>
      <c r="F896" s="9">
        <v>322</v>
      </c>
      <c r="G896" s="11" t="s">
        <v>32</v>
      </c>
      <c r="H896" s="11" t="s">
        <v>33</v>
      </c>
      <c r="I896" s="11"/>
      <c r="J896" s="11"/>
      <c r="K896" s="11" t="s">
        <v>89</v>
      </c>
      <c r="L896" s="12">
        <v>3184238.94</v>
      </c>
      <c r="M896" s="12">
        <v>3184238.94</v>
      </c>
      <c r="N896" s="11" t="s">
        <v>1142</v>
      </c>
      <c r="O896" s="11" t="s">
        <v>36</v>
      </c>
      <c r="P896" s="11" t="s">
        <v>37</v>
      </c>
      <c r="Q896" s="11">
        <v>18631369850</v>
      </c>
      <c r="R896" s="11" t="s">
        <v>38</v>
      </c>
      <c r="S896" s="60" t="s">
        <v>39</v>
      </c>
      <c r="T896" s="60"/>
    </row>
    <row r="897" spans="1:20" s="14" customFormat="1" ht="24" hidden="1" customHeight="1">
      <c r="A897" s="15"/>
      <c r="B897" s="11" t="s">
        <v>1110</v>
      </c>
      <c r="C897" s="11" t="s">
        <v>1143</v>
      </c>
      <c r="D897" s="11" t="s">
        <v>79</v>
      </c>
      <c r="E897" s="9">
        <v>2</v>
      </c>
      <c r="F897" s="9">
        <v>135</v>
      </c>
      <c r="G897" s="11" t="s">
        <v>32</v>
      </c>
      <c r="H897" s="11" t="s">
        <v>33</v>
      </c>
      <c r="I897" s="11"/>
      <c r="J897" s="11"/>
      <c r="K897" s="11" t="s">
        <v>1144</v>
      </c>
      <c r="L897" s="12">
        <v>1051327.43</v>
      </c>
      <c r="M897" s="12">
        <v>1051327.43</v>
      </c>
      <c r="N897" s="11" t="s">
        <v>1145</v>
      </c>
      <c r="O897" s="11" t="s">
        <v>36</v>
      </c>
      <c r="P897" s="11" t="s">
        <v>37</v>
      </c>
      <c r="Q897" s="11">
        <v>18631369850</v>
      </c>
      <c r="R897" s="11" t="s">
        <v>38</v>
      </c>
      <c r="S897" s="60" t="s">
        <v>39</v>
      </c>
      <c r="T897" s="60"/>
    </row>
    <row r="898" spans="1:20" s="14" customFormat="1" ht="24" hidden="1" customHeight="1">
      <c r="A898" s="15">
        <v>2</v>
      </c>
      <c r="B898" s="15" t="s">
        <v>1146</v>
      </c>
      <c r="C898" s="11"/>
      <c r="D898" s="11"/>
      <c r="E898" s="9"/>
      <c r="F898" s="9"/>
      <c r="G898" s="11"/>
      <c r="H898" s="11"/>
      <c r="I898" s="11"/>
      <c r="J898" s="11"/>
      <c r="K898" s="11"/>
      <c r="L898" s="12"/>
      <c r="M898" s="12"/>
      <c r="N898" s="11"/>
      <c r="O898" s="11"/>
      <c r="P898" s="11"/>
      <c r="Q898" s="11"/>
      <c r="R898" s="11"/>
      <c r="S898" s="11"/>
      <c r="T898" s="11"/>
    </row>
    <row r="899" spans="1:20" s="14" customFormat="1" ht="24" hidden="1" customHeight="1">
      <c r="A899" s="15">
        <v>3</v>
      </c>
      <c r="B899" s="15" t="s">
        <v>1147</v>
      </c>
      <c r="C899" s="11"/>
      <c r="D899" s="11"/>
      <c r="E899" s="9"/>
      <c r="F899" s="9"/>
      <c r="G899" s="11"/>
      <c r="H899" s="11"/>
      <c r="I899" s="11"/>
      <c r="J899" s="11"/>
      <c r="K899" s="11"/>
      <c r="L899" s="12"/>
      <c r="M899" s="12"/>
      <c r="N899" s="11"/>
      <c r="O899" s="11"/>
      <c r="P899" s="11"/>
      <c r="Q899" s="11"/>
      <c r="R899" s="11"/>
      <c r="S899" s="11"/>
      <c r="T899" s="11"/>
    </row>
    <row r="900" spans="1:20" s="14" customFormat="1" ht="24" hidden="1" customHeight="1">
      <c r="A900" s="15"/>
      <c r="B900" s="11" t="s">
        <v>1148</v>
      </c>
      <c r="C900" s="11" t="s">
        <v>1149</v>
      </c>
      <c r="D900" s="11" t="s">
        <v>79</v>
      </c>
      <c r="E900" s="9">
        <v>2</v>
      </c>
      <c r="F900" s="9">
        <v>26</v>
      </c>
      <c r="G900" s="11" t="s">
        <v>32</v>
      </c>
      <c r="H900" s="11" t="s">
        <v>33</v>
      </c>
      <c r="I900" s="11"/>
      <c r="J900" s="11"/>
      <c r="K900" s="11" t="s">
        <v>89</v>
      </c>
      <c r="L900" s="12">
        <v>704424.77876106196</v>
      </c>
      <c r="M900" s="12">
        <v>681883.18584070797</v>
      </c>
      <c r="N900" s="11" t="s">
        <v>1150</v>
      </c>
      <c r="O900" s="11" t="s">
        <v>36</v>
      </c>
      <c r="P900" s="11" t="s">
        <v>37</v>
      </c>
      <c r="Q900" s="11">
        <v>18631369850</v>
      </c>
      <c r="R900" s="11" t="s">
        <v>38</v>
      </c>
      <c r="S900" s="11" t="s">
        <v>39</v>
      </c>
      <c r="T900" s="11"/>
    </row>
    <row r="901" spans="1:20" s="14" customFormat="1" ht="24" hidden="1" customHeight="1">
      <c r="A901" s="15" t="s">
        <v>1151</v>
      </c>
      <c r="B901" s="13" t="s">
        <v>1152</v>
      </c>
      <c r="C901" s="11"/>
      <c r="D901" s="11"/>
      <c r="E901" s="9"/>
      <c r="F901" s="9"/>
      <c r="G901" s="11"/>
      <c r="H901" s="11"/>
      <c r="I901" s="11"/>
      <c r="J901" s="11"/>
      <c r="K901" s="11"/>
      <c r="L901" s="12"/>
      <c r="M901" s="12"/>
      <c r="N901" s="11"/>
      <c r="O901" s="11"/>
      <c r="P901" s="11"/>
      <c r="Q901" s="11"/>
      <c r="R901" s="11"/>
      <c r="S901" s="11"/>
      <c r="T901" s="11"/>
    </row>
    <row r="902" spans="1:20" s="14" customFormat="1" ht="24" hidden="1" customHeight="1">
      <c r="A902" s="15">
        <v>1</v>
      </c>
      <c r="B902" s="15" t="s">
        <v>1153</v>
      </c>
      <c r="C902" s="11"/>
      <c r="D902" s="11"/>
      <c r="E902" s="9"/>
      <c r="F902" s="9"/>
      <c r="G902" s="11"/>
      <c r="H902" s="11"/>
      <c r="I902" s="11"/>
      <c r="J902" s="11"/>
      <c r="K902" s="11"/>
      <c r="L902" s="12"/>
      <c r="M902" s="12"/>
      <c r="N902" s="11"/>
      <c r="O902" s="11"/>
      <c r="P902" s="11"/>
      <c r="Q902" s="11"/>
      <c r="R902" s="11"/>
      <c r="S902" s="11"/>
      <c r="T902" s="11"/>
    </row>
    <row r="903" spans="1:20" s="14" customFormat="1" ht="24" hidden="1" customHeight="1">
      <c r="A903" s="15"/>
      <c r="B903" s="11" t="s">
        <v>1153</v>
      </c>
      <c r="C903" s="11" t="s">
        <v>1154</v>
      </c>
      <c r="D903" s="11" t="s">
        <v>79</v>
      </c>
      <c r="E903" s="9">
        <v>1</v>
      </c>
      <c r="F903" s="9">
        <v>70</v>
      </c>
      <c r="G903" s="11" t="s">
        <v>32</v>
      </c>
      <c r="H903" s="11" t="s">
        <v>33</v>
      </c>
      <c r="I903" s="11"/>
      <c r="J903" s="11"/>
      <c r="K903" s="11" t="s">
        <v>89</v>
      </c>
      <c r="L903" s="12">
        <v>690265.486725664</v>
      </c>
      <c r="M903" s="12">
        <v>647787.61061946896</v>
      </c>
      <c r="N903" s="11" t="s">
        <v>1155</v>
      </c>
      <c r="O903" s="11" t="s">
        <v>36</v>
      </c>
      <c r="P903" s="11" t="s">
        <v>37</v>
      </c>
      <c r="Q903" s="11">
        <v>18631369850</v>
      </c>
      <c r="R903" s="11" t="s">
        <v>38</v>
      </c>
      <c r="S903" s="11" t="s">
        <v>39</v>
      </c>
      <c r="T903" s="11"/>
    </row>
    <row r="904" spans="1:20" s="14" customFormat="1" ht="24" hidden="1" customHeight="1">
      <c r="A904" s="15"/>
      <c r="B904" s="11" t="s">
        <v>1153</v>
      </c>
      <c r="C904" s="11" t="s">
        <v>1154</v>
      </c>
      <c r="D904" s="11" t="s">
        <v>79</v>
      </c>
      <c r="E904" s="9">
        <v>1</v>
      </c>
      <c r="F904" s="9">
        <v>70</v>
      </c>
      <c r="G904" s="11" t="s">
        <v>32</v>
      </c>
      <c r="H904" s="11" t="s">
        <v>33</v>
      </c>
      <c r="I904" s="11"/>
      <c r="J904" s="11"/>
      <c r="K904" s="11" t="s">
        <v>89</v>
      </c>
      <c r="L904" s="12">
        <v>690265.486725664</v>
      </c>
      <c r="M904" s="12">
        <v>647787.61061946896</v>
      </c>
      <c r="N904" s="11" t="s">
        <v>1156</v>
      </c>
      <c r="O904" s="11" t="s">
        <v>1157</v>
      </c>
      <c r="P904" s="11" t="s">
        <v>37</v>
      </c>
      <c r="Q904" s="11">
        <v>18631369850</v>
      </c>
      <c r="R904" s="11" t="s">
        <v>38</v>
      </c>
      <c r="S904" s="11" t="s">
        <v>39</v>
      </c>
      <c r="T904" s="11"/>
    </row>
    <row r="905" spans="1:20" s="14" customFormat="1" ht="24" hidden="1" customHeight="1">
      <c r="A905" s="15">
        <v>2</v>
      </c>
      <c r="B905" s="15" t="s">
        <v>1158</v>
      </c>
      <c r="C905" s="11"/>
      <c r="D905" s="11"/>
      <c r="E905" s="9"/>
      <c r="F905" s="9"/>
      <c r="G905" s="11"/>
      <c r="H905" s="11"/>
      <c r="I905" s="11"/>
      <c r="J905" s="11"/>
      <c r="K905" s="11"/>
      <c r="L905" s="12"/>
      <c r="M905" s="12"/>
      <c r="N905" s="11"/>
      <c r="O905" s="11"/>
      <c r="P905" s="11"/>
      <c r="Q905" s="11"/>
      <c r="R905" s="11"/>
      <c r="S905" s="11"/>
      <c r="T905" s="11"/>
    </row>
    <row r="906" spans="1:20" s="14" customFormat="1" ht="24" hidden="1" customHeight="1">
      <c r="A906" s="15" t="s">
        <v>1159</v>
      </c>
      <c r="B906" s="13" t="s">
        <v>1160</v>
      </c>
      <c r="C906" s="11"/>
      <c r="D906" s="11"/>
      <c r="E906" s="9"/>
      <c r="F906" s="9"/>
      <c r="G906" s="11"/>
      <c r="H906" s="11"/>
      <c r="I906" s="11"/>
      <c r="J906" s="11"/>
      <c r="K906" s="11"/>
      <c r="L906" s="12"/>
      <c r="M906" s="12"/>
      <c r="N906" s="11"/>
      <c r="O906" s="11"/>
      <c r="P906" s="11"/>
      <c r="Q906" s="11"/>
      <c r="R906" s="11"/>
      <c r="S906" s="11"/>
      <c r="T906" s="11"/>
    </row>
    <row r="907" spans="1:20" s="14" customFormat="1" ht="24" hidden="1" customHeight="1">
      <c r="A907" s="15">
        <v>1</v>
      </c>
      <c r="B907" s="15" t="s">
        <v>1161</v>
      </c>
      <c r="C907" s="11"/>
      <c r="D907" s="11"/>
      <c r="E907" s="9"/>
      <c r="F907" s="9"/>
      <c r="G907" s="11"/>
      <c r="H907" s="11"/>
      <c r="I907" s="11"/>
      <c r="J907" s="11"/>
      <c r="K907" s="11"/>
      <c r="L907" s="12"/>
      <c r="M907" s="12"/>
      <c r="N907" s="11"/>
      <c r="O907" s="11"/>
      <c r="P907" s="11"/>
      <c r="Q907" s="11"/>
      <c r="R907" s="11"/>
      <c r="S907" s="11"/>
      <c r="T907" s="11"/>
    </row>
    <row r="908" spans="1:20" s="14" customFormat="1" ht="24" hidden="1" customHeight="1">
      <c r="A908" s="15">
        <v>2</v>
      </c>
      <c r="B908" s="15" t="s">
        <v>1162</v>
      </c>
      <c r="C908" s="11"/>
      <c r="D908" s="11"/>
      <c r="E908" s="9"/>
      <c r="F908" s="9"/>
      <c r="G908" s="11"/>
      <c r="H908" s="11"/>
      <c r="I908" s="11"/>
      <c r="J908" s="11"/>
      <c r="K908" s="11"/>
      <c r="L908" s="12"/>
      <c r="M908" s="12"/>
      <c r="N908" s="11"/>
      <c r="O908" s="11"/>
      <c r="P908" s="11"/>
      <c r="Q908" s="11"/>
      <c r="R908" s="11"/>
      <c r="S908" s="11"/>
      <c r="T908" s="11"/>
    </row>
    <row r="909" spans="1:20" s="14" customFormat="1" ht="24" hidden="1" customHeight="1">
      <c r="A909" s="15"/>
      <c r="B909" s="11" t="s">
        <v>1163</v>
      </c>
      <c r="C909" s="11" t="s">
        <v>1164</v>
      </c>
      <c r="D909" s="11" t="s">
        <v>1165</v>
      </c>
      <c r="E909" s="9">
        <v>82</v>
      </c>
      <c r="F909" s="9"/>
      <c r="G909" s="11" t="s">
        <v>32</v>
      </c>
      <c r="H909" s="11" t="s">
        <v>33</v>
      </c>
      <c r="I909" s="11" t="s">
        <v>34</v>
      </c>
      <c r="J909" s="11" t="s">
        <v>34</v>
      </c>
      <c r="K909" s="11" t="s">
        <v>1166</v>
      </c>
      <c r="L909" s="12">
        <v>1760540</v>
      </c>
      <c r="M909" s="12">
        <v>1760540</v>
      </c>
      <c r="N909" s="11" t="s">
        <v>1167</v>
      </c>
      <c r="O909" s="11" t="s">
        <v>1168</v>
      </c>
      <c r="P909" s="11" t="s">
        <v>44</v>
      </c>
      <c r="Q909" s="11">
        <v>18611425182</v>
      </c>
      <c r="R909" s="11" t="s">
        <v>1168</v>
      </c>
      <c r="S909" s="11" t="s">
        <v>77</v>
      </c>
      <c r="T909" s="11"/>
    </row>
    <row r="910" spans="1:20" s="14" customFormat="1" ht="24" hidden="1" customHeight="1">
      <c r="A910" s="15"/>
      <c r="B910" s="11" t="s">
        <v>1169</v>
      </c>
      <c r="C910" s="11" t="s">
        <v>1164</v>
      </c>
      <c r="D910" s="11" t="s">
        <v>1165</v>
      </c>
      <c r="E910" s="9">
        <v>14</v>
      </c>
      <c r="F910" s="9"/>
      <c r="G910" s="11" t="s">
        <v>32</v>
      </c>
      <c r="H910" s="11" t="s">
        <v>33</v>
      </c>
      <c r="I910" s="11" t="s">
        <v>34</v>
      </c>
      <c r="J910" s="11" t="s">
        <v>34</v>
      </c>
      <c r="K910" s="11" t="s">
        <v>1166</v>
      </c>
      <c r="L910" s="12">
        <v>474600</v>
      </c>
      <c r="M910" s="12">
        <v>474600</v>
      </c>
      <c r="N910" s="11" t="s">
        <v>1167</v>
      </c>
      <c r="O910" s="11" t="s">
        <v>1168</v>
      </c>
      <c r="P910" s="11" t="s">
        <v>44</v>
      </c>
      <c r="Q910" s="11">
        <v>18611425182</v>
      </c>
      <c r="R910" s="11" t="s">
        <v>1168</v>
      </c>
      <c r="S910" s="11" t="s">
        <v>77</v>
      </c>
      <c r="T910" s="11"/>
    </row>
    <row r="911" spans="1:20" s="14" customFormat="1" ht="24" hidden="1" customHeight="1">
      <c r="A911" s="15"/>
      <c r="B911" s="11" t="s">
        <v>1163</v>
      </c>
      <c r="C911" s="11" t="s">
        <v>1164</v>
      </c>
      <c r="D911" s="11" t="s">
        <v>1165</v>
      </c>
      <c r="E911" s="9">
        <v>2</v>
      </c>
      <c r="F911" s="9"/>
      <c r="G911" s="11" t="s">
        <v>32</v>
      </c>
      <c r="H911" s="11" t="s">
        <v>33</v>
      </c>
      <c r="I911" s="11" t="s">
        <v>34</v>
      </c>
      <c r="J911" s="11" t="s">
        <v>34</v>
      </c>
      <c r="K911" s="11" t="s">
        <v>1166</v>
      </c>
      <c r="L911" s="12">
        <v>42940</v>
      </c>
      <c r="M911" s="12">
        <v>42940</v>
      </c>
      <c r="N911" s="11" t="s">
        <v>1170</v>
      </c>
      <c r="O911" s="11" t="s">
        <v>1168</v>
      </c>
      <c r="P911" s="11" t="s">
        <v>44</v>
      </c>
      <c r="Q911" s="11">
        <v>18611425182</v>
      </c>
      <c r="R911" s="11" t="s">
        <v>1168</v>
      </c>
      <c r="S911" s="11" t="s">
        <v>77</v>
      </c>
      <c r="T911" s="11"/>
    </row>
    <row r="912" spans="1:20" s="14" customFormat="1" ht="24" hidden="1" customHeight="1">
      <c r="A912" s="15"/>
      <c r="B912" s="11" t="s">
        <v>1171</v>
      </c>
      <c r="C912" s="11" t="s">
        <v>1164</v>
      </c>
      <c r="D912" s="11" t="s">
        <v>1165</v>
      </c>
      <c r="E912" s="9">
        <v>1</v>
      </c>
      <c r="F912" s="9"/>
      <c r="G912" s="11" t="s">
        <v>32</v>
      </c>
      <c r="H912" s="11" t="s">
        <v>33</v>
      </c>
      <c r="I912" s="11" t="s">
        <v>34</v>
      </c>
      <c r="J912" s="11" t="s">
        <v>34</v>
      </c>
      <c r="K912" s="11" t="s">
        <v>1166</v>
      </c>
      <c r="L912" s="12">
        <v>33900</v>
      </c>
      <c r="M912" s="12">
        <v>33900</v>
      </c>
      <c r="N912" s="11" t="s">
        <v>1170</v>
      </c>
      <c r="O912" s="11" t="s">
        <v>1168</v>
      </c>
      <c r="P912" s="11" t="s">
        <v>44</v>
      </c>
      <c r="Q912" s="11">
        <v>18611425182</v>
      </c>
      <c r="R912" s="11" t="s">
        <v>1168</v>
      </c>
      <c r="S912" s="11" t="s">
        <v>77</v>
      </c>
      <c r="T912" s="11"/>
    </row>
    <row r="913" spans="1:20" s="14" customFormat="1" ht="24" hidden="1" customHeight="1">
      <c r="A913" s="15"/>
      <c r="B913" s="11" t="s">
        <v>1172</v>
      </c>
      <c r="C913" s="11" t="s">
        <v>1164</v>
      </c>
      <c r="D913" s="11" t="s">
        <v>1165</v>
      </c>
      <c r="E913" s="9">
        <v>1</v>
      </c>
      <c r="F913" s="9"/>
      <c r="G913" s="11" t="s">
        <v>32</v>
      </c>
      <c r="H913" s="11" t="s">
        <v>33</v>
      </c>
      <c r="I913" s="11" t="s">
        <v>34</v>
      </c>
      <c r="J913" s="11" t="s">
        <v>34</v>
      </c>
      <c r="K913" s="11" t="s">
        <v>1166</v>
      </c>
      <c r="L913" s="12">
        <v>28250</v>
      </c>
      <c r="M913" s="12">
        <v>28250</v>
      </c>
      <c r="N913" s="11" t="s">
        <v>1170</v>
      </c>
      <c r="O913" s="11" t="s">
        <v>1168</v>
      </c>
      <c r="P913" s="11" t="s">
        <v>44</v>
      </c>
      <c r="Q913" s="11">
        <v>18611425182</v>
      </c>
      <c r="R913" s="11" t="s">
        <v>1168</v>
      </c>
      <c r="S913" s="11" t="s">
        <v>77</v>
      </c>
      <c r="T913" s="11"/>
    </row>
    <row r="914" spans="1:20" s="14" customFormat="1" ht="24" hidden="1" customHeight="1">
      <c r="A914" s="15"/>
      <c r="B914" s="11" t="s">
        <v>1173</v>
      </c>
      <c r="C914" s="11" t="s">
        <v>1174</v>
      </c>
      <c r="D914" s="11" t="s">
        <v>888</v>
      </c>
      <c r="E914" s="9">
        <v>4131</v>
      </c>
      <c r="F914" s="9"/>
      <c r="G914" s="11" t="s">
        <v>32</v>
      </c>
      <c r="H914" s="11" t="s">
        <v>33</v>
      </c>
      <c r="I914" s="11" t="s">
        <v>34</v>
      </c>
      <c r="J914" s="11" t="s">
        <v>34</v>
      </c>
      <c r="K914" s="11" t="s">
        <v>1166</v>
      </c>
      <c r="L914" s="12">
        <v>1074060</v>
      </c>
      <c r="M914" s="12">
        <v>1074060</v>
      </c>
      <c r="N914" s="11" t="s">
        <v>1175</v>
      </c>
      <c r="O914" s="11" t="s">
        <v>1168</v>
      </c>
      <c r="P914" s="11" t="s">
        <v>44</v>
      </c>
      <c r="Q914" s="11">
        <v>18611425182</v>
      </c>
      <c r="R914" s="11" t="s">
        <v>1168</v>
      </c>
      <c r="S914" s="11" t="s">
        <v>77</v>
      </c>
      <c r="T914" s="11"/>
    </row>
    <row r="915" spans="1:20" s="14" customFormat="1" ht="24" hidden="1" customHeight="1">
      <c r="A915" s="15"/>
      <c r="B915" s="11" t="s">
        <v>1176</v>
      </c>
      <c r="C915" s="11" t="s">
        <v>1177</v>
      </c>
      <c r="D915" s="11" t="s">
        <v>79</v>
      </c>
      <c r="E915" s="9">
        <v>40</v>
      </c>
      <c r="F915" s="9"/>
      <c r="G915" s="11" t="s">
        <v>32</v>
      </c>
      <c r="H915" s="11" t="s">
        <v>33</v>
      </c>
      <c r="I915" s="11" t="s">
        <v>34</v>
      </c>
      <c r="J915" s="11" t="s">
        <v>34</v>
      </c>
      <c r="K915" s="11" t="s">
        <v>1178</v>
      </c>
      <c r="L915" s="12">
        <v>800000</v>
      </c>
      <c r="M915" s="12">
        <f>L915/3*2</f>
        <v>533333.33333333337</v>
      </c>
      <c r="N915" s="11" t="s">
        <v>1179</v>
      </c>
      <c r="O915" s="11" t="s">
        <v>1180</v>
      </c>
      <c r="P915" s="11" t="s">
        <v>1181</v>
      </c>
      <c r="Q915" s="11">
        <v>15810522330</v>
      </c>
      <c r="R915" s="11" t="s">
        <v>1182</v>
      </c>
      <c r="S915" s="11" t="s">
        <v>115</v>
      </c>
      <c r="T915" s="11"/>
    </row>
    <row r="916" spans="1:20" s="14" customFormat="1" ht="24" hidden="1" customHeight="1">
      <c r="A916" s="15"/>
      <c r="B916" s="11" t="s">
        <v>1183</v>
      </c>
      <c r="C916" s="11" t="s">
        <v>1177</v>
      </c>
      <c r="D916" s="11" t="s">
        <v>79</v>
      </c>
      <c r="E916" s="9">
        <v>8</v>
      </c>
      <c r="F916" s="9"/>
      <c r="G916" s="11" t="s">
        <v>32</v>
      </c>
      <c r="H916" s="11" t="s">
        <v>33</v>
      </c>
      <c r="I916" s="11" t="s">
        <v>34</v>
      </c>
      <c r="J916" s="11" t="s">
        <v>34</v>
      </c>
      <c r="K916" s="12" t="s">
        <v>1178</v>
      </c>
      <c r="L916" s="12">
        <v>200000</v>
      </c>
      <c r="M916" s="12">
        <f>L916/3*2</f>
        <v>133333.33333333334</v>
      </c>
      <c r="N916" s="11" t="s">
        <v>1179</v>
      </c>
      <c r="O916" s="11" t="s">
        <v>1180</v>
      </c>
      <c r="P916" s="11" t="s">
        <v>1181</v>
      </c>
      <c r="Q916" s="11">
        <v>15810522330</v>
      </c>
      <c r="R916" s="11" t="s">
        <v>1182</v>
      </c>
      <c r="S916" s="11" t="s">
        <v>115</v>
      </c>
      <c r="T916" s="60"/>
    </row>
    <row r="917" spans="1:20" s="14" customFormat="1" ht="24" hidden="1" customHeight="1">
      <c r="A917" s="15"/>
      <c r="B917" s="11" t="s">
        <v>1184</v>
      </c>
      <c r="C917" s="11" t="s">
        <v>1185</v>
      </c>
      <c r="D917" s="11" t="s">
        <v>1165</v>
      </c>
      <c r="E917" s="9">
        <v>3</v>
      </c>
      <c r="F917" s="9"/>
      <c r="G917" s="11" t="s">
        <v>32</v>
      </c>
      <c r="H917" s="11" t="s">
        <v>33</v>
      </c>
      <c r="I917" s="11" t="s">
        <v>34</v>
      </c>
      <c r="J917" s="11" t="s">
        <v>34</v>
      </c>
      <c r="K917" s="12" t="s">
        <v>1178</v>
      </c>
      <c r="L917" s="12">
        <v>75000</v>
      </c>
      <c r="M917" s="12">
        <v>50000</v>
      </c>
      <c r="N917" s="11" t="s">
        <v>1179</v>
      </c>
      <c r="O917" s="11" t="s">
        <v>1180</v>
      </c>
      <c r="P917" s="11" t="s">
        <v>1181</v>
      </c>
      <c r="Q917" s="11">
        <v>15810522330</v>
      </c>
      <c r="R917" s="11" t="s">
        <v>1182</v>
      </c>
      <c r="S917" s="11" t="s">
        <v>115</v>
      </c>
      <c r="T917" s="60"/>
    </row>
    <row r="918" spans="1:20" s="14" customFormat="1" ht="24" hidden="1" customHeight="1">
      <c r="A918" s="15"/>
      <c r="B918" s="11" t="s">
        <v>1186</v>
      </c>
      <c r="C918" s="11" t="s">
        <v>1187</v>
      </c>
      <c r="D918" s="11" t="s">
        <v>1165</v>
      </c>
      <c r="E918" s="9">
        <v>21</v>
      </c>
      <c r="F918" s="9"/>
      <c r="G918" s="11" t="s">
        <v>32</v>
      </c>
      <c r="H918" s="11" t="s">
        <v>33</v>
      </c>
      <c r="I918" s="11" t="s">
        <v>34</v>
      </c>
      <c r="J918" s="11" t="s">
        <v>34</v>
      </c>
      <c r="K918" s="12" t="s">
        <v>1178</v>
      </c>
      <c r="L918" s="12">
        <v>231000</v>
      </c>
      <c r="M918" s="12">
        <v>154000</v>
      </c>
      <c r="N918" s="11" t="s">
        <v>1179</v>
      </c>
      <c r="O918" s="11" t="s">
        <v>1180</v>
      </c>
      <c r="P918" s="11" t="s">
        <v>1181</v>
      </c>
      <c r="Q918" s="11">
        <v>15810522330</v>
      </c>
      <c r="R918" s="11" t="s">
        <v>1182</v>
      </c>
      <c r="S918" s="11" t="s">
        <v>115</v>
      </c>
      <c r="T918" s="60"/>
    </row>
    <row r="919" spans="1:20" s="14" customFormat="1" ht="24" hidden="1" customHeight="1">
      <c r="A919" s="15"/>
      <c r="B919" s="11" t="s">
        <v>1186</v>
      </c>
      <c r="C919" s="11" t="s">
        <v>1188</v>
      </c>
      <c r="D919" s="11" t="s">
        <v>1165</v>
      </c>
      <c r="E919" s="9">
        <v>6</v>
      </c>
      <c r="F919" s="9"/>
      <c r="G919" s="11" t="s">
        <v>32</v>
      </c>
      <c r="H919" s="11" t="s">
        <v>33</v>
      </c>
      <c r="I919" s="11" t="s">
        <v>34</v>
      </c>
      <c r="J919" s="11" t="s">
        <v>34</v>
      </c>
      <c r="K919" s="12" t="s">
        <v>1178</v>
      </c>
      <c r="L919" s="12">
        <v>45000</v>
      </c>
      <c r="M919" s="12">
        <v>30000</v>
      </c>
      <c r="N919" s="11" t="s">
        <v>1179</v>
      </c>
      <c r="O919" s="11" t="s">
        <v>1180</v>
      </c>
      <c r="P919" s="11" t="s">
        <v>1181</v>
      </c>
      <c r="Q919" s="11">
        <v>15810522330</v>
      </c>
      <c r="R919" s="11" t="s">
        <v>1182</v>
      </c>
      <c r="S919" s="11" t="s">
        <v>115</v>
      </c>
      <c r="T919" s="60"/>
    </row>
    <row r="920" spans="1:20" s="14" customFormat="1" ht="24" hidden="1" customHeight="1">
      <c r="A920" s="15"/>
      <c r="B920" s="11" t="s">
        <v>1189</v>
      </c>
      <c r="C920" s="11" t="s">
        <v>1190</v>
      </c>
      <c r="D920" s="11" t="s">
        <v>79</v>
      </c>
      <c r="E920" s="9">
        <v>1</v>
      </c>
      <c r="F920" s="9"/>
      <c r="G920" s="11" t="s">
        <v>32</v>
      </c>
      <c r="H920" s="11" t="s">
        <v>33</v>
      </c>
      <c r="I920" s="11" t="s">
        <v>34</v>
      </c>
      <c r="J920" s="11" t="s">
        <v>34</v>
      </c>
      <c r="K920" s="12" t="s">
        <v>1178</v>
      </c>
      <c r="L920" s="12">
        <v>35000</v>
      </c>
      <c r="M920" s="12">
        <v>23333.333333333299</v>
      </c>
      <c r="N920" s="11" t="s">
        <v>1179</v>
      </c>
      <c r="O920" s="11" t="s">
        <v>1180</v>
      </c>
      <c r="P920" s="11" t="s">
        <v>1181</v>
      </c>
      <c r="Q920" s="11">
        <v>15810522330</v>
      </c>
      <c r="R920" s="11" t="s">
        <v>1182</v>
      </c>
      <c r="S920" s="11" t="s">
        <v>115</v>
      </c>
      <c r="T920" s="60"/>
    </row>
    <row r="921" spans="1:20" s="14" customFormat="1" ht="24" hidden="1" customHeight="1">
      <c r="A921" s="15"/>
      <c r="B921" s="11" t="s">
        <v>1191</v>
      </c>
      <c r="C921" s="11" t="s">
        <v>1192</v>
      </c>
      <c r="D921" s="11" t="s">
        <v>1193</v>
      </c>
      <c r="E921" s="9">
        <v>340</v>
      </c>
      <c r="F921" s="9"/>
      <c r="G921" s="11" t="s">
        <v>32</v>
      </c>
      <c r="H921" s="11" t="s">
        <v>33</v>
      </c>
      <c r="I921" s="11" t="s">
        <v>34</v>
      </c>
      <c r="J921" s="11" t="s">
        <v>34</v>
      </c>
      <c r="K921" s="12" t="s">
        <v>1178</v>
      </c>
      <c r="L921" s="12">
        <v>190400</v>
      </c>
      <c r="M921" s="12">
        <v>126933.33333333299</v>
      </c>
      <c r="N921" s="11" t="s">
        <v>1179</v>
      </c>
      <c r="O921" s="11" t="s">
        <v>1180</v>
      </c>
      <c r="P921" s="11" t="s">
        <v>1181</v>
      </c>
      <c r="Q921" s="11">
        <v>15810522330</v>
      </c>
      <c r="R921" s="11" t="s">
        <v>1182</v>
      </c>
      <c r="S921" s="11" t="s">
        <v>115</v>
      </c>
      <c r="T921" s="60"/>
    </row>
    <row r="922" spans="1:20" s="14" customFormat="1" ht="24" hidden="1" customHeight="1">
      <c r="A922" s="15"/>
      <c r="B922" s="11" t="s">
        <v>1194</v>
      </c>
      <c r="C922" s="11" t="s">
        <v>1195</v>
      </c>
      <c r="D922" s="11" t="s">
        <v>1165</v>
      </c>
      <c r="E922" s="9">
        <v>1</v>
      </c>
      <c r="F922" s="9"/>
      <c r="G922" s="11" t="s">
        <v>32</v>
      </c>
      <c r="H922" s="11" t="s">
        <v>33</v>
      </c>
      <c r="I922" s="11" t="s">
        <v>34</v>
      </c>
      <c r="J922" s="11" t="s">
        <v>34</v>
      </c>
      <c r="K922" s="12" t="s">
        <v>1178</v>
      </c>
      <c r="L922" s="12">
        <v>32000</v>
      </c>
      <c r="M922" s="12">
        <v>21333.333333333299</v>
      </c>
      <c r="N922" s="11" t="s">
        <v>1179</v>
      </c>
      <c r="O922" s="11" t="s">
        <v>1180</v>
      </c>
      <c r="P922" s="11" t="s">
        <v>1181</v>
      </c>
      <c r="Q922" s="11">
        <v>15810522330</v>
      </c>
      <c r="R922" s="11" t="s">
        <v>1182</v>
      </c>
      <c r="S922" s="11" t="s">
        <v>115</v>
      </c>
      <c r="T922" s="60"/>
    </row>
    <row r="923" spans="1:20" s="14" customFormat="1" ht="24" hidden="1" customHeight="1">
      <c r="A923" s="15"/>
      <c r="B923" s="11" t="s">
        <v>1196</v>
      </c>
      <c r="C923" s="11" t="s">
        <v>1197</v>
      </c>
      <c r="D923" s="11" t="s">
        <v>1165</v>
      </c>
      <c r="E923" s="9">
        <v>1</v>
      </c>
      <c r="F923" s="9"/>
      <c r="G923" s="11" t="s">
        <v>32</v>
      </c>
      <c r="H923" s="11" t="s">
        <v>33</v>
      </c>
      <c r="I923" s="11" t="s">
        <v>34</v>
      </c>
      <c r="J923" s="11" t="s">
        <v>34</v>
      </c>
      <c r="K923" s="12" t="s">
        <v>1178</v>
      </c>
      <c r="L923" s="12">
        <v>6000</v>
      </c>
      <c r="M923" s="12">
        <v>4000</v>
      </c>
      <c r="N923" s="11" t="s">
        <v>1179</v>
      </c>
      <c r="O923" s="11" t="s">
        <v>1180</v>
      </c>
      <c r="P923" s="11" t="s">
        <v>1181</v>
      </c>
      <c r="Q923" s="11">
        <v>15810522330</v>
      </c>
      <c r="R923" s="11" t="s">
        <v>1182</v>
      </c>
      <c r="S923" s="11" t="s">
        <v>115</v>
      </c>
      <c r="T923" s="60"/>
    </row>
    <row r="924" spans="1:20" s="14" customFormat="1" ht="24" hidden="1" customHeight="1">
      <c r="A924" s="15"/>
      <c r="B924" s="11" t="s">
        <v>1198</v>
      </c>
      <c r="C924" s="11" t="s">
        <v>1199</v>
      </c>
      <c r="D924" s="11" t="s">
        <v>79</v>
      </c>
      <c r="E924" s="9">
        <v>18</v>
      </c>
      <c r="F924" s="9"/>
      <c r="G924" s="11" t="s">
        <v>32</v>
      </c>
      <c r="H924" s="11" t="s">
        <v>33</v>
      </c>
      <c r="I924" s="11"/>
      <c r="J924" s="11" t="s">
        <v>901</v>
      </c>
      <c r="K924" s="11" t="s">
        <v>1200</v>
      </c>
      <c r="L924" s="12">
        <v>284400</v>
      </c>
      <c r="M924" s="12">
        <v>284400</v>
      </c>
      <c r="N924" s="24">
        <v>43466</v>
      </c>
      <c r="O924" s="11" t="s">
        <v>903</v>
      </c>
      <c r="P924" s="11" t="s">
        <v>904</v>
      </c>
      <c r="Q924" s="11">
        <v>13622035114</v>
      </c>
      <c r="R924" s="11" t="s">
        <v>905</v>
      </c>
      <c r="S924" s="60"/>
      <c r="T924" s="60"/>
    </row>
    <row r="925" spans="1:20" s="14" customFormat="1" ht="24" hidden="1" customHeight="1">
      <c r="A925" s="15"/>
      <c r="B925" s="11" t="s">
        <v>1163</v>
      </c>
      <c r="C925" s="11" t="s">
        <v>1201</v>
      </c>
      <c r="D925" s="11" t="s">
        <v>79</v>
      </c>
      <c r="E925" s="9">
        <v>11</v>
      </c>
      <c r="F925" s="9"/>
      <c r="G925" s="11" t="s">
        <v>32</v>
      </c>
      <c r="H925" s="11" t="s">
        <v>33</v>
      </c>
      <c r="I925" s="11"/>
      <c r="J925" s="11" t="s">
        <v>901</v>
      </c>
      <c r="K925" s="11" t="s">
        <v>1200</v>
      </c>
      <c r="L925" s="12">
        <v>244750</v>
      </c>
      <c r="M925" s="12">
        <v>244750</v>
      </c>
      <c r="N925" s="24">
        <v>43466</v>
      </c>
      <c r="O925" s="11" t="s">
        <v>903</v>
      </c>
      <c r="P925" s="11" t="s">
        <v>904</v>
      </c>
      <c r="Q925" s="11">
        <v>13622035114</v>
      </c>
      <c r="R925" s="11" t="s">
        <v>905</v>
      </c>
      <c r="S925" s="60"/>
      <c r="T925" s="60"/>
    </row>
    <row r="926" spans="1:20" s="14" customFormat="1" ht="24" hidden="1" customHeight="1">
      <c r="A926" s="15"/>
      <c r="B926" s="11" t="s">
        <v>1202</v>
      </c>
      <c r="C926" s="11" t="s">
        <v>1201</v>
      </c>
      <c r="D926" s="11" t="s">
        <v>79</v>
      </c>
      <c r="E926" s="9">
        <v>3</v>
      </c>
      <c r="F926" s="9"/>
      <c r="G926" s="11" t="s">
        <v>32</v>
      </c>
      <c r="H926" s="11" t="s">
        <v>33</v>
      </c>
      <c r="I926" s="11"/>
      <c r="J926" s="11" t="s">
        <v>901</v>
      </c>
      <c r="K926" s="11" t="s">
        <v>1200</v>
      </c>
      <c r="L926" s="12">
        <v>123000</v>
      </c>
      <c r="M926" s="12">
        <v>123000</v>
      </c>
      <c r="N926" s="24">
        <v>43466</v>
      </c>
      <c r="O926" s="11" t="s">
        <v>903</v>
      </c>
      <c r="P926" s="11" t="s">
        <v>904</v>
      </c>
      <c r="Q926" s="11">
        <v>13622035114</v>
      </c>
      <c r="R926" s="11" t="s">
        <v>905</v>
      </c>
      <c r="S926" s="60"/>
      <c r="T926" s="60"/>
    </row>
    <row r="927" spans="1:20" s="14" customFormat="1" ht="24" hidden="1" customHeight="1">
      <c r="A927" s="15"/>
      <c r="B927" s="11" t="s">
        <v>1203</v>
      </c>
      <c r="C927" s="11" t="s">
        <v>1201</v>
      </c>
      <c r="D927" s="11" t="s">
        <v>79</v>
      </c>
      <c r="E927" s="9">
        <v>3</v>
      </c>
      <c r="F927" s="9"/>
      <c r="G927" s="11" t="s">
        <v>32</v>
      </c>
      <c r="H927" s="11" t="s">
        <v>33</v>
      </c>
      <c r="I927" s="11"/>
      <c r="J927" s="11" t="s">
        <v>901</v>
      </c>
      <c r="K927" s="11" t="s">
        <v>1200</v>
      </c>
      <c r="L927" s="12">
        <v>123000</v>
      </c>
      <c r="M927" s="12">
        <v>123000</v>
      </c>
      <c r="N927" s="24">
        <v>43466</v>
      </c>
      <c r="O927" s="11" t="s">
        <v>903</v>
      </c>
      <c r="P927" s="11" t="s">
        <v>904</v>
      </c>
      <c r="Q927" s="11">
        <v>13622035114</v>
      </c>
      <c r="R927" s="11" t="s">
        <v>905</v>
      </c>
      <c r="S927" s="60"/>
      <c r="T927" s="60"/>
    </row>
    <row r="928" spans="1:20" s="14" customFormat="1" ht="24" hidden="1" customHeight="1">
      <c r="A928" s="15"/>
      <c r="B928" s="11" t="s">
        <v>1204</v>
      </c>
      <c r="C928" s="11" t="s">
        <v>1201</v>
      </c>
      <c r="D928" s="11" t="s">
        <v>79</v>
      </c>
      <c r="E928" s="9">
        <v>3</v>
      </c>
      <c r="F928" s="9"/>
      <c r="G928" s="11" t="s">
        <v>32</v>
      </c>
      <c r="H928" s="11" t="s">
        <v>33</v>
      </c>
      <c r="I928" s="11"/>
      <c r="J928" s="11" t="s">
        <v>901</v>
      </c>
      <c r="K928" s="11" t="s">
        <v>1200</v>
      </c>
      <c r="L928" s="12">
        <v>123000</v>
      </c>
      <c r="M928" s="12">
        <v>123000</v>
      </c>
      <c r="N928" s="24">
        <v>43466</v>
      </c>
      <c r="O928" s="11" t="s">
        <v>903</v>
      </c>
      <c r="P928" s="11" t="s">
        <v>904</v>
      </c>
      <c r="Q928" s="11">
        <v>13622035114</v>
      </c>
      <c r="R928" s="11" t="s">
        <v>905</v>
      </c>
      <c r="S928" s="60"/>
      <c r="T928" s="60"/>
    </row>
    <row r="929" spans="1:20" s="14" customFormat="1" ht="24" hidden="1" customHeight="1">
      <c r="A929" s="15"/>
      <c r="B929" s="11" t="s">
        <v>1205</v>
      </c>
      <c r="C929" s="11" t="s">
        <v>1201</v>
      </c>
      <c r="D929" s="11" t="s">
        <v>79</v>
      </c>
      <c r="E929" s="9">
        <v>2</v>
      </c>
      <c r="F929" s="9"/>
      <c r="G929" s="11" t="s">
        <v>32</v>
      </c>
      <c r="H929" s="11" t="s">
        <v>33</v>
      </c>
      <c r="I929" s="11"/>
      <c r="J929" s="11" t="s">
        <v>901</v>
      </c>
      <c r="K929" s="11" t="s">
        <v>1200</v>
      </c>
      <c r="L929" s="12">
        <v>82000</v>
      </c>
      <c r="M929" s="12">
        <v>82000</v>
      </c>
      <c r="N929" s="24">
        <v>43466</v>
      </c>
      <c r="O929" s="11" t="s">
        <v>903</v>
      </c>
      <c r="P929" s="11" t="s">
        <v>904</v>
      </c>
      <c r="Q929" s="11">
        <v>13622035114</v>
      </c>
      <c r="R929" s="11" t="s">
        <v>905</v>
      </c>
      <c r="S929" s="60"/>
      <c r="T929" s="60"/>
    </row>
    <row r="930" spans="1:20" s="14" customFormat="1" ht="24" hidden="1" customHeight="1">
      <c r="A930" s="15"/>
      <c r="B930" s="11" t="s">
        <v>1198</v>
      </c>
      <c r="C930" s="11" t="s">
        <v>1199</v>
      </c>
      <c r="D930" s="11" t="s">
        <v>79</v>
      </c>
      <c r="E930" s="9">
        <v>24</v>
      </c>
      <c r="F930" s="9"/>
      <c r="G930" s="11" t="s">
        <v>32</v>
      </c>
      <c r="H930" s="11" t="s">
        <v>33</v>
      </c>
      <c r="I930" s="11"/>
      <c r="J930" s="11" t="s">
        <v>901</v>
      </c>
      <c r="K930" s="11" t="s">
        <v>1200</v>
      </c>
      <c r="L930" s="12">
        <v>355200</v>
      </c>
      <c r="M930" s="12">
        <v>355200</v>
      </c>
      <c r="N930" s="24">
        <v>43466</v>
      </c>
      <c r="O930" s="11" t="s">
        <v>903</v>
      </c>
      <c r="P930" s="11" t="s">
        <v>904</v>
      </c>
      <c r="Q930" s="11">
        <v>13622035114</v>
      </c>
      <c r="R930" s="11" t="s">
        <v>905</v>
      </c>
      <c r="S930" s="60"/>
      <c r="T930" s="60"/>
    </row>
    <row r="931" spans="1:20" s="14" customFormat="1" ht="24" hidden="1" customHeight="1">
      <c r="A931" s="15"/>
      <c r="B931" s="11" t="s">
        <v>1206</v>
      </c>
      <c r="C931" s="11" t="s">
        <v>1207</v>
      </c>
      <c r="D931" s="11" t="s">
        <v>79</v>
      </c>
      <c r="E931" s="9">
        <v>3</v>
      </c>
      <c r="F931" s="9"/>
      <c r="G931" s="11" t="s">
        <v>32</v>
      </c>
      <c r="H931" s="11" t="s">
        <v>33</v>
      </c>
      <c r="I931" s="11"/>
      <c r="J931" s="11" t="s">
        <v>901</v>
      </c>
      <c r="K931" s="11" t="s">
        <v>1200</v>
      </c>
      <c r="L931" s="12">
        <v>42000</v>
      </c>
      <c r="M931" s="12">
        <v>42000</v>
      </c>
      <c r="N931" s="24">
        <v>43466</v>
      </c>
      <c r="O931" s="11" t="s">
        <v>903</v>
      </c>
      <c r="P931" s="11" t="s">
        <v>904</v>
      </c>
      <c r="Q931" s="11">
        <v>13622035114</v>
      </c>
      <c r="R931" s="11" t="s">
        <v>905</v>
      </c>
      <c r="S931" s="60"/>
      <c r="T931" s="60"/>
    </row>
    <row r="932" spans="1:20" s="14" customFormat="1" ht="24" hidden="1" customHeight="1">
      <c r="A932" s="15"/>
      <c r="B932" s="11" t="s">
        <v>1163</v>
      </c>
      <c r="C932" s="11" t="s">
        <v>1201</v>
      </c>
      <c r="D932" s="11" t="s">
        <v>79</v>
      </c>
      <c r="E932" s="9">
        <v>1</v>
      </c>
      <c r="F932" s="9"/>
      <c r="G932" s="11" t="s">
        <v>32</v>
      </c>
      <c r="H932" s="11" t="s">
        <v>33</v>
      </c>
      <c r="I932" s="11"/>
      <c r="J932" s="11" t="s">
        <v>901</v>
      </c>
      <c r="K932" s="11" t="s">
        <v>1200</v>
      </c>
      <c r="L932" s="12">
        <v>30000</v>
      </c>
      <c r="M932" s="12">
        <v>30000</v>
      </c>
      <c r="N932" s="24">
        <v>43466</v>
      </c>
      <c r="O932" s="11" t="s">
        <v>903</v>
      </c>
      <c r="P932" s="11" t="s">
        <v>904</v>
      </c>
      <c r="Q932" s="11">
        <v>13622035114</v>
      </c>
      <c r="R932" s="11" t="s">
        <v>905</v>
      </c>
      <c r="S932" s="60"/>
      <c r="T932" s="60"/>
    </row>
    <row r="933" spans="1:20" s="14" customFormat="1" ht="24" hidden="1" customHeight="1">
      <c r="A933" s="15"/>
      <c r="B933" s="11" t="s">
        <v>1191</v>
      </c>
      <c r="C933" s="11" t="s">
        <v>1208</v>
      </c>
      <c r="D933" s="11" t="s">
        <v>1193</v>
      </c>
      <c r="E933" s="9">
        <v>324</v>
      </c>
      <c r="F933" s="9"/>
      <c r="G933" s="11" t="s">
        <v>32</v>
      </c>
      <c r="H933" s="11" t="s">
        <v>33</v>
      </c>
      <c r="I933" s="11"/>
      <c r="J933" s="11" t="s">
        <v>901</v>
      </c>
      <c r="K933" s="11" t="s">
        <v>1200</v>
      </c>
      <c r="L933" s="12">
        <v>353160</v>
      </c>
      <c r="M933" s="12">
        <v>353160</v>
      </c>
      <c r="N933" s="24">
        <v>43466</v>
      </c>
      <c r="O933" s="11" t="s">
        <v>903</v>
      </c>
      <c r="P933" s="11" t="s">
        <v>904</v>
      </c>
      <c r="Q933" s="11">
        <v>13622035114</v>
      </c>
      <c r="R933" s="11" t="s">
        <v>905</v>
      </c>
      <c r="S933" s="60"/>
      <c r="T933" s="60"/>
    </row>
    <row r="934" spans="1:20" s="14" customFormat="1" ht="24" hidden="1" customHeight="1">
      <c r="A934" s="15"/>
      <c r="B934" s="11" t="s">
        <v>1163</v>
      </c>
      <c r="C934" s="11" t="s">
        <v>1201</v>
      </c>
      <c r="D934" s="11" t="s">
        <v>79</v>
      </c>
      <c r="E934" s="9">
        <v>66</v>
      </c>
      <c r="F934" s="9"/>
      <c r="G934" s="11" t="s">
        <v>32</v>
      </c>
      <c r="H934" s="11" t="s">
        <v>33</v>
      </c>
      <c r="I934" s="11"/>
      <c r="J934" s="11" t="s">
        <v>901</v>
      </c>
      <c r="K934" s="11" t="s">
        <v>1200</v>
      </c>
      <c r="L934" s="12">
        <v>1468500</v>
      </c>
      <c r="M934" s="12">
        <v>1468500</v>
      </c>
      <c r="N934" s="24">
        <v>43466</v>
      </c>
      <c r="O934" s="11" t="s">
        <v>903</v>
      </c>
      <c r="P934" s="11" t="s">
        <v>904</v>
      </c>
      <c r="Q934" s="11">
        <v>13622035114</v>
      </c>
      <c r="R934" s="11" t="s">
        <v>905</v>
      </c>
      <c r="S934" s="60"/>
      <c r="T934" s="60"/>
    </row>
    <row r="935" spans="1:20" s="14" customFormat="1" ht="24" hidden="1" customHeight="1">
      <c r="A935" s="15"/>
      <c r="B935" s="11" t="s">
        <v>1202</v>
      </c>
      <c r="C935" s="11" t="s">
        <v>1201</v>
      </c>
      <c r="D935" s="11" t="s">
        <v>79</v>
      </c>
      <c r="E935" s="9">
        <v>3</v>
      </c>
      <c r="F935" s="9"/>
      <c r="G935" s="11" t="s">
        <v>32</v>
      </c>
      <c r="H935" s="11" t="s">
        <v>33</v>
      </c>
      <c r="I935" s="11"/>
      <c r="J935" s="11" t="s">
        <v>901</v>
      </c>
      <c r="K935" s="11" t="s">
        <v>1200</v>
      </c>
      <c r="L935" s="12">
        <v>123000</v>
      </c>
      <c r="M935" s="12">
        <v>123000</v>
      </c>
      <c r="N935" s="24">
        <v>43466</v>
      </c>
      <c r="O935" s="11" t="s">
        <v>903</v>
      </c>
      <c r="P935" s="11" t="s">
        <v>904</v>
      </c>
      <c r="Q935" s="11">
        <v>13622035114</v>
      </c>
      <c r="R935" s="11" t="s">
        <v>905</v>
      </c>
      <c r="S935" s="60"/>
      <c r="T935" s="60"/>
    </row>
    <row r="936" spans="1:20" s="14" customFormat="1" ht="24" hidden="1" customHeight="1">
      <c r="A936" s="15"/>
      <c r="B936" s="11" t="s">
        <v>1209</v>
      </c>
      <c r="C936" s="11" t="s">
        <v>1201</v>
      </c>
      <c r="D936" s="11" t="s">
        <v>79</v>
      </c>
      <c r="E936" s="9">
        <v>3</v>
      </c>
      <c r="F936" s="9"/>
      <c r="G936" s="11" t="s">
        <v>32</v>
      </c>
      <c r="H936" s="11" t="s">
        <v>33</v>
      </c>
      <c r="I936" s="11"/>
      <c r="J936" s="11" t="s">
        <v>901</v>
      </c>
      <c r="K936" s="11" t="s">
        <v>1200</v>
      </c>
      <c r="L936" s="12">
        <v>123000</v>
      </c>
      <c r="M936" s="12">
        <v>123000</v>
      </c>
      <c r="N936" s="24">
        <v>43466</v>
      </c>
      <c r="O936" s="11" t="s">
        <v>903</v>
      </c>
      <c r="P936" s="11" t="s">
        <v>904</v>
      </c>
      <c r="Q936" s="11">
        <v>13622035114</v>
      </c>
      <c r="R936" s="11" t="s">
        <v>905</v>
      </c>
      <c r="S936" s="60"/>
      <c r="T936" s="60"/>
    </row>
    <row r="937" spans="1:20" s="14" customFormat="1" ht="24" hidden="1" customHeight="1">
      <c r="A937" s="15"/>
      <c r="B937" s="11" t="s">
        <v>1163</v>
      </c>
      <c r="C937" s="11" t="s">
        <v>1201</v>
      </c>
      <c r="D937" s="11" t="s">
        <v>79</v>
      </c>
      <c r="E937" s="9">
        <v>80</v>
      </c>
      <c r="F937" s="9"/>
      <c r="G937" s="11" t="s">
        <v>32</v>
      </c>
      <c r="H937" s="11" t="s">
        <v>33</v>
      </c>
      <c r="I937" s="11"/>
      <c r="J937" s="11" t="s">
        <v>901</v>
      </c>
      <c r="K937" s="11" t="s">
        <v>1200</v>
      </c>
      <c r="L937" s="12">
        <v>1780000</v>
      </c>
      <c r="M937" s="12">
        <v>1780000</v>
      </c>
      <c r="N937" s="24">
        <v>43466</v>
      </c>
      <c r="O937" s="11" t="s">
        <v>903</v>
      </c>
      <c r="P937" s="11" t="s">
        <v>904</v>
      </c>
      <c r="Q937" s="11">
        <v>13622035114</v>
      </c>
      <c r="R937" s="11" t="s">
        <v>905</v>
      </c>
      <c r="S937" s="60"/>
      <c r="T937" s="60"/>
    </row>
    <row r="938" spans="1:20" s="14" customFormat="1" ht="24" hidden="1" customHeight="1">
      <c r="A938" s="15"/>
      <c r="B938" s="11" t="s">
        <v>1210</v>
      </c>
      <c r="C938" s="11"/>
      <c r="D938" s="11" t="s">
        <v>79</v>
      </c>
      <c r="E938" s="9">
        <v>1</v>
      </c>
      <c r="F938" s="9"/>
      <c r="G938" s="11" t="s">
        <v>32</v>
      </c>
      <c r="H938" s="11" t="s">
        <v>33</v>
      </c>
      <c r="I938" s="11"/>
      <c r="J938" s="11" t="s">
        <v>901</v>
      </c>
      <c r="K938" s="11" t="s">
        <v>1200</v>
      </c>
      <c r="L938" s="12">
        <v>83500</v>
      </c>
      <c r="M938" s="12">
        <v>83500</v>
      </c>
      <c r="N938" s="24">
        <v>43466</v>
      </c>
      <c r="O938" s="11" t="s">
        <v>903</v>
      </c>
      <c r="P938" s="11" t="s">
        <v>904</v>
      </c>
      <c r="Q938" s="11">
        <v>13622035114</v>
      </c>
      <c r="R938" s="11" t="s">
        <v>905</v>
      </c>
      <c r="S938" s="60"/>
      <c r="T938" s="60"/>
    </row>
    <row r="939" spans="1:20" s="14" customFormat="1" ht="24" hidden="1" customHeight="1">
      <c r="A939" s="15"/>
      <c r="B939" s="11" t="s">
        <v>1211</v>
      </c>
      <c r="C939" s="11" t="s">
        <v>1212</v>
      </c>
      <c r="D939" s="11" t="s">
        <v>131</v>
      </c>
      <c r="E939" s="9">
        <v>3</v>
      </c>
      <c r="F939" s="9"/>
      <c r="G939" s="11" t="s">
        <v>32</v>
      </c>
      <c r="H939" s="11" t="s">
        <v>33</v>
      </c>
      <c r="I939" s="11"/>
      <c r="J939" s="11" t="s">
        <v>901</v>
      </c>
      <c r="K939" s="11" t="s">
        <v>1213</v>
      </c>
      <c r="L939" s="12">
        <v>42000</v>
      </c>
      <c r="M939" s="12">
        <v>42000</v>
      </c>
      <c r="N939" s="24">
        <v>43466</v>
      </c>
      <c r="O939" s="11" t="s">
        <v>903</v>
      </c>
      <c r="P939" s="11" t="s">
        <v>904</v>
      </c>
      <c r="Q939" s="11">
        <v>13622035114</v>
      </c>
      <c r="R939" s="11" t="s">
        <v>905</v>
      </c>
      <c r="S939" s="60"/>
      <c r="T939" s="60"/>
    </row>
    <row r="940" spans="1:20" s="14" customFormat="1" ht="24" hidden="1" customHeight="1">
      <c r="A940" s="15"/>
      <c r="B940" s="11" t="s">
        <v>1162</v>
      </c>
      <c r="C940" s="11" t="s">
        <v>1214</v>
      </c>
      <c r="D940" s="11" t="s">
        <v>1165</v>
      </c>
      <c r="E940" s="9">
        <v>4</v>
      </c>
      <c r="F940" s="9"/>
      <c r="G940" s="11" t="s">
        <v>32</v>
      </c>
      <c r="H940" s="11" t="s">
        <v>33</v>
      </c>
      <c r="I940" s="11"/>
      <c r="J940" s="11" t="s">
        <v>901</v>
      </c>
      <c r="K940" s="11"/>
      <c r="L940" s="12"/>
      <c r="M940" s="12"/>
      <c r="N940" s="11"/>
      <c r="O940" s="11" t="s">
        <v>1215</v>
      </c>
      <c r="P940" s="11" t="s">
        <v>249</v>
      </c>
      <c r="Q940" s="11">
        <v>17731886959</v>
      </c>
      <c r="R940" s="11" t="s">
        <v>1216</v>
      </c>
      <c r="S940" s="11" t="s">
        <v>115</v>
      </c>
      <c r="T940" s="11"/>
    </row>
    <row r="941" spans="1:20" s="14" customFormat="1" ht="24" hidden="1" customHeight="1">
      <c r="A941" s="15"/>
      <c r="B941" s="11" t="s">
        <v>1163</v>
      </c>
      <c r="C941" s="11" t="s">
        <v>1217</v>
      </c>
      <c r="D941" s="11" t="s">
        <v>1218</v>
      </c>
      <c r="E941" s="9">
        <v>5</v>
      </c>
      <c r="F941" s="9"/>
      <c r="G941" s="11" t="s">
        <v>32</v>
      </c>
      <c r="H941" s="11" t="s">
        <v>33</v>
      </c>
      <c r="I941" s="11" t="s">
        <v>179</v>
      </c>
      <c r="J941" s="11" t="s">
        <v>1219</v>
      </c>
      <c r="K941" s="11" t="s">
        <v>1219</v>
      </c>
      <c r="L941" s="12">
        <v>121000</v>
      </c>
      <c r="M941" s="12">
        <v>31293.103448275899</v>
      </c>
      <c r="N941" s="11">
        <v>2018.7</v>
      </c>
      <c r="O941" s="11" t="s">
        <v>583</v>
      </c>
      <c r="P941" s="11" t="s">
        <v>113</v>
      </c>
      <c r="Q941" s="11">
        <v>13810668661</v>
      </c>
      <c r="R941" s="11" t="s">
        <v>114</v>
      </c>
      <c r="S941" s="11" t="s">
        <v>115</v>
      </c>
      <c r="T941" s="11"/>
    </row>
    <row r="942" spans="1:20" s="14" customFormat="1" ht="24" hidden="1" customHeight="1">
      <c r="A942" s="15"/>
      <c r="B942" s="11" t="s">
        <v>1220</v>
      </c>
      <c r="C942" s="11"/>
      <c r="D942" s="11" t="s">
        <v>1218</v>
      </c>
      <c r="E942" s="9">
        <v>1</v>
      </c>
      <c r="F942" s="9"/>
      <c r="G942" s="11" t="s">
        <v>32</v>
      </c>
      <c r="H942" s="11" t="s">
        <v>33</v>
      </c>
      <c r="I942" s="11" t="s">
        <v>179</v>
      </c>
      <c r="J942" s="11" t="s">
        <v>1219</v>
      </c>
      <c r="K942" s="11" t="s">
        <v>1219</v>
      </c>
      <c r="L942" s="12">
        <v>42000</v>
      </c>
      <c r="M942" s="12">
        <v>10862.068965517199</v>
      </c>
      <c r="N942" s="11">
        <v>2018.7</v>
      </c>
      <c r="O942" s="11" t="s">
        <v>583</v>
      </c>
      <c r="P942" s="11" t="s">
        <v>113</v>
      </c>
      <c r="Q942" s="11">
        <v>13810668661</v>
      </c>
      <c r="R942" s="11" t="s">
        <v>114</v>
      </c>
      <c r="S942" s="11" t="s">
        <v>115</v>
      </c>
      <c r="T942" s="11"/>
    </row>
    <row r="943" spans="1:20" s="14" customFormat="1" ht="24" hidden="1" customHeight="1">
      <c r="A943" s="15"/>
      <c r="B943" s="11" t="s">
        <v>1221</v>
      </c>
      <c r="C943" s="11" t="s">
        <v>1222</v>
      </c>
      <c r="D943" s="11" t="s">
        <v>1165</v>
      </c>
      <c r="E943" s="9">
        <v>63</v>
      </c>
      <c r="F943" s="9"/>
      <c r="G943" s="11" t="s">
        <v>32</v>
      </c>
      <c r="H943" s="11" t="s">
        <v>33</v>
      </c>
      <c r="I943" s="11" t="s">
        <v>179</v>
      </c>
      <c r="J943" s="11" t="s">
        <v>1219</v>
      </c>
      <c r="K943" s="11" t="s">
        <v>1219</v>
      </c>
      <c r="L943" s="12">
        <v>1611700</v>
      </c>
      <c r="M943" s="12">
        <v>416818.99420000002</v>
      </c>
      <c r="N943" s="11">
        <v>2019.1</v>
      </c>
      <c r="O943" s="11" t="s">
        <v>583</v>
      </c>
      <c r="P943" s="11" t="s">
        <v>113</v>
      </c>
      <c r="Q943" s="11">
        <v>13810668661</v>
      </c>
      <c r="R943" s="11" t="s">
        <v>114</v>
      </c>
      <c r="S943" s="11" t="s">
        <v>115</v>
      </c>
      <c r="T943" s="11"/>
    </row>
    <row r="944" spans="1:20" s="14" customFormat="1" ht="24" hidden="1" customHeight="1">
      <c r="A944" s="15"/>
      <c r="B944" s="11" t="s">
        <v>1223</v>
      </c>
      <c r="C944" s="11" t="s">
        <v>1224</v>
      </c>
      <c r="D944" s="11" t="s">
        <v>1165</v>
      </c>
      <c r="E944" s="9">
        <v>28</v>
      </c>
      <c r="F944" s="9"/>
      <c r="G944" s="11" t="s">
        <v>32</v>
      </c>
      <c r="H944" s="11" t="s">
        <v>33</v>
      </c>
      <c r="I944" s="11" t="s">
        <v>179</v>
      </c>
      <c r="J944" s="11" t="s">
        <v>1219</v>
      </c>
      <c r="K944" s="11" t="s">
        <v>1219</v>
      </c>
      <c r="L944" s="12">
        <v>498400</v>
      </c>
      <c r="M944" s="12">
        <v>128896.551724138</v>
      </c>
      <c r="N944" s="11">
        <v>2019.1</v>
      </c>
      <c r="O944" s="11" t="s">
        <v>583</v>
      </c>
      <c r="P944" s="11" t="s">
        <v>113</v>
      </c>
      <c r="Q944" s="11">
        <v>13810668661</v>
      </c>
      <c r="R944" s="11" t="s">
        <v>114</v>
      </c>
      <c r="S944" s="11" t="s">
        <v>115</v>
      </c>
      <c r="T944" s="11"/>
    </row>
    <row r="945" spans="1:20" s="14" customFormat="1" ht="24" hidden="1" customHeight="1">
      <c r="A945" s="15"/>
      <c r="B945" s="11" t="s">
        <v>1225</v>
      </c>
      <c r="C945" s="11" t="s">
        <v>1226</v>
      </c>
      <c r="D945" s="11" t="s">
        <v>79</v>
      </c>
      <c r="E945" s="9">
        <v>1</v>
      </c>
      <c r="F945" s="9"/>
      <c r="G945" s="11" t="s">
        <v>32</v>
      </c>
      <c r="H945" s="11" t="s">
        <v>33</v>
      </c>
      <c r="I945" s="11" t="s">
        <v>179</v>
      </c>
      <c r="J945" s="11" t="s">
        <v>1219</v>
      </c>
      <c r="K945" s="11" t="s">
        <v>1219</v>
      </c>
      <c r="L945" s="12">
        <v>9000</v>
      </c>
      <c r="M945" s="12">
        <v>2327.5862068965498</v>
      </c>
      <c r="N945" s="11">
        <v>2019.1</v>
      </c>
      <c r="O945" s="11" t="s">
        <v>583</v>
      </c>
      <c r="P945" s="11" t="s">
        <v>113</v>
      </c>
      <c r="Q945" s="11">
        <v>13810668661</v>
      </c>
      <c r="R945" s="11" t="s">
        <v>114</v>
      </c>
      <c r="S945" s="11" t="s">
        <v>115</v>
      </c>
      <c r="T945" s="11"/>
    </row>
    <row r="946" spans="1:20" s="14" customFormat="1" ht="24" hidden="1" customHeight="1">
      <c r="A946" s="15"/>
      <c r="B946" s="11" t="s">
        <v>1227</v>
      </c>
      <c r="C946" s="11" t="s">
        <v>1228</v>
      </c>
      <c r="D946" s="11" t="s">
        <v>1165</v>
      </c>
      <c r="E946" s="9">
        <v>8</v>
      </c>
      <c r="F946" s="9"/>
      <c r="G946" s="11" t="s">
        <v>32</v>
      </c>
      <c r="H946" s="11" t="s">
        <v>33</v>
      </c>
      <c r="I946" s="11" t="s">
        <v>179</v>
      </c>
      <c r="J946" s="11" t="s">
        <v>1219</v>
      </c>
      <c r="K946" s="11" t="s">
        <v>1219</v>
      </c>
      <c r="L946" s="12">
        <v>94400</v>
      </c>
      <c r="M946" s="12">
        <v>24413.793103448301</v>
      </c>
      <c r="N946" s="11">
        <v>2019.1</v>
      </c>
      <c r="O946" s="11" t="s">
        <v>583</v>
      </c>
      <c r="P946" s="11" t="s">
        <v>113</v>
      </c>
      <c r="Q946" s="11">
        <v>13810668661</v>
      </c>
      <c r="R946" s="11" t="s">
        <v>114</v>
      </c>
      <c r="S946" s="11" t="s">
        <v>115</v>
      </c>
      <c r="T946" s="11"/>
    </row>
    <row r="947" spans="1:20" s="14" customFormat="1" ht="24" hidden="1" customHeight="1">
      <c r="A947" s="15"/>
      <c r="B947" s="11" t="s">
        <v>1229</v>
      </c>
      <c r="C947" s="11" t="s">
        <v>1230</v>
      </c>
      <c r="D947" s="11" t="s">
        <v>79</v>
      </c>
      <c r="E947" s="9">
        <v>2</v>
      </c>
      <c r="F947" s="9"/>
      <c r="G947" s="11" t="s">
        <v>32</v>
      </c>
      <c r="H947" s="11" t="s">
        <v>33</v>
      </c>
      <c r="I947" s="11" t="s">
        <v>179</v>
      </c>
      <c r="J947" s="11" t="s">
        <v>1219</v>
      </c>
      <c r="K947" s="11" t="s">
        <v>1219</v>
      </c>
      <c r="L947" s="12">
        <v>110000</v>
      </c>
      <c r="M947" s="12">
        <v>28448.275862069</v>
      </c>
      <c r="N947" s="11">
        <v>2019.1</v>
      </c>
      <c r="O947" s="11" t="s">
        <v>583</v>
      </c>
      <c r="P947" s="11" t="s">
        <v>113</v>
      </c>
      <c r="Q947" s="11">
        <v>13810668661</v>
      </c>
      <c r="R947" s="11" t="s">
        <v>114</v>
      </c>
      <c r="S947" s="11" t="s">
        <v>115</v>
      </c>
      <c r="T947" s="11"/>
    </row>
    <row r="948" spans="1:20" s="14" customFormat="1" ht="24" hidden="1" customHeight="1">
      <c r="A948" s="15"/>
      <c r="B948" s="11" t="s">
        <v>1231</v>
      </c>
      <c r="C948" s="11" t="s">
        <v>1232</v>
      </c>
      <c r="D948" s="11" t="s">
        <v>79</v>
      </c>
      <c r="E948" s="9">
        <v>3</v>
      </c>
      <c r="F948" s="9"/>
      <c r="G948" s="11" t="s">
        <v>32</v>
      </c>
      <c r="H948" s="11" t="s">
        <v>33</v>
      </c>
      <c r="I948" s="11" t="s">
        <v>179</v>
      </c>
      <c r="J948" s="11" t="s">
        <v>1219</v>
      </c>
      <c r="K948" s="11" t="s">
        <v>1219</v>
      </c>
      <c r="L948" s="12">
        <v>135000</v>
      </c>
      <c r="M948" s="12">
        <v>34913.793103448297</v>
      </c>
      <c r="N948" s="11">
        <v>2019.1</v>
      </c>
      <c r="O948" s="11" t="s">
        <v>583</v>
      </c>
      <c r="P948" s="11" t="s">
        <v>113</v>
      </c>
      <c r="Q948" s="11">
        <v>13810668661</v>
      </c>
      <c r="R948" s="11" t="s">
        <v>114</v>
      </c>
      <c r="S948" s="11" t="s">
        <v>115</v>
      </c>
      <c r="T948" s="11"/>
    </row>
    <row r="949" spans="1:20" s="14" customFormat="1" ht="24" hidden="1" customHeight="1">
      <c r="A949" s="15"/>
      <c r="B949" s="11" t="s">
        <v>1233</v>
      </c>
      <c r="C949" s="11" t="s">
        <v>1234</v>
      </c>
      <c r="D949" s="11" t="s">
        <v>79</v>
      </c>
      <c r="E949" s="9">
        <v>3</v>
      </c>
      <c r="F949" s="9"/>
      <c r="G949" s="11" t="s">
        <v>32</v>
      </c>
      <c r="H949" s="11" t="s">
        <v>33</v>
      </c>
      <c r="I949" s="11" t="s">
        <v>179</v>
      </c>
      <c r="J949" s="11" t="s">
        <v>1219</v>
      </c>
      <c r="K949" s="11" t="s">
        <v>1219</v>
      </c>
      <c r="L949" s="12">
        <v>27000</v>
      </c>
      <c r="M949" s="12">
        <v>6982.7586206896503</v>
      </c>
      <c r="N949" s="11">
        <v>2019.1</v>
      </c>
      <c r="O949" s="11" t="s">
        <v>583</v>
      </c>
      <c r="P949" s="11" t="s">
        <v>113</v>
      </c>
      <c r="Q949" s="11">
        <v>13810668661</v>
      </c>
      <c r="R949" s="11" t="s">
        <v>114</v>
      </c>
      <c r="S949" s="11" t="s">
        <v>115</v>
      </c>
      <c r="T949" s="11"/>
    </row>
    <row r="950" spans="1:20" s="14" customFormat="1" ht="24" hidden="1" customHeight="1">
      <c r="A950" s="15"/>
      <c r="B950" s="11" t="s">
        <v>1225</v>
      </c>
      <c r="C950" s="11" t="s">
        <v>1226</v>
      </c>
      <c r="D950" s="11" t="s">
        <v>79</v>
      </c>
      <c r="E950" s="9">
        <v>3</v>
      </c>
      <c r="F950" s="9"/>
      <c r="G950" s="11" t="s">
        <v>32</v>
      </c>
      <c r="H950" s="11" t="s">
        <v>33</v>
      </c>
      <c r="I950" s="11" t="s">
        <v>179</v>
      </c>
      <c r="J950" s="11" t="s">
        <v>1219</v>
      </c>
      <c r="K950" s="11" t="s">
        <v>1219</v>
      </c>
      <c r="L950" s="12">
        <v>27000</v>
      </c>
      <c r="M950" s="12">
        <v>6982.7586206896503</v>
      </c>
      <c r="N950" s="11">
        <v>2019.1</v>
      </c>
      <c r="O950" s="11" t="s">
        <v>583</v>
      </c>
      <c r="P950" s="11" t="s">
        <v>113</v>
      </c>
      <c r="Q950" s="11">
        <v>13810668661</v>
      </c>
      <c r="R950" s="11" t="s">
        <v>114</v>
      </c>
      <c r="S950" s="11" t="s">
        <v>115</v>
      </c>
      <c r="T950" s="11"/>
    </row>
    <row r="951" spans="1:20" s="14" customFormat="1" ht="24" hidden="1" customHeight="1">
      <c r="A951" s="15"/>
      <c r="B951" s="11" t="s">
        <v>1235</v>
      </c>
      <c r="C951" s="11" t="s">
        <v>34</v>
      </c>
      <c r="D951" s="11" t="s">
        <v>79</v>
      </c>
      <c r="E951" s="9">
        <v>1</v>
      </c>
      <c r="F951" s="9"/>
      <c r="G951" s="11" t="s">
        <v>32</v>
      </c>
      <c r="H951" s="11" t="s">
        <v>33</v>
      </c>
      <c r="I951" s="11" t="s">
        <v>179</v>
      </c>
      <c r="J951" s="11" t="s">
        <v>1219</v>
      </c>
      <c r="K951" s="11" t="s">
        <v>1219</v>
      </c>
      <c r="L951" s="12">
        <v>2000</v>
      </c>
      <c r="M951" s="12">
        <v>517.241379310345</v>
      </c>
      <c r="N951" s="11">
        <v>2019.1</v>
      </c>
      <c r="O951" s="11" t="s">
        <v>583</v>
      </c>
      <c r="P951" s="11" t="s">
        <v>113</v>
      </c>
      <c r="Q951" s="11">
        <v>13810668661</v>
      </c>
      <c r="R951" s="11" t="s">
        <v>114</v>
      </c>
      <c r="S951" s="11" t="s">
        <v>115</v>
      </c>
      <c r="T951" s="11"/>
    </row>
    <row r="952" spans="1:20" s="14" customFormat="1" ht="24" hidden="1" customHeight="1">
      <c r="A952" s="15"/>
      <c r="B952" s="11" t="s">
        <v>1236</v>
      </c>
      <c r="C952" s="11" t="s">
        <v>34</v>
      </c>
      <c r="D952" s="11" t="s">
        <v>79</v>
      </c>
      <c r="E952" s="9">
        <v>2</v>
      </c>
      <c r="F952" s="9"/>
      <c r="G952" s="11" t="s">
        <v>32</v>
      </c>
      <c r="H952" s="11" t="s">
        <v>33</v>
      </c>
      <c r="I952" s="11" t="s">
        <v>179</v>
      </c>
      <c r="J952" s="11" t="s">
        <v>1219</v>
      </c>
      <c r="K952" s="11" t="s">
        <v>1219</v>
      </c>
      <c r="L952" s="12">
        <v>4000</v>
      </c>
      <c r="M952" s="12">
        <v>1034.48275862069</v>
      </c>
      <c r="N952" s="11">
        <v>2019.1</v>
      </c>
      <c r="O952" s="11" t="s">
        <v>583</v>
      </c>
      <c r="P952" s="11" t="s">
        <v>113</v>
      </c>
      <c r="Q952" s="11">
        <v>13810668661</v>
      </c>
      <c r="R952" s="11" t="s">
        <v>114</v>
      </c>
      <c r="S952" s="11" t="s">
        <v>115</v>
      </c>
      <c r="T952" s="11"/>
    </row>
    <row r="953" spans="1:20" s="14" customFormat="1" ht="24" hidden="1" customHeight="1">
      <c r="A953" s="15"/>
      <c r="B953" s="11" t="s">
        <v>1237</v>
      </c>
      <c r="C953" s="11" t="s">
        <v>1238</v>
      </c>
      <c r="D953" s="11" t="s">
        <v>1193</v>
      </c>
      <c r="E953" s="9">
        <v>303.67</v>
      </c>
      <c r="F953" s="9"/>
      <c r="G953" s="11" t="s">
        <v>32</v>
      </c>
      <c r="H953" s="11" t="s">
        <v>33</v>
      </c>
      <c r="I953" s="11" t="s">
        <v>179</v>
      </c>
      <c r="J953" s="11" t="s">
        <v>1239</v>
      </c>
      <c r="K953" s="11" t="s">
        <v>1239</v>
      </c>
      <c r="L953" s="12">
        <v>80472.55</v>
      </c>
      <c r="M953" s="12">
        <v>20811.864000000001</v>
      </c>
      <c r="N953" s="11">
        <v>2019.3</v>
      </c>
      <c r="O953" s="11" t="s">
        <v>583</v>
      </c>
      <c r="P953" s="11" t="s">
        <v>113</v>
      </c>
      <c r="Q953" s="11">
        <v>13810668661</v>
      </c>
      <c r="R953" s="11" t="s">
        <v>114</v>
      </c>
      <c r="S953" s="11" t="s">
        <v>115</v>
      </c>
      <c r="T953" s="11"/>
    </row>
    <row r="954" spans="1:20" s="14" customFormat="1" ht="24" hidden="1" customHeight="1">
      <c r="A954" s="15"/>
      <c r="B954" s="11" t="s">
        <v>1240</v>
      </c>
      <c r="C954" s="11" t="s">
        <v>1241</v>
      </c>
      <c r="D954" s="11" t="s">
        <v>1193</v>
      </c>
      <c r="E954" s="9">
        <v>120</v>
      </c>
      <c r="F954" s="9"/>
      <c r="G954" s="11" t="s">
        <v>32</v>
      </c>
      <c r="H954" s="11" t="s">
        <v>33</v>
      </c>
      <c r="I954" s="11" t="s">
        <v>179</v>
      </c>
      <c r="J954" s="11" t="s">
        <v>1242</v>
      </c>
      <c r="K954" s="11" t="s">
        <v>1242</v>
      </c>
      <c r="L954" s="12">
        <v>31200</v>
      </c>
      <c r="M954" s="12">
        <v>9360</v>
      </c>
      <c r="N954" s="11">
        <v>2019.4</v>
      </c>
      <c r="O954" s="11" t="s">
        <v>583</v>
      </c>
      <c r="P954" s="11" t="s">
        <v>113</v>
      </c>
      <c r="Q954" s="11">
        <v>13810668661</v>
      </c>
      <c r="R954" s="11" t="s">
        <v>114</v>
      </c>
      <c r="S954" s="11" t="s">
        <v>115</v>
      </c>
      <c r="T954" s="11"/>
    </row>
    <row r="955" spans="1:20" s="14" customFormat="1" ht="24" hidden="1" customHeight="1">
      <c r="A955" s="15"/>
      <c r="B955" s="11" t="s">
        <v>1240</v>
      </c>
      <c r="C955" s="11" t="s">
        <v>1243</v>
      </c>
      <c r="D955" s="11" t="s">
        <v>1193</v>
      </c>
      <c r="E955" s="9">
        <v>144</v>
      </c>
      <c r="F955" s="9"/>
      <c r="G955" s="11" t="s">
        <v>32</v>
      </c>
      <c r="H955" s="11" t="s">
        <v>33</v>
      </c>
      <c r="I955" s="11" t="s">
        <v>179</v>
      </c>
      <c r="J955" s="11" t="s">
        <v>1242</v>
      </c>
      <c r="K955" s="11" t="s">
        <v>1242</v>
      </c>
      <c r="L955" s="12">
        <v>37440</v>
      </c>
      <c r="M955" s="12">
        <v>11232</v>
      </c>
      <c r="N955" s="11">
        <v>2019.4</v>
      </c>
      <c r="O955" s="11" t="s">
        <v>583</v>
      </c>
      <c r="P955" s="11" t="s">
        <v>113</v>
      </c>
      <c r="Q955" s="11">
        <v>13810668661</v>
      </c>
      <c r="R955" s="11" t="s">
        <v>114</v>
      </c>
      <c r="S955" s="11" t="s">
        <v>115</v>
      </c>
      <c r="T955" s="11"/>
    </row>
    <row r="956" spans="1:20" s="14" customFormat="1" ht="24" hidden="1" customHeight="1">
      <c r="A956" s="15"/>
      <c r="B956" s="11" t="s">
        <v>1244</v>
      </c>
      <c r="C956" s="11" t="s">
        <v>1245</v>
      </c>
      <c r="D956" s="11" t="s">
        <v>131</v>
      </c>
      <c r="E956" s="9">
        <v>10</v>
      </c>
      <c r="F956" s="9"/>
      <c r="G956" s="11" t="s">
        <v>32</v>
      </c>
      <c r="H956" s="11" t="s">
        <v>33</v>
      </c>
      <c r="I956" s="11" t="s">
        <v>179</v>
      </c>
      <c r="J956" s="11" t="s">
        <v>1246</v>
      </c>
      <c r="K956" s="11" t="s">
        <v>1246</v>
      </c>
      <c r="L956" s="12">
        <v>97345.13</v>
      </c>
      <c r="M956" s="12">
        <v>30932.83</v>
      </c>
      <c r="N956" s="11">
        <v>2020.1</v>
      </c>
      <c r="O956" s="11" t="s">
        <v>583</v>
      </c>
      <c r="P956" s="11" t="s">
        <v>113</v>
      </c>
      <c r="Q956" s="11">
        <v>13810668661</v>
      </c>
      <c r="R956" s="11" t="s">
        <v>114</v>
      </c>
      <c r="S956" s="11" t="s">
        <v>115</v>
      </c>
      <c r="T956" s="11"/>
    </row>
    <row r="957" spans="1:20" s="14" customFormat="1" ht="24" hidden="1" customHeight="1">
      <c r="A957" s="15"/>
      <c r="B957" s="11" t="s">
        <v>1247</v>
      </c>
      <c r="C957" s="11"/>
      <c r="D957" s="11" t="s">
        <v>79</v>
      </c>
      <c r="E957" s="9">
        <v>11</v>
      </c>
      <c r="F957" s="9"/>
      <c r="G957" s="11" t="s">
        <v>32</v>
      </c>
      <c r="H957" s="11" t="s">
        <v>33</v>
      </c>
      <c r="I957" s="11" t="s">
        <v>179</v>
      </c>
      <c r="J957" s="11" t="s">
        <v>1248</v>
      </c>
      <c r="K957" s="11" t="s">
        <v>1248</v>
      </c>
      <c r="L957" s="12">
        <v>53900</v>
      </c>
      <c r="M957" s="12">
        <v>15699.028</v>
      </c>
      <c r="N957" s="11">
        <v>2019.11</v>
      </c>
      <c r="O957" s="11" t="s">
        <v>583</v>
      </c>
      <c r="P957" s="11" t="s">
        <v>113</v>
      </c>
      <c r="Q957" s="11">
        <v>13810668661</v>
      </c>
      <c r="R957" s="11" t="s">
        <v>114</v>
      </c>
      <c r="S957" s="11" t="s">
        <v>115</v>
      </c>
      <c r="T957" s="11"/>
    </row>
    <row r="958" spans="1:20" s="14" customFormat="1" ht="24" hidden="1" customHeight="1">
      <c r="A958" s="15"/>
      <c r="B958" s="11" t="s">
        <v>1244</v>
      </c>
      <c r="C958" s="11"/>
      <c r="D958" s="11" t="s">
        <v>79</v>
      </c>
      <c r="E958" s="9">
        <v>2</v>
      </c>
      <c r="F958" s="9"/>
      <c r="G958" s="11" t="s">
        <v>32</v>
      </c>
      <c r="H958" s="11" t="s">
        <v>33</v>
      </c>
      <c r="I958" s="11" t="s">
        <v>179</v>
      </c>
      <c r="J958" s="11" t="s">
        <v>1249</v>
      </c>
      <c r="K958" s="11" t="s">
        <v>1249</v>
      </c>
      <c r="L958" s="12">
        <v>27000</v>
      </c>
      <c r="M958" s="12">
        <v>7864.08</v>
      </c>
      <c r="N958" s="11">
        <v>2018.7</v>
      </c>
      <c r="O958" s="11" t="s">
        <v>583</v>
      </c>
      <c r="P958" s="11" t="s">
        <v>113</v>
      </c>
      <c r="Q958" s="11">
        <v>13810668661</v>
      </c>
      <c r="R958" s="11" t="s">
        <v>114</v>
      </c>
      <c r="S958" s="11" t="s">
        <v>115</v>
      </c>
      <c r="T958" s="11"/>
    </row>
    <row r="959" spans="1:20" s="14" customFormat="1" ht="24" hidden="1" customHeight="1">
      <c r="A959" s="15"/>
      <c r="B959" s="11" t="s">
        <v>1173</v>
      </c>
      <c r="C959" s="11" t="s">
        <v>1250</v>
      </c>
      <c r="D959" s="11" t="s">
        <v>1165</v>
      </c>
      <c r="E959" s="9">
        <v>2</v>
      </c>
      <c r="F959" s="9"/>
      <c r="G959" s="11" t="s">
        <v>32</v>
      </c>
      <c r="H959" s="11" t="s">
        <v>33</v>
      </c>
      <c r="I959" s="11" t="s">
        <v>1251</v>
      </c>
      <c r="J959" s="11" t="s">
        <v>1251</v>
      </c>
      <c r="K959" s="11" t="s">
        <v>1252</v>
      </c>
      <c r="L959" s="12">
        <v>45097.34</v>
      </c>
      <c r="M959" s="12"/>
      <c r="N959" s="11" t="s">
        <v>1253</v>
      </c>
      <c r="O959" s="11" t="s">
        <v>1254</v>
      </c>
      <c r="P959" s="11" t="s">
        <v>37</v>
      </c>
      <c r="Q959" s="11">
        <v>18631369848</v>
      </c>
      <c r="R959" s="11" t="s">
        <v>38</v>
      </c>
      <c r="S959" s="11" t="s">
        <v>39</v>
      </c>
      <c r="T959" s="11"/>
    </row>
    <row r="960" spans="1:20" s="14" customFormat="1" ht="24" hidden="1" customHeight="1">
      <c r="A960" s="15"/>
      <c r="B960" s="11" t="s">
        <v>1244</v>
      </c>
      <c r="C960" s="11" t="s">
        <v>1255</v>
      </c>
      <c r="D960" s="11" t="s">
        <v>1165</v>
      </c>
      <c r="E960" s="9">
        <v>48</v>
      </c>
      <c r="F960" s="9"/>
      <c r="G960" s="11" t="s">
        <v>32</v>
      </c>
      <c r="H960" s="11" t="s">
        <v>33</v>
      </c>
      <c r="I960" s="11" t="s">
        <v>1251</v>
      </c>
      <c r="J960" s="11" t="s">
        <v>1251</v>
      </c>
      <c r="K960" s="11" t="s">
        <v>1256</v>
      </c>
      <c r="L960" s="12">
        <v>720000</v>
      </c>
      <c r="M960" s="12"/>
      <c r="N960" s="11" t="s">
        <v>1257</v>
      </c>
      <c r="O960" s="11" t="s">
        <v>1254</v>
      </c>
      <c r="P960" s="11" t="s">
        <v>37</v>
      </c>
      <c r="Q960" s="11">
        <v>18631369849</v>
      </c>
      <c r="R960" s="11" t="s">
        <v>38</v>
      </c>
      <c r="S960" s="11" t="s">
        <v>39</v>
      </c>
      <c r="T960" s="11"/>
    </row>
    <row r="961" spans="1:20" s="14" customFormat="1" ht="24" hidden="1" customHeight="1">
      <c r="A961" s="15"/>
      <c r="B961" s="11" t="s">
        <v>1258</v>
      </c>
      <c r="C961" s="11" t="s">
        <v>1177</v>
      </c>
      <c r="D961" s="11" t="s">
        <v>79</v>
      </c>
      <c r="E961" s="9">
        <v>84</v>
      </c>
      <c r="F961" s="9"/>
      <c r="G961" s="11" t="s">
        <v>32</v>
      </c>
      <c r="H961" s="11" t="s">
        <v>33</v>
      </c>
      <c r="I961" s="11" t="s">
        <v>1251</v>
      </c>
      <c r="J961" s="11" t="s">
        <v>1251</v>
      </c>
      <c r="K961" s="11" t="s">
        <v>1259</v>
      </c>
      <c r="L961" s="12">
        <v>1587600</v>
      </c>
      <c r="M961" s="12">
        <v>1333584</v>
      </c>
      <c r="N961" s="11" t="s">
        <v>1260</v>
      </c>
      <c r="O961" s="11" t="s">
        <v>1254</v>
      </c>
      <c r="P961" s="11" t="s">
        <v>37</v>
      </c>
      <c r="Q961" s="11">
        <v>18631369850</v>
      </c>
      <c r="R961" s="11" t="s">
        <v>38</v>
      </c>
      <c r="S961" s="11" t="s">
        <v>39</v>
      </c>
      <c r="T961" s="11"/>
    </row>
    <row r="962" spans="1:20" s="14" customFormat="1" ht="24" hidden="1" customHeight="1">
      <c r="A962" s="15"/>
      <c r="B962" s="11" t="s">
        <v>1261</v>
      </c>
      <c r="C962" s="11" t="s">
        <v>1177</v>
      </c>
      <c r="D962" s="11" t="s">
        <v>79</v>
      </c>
      <c r="E962" s="9">
        <v>12</v>
      </c>
      <c r="F962" s="9"/>
      <c r="G962" s="11" t="s">
        <v>32</v>
      </c>
      <c r="H962" s="11" t="s">
        <v>33</v>
      </c>
      <c r="I962" s="11" t="s">
        <v>1251</v>
      </c>
      <c r="J962" s="11" t="s">
        <v>1251</v>
      </c>
      <c r="K962" s="11" t="s">
        <v>1259</v>
      </c>
      <c r="L962" s="12">
        <v>345600</v>
      </c>
      <c r="M962" s="12">
        <v>290304</v>
      </c>
      <c r="N962" s="11" t="s">
        <v>1260</v>
      </c>
      <c r="O962" s="11" t="s">
        <v>1254</v>
      </c>
      <c r="P962" s="11" t="s">
        <v>37</v>
      </c>
      <c r="Q962" s="11">
        <v>18631369851</v>
      </c>
      <c r="R962" s="11" t="s">
        <v>38</v>
      </c>
      <c r="S962" s="11" t="s">
        <v>39</v>
      </c>
      <c r="T962" s="11"/>
    </row>
    <row r="963" spans="1:20" s="14" customFormat="1" ht="24" hidden="1" customHeight="1">
      <c r="A963" s="15"/>
      <c r="B963" s="11" t="s">
        <v>1262</v>
      </c>
      <c r="C963" s="11" t="s">
        <v>1263</v>
      </c>
      <c r="D963" s="11" t="s">
        <v>79</v>
      </c>
      <c r="E963" s="9">
        <v>1</v>
      </c>
      <c r="F963" s="9"/>
      <c r="G963" s="11" t="s">
        <v>32</v>
      </c>
      <c r="H963" s="11" t="s">
        <v>33</v>
      </c>
      <c r="I963" s="11" t="s">
        <v>1251</v>
      </c>
      <c r="J963" s="11" t="s">
        <v>1251</v>
      </c>
      <c r="K963" s="11" t="s">
        <v>1259</v>
      </c>
      <c r="L963" s="12">
        <v>14400</v>
      </c>
      <c r="M963" s="12">
        <v>12096</v>
      </c>
      <c r="N963" s="11" t="s">
        <v>1260</v>
      </c>
      <c r="O963" s="11" t="s">
        <v>1254</v>
      </c>
      <c r="P963" s="11" t="s">
        <v>37</v>
      </c>
      <c r="Q963" s="11">
        <v>18631369852</v>
      </c>
      <c r="R963" s="11" t="s">
        <v>38</v>
      </c>
      <c r="S963" s="11" t="s">
        <v>39</v>
      </c>
      <c r="T963" s="11"/>
    </row>
    <row r="964" spans="1:20" s="14" customFormat="1" ht="24" hidden="1" customHeight="1">
      <c r="A964" s="15"/>
      <c r="B964" s="11" t="s">
        <v>1186</v>
      </c>
      <c r="C964" s="11" t="s">
        <v>1264</v>
      </c>
      <c r="D964" s="11" t="s">
        <v>79</v>
      </c>
      <c r="E964" s="9">
        <v>24</v>
      </c>
      <c r="F964" s="9"/>
      <c r="G964" s="11" t="s">
        <v>32</v>
      </c>
      <c r="H964" s="11" t="s">
        <v>33</v>
      </c>
      <c r="I964" s="11" t="s">
        <v>1251</v>
      </c>
      <c r="J964" s="11" t="s">
        <v>1251</v>
      </c>
      <c r="K964" s="11" t="s">
        <v>1259</v>
      </c>
      <c r="L964" s="12">
        <v>345600</v>
      </c>
      <c r="M964" s="12">
        <v>290304</v>
      </c>
      <c r="N964" s="11" t="s">
        <v>1260</v>
      </c>
      <c r="O964" s="11" t="s">
        <v>1254</v>
      </c>
      <c r="P964" s="11" t="s">
        <v>37</v>
      </c>
      <c r="Q964" s="11">
        <v>18631369853</v>
      </c>
      <c r="R964" s="11" t="s">
        <v>38</v>
      </c>
      <c r="S964" s="11" t="s">
        <v>39</v>
      </c>
      <c r="T964" s="11"/>
    </row>
    <row r="965" spans="1:20" s="14" customFormat="1" ht="24" hidden="1" customHeight="1">
      <c r="A965" s="15"/>
      <c r="B965" s="11" t="s">
        <v>1265</v>
      </c>
      <c r="C965" s="11" t="s">
        <v>1177</v>
      </c>
      <c r="D965" s="11" t="s">
        <v>79</v>
      </c>
      <c r="E965" s="9">
        <v>1</v>
      </c>
      <c r="F965" s="9"/>
      <c r="G965" s="11" t="s">
        <v>32</v>
      </c>
      <c r="H965" s="11" t="s">
        <v>33</v>
      </c>
      <c r="I965" s="11" t="s">
        <v>1251</v>
      </c>
      <c r="J965" s="11" t="s">
        <v>1251</v>
      </c>
      <c r="K965" s="11" t="s">
        <v>1259</v>
      </c>
      <c r="L965" s="12">
        <v>27000</v>
      </c>
      <c r="M965" s="12">
        <v>22680</v>
      </c>
      <c r="N965" s="11" t="s">
        <v>1260</v>
      </c>
      <c r="O965" s="11" t="s">
        <v>1254</v>
      </c>
      <c r="P965" s="11" t="s">
        <v>37</v>
      </c>
      <c r="Q965" s="11">
        <v>18631369854</v>
      </c>
      <c r="R965" s="11" t="s">
        <v>38</v>
      </c>
      <c r="S965" s="11" t="s">
        <v>39</v>
      </c>
      <c r="T965" s="11"/>
    </row>
    <row r="966" spans="1:20" s="14" customFormat="1" ht="24" hidden="1" customHeight="1">
      <c r="A966" s="15"/>
      <c r="B966" s="11" t="s">
        <v>1266</v>
      </c>
      <c r="C966" s="11" t="s">
        <v>1267</v>
      </c>
      <c r="D966" s="11" t="s">
        <v>1193</v>
      </c>
      <c r="E966" s="9">
        <v>356.12</v>
      </c>
      <c r="F966" s="9"/>
      <c r="G966" s="11" t="s">
        <v>32</v>
      </c>
      <c r="H966" s="11" t="s">
        <v>33</v>
      </c>
      <c r="I966" s="11" t="s">
        <v>1251</v>
      </c>
      <c r="J966" s="11" t="s">
        <v>1251</v>
      </c>
      <c r="K966" s="11" t="s">
        <v>1259</v>
      </c>
      <c r="L966" s="12">
        <v>214302.300884956</v>
      </c>
      <c r="M966" s="12">
        <v>180013.932743363</v>
      </c>
      <c r="N966" s="11" t="s">
        <v>1260</v>
      </c>
      <c r="O966" s="11" t="s">
        <v>1254</v>
      </c>
      <c r="P966" s="11" t="s">
        <v>37</v>
      </c>
      <c r="Q966" s="11">
        <v>18631369855</v>
      </c>
      <c r="R966" s="11" t="s">
        <v>38</v>
      </c>
      <c r="S966" s="11" t="s">
        <v>39</v>
      </c>
      <c r="T966" s="11"/>
    </row>
    <row r="967" spans="1:20" s="14" customFormat="1" ht="24" hidden="1" customHeight="1">
      <c r="A967" s="15"/>
      <c r="B967" s="11" t="s">
        <v>1268</v>
      </c>
      <c r="C967" s="11" t="s">
        <v>34</v>
      </c>
      <c r="D967" s="11" t="s">
        <v>79</v>
      </c>
      <c r="E967" s="9">
        <v>2</v>
      </c>
      <c r="F967" s="9"/>
      <c r="G967" s="11" t="s">
        <v>32</v>
      </c>
      <c r="H967" s="11" t="s">
        <v>33</v>
      </c>
      <c r="I967" s="11" t="s">
        <v>1251</v>
      </c>
      <c r="J967" s="11" t="s">
        <v>1251</v>
      </c>
      <c r="K967" s="11" t="s">
        <v>1259</v>
      </c>
      <c r="L967" s="12">
        <v>9000</v>
      </c>
      <c r="M967" s="12">
        <v>7560</v>
      </c>
      <c r="N967" s="11" t="s">
        <v>1260</v>
      </c>
      <c r="O967" s="11" t="s">
        <v>1254</v>
      </c>
      <c r="P967" s="11" t="s">
        <v>37</v>
      </c>
      <c r="Q967" s="11">
        <v>18631369856</v>
      </c>
      <c r="R967" s="11" t="s">
        <v>38</v>
      </c>
      <c r="S967" s="11" t="s">
        <v>39</v>
      </c>
      <c r="T967" s="11"/>
    </row>
    <row r="968" spans="1:20" s="14" customFormat="1" ht="24" hidden="1" customHeight="1">
      <c r="A968" s="15"/>
      <c r="B968" s="11" t="s">
        <v>1269</v>
      </c>
      <c r="C968" s="11" t="s">
        <v>1270</v>
      </c>
      <c r="D968" s="11" t="s">
        <v>161</v>
      </c>
      <c r="E968" s="9">
        <v>344</v>
      </c>
      <c r="F968" s="9"/>
      <c r="G968" s="11" t="s">
        <v>32</v>
      </c>
      <c r="H968" s="11" t="s">
        <v>33</v>
      </c>
      <c r="I968" s="11" t="s">
        <v>1251</v>
      </c>
      <c r="J968" s="11" t="s">
        <v>1251</v>
      </c>
      <c r="K968" s="11" t="s">
        <v>1259</v>
      </c>
      <c r="L968" s="12">
        <v>41269.953982300904</v>
      </c>
      <c r="M968" s="12">
        <v>0</v>
      </c>
      <c r="N968" s="11" t="s">
        <v>1260</v>
      </c>
      <c r="O968" s="11" t="s">
        <v>1254</v>
      </c>
      <c r="P968" s="11" t="s">
        <v>37</v>
      </c>
      <c r="Q968" s="11">
        <v>18631369857</v>
      </c>
      <c r="R968" s="11" t="s">
        <v>38</v>
      </c>
      <c r="S968" s="11" t="s">
        <v>39</v>
      </c>
      <c r="T968" s="11"/>
    </row>
    <row r="969" spans="1:20" s="14" customFormat="1" ht="24" hidden="1" customHeight="1">
      <c r="A969" s="15"/>
      <c r="B969" s="11" t="s">
        <v>1271</v>
      </c>
      <c r="C969" s="11" t="s">
        <v>1270</v>
      </c>
      <c r="D969" s="11" t="s">
        <v>161</v>
      </c>
      <c r="E969" s="9">
        <v>144</v>
      </c>
      <c r="F969" s="9"/>
      <c r="G969" s="11" t="s">
        <v>32</v>
      </c>
      <c r="H969" s="11" t="s">
        <v>33</v>
      </c>
      <c r="I969" s="11" t="s">
        <v>1251</v>
      </c>
      <c r="J969" s="11" t="s">
        <v>1251</v>
      </c>
      <c r="K969" s="11" t="s">
        <v>1259</v>
      </c>
      <c r="L969" s="12">
        <v>17272.863716814201</v>
      </c>
      <c r="M969" s="12">
        <v>0</v>
      </c>
      <c r="N969" s="11" t="s">
        <v>1260</v>
      </c>
      <c r="O969" s="11" t="s">
        <v>1254</v>
      </c>
      <c r="P969" s="11" t="s">
        <v>37</v>
      </c>
      <c r="Q969" s="11">
        <v>18631369858</v>
      </c>
      <c r="R969" s="11" t="s">
        <v>38</v>
      </c>
      <c r="S969" s="11" t="s">
        <v>39</v>
      </c>
      <c r="T969" s="11"/>
    </row>
    <row r="970" spans="1:20" s="14" customFormat="1" ht="24" hidden="1" customHeight="1">
      <c r="A970" s="15"/>
      <c r="B970" s="11" t="s">
        <v>1272</v>
      </c>
      <c r="C970" s="11" t="s">
        <v>1273</v>
      </c>
      <c r="D970" s="11" t="s">
        <v>79</v>
      </c>
      <c r="E970" s="9">
        <v>4</v>
      </c>
      <c r="F970" s="9"/>
      <c r="G970" s="11" t="s">
        <v>32</v>
      </c>
      <c r="H970" s="11" t="s">
        <v>33</v>
      </c>
      <c r="I970" s="11" t="s">
        <v>1251</v>
      </c>
      <c r="J970" s="11" t="s">
        <v>1251</v>
      </c>
      <c r="K970" s="11" t="s">
        <v>1259</v>
      </c>
      <c r="L970" s="12">
        <v>18000</v>
      </c>
      <c r="M970" s="12">
        <v>15120</v>
      </c>
      <c r="N970" s="11" t="s">
        <v>1260</v>
      </c>
      <c r="O970" s="11" t="s">
        <v>1254</v>
      </c>
      <c r="P970" s="11" t="s">
        <v>37</v>
      </c>
      <c r="Q970" s="11">
        <v>18631369859</v>
      </c>
      <c r="R970" s="11" t="s">
        <v>38</v>
      </c>
      <c r="S970" s="11" t="s">
        <v>39</v>
      </c>
      <c r="T970" s="11"/>
    </row>
    <row r="971" spans="1:20" s="14" customFormat="1" ht="24" hidden="1" customHeight="1">
      <c r="A971" s="15"/>
      <c r="B971" s="11" t="s">
        <v>1274</v>
      </c>
      <c r="C971" s="11" t="s">
        <v>1275</v>
      </c>
      <c r="D971" s="11" t="s">
        <v>1165</v>
      </c>
      <c r="E971" s="9">
        <v>10</v>
      </c>
      <c r="F971" s="9"/>
      <c r="G971" s="11" t="s">
        <v>32</v>
      </c>
      <c r="H971" s="11" t="s">
        <v>33</v>
      </c>
      <c r="I971" s="11" t="s">
        <v>1251</v>
      </c>
      <c r="J971" s="11" t="s">
        <v>1251</v>
      </c>
      <c r="K971" s="11" t="s">
        <v>1276</v>
      </c>
      <c r="L971" s="12">
        <v>72566.37</v>
      </c>
      <c r="M971" s="12">
        <v>60955.750800000002</v>
      </c>
      <c r="N971" s="11" t="s">
        <v>1260</v>
      </c>
      <c r="O971" s="11" t="s">
        <v>1254</v>
      </c>
      <c r="P971" s="11" t="s">
        <v>37</v>
      </c>
      <c r="Q971" s="11">
        <v>18631369860</v>
      </c>
      <c r="R971" s="11" t="s">
        <v>38</v>
      </c>
      <c r="S971" s="11" t="s">
        <v>39</v>
      </c>
      <c r="T971" s="11"/>
    </row>
    <row r="972" spans="1:20" s="14" customFormat="1" ht="24" hidden="1" customHeight="1">
      <c r="A972" s="15"/>
      <c r="B972" s="11" t="s">
        <v>1258</v>
      </c>
      <c r="C972" s="11" t="s">
        <v>1177</v>
      </c>
      <c r="D972" s="11" t="s">
        <v>79</v>
      </c>
      <c r="E972" s="9">
        <v>6</v>
      </c>
      <c r="F972" s="9"/>
      <c r="G972" s="11" t="s">
        <v>32</v>
      </c>
      <c r="H972" s="11" t="s">
        <v>33</v>
      </c>
      <c r="I972" s="11" t="s">
        <v>1251</v>
      </c>
      <c r="J972" s="11" t="s">
        <v>1251</v>
      </c>
      <c r="K972" s="11" t="s">
        <v>1259</v>
      </c>
      <c r="L972" s="12">
        <v>128142</v>
      </c>
      <c r="M972" s="12">
        <v>128142</v>
      </c>
      <c r="N972" s="11" t="s">
        <v>1277</v>
      </c>
      <c r="O972" s="11" t="s">
        <v>1254</v>
      </c>
      <c r="P972" s="11" t="s">
        <v>37</v>
      </c>
      <c r="Q972" s="11">
        <v>18631369861</v>
      </c>
      <c r="R972" s="11" t="s">
        <v>38</v>
      </c>
      <c r="S972" s="11" t="s">
        <v>39</v>
      </c>
      <c r="T972" s="11"/>
    </row>
    <row r="973" spans="1:20" s="14" customFormat="1" ht="24" hidden="1" customHeight="1">
      <c r="A973" s="15"/>
      <c r="B973" s="11" t="s">
        <v>1278</v>
      </c>
      <c r="C973" s="11" t="s">
        <v>1279</v>
      </c>
      <c r="D973" s="11" t="s">
        <v>79</v>
      </c>
      <c r="E973" s="9">
        <v>6</v>
      </c>
      <c r="F973" s="9"/>
      <c r="G973" s="11" t="s">
        <v>32</v>
      </c>
      <c r="H973" s="11" t="s">
        <v>33</v>
      </c>
      <c r="I973" s="11" t="s">
        <v>1251</v>
      </c>
      <c r="J973" s="11" t="s">
        <v>1251</v>
      </c>
      <c r="K973" s="11" t="s">
        <v>1259</v>
      </c>
      <c r="L973" s="12">
        <v>4200</v>
      </c>
      <c r="M973" s="12">
        <v>4200</v>
      </c>
      <c r="N973" s="11" t="s">
        <v>1277</v>
      </c>
      <c r="O973" s="11" t="s">
        <v>1254</v>
      </c>
      <c r="P973" s="11" t="s">
        <v>37</v>
      </c>
      <c r="Q973" s="11">
        <v>18631369862</v>
      </c>
      <c r="R973" s="11" t="s">
        <v>38</v>
      </c>
      <c r="S973" s="11" t="s">
        <v>39</v>
      </c>
      <c r="T973" s="11"/>
    </row>
    <row r="974" spans="1:20" s="14" customFormat="1" ht="24" hidden="1" customHeight="1">
      <c r="A974" s="15"/>
      <c r="B974" s="11" t="s">
        <v>1280</v>
      </c>
      <c r="C974" s="11" t="s">
        <v>1177</v>
      </c>
      <c r="D974" s="11" t="s">
        <v>79</v>
      </c>
      <c r="E974" s="9">
        <v>1</v>
      </c>
      <c r="F974" s="9"/>
      <c r="G974" s="11" t="s">
        <v>32</v>
      </c>
      <c r="H974" s="11" t="s">
        <v>33</v>
      </c>
      <c r="I974" s="11" t="s">
        <v>1251</v>
      </c>
      <c r="J974" s="11" t="s">
        <v>1251</v>
      </c>
      <c r="K974" s="11" t="s">
        <v>1259</v>
      </c>
      <c r="L974" s="12">
        <v>31000</v>
      </c>
      <c r="M974" s="12">
        <v>31000</v>
      </c>
      <c r="N974" s="11" t="s">
        <v>1277</v>
      </c>
      <c r="O974" s="11" t="s">
        <v>1254</v>
      </c>
      <c r="P974" s="11" t="s">
        <v>37</v>
      </c>
      <c r="Q974" s="11">
        <v>18631369863</v>
      </c>
      <c r="R974" s="11" t="s">
        <v>38</v>
      </c>
      <c r="S974" s="11" t="s">
        <v>39</v>
      </c>
      <c r="T974" s="11"/>
    </row>
    <row r="975" spans="1:20" s="14" customFormat="1" ht="24" hidden="1" customHeight="1">
      <c r="A975" s="15"/>
      <c r="B975" s="11" t="s">
        <v>1281</v>
      </c>
      <c r="C975" s="11" t="s">
        <v>1282</v>
      </c>
      <c r="D975" s="11" t="s">
        <v>79</v>
      </c>
      <c r="E975" s="9">
        <v>1</v>
      </c>
      <c r="F975" s="9"/>
      <c r="G975" s="11" t="s">
        <v>32</v>
      </c>
      <c r="H975" s="11" t="s">
        <v>33</v>
      </c>
      <c r="I975" s="11" t="s">
        <v>1251</v>
      </c>
      <c r="J975" s="11" t="s">
        <v>1251</v>
      </c>
      <c r="K975" s="11" t="s">
        <v>1283</v>
      </c>
      <c r="L975" s="12">
        <v>30000</v>
      </c>
      <c r="M975" s="12">
        <v>30000</v>
      </c>
      <c r="N975" s="11" t="s">
        <v>1284</v>
      </c>
      <c r="O975" s="11" t="s">
        <v>1254</v>
      </c>
      <c r="P975" s="11" t="s">
        <v>37</v>
      </c>
      <c r="Q975" s="11" t="s">
        <v>1285</v>
      </c>
      <c r="R975" s="11" t="s">
        <v>38</v>
      </c>
      <c r="S975" s="11" t="s">
        <v>39</v>
      </c>
      <c r="T975" s="11"/>
    </row>
    <row r="976" spans="1:20" s="14" customFormat="1" ht="24" hidden="1" customHeight="1">
      <c r="A976" s="15"/>
      <c r="B976" s="11" t="s">
        <v>1286</v>
      </c>
      <c r="C976" s="11" t="s">
        <v>1287</v>
      </c>
      <c r="D976" s="11" t="s">
        <v>79</v>
      </c>
      <c r="E976" s="9">
        <v>1</v>
      </c>
      <c r="F976" s="9"/>
      <c r="G976" s="11" t="s">
        <v>32</v>
      </c>
      <c r="H976" s="11" t="s">
        <v>33</v>
      </c>
      <c r="I976" s="11" t="s">
        <v>1251</v>
      </c>
      <c r="J976" s="11" t="s">
        <v>1251</v>
      </c>
      <c r="K976" s="11" t="s">
        <v>1283</v>
      </c>
      <c r="L976" s="12">
        <v>9500</v>
      </c>
      <c r="M976" s="12">
        <v>9500</v>
      </c>
      <c r="N976" s="11" t="s">
        <v>1284</v>
      </c>
      <c r="O976" s="11" t="s">
        <v>1254</v>
      </c>
      <c r="P976" s="11" t="s">
        <v>37</v>
      </c>
      <c r="Q976" s="11" t="s">
        <v>1285</v>
      </c>
      <c r="R976" s="11" t="s">
        <v>38</v>
      </c>
      <c r="S976" s="11" t="s">
        <v>39</v>
      </c>
      <c r="T976" s="11"/>
    </row>
    <row r="977" spans="1:20" s="14" customFormat="1" ht="24" hidden="1" customHeight="1">
      <c r="A977" s="15"/>
      <c r="B977" s="11" t="s">
        <v>1288</v>
      </c>
      <c r="C977" s="11" t="s">
        <v>1289</v>
      </c>
      <c r="D977" s="11" t="s">
        <v>79</v>
      </c>
      <c r="E977" s="9">
        <v>2</v>
      </c>
      <c r="F977" s="9"/>
      <c r="G977" s="11" t="s">
        <v>32</v>
      </c>
      <c r="H977" s="11" t="s">
        <v>33</v>
      </c>
      <c r="I977" s="11" t="s">
        <v>1251</v>
      </c>
      <c r="J977" s="11" t="s">
        <v>1251</v>
      </c>
      <c r="K977" s="11" t="s">
        <v>1283</v>
      </c>
      <c r="L977" s="12">
        <v>17000</v>
      </c>
      <c r="M977" s="12">
        <v>17000</v>
      </c>
      <c r="N977" s="11" t="s">
        <v>1284</v>
      </c>
      <c r="O977" s="11" t="s">
        <v>1254</v>
      </c>
      <c r="P977" s="11" t="s">
        <v>37</v>
      </c>
      <c r="Q977" s="11" t="s">
        <v>1285</v>
      </c>
      <c r="R977" s="11" t="s">
        <v>38</v>
      </c>
      <c r="S977" s="11" t="s">
        <v>39</v>
      </c>
      <c r="T977" s="11"/>
    </row>
    <row r="978" spans="1:20" s="14" customFormat="1" ht="24" hidden="1" customHeight="1">
      <c r="A978" s="15"/>
      <c r="B978" s="11" t="s">
        <v>1290</v>
      </c>
      <c r="C978" s="11" t="s">
        <v>1291</v>
      </c>
      <c r="D978" s="11" t="s">
        <v>1193</v>
      </c>
      <c r="E978" s="9">
        <v>120</v>
      </c>
      <c r="F978" s="9"/>
      <c r="G978" s="11" t="s">
        <v>32</v>
      </c>
      <c r="H978" s="11" t="s">
        <v>33</v>
      </c>
      <c r="I978" s="11" t="s">
        <v>1251</v>
      </c>
      <c r="J978" s="11" t="s">
        <v>1251</v>
      </c>
      <c r="K978" s="11" t="s">
        <v>1283</v>
      </c>
      <c r="L978" s="12">
        <v>39600</v>
      </c>
      <c r="M978" s="12">
        <v>39600</v>
      </c>
      <c r="N978" s="11" t="s">
        <v>1284</v>
      </c>
      <c r="O978" s="11" t="s">
        <v>1254</v>
      </c>
      <c r="P978" s="11" t="s">
        <v>37</v>
      </c>
      <c r="Q978" s="11" t="s">
        <v>1285</v>
      </c>
      <c r="R978" s="11" t="s">
        <v>38</v>
      </c>
      <c r="S978" s="11" t="s">
        <v>39</v>
      </c>
      <c r="T978" s="11"/>
    </row>
    <row r="979" spans="1:20" s="14" customFormat="1" ht="24" hidden="1" customHeight="1">
      <c r="A979" s="15"/>
      <c r="B979" s="11" t="s">
        <v>1292</v>
      </c>
      <c r="C979" s="11" t="s">
        <v>1293</v>
      </c>
      <c r="D979" s="11" t="s">
        <v>1193</v>
      </c>
      <c r="E979" s="9">
        <v>66.5</v>
      </c>
      <c r="F979" s="9"/>
      <c r="G979" s="11" t="s">
        <v>32</v>
      </c>
      <c r="H979" s="11" t="s">
        <v>33</v>
      </c>
      <c r="I979" s="11" t="s">
        <v>1251</v>
      </c>
      <c r="J979" s="11" t="s">
        <v>1251</v>
      </c>
      <c r="K979" s="11" t="s">
        <v>1283</v>
      </c>
      <c r="L979" s="12">
        <v>16292.5</v>
      </c>
      <c r="M979" s="12">
        <v>16292.5</v>
      </c>
      <c r="N979" s="11" t="s">
        <v>1284</v>
      </c>
      <c r="O979" s="11" t="s">
        <v>1254</v>
      </c>
      <c r="P979" s="11" t="s">
        <v>37</v>
      </c>
      <c r="Q979" s="11" t="s">
        <v>1285</v>
      </c>
      <c r="R979" s="11" t="s">
        <v>38</v>
      </c>
      <c r="S979" s="11" t="s">
        <v>39</v>
      </c>
      <c r="T979" s="11"/>
    </row>
    <row r="980" spans="1:20" s="14" customFormat="1" ht="24" hidden="1" customHeight="1">
      <c r="A980" s="15"/>
      <c r="B980" s="11" t="s">
        <v>1162</v>
      </c>
      <c r="C980" s="11" t="s">
        <v>1245</v>
      </c>
      <c r="D980" s="11" t="s">
        <v>131</v>
      </c>
      <c r="E980" s="9">
        <v>4</v>
      </c>
      <c r="F980" s="9" t="s">
        <v>34</v>
      </c>
      <c r="G980" s="11" t="s">
        <v>32</v>
      </c>
      <c r="H980" s="11" t="s">
        <v>33</v>
      </c>
      <c r="I980" s="11" t="s">
        <v>34</v>
      </c>
      <c r="J980" s="11" t="s">
        <v>34</v>
      </c>
      <c r="K980" s="11" t="s">
        <v>1294</v>
      </c>
      <c r="L980" s="12">
        <v>53097.35</v>
      </c>
      <c r="M980" s="12">
        <v>13274.33</v>
      </c>
      <c r="N980" s="11">
        <v>2020.8</v>
      </c>
      <c r="O980" s="11" t="s">
        <v>227</v>
      </c>
      <c r="P980" s="11" t="s">
        <v>119</v>
      </c>
      <c r="Q980" s="11">
        <v>18611227933</v>
      </c>
      <c r="R980" s="11" t="s">
        <v>120</v>
      </c>
      <c r="S980" s="11" t="s">
        <v>93</v>
      </c>
      <c r="T980" s="11"/>
    </row>
    <row r="981" spans="1:20" s="14" customFormat="1" ht="24" hidden="1" customHeight="1">
      <c r="A981" s="15"/>
      <c r="B981" s="11" t="s">
        <v>1295</v>
      </c>
      <c r="C981" s="11" t="s">
        <v>1177</v>
      </c>
      <c r="D981" s="11" t="s">
        <v>79</v>
      </c>
      <c r="E981" s="9">
        <v>25</v>
      </c>
      <c r="F981" s="9"/>
      <c r="G981" s="11" t="s">
        <v>32</v>
      </c>
      <c r="H981" s="11" t="s">
        <v>33</v>
      </c>
      <c r="I981" s="11" t="s">
        <v>34</v>
      </c>
      <c r="J981" s="11" t="s">
        <v>34</v>
      </c>
      <c r="K981" s="11" t="s">
        <v>1296</v>
      </c>
      <c r="L981" s="12">
        <v>550000</v>
      </c>
      <c r="M981" s="12">
        <v>550000</v>
      </c>
      <c r="N981" s="16">
        <v>43678</v>
      </c>
      <c r="O981" s="11" t="s">
        <v>1297</v>
      </c>
      <c r="P981" s="11" t="s">
        <v>1298</v>
      </c>
      <c r="Q981" s="11">
        <v>18610281186</v>
      </c>
      <c r="R981" s="11" t="s">
        <v>1297</v>
      </c>
      <c r="S981" s="11" t="s">
        <v>68</v>
      </c>
      <c r="T981" s="11"/>
    </row>
    <row r="982" spans="1:20" s="14" customFormat="1" ht="24" hidden="1" customHeight="1">
      <c r="A982" s="15"/>
      <c r="B982" s="11" t="s">
        <v>1299</v>
      </c>
      <c r="C982" s="11" t="s">
        <v>1177</v>
      </c>
      <c r="D982" s="11" t="s">
        <v>79</v>
      </c>
      <c r="E982" s="9">
        <v>2</v>
      </c>
      <c r="F982" s="9"/>
      <c r="G982" s="11" t="s">
        <v>32</v>
      </c>
      <c r="H982" s="11" t="s">
        <v>33</v>
      </c>
      <c r="I982" s="11" t="s">
        <v>34</v>
      </c>
      <c r="J982" s="11" t="s">
        <v>34</v>
      </c>
      <c r="K982" s="11" t="s">
        <v>1296</v>
      </c>
      <c r="L982" s="12">
        <v>69000</v>
      </c>
      <c r="M982" s="12">
        <v>69000</v>
      </c>
      <c r="N982" s="16">
        <v>43678</v>
      </c>
      <c r="O982" s="11" t="s">
        <v>1297</v>
      </c>
      <c r="P982" s="11" t="s">
        <v>1298</v>
      </c>
      <c r="Q982" s="11">
        <v>18610281186</v>
      </c>
      <c r="R982" s="11" t="s">
        <v>1297</v>
      </c>
      <c r="S982" s="11" t="s">
        <v>68</v>
      </c>
      <c r="T982" s="11"/>
    </row>
    <row r="983" spans="1:20" s="14" customFormat="1" ht="24" hidden="1" customHeight="1">
      <c r="A983" s="15"/>
      <c r="B983" s="11" t="s">
        <v>1300</v>
      </c>
      <c r="C983" s="11" t="s">
        <v>1177</v>
      </c>
      <c r="D983" s="11" t="s">
        <v>79</v>
      </c>
      <c r="E983" s="9">
        <v>1</v>
      </c>
      <c r="F983" s="9"/>
      <c r="G983" s="11" t="s">
        <v>32</v>
      </c>
      <c r="H983" s="11" t="s">
        <v>33</v>
      </c>
      <c r="I983" s="11" t="s">
        <v>34</v>
      </c>
      <c r="J983" s="11" t="s">
        <v>34</v>
      </c>
      <c r="K983" s="11" t="s">
        <v>1296</v>
      </c>
      <c r="L983" s="12">
        <v>34500</v>
      </c>
      <c r="M983" s="12">
        <v>34500</v>
      </c>
      <c r="N983" s="16">
        <v>43678</v>
      </c>
      <c r="O983" s="11" t="s">
        <v>1297</v>
      </c>
      <c r="P983" s="11" t="s">
        <v>1298</v>
      </c>
      <c r="Q983" s="11">
        <v>18610281186</v>
      </c>
      <c r="R983" s="11" t="s">
        <v>1297</v>
      </c>
      <c r="S983" s="11" t="s">
        <v>68</v>
      </c>
      <c r="T983" s="11"/>
    </row>
    <row r="984" spans="1:20" s="14" customFormat="1" ht="24" hidden="1" customHeight="1">
      <c r="A984" s="15"/>
      <c r="B984" s="11" t="s">
        <v>1301</v>
      </c>
      <c r="C984" s="11" t="s">
        <v>1177</v>
      </c>
      <c r="D984" s="11" t="s">
        <v>79</v>
      </c>
      <c r="E984" s="9">
        <v>1</v>
      </c>
      <c r="F984" s="9"/>
      <c r="G984" s="11" t="s">
        <v>32</v>
      </c>
      <c r="H984" s="11" t="s">
        <v>33</v>
      </c>
      <c r="I984" s="11" t="s">
        <v>34</v>
      </c>
      <c r="J984" s="11" t="s">
        <v>34</v>
      </c>
      <c r="K984" s="11" t="s">
        <v>1296</v>
      </c>
      <c r="L984" s="12">
        <v>34500</v>
      </c>
      <c r="M984" s="12">
        <v>34500</v>
      </c>
      <c r="N984" s="16">
        <v>43678</v>
      </c>
      <c r="O984" s="11" t="s">
        <v>1297</v>
      </c>
      <c r="P984" s="11" t="s">
        <v>1298</v>
      </c>
      <c r="Q984" s="11">
        <v>18610281186</v>
      </c>
      <c r="R984" s="11" t="s">
        <v>1297</v>
      </c>
      <c r="S984" s="11" t="s">
        <v>68</v>
      </c>
      <c r="T984" s="11"/>
    </row>
    <row r="985" spans="1:20" s="14" customFormat="1" ht="24" hidden="1" customHeight="1">
      <c r="A985" s="15"/>
      <c r="B985" s="11" t="s">
        <v>1302</v>
      </c>
      <c r="C985" s="11" t="s">
        <v>1177</v>
      </c>
      <c r="D985" s="11" t="s">
        <v>79</v>
      </c>
      <c r="E985" s="9">
        <v>2</v>
      </c>
      <c r="F985" s="9"/>
      <c r="G985" s="11" t="s">
        <v>32</v>
      </c>
      <c r="H985" s="11" t="s">
        <v>33</v>
      </c>
      <c r="I985" s="11" t="s">
        <v>34</v>
      </c>
      <c r="J985" s="11" t="s">
        <v>34</v>
      </c>
      <c r="K985" s="11" t="s">
        <v>1296</v>
      </c>
      <c r="L985" s="12">
        <v>64000</v>
      </c>
      <c r="M985" s="12">
        <v>64000</v>
      </c>
      <c r="N985" s="16">
        <v>43678</v>
      </c>
      <c r="O985" s="11" t="s">
        <v>1297</v>
      </c>
      <c r="P985" s="11" t="s">
        <v>1298</v>
      </c>
      <c r="Q985" s="11">
        <v>18610281186</v>
      </c>
      <c r="R985" s="11" t="s">
        <v>1297</v>
      </c>
      <c r="S985" s="11" t="s">
        <v>68</v>
      </c>
      <c r="T985" s="11"/>
    </row>
    <row r="986" spans="1:20" s="14" customFormat="1" ht="24" hidden="1" customHeight="1">
      <c r="A986" s="15"/>
      <c r="B986" s="11" t="s">
        <v>1198</v>
      </c>
      <c r="C986" s="11" t="s">
        <v>1303</v>
      </c>
      <c r="D986" s="11" t="s">
        <v>79</v>
      </c>
      <c r="E986" s="9">
        <v>12</v>
      </c>
      <c r="F986" s="9"/>
      <c r="G986" s="11" t="s">
        <v>32</v>
      </c>
      <c r="H986" s="11" t="s">
        <v>33</v>
      </c>
      <c r="I986" s="11" t="s">
        <v>34</v>
      </c>
      <c r="J986" s="11" t="s">
        <v>34</v>
      </c>
      <c r="K986" s="11" t="s">
        <v>1296</v>
      </c>
      <c r="L986" s="12">
        <v>192000</v>
      </c>
      <c r="M986" s="12">
        <v>192000</v>
      </c>
      <c r="N986" s="16">
        <v>43678</v>
      </c>
      <c r="O986" s="11" t="s">
        <v>1297</v>
      </c>
      <c r="P986" s="11" t="s">
        <v>1298</v>
      </c>
      <c r="Q986" s="11">
        <v>18610281186</v>
      </c>
      <c r="R986" s="11" t="s">
        <v>1297</v>
      </c>
      <c r="S986" s="11" t="s">
        <v>68</v>
      </c>
      <c r="T986" s="11"/>
    </row>
    <row r="987" spans="1:20" s="14" customFormat="1" ht="24" hidden="1" customHeight="1">
      <c r="A987" s="15"/>
      <c r="B987" s="11" t="s">
        <v>1206</v>
      </c>
      <c r="C987" s="11" t="s">
        <v>1304</v>
      </c>
      <c r="D987" s="11" t="s">
        <v>79</v>
      </c>
      <c r="E987" s="9">
        <v>3</v>
      </c>
      <c r="F987" s="9"/>
      <c r="G987" s="11" t="s">
        <v>32</v>
      </c>
      <c r="H987" s="11" t="s">
        <v>33</v>
      </c>
      <c r="I987" s="11" t="s">
        <v>34</v>
      </c>
      <c r="J987" s="11" t="s">
        <v>34</v>
      </c>
      <c r="K987" s="11" t="s">
        <v>1296</v>
      </c>
      <c r="L987" s="12">
        <v>36000</v>
      </c>
      <c r="M987" s="12">
        <v>36000</v>
      </c>
      <c r="N987" s="16">
        <v>43678</v>
      </c>
      <c r="O987" s="11" t="s">
        <v>1297</v>
      </c>
      <c r="P987" s="11" t="s">
        <v>1298</v>
      </c>
      <c r="Q987" s="11">
        <v>18610281186</v>
      </c>
      <c r="R987" s="11" t="s">
        <v>1297</v>
      </c>
      <c r="S987" s="11" t="s">
        <v>68</v>
      </c>
      <c r="T987" s="11"/>
    </row>
    <row r="988" spans="1:20" s="14" customFormat="1" ht="24" hidden="1" customHeight="1">
      <c r="A988" s="15"/>
      <c r="B988" s="11" t="s">
        <v>1189</v>
      </c>
      <c r="C988" s="11" t="s">
        <v>1305</v>
      </c>
      <c r="D988" s="11" t="s">
        <v>79</v>
      </c>
      <c r="E988" s="9">
        <v>1</v>
      </c>
      <c r="F988" s="9"/>
      <c r="G988" s="11" t="s">
        <v>32</v>
      </c>
      <c r="H988" s="11" t="s">
        <v>33</v>
      </c>
      <c r="I988" s="11" t="s">
        <v>34</v>
      </c>
      <c r="J988" s="11" t="s">
        <v>34</v>
      </c>
      <c r="K988" s="11" t="s">
        <v>1296</v>
      </c>
      <c r="L988" s="12">
        <v>5800</v>
      </c>
      <c r="M988" s="12">
        <v>5800</v>
      </c>
      <c r="N988" s="16">
        <v>43678</v>
      </c>
      <c r="O988" s="11" t="s">
        <v>1297</v>
      </c>
      <c r="P988" s="11" t="s">
        <v>1298</v>
      </c>
      <c r="Q988" s="11">
        <v>18610281186</v>
      </c>
      <c r="R988" s="11" t="s">
        <v>1297</v>
      </c>
      <c r="S988" s="11" t="s">
        <v>68</v>
      </c>
      <c r="T988" s="11"/>
    </row>
    <row r="989" spans="1:20" s="14" customFormat="1" ht="24" hidden="1" customHeight="1">
      <c r="A989" s="15"/>
      <c r="B989" s="11" t="s">
        <v>1306</v>
      </c>
      <c r="C989" s="11" t="s">
        <v>1307</v>
      </c>
      <c r="D989" s="11" t="s">
        <v>1193</v>
      </c>
      <c r="E989" s="9">
        <v>42</v>
      </c>
      <c r="F989" s="9"/>
      <c r="G989" s="11" t="s">
        <v>32</v>
      </c>
      <c r="H989" s="11" t="s">
        <v>33</v>
      </c>
      <c r="I989" s="11" t="s">
        <v>34</v>
      </c>
      <c r="J989" s="11" t="s">
        <v>34</v>
      </c>
      <c r="K989" s="11" t="s">
        <v>1296</v>
      </c>
      <c r="L989" s="12">
        <v>28498.799999999999</v>
      </c>
      <c r="M989" s="12">
        <v>28498.799999999999</v>
      </c>
      <c r="N989" s="16">
        <v>43678</v>
      </c>
      <c r="O989" s="11" t="s">
        <v>1297</v>
      </c>
      <c r="P989" s="11" t="s">
        <v>1298</v>
      </c>
      <c r="Q989" s="11">
        <v>18610281186</v>
      </c>
      <c r="R989" s="11" t="s">
        <v>1297</v>
      </c>
      <c r="S989" s="11" t="s">
        <v>68</v>
      </c>
      <c r="T989" s="11"/>
    </row>
    <row r="990" spans="1:20" s="14" customFormat="1" ht="24" hidden="1" customHeight="1">
      <c r="A990" s="15"/>
      <c r="B990" s="11" t="s">
        <v>1269</v>
      </c>
      <c r="C990" s="11" t="s">
        <v>1308</v>
      </c>
      <c r="D990" s="11" t="s">
        <v>161</v>
      </c>
      <c r="E990" s="9">
        <v>188</v>
      </c>
      <c r="F990" s="9"/>
      <c r="G990" s="11" t="s">
        <v>32</v>
      </c>
      <c r="H990" s="11" t="s">
        <v>33</v>
      </c>
      <c r="I990" s="11" t="s">
        <v>34</v>
      </c>
      <c r="J990" s="11" t="s">
        <v>34</v>
      </c>
      <c r="K990" s="11" t="s">
        <v>1296</v>
      </c>
      <c r="L990" s="12">
        <v>31020</v>
      </c>
      <c r="M990" s="12">
        <v>31020</v>
      </c>
      <c r="N990" s="16">
        <v>43678</v>
      </c>
      <c r="O990" s="11" t="s">
        <v>1297</v>
      </c>
      <c r="P990" s="11" t="s">
        <v>1298</v>
      </c>
      <c r="Q990" s="11">
        <v>18610281186</v>
      </c>
      <c r="R990" s="11" t="s">
        <v>1297</v>
      </c>
      <c r="S990" s="11" t="s">
        <v>68</v>
      </c>
      <c r="T990" s="11"/>
    </row>
    <row r="991" spans="1:20" s="14" customFormat="1" ht="24" hidden="1" customHeight="1">
      <c r="A991" s="15"/>
      <c r="B991" s="11" t="s">
        <v>1309</v>
      </c>
      <c r="C991" s="11" t="s">
        <v>1310</v>
      </c>
      <c r="D991" s="11" t="s">
        <v>79</v>
      </c>
      <c r="E991" s="9">
        <v>60</v>
      </c>
      <c r="F991" s="9"/>
      <c r="G991" s="11" t="s">
        <v>32</v>
      </c>
      <c r="H991" s="11" t="s">
        <v>33</v>
      </c>
      <c r="I991" s="11" t="s">
        <v>34</v>
      </c>
      <c r="J991" s="11" t="s">
        <v>34</v>
      </c>
      <c r="K991" s="11" t="s">
        <v>1296</v>
      </c>
      <c r="L991" s="12">
        <v>9000</v>
      </c>
      <c r="M991" s="12">
        <v>9000</v>
      </c>
      <c r="N991" s="16">
        <v>43678</v>
      </c>
      <c r="O991" s="11" t="s">
        <v>1297</v>
      </c>
      <c r="P991" s="11" t="s">
        <v>1298</v>
      </c>
      <c r="Q991" s="11">
        <v>18610281186</v>
      </c>
      <c r="R991" s="11" t="s">
        <v>1297</v>
      </c>
      <c r="S991" s="11" t="s">
        <v>68</v>
      </c>
      <c r="T991" s="11"/>
    </row>
    <row r="992" spans="1:20" s="14" customFormat="1" ht="24" hidden="1" customHeight="1">
      <c r="A992" s="15"/>
      <c r="B992" s="11" t="s">
        <v>1173</v>
      </c>
      <c r="C992" s="11" t="s">
        <v>1311</v>
      </c>
      <c r="D992" s="11" t="s">
        <v>131</v>
      </c>
      <c r="E992" s="9">
        <v>2</v>
      </c>
      <c r="F992" s="9"/>
      <c r="G992" s="11" t="s">
        <v>32</v>
      </c>
      <c r="H992" s="11" t="s">
        <v>33</v>
      </c>
      <c r="I992" s="11" t="s">
        <v>34</v>
      </c>
      <c r="J992" s="11" t="s">
        <v>34</v>
      </c>
      <c r="K992" s="11" t="s">
        <v>701</v>
      </c>
      <c r="L992" s="12">
        <v>20689.655172413801</v>
      </c>
      <c r="M992" s="12">
        <v>0</v>
      </c>
      <c r="N992" s="11" t="s">
        <v>1312</v>
      </c>
      <c r="O992" s="11" t="s">
        <v>286</v>
      </c>
      <c r="P992" s="11" t="s">
        <v>321</v>
      </c>
      <c r="Q992" s="11">
        <v>18500041080</v>
      </c>
      <c r="R992" s="11" t="s">
        <v>288</v>
      </c>
      <c r="S992" s="11" t="s">
        <v>115</v>
      </c>
      <c r="T992" s="11"/>
    </row>
    <row r="993" spans="1:20" s="14" customFormat="1" ht="24" hidden="1" customHeight="1">
      <c r="A993" s="15"/>
      <c r="B993" s="11" t="s">
        <v>1173</v>
      </c>
      <c r="C993" s="11" t="s">
        <v>1313</v>
      </c>
      <c r="D993" s="11" t="s">
        <v>131</v>
      </c>
      <c r="E993" s="9">
        <v>2</v>
      </c>
      <c r="F993" s="9"/>
      <c r="G993" s="11" t="s">
        <v>32</v>
      </c>
      <c r="H993" s="11" t="s">
        <v>33</v>
      </c>
      <c r="I993" s="11" t="s">
        <v>34</v>
      </c>
      <c r="J993" s="11" t="s">
        <v>34</v>
      </c>
      <c r="K993" s="11" t="s">
        <v>1314</v>
      </c>
      <c r="L993" s="12">
        <v>17475.728155339799</v>
      </c>
      <c r="M993" s="12">
        <v>0</v>
      </c>
      <c r="N993" s="11" t="s">
        <v>1315</v>
      </c>
      <c r="O993" s="11" t="s">
        <v>286</v>
      </c>
      <c r="P993" s="11" t="s">
        <v>321</v>
      </c>
      <c r="Q993" s="11">
        <v>18500041080</v>
      </c>
      <c r="R993" s="11" t="s">
        <v>288</v>
      </c>
      <c r="S993" s="11" t="s">
        <v>115</v>
      </c>
      <c r="T993" s="11"/>
    </row>
    <row r="994" spans="1:20" s="14" customFormat="1" ht="24" hidden="1" customHeight="1">
      <c r="A994" s="15"/>
      <c r="B994" s="11" t="s">
        <v>1173</v>
      </c>
      <c r="C994" s="11" t="s">
        <v>1313</v>
      </c>
      <c r="D994" s="11" t="s">
        <v>131</v>
      </c>
      <c r="E994" s="9">
        <v>3</v>
      </c>
      <c r="F994" s="9"/>
      <c r="G994" s="11" t="s">
        <v>32</v>
      </c>
      <c r="H994" s="11" t="s">
        <v>33</v>
      </c>
      <c r="I994" s="11" t="s">
        <v>34</v>
      </c>
      <c r="J994" s="11" t="s">
        <v>34</v>
      </c>
      <c r="K994" s="11" t="s">
        <v>1316</v>
      </c>
      <c r="L994" s="12">
        <v>26213.592233009698</v>
      </c>
      <c r="M994" s="12">
        <v>0</v>
      </c>
      <c r="N994" s="11" t="s">
        <v>1317</v>
      </c>
      <c r="O994" s="11" t="s">
        <v>286</v>
      </c>
      <c r="P994" s="11" t="s">
        <v>321</v>
      </c>
      <c r="Q994" s="11">
        <v>18500041080</v>
      </c>
      <c r="R994" s="11" t="s">
        <v>288</v>
      </c>
      <c r="S994" s="11" t="s">
        <v>115</v>
      </c>
      <c r="T994" s="11"/>
    </row>
    <row r="995" spans="1:20" s="14" customFormat="1" ht="24" hidden="1" customHeight="1">
      <c r="A995" s="15"/>
      <c r="B995" s="11" t="s">
        <v>1173</v>
      </c>
      <c r="C995" s="11" t="s">
        <v>1318</v>
      </c>
      <c r="D995" s="11" t="s">
        <v>131</v>
      </c>
      <c r="E995" s="9">
        <v>2</v>
      </c>
      <c r="F995" s="9"/>
      <c r="G995" s="11" t="s">
        <v>32</v>
      </c>
      <c r="H995" s="11" t="s">
        <v>33</v>
      </c>
      <c r="I995" s="11" t="s">
        <v>34</v>
      </c>
      <c r="J995" s="11" t="s">
        <v>34</v>
      </c>
      <c r="K995" s="11" t="s">
        <v>1314</v>
      </c>
      <c r="L995" s="12">
        <v>17475.728155339799</v>
      </c>
      <c r="M995" s="12">
        <v>0</v>
      </c>
      <c r="N995" s="11" t="s">
        <v>357</v>
      </c>
      <c r="O995" s="11" t="s">
        <v>286</v>
      </c>
      <c r="P995" s="11" t="s">
        <v>321</v>
      </c>
      <c r="Q995" s="11">
        <v>18500041080</v>
      </c>
      <c r="R995" s="11" t="s">
        <v>288</v>
      </c>
      <c r="S995" s="11" t="s">
        <v>115</v>
      </c>
      <c r="T995" s="11"/>
    </row>
    <row r="996" spans="1:20" s="14" customFormat="1" ht="24" hidden="1" customHeight="1">
      <c r="A996" s="15"/>
      <c r="B996" s="11" t="s">
        <v>1162</v>
      </c>
      <c r="C996" s="11" t="s">
        <v>1319</v>
      </c>
      <c r="D996" s="11" t="s">
        <v>1165</v>
      </c>
      <c r="E996" s="9">
        <v>36</v>
      </c>
      <c r="F996" s="9"/>
      <c r="G996" s="11" t="s">
        <v>32</v>
      </c>
      <c r="H996" s="11" t="s">
        <v>33</v>
      </c>
      <c r="I996" s="11"/>
      <c r="J996" s="11"/>
      <c r="K996" s="11"/>
      <c r="L996" s="12">
        <v>1088361</v>
      </c>
      <c r="M996" s="12">
        <v>1088361</v>
      </c>
      <c r="N996" s="11">
        <v>2020.4</v>
      </c>
      <c r="O996" s="11" t="s">
        <v>1320</v>
      </c>
      <c r="P996" s="11" t="s">
        <v>444</v>
      </c>
      <c r="Q996" s="11">
        <v>13126862881</v>
      </c>
      <c r="R996" s="11" t="s">
        <v>1321</v>
      </c>
      <c r="S996" s="11" t="s">
        <v>93</v>
      </c>
      <c r="T996" s="11"/>
    </row>
    <row r="997" spans="1:20" s="14" customFormat="1" ht="24" hidden="1" customHeight="1">
      <c r="A997" s="15"/>
      <c r="B997" s="11" t="s">
        <v>1162</v>
      </c>
      <c r="C997" s="11" t="s">
        <v>1245</v>
      </c>
      <c r="D997" s="11" t="s">
        <v>1165</v>
      </c>
      <c r="E997" s="9">
        <v>16</v>
      </c>
      <c r="F997" s="9"/>
      <c r="G997" s="11" t="s">
        <v>32</v>
      </c>
      <c r="H997" s="11" t="s">
        <v>33</v>
      </c>
      <c r="I997" s="11"/>
      <c r="J997" s="11"/>
      <c r="K997" s="11"/>
      <c r="L997" s="12">
        <v>192000</v>
      </c>
      <c r="M997" s="12">
        <v>192000</v>
      </c>
      <c r="N997" s="11">
        <v>2020.11</v>
      </c>
      <c r="O997" s="11" t="s">
        <v>1322</v>
      </c>
      <c r="P997" s="11" t="s">
        <v>444</v>
      </c>
      <c r="Q997" s="11">
        <v>13126862882</v>
      </c>
      <c r="R997" s="11" t="s">
        <v>1323</v>
      </c>
      <c r="S997" s="11" t="s">
        <v>93</v>
      </c>
      <c r="T997" s="11"/>
    </row>
    <row r="998" spans="1:20" s="14" customFormat="1" ht="24" hidden="1" customHeight="1">
      <c r="A998" s="15"/>
      <c r="B998" s="11" t="s">
        <v>1324</v>
      </c>
      <c r="C998" s="11" t="s">
        <v>1245</v>
      </c>
      <c r="D998" s="11" t="s">
        <v>1165</v>
      </c>
      <c r="E998" s="9">
        <v>2</v>
      </c>
      <c r="F998" s="9"/>
      <c r="G998" s="11" t="s">
        <v>32</v>
      </c>
      <c r="H998" s="11" t="s">
        <v>33</v>
      </c>
      <c r="I998" s="11"/>
      <c r="J998" s="11"/>
      <c r="K998" s="11"/>
      <c r="L998" s="12">
        <v>22000</v>
      </c>
      <c r="M998" s="12">
        <v>22000</v>
      </c>
      <c r="N998" s="11">
        <v>2020.11</v>
      </c>
      <c r="O998" s="11" t="s">
        <v>1322</v>
      </c>
      <c r="P998" s="11" t="s">
        <v>444</v>
      </c>
      <c r="Q998" s="11">
        <v>13126862883</v>
      </c>
      <c r="R998" s="11" t="s">
        <v>1323</v>
      </c>
      <c r="S998" s="11" t="s">
        <v>93</v>
      </c>
      <c r="T998" s="11"/>
    </row>
    <row r="999" spans="1:20" s="14" customFormat="1" ht="24" hidden="1" customHeight="1">
      <c r="A999" s="15"/>
      <c r="B999" s="11" t="s">
        <v>1325</v>
      </c>
      <c r="C999" s="11" t="s">
        <v>1326</v>
      </c>
      <c r="D999" s="11" t="s">
        <v>1165</v>
      </c>
      <c r="E999" s="9">
        <v>63</v>
      </c>
      <c r="F999" s="9"/>
      <c r="G999" s="11" t="s">
        <v>32</v>
      </c>
      <c r="H999" s="11" t="s">
        <v>33</v>
      </c>
      <c r="I999" s="11"/>
      <c r="J999" s="11"/>
      <c r="K999" s="11" t="s">
        <v>1327</v>
      </c>
      <c r="L999" s="12">
        <v>1428103.5</v>
      </c>
      <c r="M999" s="12">
        <v>742613.82</v>
      </c>
      <c r="N999" s="11">
        <v>2018.11</v>
      </c>
      <c r="O999" s="11" t="s">
        <v>124</v>
      </c>
      <c r="P999" s="11" t="s">
        <v>125</v>
      </c>
      <c r="Q999" s="11">
        <v>15711296788</v>
      </c>
      <c r="R999" s="11" t="s">
        <v>126</v>
      </c>
      <c r="S999" s="11" t="s">
        <v>77</v>
      </c>
      <c r="T999" s="11"/>
    </row>
    <row r="1000" spans="1:20" s="14" customFormat="1" ht="24" hidden="1" customHeight="1">
      <c r="A1000" s="15"/>
      <c r="B1000" s="11" t="s">
        <v>1328</v>
      </c>
      <c r="C1000" s="11"/>
      <c r="D1000" s="11" t="s">
        <v>1165</v>
      </c>
      <c r="E1000" s="9">
        <v>21</v>
      </c>
      <c r="F1000" s="9"/>
      <c r="G1000" s="11" t="s">
        <v>32</v>
      </c>
      <c r="H1000" s="11" t="s">
        <v>33</v>
      </c>
      <c r="I1000" s="11"/>
      <c r="J1000" s="11"/>
      <c r="K1000" s="11" t="s">
        <v>1327</v>
      </c>
      <c r="L1000" s="12">
        <v>348275.87</v>
      </c>
      <c r="M1000" s="12">
        <v>181103.43</v>
      </c>
      <c r="N1000" s="11">
        <v>2018.11</v>
      </c>
      <c r="O1000" s="11" t="s">
        <v>124</v>
      </c>
      <c r="P1000" s="11" t="s">
        <v>125</v>
      </c>
      <c r="Q1000" s="11">
        <v>15711296788</v>
      </c>
      <c r="R1000" s="11" t="s">
        <v>126</v>
      </c>
      <c r="S1000" s="11" t="s">
        <v>77</v>
      </c>
      <c r="T1000" s="11"/>
    </row>
    <row r="1001" spans="1:20" s="14" customFormat="1" ht="24" hidden="1" customHeight="1">
      <c r="A1001" s="15"/>
      <c r="B1001" s="11" t="s">
        <v>1325</v>
      </c>
      <c r="C1001" s="11" t="s">
        <v>1326</v>
      </c>
      <c r="D1001" s="11" t="s">
        <v>1165</v>
      </c>
      <c r="E1001" s="9">
        <v>23</v>
      </c>
      <c r="F1001" s="9"/>
      <c r="G1001" s="11" t="s">
        <v>32</v>
      </c>
      <c r="H1001" s="11" t="s">
        <v>33</v>
      </c>
      <c r="I1001" s="11"/>
      <c r="J1001" s="11"/>
      <c r="K1001" s="11" t="s">
        <v>1329</v>
      </c>
      <c r="L1001" s="12">
        <v>442561.19746268698</v>
      </c>
      <c r="M1001" s="12">
        <v>246815.40641791001</v>
      </c>
      <c r="N1001" s="11">
        <v>2018.11</v>
      </c>
      <c r="O1001" s="11" t="s">
        <v>124</v>
      </c>
      <c r="P1001" s="11" t="s">
        <v>125</v>
      </c>
      <c r="Q1001" s="11">
        <v>15711296788</v>
      </c>
      <c r="R1001" s="11" t="s">
        <v>126</v>
      </c>
      <c r="S1001" s="11" t="s">
        <v>77</v>
      </c>
      <c r="T1001" s="11"/>
    </row>
    <row r="1002" spans="1:20" s="14" customFormat="1" ht="24" hidden="1" customHeight="1">
      <c r="A1002" s="15"/>
      <c r="B1002" s="11" t="s">
        <v>1244</v>
      </c>
      <c r="C1002" s="11" t="s">
        <v>1330</v>
      </c>
      <c r="D1002" s="11" t="s">
        <v>1165</v>
      </c>
      <c r="E1002" s="9">
        <v>19</v>
      </c>
      <c r="F1002" s="9"/>
      <c r="G1002" s="11" t="s">
        <v>32</v>
      </c>
      <c r="H1002" s="11" t="s">
        <v>33</v>
      </c>
      <c r="I1002" s="11"/>
      <c r="J1002" s="11"/>
      <c r="K1002" s="11"/>
      <c r="L1002" s="12">
        <v>266000</v>
      </c>
      <c r="M1002" s="12">
        <v>133000</v>
      </c>
      <c r="N1002" s="11">
        <v>2021.6</v>
      </c>
      <c r="O1002" s="11" t="s">
        <v>1331</v>
      </c>
      <c r="P1002" s="11" t="s">
        <v>1332</v>
      </c>
      <c r="Q1002" s="11">
        <v>15175283605</v>
      </c>
      <c r="R1002" s="11" t="s">
        <v>1333</v>
      </c>
      <c r="S1002" s="11" t="s">
        <v>68</v>
      </c>
      <c r="T1002" s="11"/>
    </row>
    <row r="1003" spans="1:20" ht="24" hidden="1" customHeight="1">
      <c r="A1003" s="15"/>
      <c r="B1003" s="11" t="s">
        <v>1173</v>
      </c>
      <c r="C1003" s="11" t="s">
        <v>1313</v>
      </c>
      <c r="D1003" s="11" t="s">
        <v>131</v>
      </c>
      <c r="E1003" s="9">
        <v>41</v>
      </c>
      <c r="F1003" s="9"/>
      <c r="G1003" s="11" t="s">
        <v>32</v>
      </c>
      <c r="H1003" s="11" t="s">
        <v>33</v>
      </c>
      <c r="I1003" s="11"/>
      <c r="J1003" s="11"/>
      <c r="K1003" s="11" t="s">
        <v>1334</v>
      </c>
      <c r="L1003" s="12"/>
      <c r="M1003" s="12"/>
      <c r="N1003" s="11"/>
      <c r="O1003" s="11" t="s">
        <v>1335</v>
      </c>
      <c r="P1003" s="11" t="s">
        <v>44</v>
      </c>
      <c r="Q1003" s="11">
        <v>18611425182</v>
      </c>
      <c r="R1003" s="11" t="s">
        <v>45</v>
      </c>
      <c r="S1003" s="11" t="s">
        <v>68</v>
      </c>
      <c r="T1003" s="11"/>
    </row>
    <row r="1004" spans="1:20" ht="24" customHeight="1">
      <c r="A1004" s="15"/>
      <c r="B1004" s="11" t="s">
        <v>1173</v>
      </c>
      <c r="C1004" s="11" t="s">
        <v>1313</v>
      </c>
      <c r="D1004" s="11" t="s">
        <v>131</v>
      </c>
      <c r="E1004" s="9">
        <v>20</v>
      </c>
      <c r="F1004" s="9"/>
      <c r="G1004" s="11" t="s">
        <v>87</v>
      </c>
      <c r="H1004" s="11" t="s">
        <v>1336</v>
      </c>
      <c r="I1004" s="11"/>
      <c r="J1004" s="11"/>
      <c r="K1004" s="11" t="s">
        <v>1334</v>
      </c>
      <c r="L1004" s="12"/>
      <c r="M1004" s="12"/>
      <c r="N1004" s="11"/>
      <c r="O1004" s="11" t="s">
        <v>43</v>
      </c>
      <c r="P1004" s="11" t="s">
        <v>44</v>
      </c>
      <c r="Q1004" s="11">
        <v>18611425182</v>
      </c>
      <c r="R1004" s="11" t="s">
        <v>45</v>
      </c>
      <c r="S1004" s="11" t="s">
        <v>68</v>
      </c>
      <c r="T1004" s="11"/>
    </row>
    <row r="1005" spans="1:20" s="14" customFormat="1" ht="24" hidden="1" customHeight="1">
      <c r="A1005" s="15"/>
      <c r="B1005" s="11" t="s">
        <v>1337</v>
      </c>
      <c r="C1005" s="11" t="s">
        <v>1245</v>
      </c>
      <c r="D1005" s="11" t="s">
        <v>1165</v>
      </c>
      <c r="E1005" s="9">
        <v>27</v>
      </c>
      <c r="F1005" s="9"/>
      <c r="G1005" s="11" t="s">
        <v>33</v>
      </c>
      <c r="H1005" s="11" t="s">
        <v>32</v>
      </c>
      <c r="I1005" s="11"/>
      <c r="J1005" s="11"/>
      <c r="K1005" s="11" t="s">
        <v>1338</v>
      </c>
      <c r="L1005" s="12">
        <v>628217.81999999995</v>
      </c>
      <c r="M1005" s="12">
        <v>314108.90999999997</v>
      </c>
      <c r="N1005" s="11" t="s">
        <v>1339</v>
      </c>
      <c r="O1005" s="11" t="s">
        <v>1340</v>
      </c>
      <c r="P1005" s="11" t="s">
        <v>66</v>
      </c>
      <c r="Q1005" s="11">
        <v>13603213171</v>
      </c>
      <c r="R1005" s="11" t="s">
        <v>67</v>
      </c>
      <c r="S1005" s="11" t="s">
        <v>68</v>
      </c>
      <c r="T1005" s="11"/>
    </row>
    <row r="1006" spans="1:20" s="14" customFormat="1" ht="24" hidden="1" customHeight="1">
      <c r="A1006" s="15"/>
      <c r="B1006" s="11" t="s">
        <v>1341</v>
      </c>
      <c r="C1006" s="11" t="s">
        <v>1342</v>
      </c>
      <c r="D1006" s="11" t="s">
        <v>79</v>
      </c>
      <c r="E1006" s="9">
        <v>1</v>
      </c>
      <c r="F1006" s="9"/>
      <c r="G1006" s="11" t="s">
        <v>33</v>
      </c>
      <c r="H1006" s="11" t="s">
        <v>32</v>
      </c>
      <c r="I1006" s="11"/>
      <c r="J1006" s="11"/>
      <c r="K1006" s="11" t="s">
        <v>1338</v>
      </c>
      <c r="L1006" s="12">
        <v>8415.84</v>
      </c>
      <c r="M1006" s="12">
        <v>4207.92</v>
      </c>
      <c r="N1006" s="11" t="s">
        <v>1339</v>
      </c>
      <c r="O1006" s="11" t="s">
        <v>1340</v>
      </c>
      <c r="P1006" s="11" t="s">
        <v>66</v>
      </c>
      <c r="Q1006" s="11">
        <v>13603213171</v>
      </c>
      <c r="R1006" s="11" t="s">
        <v>67</v>
      </c>
      <c r="S1006" s="11" t="s">
        <v>68</v>
      </c>
      <c r="T1006" s="11"/>
    </row>
    <row r="1007" spans="1:20" s="14" customFormat="1" ht="24" hidden="1" customHeight="1">
      <c r="A1007" s="15"/>
      <c r="B1007" s="11" t="s">
        <v>1186</v>
      </c>
      <c r="C1007" s="11" t="s">
        <v>1343</v>
      </c>
      <c r="D1007" s="11" t="s">
        <v>1165</v>
      </c>
      <c r="E1007" s="9">
        <v>12</v>
      </c>
      <c r="F1007" s="9"/>
      <c r="G1007" s="11" t="s">
        <v>33</v>
      </c>
      <c r="H1007" s="11" t="s">
        <v>32</v>
      </c>
      <c r="I1007" s="11"/>
      <c r="J1007" s="11"/>
      <c r="K1007" s="11" t="s">
        <v>1338</v>
      </c>
      <c r="L1007" s="12">
        <v>142574.28</v>
      </c>
      <c r="M1007" s="12">
        <v>71287.14</v>
      </c>
      <c r="N1007" s="11" t="s">
        <v>1339</v>
      </c>
      <c r="O1007" s="11" t="s">
        <v>1340</v>
      </c>
      <c r="P1007" s="11" t="s">
        <v>66</v>
      </c>
      <c r="Q1007" s="11">
        <v>13603213171</v>
      </c>
      <c r="R1007" s="11" t="s">
        <v>67</v>
      </c>
      <c r="S1007" s="11" t="s">
        <v>68</v>
      </c>
      <c r="T1007" s="11"/>
    </row>
    <row r="1008" spans="1:20" s="14" customFormat="1" ht="24" hidden="1" customHeight="1">
      <c r="A1008" s="15"/>
      <c r="B1008" s="11" t="s">
        <v>1186</v>
      </c>
      <c r="C1008" s="11" t="s">
        <v>1344</v>
      </c>
      <c r="D1008" s="11" t="s">
        <v>1165</v>
      </c>
      <c r="E1008" s="9">
        <v>2</v>
      </c>
      <c r="F1008" s="9"/>
      <c r="G1008" s="11" t="s">
        <v>33</v>
      </c>
      <c r="H1008" s="11" t="s">
        <v>32</v>
      </c>
      <c r="I1008" s="11"/>
      <c r="J1008" s="11"/>
      <c r="K1008" s="11" t="s">
        <v>1338</v>
      </c>
      <c r="L1008" s="12">
        <v>14851.49</v>
      </c>
      <c r="M1008" s="12">
        <v>7425.74</v>
      </c>
      <c r="N1008" s="11" t="s">
        <v>1339</v>
      </c>
      <c r="O1008" s="11" t="s">
        <v>1340</v>
      </c>
      <c r="P1008" s="11" t="s">
        <v>66</v>
      </c>
      <c r="Q1008" s="11">
        <v>13603213171</v>
      </c>
      <c r="R1008" s="11" t="s">
        <v>67</v>
      </c>
      <c r="S1008" s="11" t="s">
        <v>68</v>
      </c>
      <c r="T1008" s="11"/>
    </row>
    <row r="1009" spans="1:20" s="14" customFormat="1" ht="24" hidden="1" customHeight="1">
      <c r="A1009" s="15"/>
      <c r="B1009" s="11" t="s">
        <v>1191</v>
      </c>
      <c r="C1009" s="11" t="s">
        <v>1345</v>
      </c>
      <c r="D1009" s="11" t="s">
        <v>888</v>
      </c>
      <c r="E1009" s="9">
        <v>267</v>
      </c>
      <c r="F1009" s="9"/>
      <c r="G1009" s="11" t="s">
        <v>33</v>
      </c>
      <c r="H1009" s="11" t="s">
        <v>32</v>
      </c>
      <c r="I1009" s="11"/>
      <c r="J1009" s="11"/>
      <c r="K1009" s="11" t="s">
        <v>1338</v>
      </c>
      <c r="L1009" s="12">
        <v>179762.38</v>
      </c>
      <c r="M1009" s="12">
        <v>89881.19</v>
      </c>
      <c r="N1009" s="11" t="s">
        <v>1339</v>
      </c>
      <c r="O1009" s="11" t="s">
        <v>1340</v>
      </c>
      <c r="P1009" s="11" t="s">
        <v>66</v>
      </c>
      <c r="Q1009" s="11">
        <v>13603213171</v>
      </c>
      <c r="R1009" s="11" t="s">
        <v>67</v>
      </c>
      <c r="S1009" s="11" t="s">
        <v>68</v>
      </c>
      <c r="T1009" s="11"/>
    </row>
    <row r="1010" spans="1:20" s="14" customFormat="1" ht="24" hidden="1" customHeight="1">
      <c r="A1010" s="15"/>
      <c r="B1010" s="38" t="s">
        <v>1346</v>
      </c>
      <c r="C1010" s="38" t="s">
        <v>1347</v>
      </c>
      <c r="D1010" s="38" t="s">
        <v>131</v>
      </c>
      <c r="E1010" s="61">
        <v>1</v>
      </c>
      <c r="F1010" s="61"/>
      <c r="G1010" s="38" t="s">
        <v>33</v>
      </c>
      <c r="H1010" s="38" t="s">
        <v>32</v>
      </c>
      <c r="I1010" s="38"/>
      <c r="J1010" s="38"/>
      <c r="K1010" s="38" t="s">
        <v>1338</v>
      </c>
      <c r="L1010" s="62">
        <v>15841.58</v>
      </c>
      <c r="M1010" s="62">
        <v>7920.79</v>
      </c>
      <c r="N1010" s="38" t="s">
        <v>1339</v>
      </c>
      <c r="O1010" s="38" t="s">
        <v>1340</v>
      </c>
      <c r="P1010" s="38" t="s">
        <v>66</v>
      </c>
      <c r="Q1010" s="38">
        <v>13603213171</v>
      </c>
      <c r="R1010" s="38" t="s">
        <v>67</v>
      </c>
      <c r="S1010" s="38" t="s">
        <v>68</v>
      </c>
      <c r="T1010" s="38"/>
    </row>
    <row r="1011" spans="1:20" s="14" customFormat="1" ht="24" hidden="1" customHeight="1">
      <c r="A1011" s="63"/>
      <c r="B1011" s="38" t="s">
        <v>1348</v>
      </c>
      <c r="C1011" s="38" t="s">
        <v>1212</v>
      </c>
      <c r="D1011" s="38" t="s">
        <v>1165</v>
      </c>
      <c r="E1011" s="38">
        <v>30</v>
      </c>
      <c r="F1011" s="38"/>
      <c r="G1011" s="38" t="s">
        <v>72</v>
      </c>
      <c r="H1011" s="38" t="s">
        <v>33</v>
      </c>
      <c r="I1011" s="38"/>
      <c r="J1011" s="38"/>
      <c r="K1011" s="38" t="s">
        <v>1349</v>
      </c>
      <c r="L1011" s="62">
        <v>390000</v>
      </c>
      <c r="M1011" s="62">
        <v>0</v>
      </c>
      <c r="N1011" s="47">
        <v>2021.01</v>
      </c>
      <c r="O1011" s="38" t="s">
        <v>74</v>
      </c>
      <c r="P1011" s="38" t="s">
        <v>75</v>
      </c>
      <c r="Q1011" s="38">
        <v>13269819378</v>
      </c>
      <c r="R1011" s="38" t="s">
        <v>76</v>
      </c>
      <c r="S1011" s="38" t="s">
        <v>77</v>
      </c>
      <c r="T1011" s="64"/>
    </row>
    <row r="1012" spans="1:20" s="14" customFormat="1" ht="24" hidden="1" customHeight="1">
      <c r="A1012" s="63"/>
      <c r="B1012" s="38" t="s">
        <v>1350</v>
      </c>
      <c r="C1012" s="38" t="s">
        <v>1212</v>
      </c>
      <c r="D1012" s="38" t="s">
        <v>1165</v>
      </c>
      <c r="E1012" s="38">
        <v>30</v>
      </c>
      <c r="F1012" s="38"/>
      <c r="G1012" s="38" t="s">
        <v>72</v>
      </c>
      <c r="H1012" s="38" t="s">
        <v>33</v>
      </c>
      <c r="I1012" s="38"/>
      <c r="J1012" s="38"/>
      <c r="K1012" s="38" t="s">
        <v>1349</v>
      </c>
      <c r="L1012" s="62">
        <v>450000</v>
      </c>
      <c r="M1012" s="62">
        <v>0</v>
      </c>
      <c r="N1012" s="47">
        <v>2021.02</v>
      </c>
      <c r="O1012" s="38" t="s">
        <v>74</v>
      </c>
      <c r="P1012" s="38" t="s">
        <v>75</v>
      </c>
      <c r="Q1012" s="38">
        <v>13269819378</v>
      </c>
      <c r="R1012" s="38" t="s">
        <v>76</v>
      </c>
      <c r="S1012" s="38" t="s">
        <v>77</v>
      </c>
      <c r="T1012" s="64"/>
    </row>
    <row r="1013" spans="1:20" s="14" customFormat="1" ht="24" hidden="1" customHeight="1">
      <c r="A1013" s="63"/>
      <c r="B1013" s="38" t="s">
        <v>1351</v>
      </c>
      <c r="C1013" s="38"/>
      <c r="D1013" s="38" t="s">
        <v>1352</v>
      </c>
      <c r="E1013" s="38">
        <v>2</v>
      </c>
      <c r="F1013" s="38"/>
      <c r="G1013" s="38" t="s">
        <v>72</v>
      </c>
      <c r="H1013" s="38" t="s">
        <v>33</v>
      </c>
      <c r="I1013" s="38"/>
      <c r="J1013" s="38"/>
      <c r="K1013" s="38" t="s">
        <v>1349</v>
      </c>
      <c r="L1013" s="62">
        <v>10000</v>
      </c>
      <c r="M1013" s="62">
        <v>0</v>
      </c>
      <c r="N1013" s="47">
        <v>2021.02</v>
      </c>
      <c r="O1013" s="38" t="s">
        <v>74</v>
      </c>
      <c r="P1013" s="38" t="s">
        <v>75</v>
      </c>
      <c r="Q1013" s="38">
        <v>13269819378</v>
      </c>
      <c r="R1013" s="38" t="s">
        <v>76</v>
      </c>
      <c r="S1013" s="38" t="s">
        <v>77</v>
      </c>
      <c r="T1013" s="64"/>
    </row>
    <row r="1014" spans="1:20" s="14" customFormat="1" ht="24" hidden="1" customHeight="1">
      <c r="A1014" s="63"/>
      <c r="B1014" s="38" t="s">
        <v>1173</v>
      </c>
      <c r="C1014" s="38"/>
      <c r="D1014" s="38" t="s">
        <v>1165</v>
      </c>
      <c r="E1014" s="38">
        <v>6</v>
      </c>
      <c r="F1014" s="38"/>
      <c r="G1014" s="38" t="s">
        <v>72</v>
      </c>
      <c r="H1014" s="38" t="s">
        <v>33</v>
      </c>
      <c r="I1014" s="38"/>
      <c r="J1014" s="38"/>
      <c r="K1014" s="38" t="s">
        <v>1252</v>
      </c>
      <c r="L1014" s="62">
        <v>52035.39</v>
      </c>
      <c r="M1014" s="62">
        <v>0</v>
      </c>
      <c r="N1014" s="47">
        <v>2020.05</v>
      </c>
      <c r="O1014" s="38" t="s">
        <v>74</v>
      </c>
      <c r="P1014" s="38" t="s">
        <v>75</v>
      </c>
      <c r="Q1014" s="38">
        <v>13269819378</v>
      </c>
      <c r="R1014" s="38" t="s">
        <v>76</v>
      </c>
      <c r="S1014" s="38" t="s">
        <v>77</v>
      </c>
      <c r="T1014" s="64"/>
    </row>
    <row r="1015" spans="1:20" s="14" customFormat="1" ht="24" hidden="1" customHeight="1">
      <c r="A1015" s="63"/>
      <c r="B1015" s="38" t="s">
        <v>1163</v>
      </c>
      <c r="C1015" s="38"/>
      <c r="D1015" s="38" t="s">
        <v>131</v>
      </c>
      <c r="E1015" s="38">
        <v>13</v>
      </c>
      <c r="F1015" s="38"/>
      <c r="G1015" s="38" t="s">
        <v>72</v>
      </c>
      <c r="H1015" s="38" t="s">
        <v>33</v>
      </c>
      <c r="I1015" s="38"/>
      <c r="J1015" s="38"/>
      <c r="K1015" s="38" t="s">
        <v>1353</v>
      </c>
      <c r="L1015" s="62">
        <v>78000</v>
      </c>
      <c r="M1015" s="62">
        <v>0</v>
      </c>
      <c r="N1015" s="47">
        <v>2020.01</v>
      </c>
      <c r="O1015" s="38" t="s">
        <v>74</v>
      </c>
      <c r="P1015" s="38" t="s">
        <v>75</v>
      </c>
      <c r="Q1015" s="38">
        <v>13269819378</v>
      </c>
      <c r="R1015" s="38" t="s">
        <v>76</v>
      </c>
      <c r="S1015" s="38" t="s">
        <v>77</v>
      </c>
      <c r="T1015" s="64"/>
    </row>
    <row r="1016" spans="1:20" s="14" customFormat="1" ht="24" hidden="1" customHeight="1">
      <c r="A1016" s="63"/>
      <c r="B1016" s="38" t="s">
        <v>1186</v>
      </c>
      <c r="C1016" s="38"/>
      <c r="D1016" s="38" t="s">
        <v>131</v>
      </c>
      <c r="E1016" s="38">
        <v>16</v>
      </c>
      <c r="F1016" s="38"/>
      <c r="G1016" s="38" t="s">
        <v>72</v>
      </c>
      <c r="H1016" s="38" t="s">
        <v>33</v>
      </c>
      <c r="I1016" s="38"/>
      <c r="J1016" s="38"/>
      <c r="K1016" s="38" t="s">
        <v>1353</v>
      </c>
      <c r="L1016" s="62">
        <v>96000</v>
      </c>
      <c r="M1016" s="62">
        <v>0</v>
      </c>
      <c r="N1016" s="47">
        <v>2020.01</v>
      </c>
      <c r="O1016" s="38" t="s">
        <v>74</v>
      </c>
      <c r="P1016" s="38" t="s">
        <v>75</v>
      </c>
      <c r="Q1016" s="38">
        <v>13269819378</v>
      </c>
      <c r="R1016" s="38" t="s">
        <v>76</v>
      </c>
      <c r="S1016" s="38" t="s">
        <v>77</v>
      </c>
      <c r="T1016" s="64"/>
    </row>
    <row r="1017" spans="1:20" s="14" customFormat="1" ht="24" hidden="1" customHeight="1">
      <c r="A1017" s="63"/>
      <c r="B1017" s="38" t="s">
        <v>1173</v>
      </c>
      <c r="C1017" s="38" t="s">
        <v>1354</v>
      </c>
      <c r="D1017" s="38" t="s">
        <v>131</v>
      </c>
      <c r="E1017" s="38">
        <v>10</v>
      </c>
      <c r="F1017" s="38"/>
      <c r="G1017" s="38" t="s">
        <v>72</v>
      </c>
      <c r="H1017" s="38" t="s">
        <v>33</v>
      </c>
      <c r="I1017" s="38"/>
      <c r="J1017" s="38"/>
      <c r="K1017" s="38" t="s">
        <v>841</v>
      </c>
      <c r="L1017" s="62">
        <v>68316.83</v>
      </c>
      <c r="M1017" s="62">
        <v>0</v>
      </c>
      <c r="N1017" s="47">
        <v>2020.11</v>
      </c>
      <c r="O1017" s="38" t="s">
        <v>74</v>
      </c>
      <c r="P1017" s="38" t="s">
        <v>75</v>
      </c>
      <c r="Q1017" s="38">
        <v>13269819378</v>
      </c>
      <c r="R1017" s="38" t="s">
        <v>76</v>
      </c>
      <c r="S1017" s="38" t="s">
        <v>77</v>
      </c>
      <c r="T1017" s="64"/>
    </row>
    <row r="1018" spans="1:20" s="14" customFormat="1" ht="24" hidden="1" customHeight="1">
      <c r="A1018" s="63"/>
      <c r="B1018" s="38" t="s">
        <v>1173</v>
      </c>
      <c r="C1018" s="38" t="s">
        <v>1355</v>
      </c>
      <c r="D1018" s="38" t="s">
        <v>131</v>
      </c>
      <c r="E1018" s="38">
        <v>1</v>
      </c>
      <c r="F1018" s="38"/>
      <c r="G1018" s="38" t="s">
        <v>72</v>
      </c>
      <c r="H1018" s="38" t="s">
        <v>33</v>
      </c>
      <c r="I1018" s="38"/>
      <c r="J1018" s="38"/>
      <c r="K1018" s="38" t="s">
        <v>1356</v>
      </c>
      <c r="L1018" s="62">
        <v>28712.87</v>
      </c>
      <c r="M1018" s="62">
        <v>0</v>
      </c>
      <c r="N1018" s="47">
        <v>2021.04</v>
      </c>
      <c r="O1018" s="38" t="s">
        <v>74</v>
      </c>
      <c r="P1018" s="38" t="s">
        <v>75</v>
      </c>
      <c r="Q1018" s="38">
        <v>13269819378</v>
      </c>
      <c r="R1018" s="38" t="s">
        <v>76</v>
      </c>
      <c r="S1018" s="38" t="s">
        <v>77</v>
      </c>
      <c r="T1018" s="64"/>
    </row>
    <row r="1019" spans="1:20" s="14" customFormat="1" ht="24" hidden="1" customHeight="1">
      <c r="A1019" s="63"/>
      <c r="B1019" s="38" t="s">
        <v>1173</v>
      </c>
      <c r="C1019" s="38" t="s">
        <v>1245</v>
      </c>
      <c r="D1019" s="38" t="s">
        <v>131</v>
      </c>
      <c r="E1019" s="38">
        <v>27</v>
      </c>
      <c r="F1019" s="38"/>
      <c r="G1019" s="38" t="s">
        <v>72</v>
      </c>
      <c r="H1019" s="38" t="s">
        <v>33</v>
      </c>
      <c r="I1019" s="38"/>
      <c r="J1019" s="38"/>
      <c r="K1019" s="38" t="s">
        <v>1357</v>
      </c>
      <c r="L1019" s="62">
        <v>187128.71</v>
      </c>
      <c r="M1019" s="62">
        <v>0</v>
      </c>
      <c r="N1019" s="47">
        <v>2021.04</v>
      </c>
      <c r="O1019" s="38" t="s">
        <v>74</v>
      </c>
      <c r="P1019" s="38" t="s">
        <v>75</v>
      </c>
      <c r="Q1019" s="38">
        <v>13269819378</v>
      </c>
      <c r="R1019" s="38" t="s">
        <v>76</v>
      </c>
      <c r="S1019" s="38" t="s">
        <v>77</v>
      </c>
      <c r="T1019" s="64"/>
    </row>
    <row r="1020" spans="1:20" s="14" customFormat="1" ht="24" hidden="1" customHeight="1">
      <c r="A1020" s="63"/>
      <c r="B1020" s="38" t="s">
        <v>1358</v>
      </c>
      <c r="C1020" s="38" t="s">
        <v>1359</v>
      </c>
      <c r="D1020" s="38" t="s">
        <v>1165</v>
      </c>
      <c r="E1020" s="38">
        <v>1</v>
      </c>
      <c r="F1020" s="38"/>
      <c r="G1020" s="38" t="s">
        <v>72</v>
      </c>
      <c r="H1020" s="38" t="s">
        <v>33</v>
      </c>
      <c r="I1020" s="38"/>
      <c r="J1020" s="38"/>
      <c r="K1020" s="38" t="s">
        <v>1356</v>
      </c>
      <c r="L1020" s="62">
        <v>42178.22</v>
      </c>
      <c r="M1020" s="62">
        <v>0</v>
      </c>
      <c r="N1020" s="47">
        <v>2021.07</v>
      </c>
      <c r="O1020" s="38" t="s">
        <v>74</v>
      </c>
      <c r="P1020" s="38" t="s">
        <v>75</v>
      </c>
      <c r="Q1020" s="38">
        <v>13269819378</v>
      </c>
      <c r="R1020" s="38" t="s">
        <v>76</v>
      </c>
      <c r="S1020" s="38" t="s">
        <v>77</v>
      </c>
      <c r="T1020" s="64"/>
    </row>
    <row r="1021" spans="1:20" s="14" customFormat="1" ht="24" hidden="1" customHeight="1">
      <c r="A1021" s="63"/>
      <c r="B1021" s="38" t="s">
        <v>1358</v>
      </c>
      <c r="C1021" s="38" t="s">
        <v>1360</v>
      </c>
      <c r="D1021" s="38" t="s">
        <v>1165</v>
      </c>
      <c r="E1021" s="38">
        <v>2</v>
      </c>
      <c r="F1021" s="38"/>
      <c r="G1021" s="38" t="s">
        <v>72</v>
      </c>
      <c r="H1021" s="38" t="s">
        <v>33</v>
      </c>
      <c r="I1021" s="38"/>
      <c r="J1021" s="38"/>
      <c r="K1021" s="38" t="s">
        <v>1356</v>
      </c>
      <c r="L1021" s="62">
        <v>29306.93</v>
      </c>
      <c r="M1021" s="62">
        <v>0</v>
      </c>
      <c r="N1021" s="65">
        <v>2021.07</v>
      </c>
      <c r="O1021" s="38" t="s">
        <v>74</v>
      </c>
      <c r="P1021" s="38" t="s">
        <v>75</v>
      </c>
      <c r="Q1021" s="38">
        <v>13269819378</v>
      </c>
      <c r="R1021" s="38" t="s">
        <v>76</v>
      </c>
      <c r="S1021" s="38" t="s">
        <v>77</v>
      </c>
      <c r="T1021" s="64"/>
    </row>
    <row r="1022" spans="1:20" s="14" customFormat="1" ht="24" hidden="1" customHeight="1">
      <c r="A1022" s="63"/>
      <c r="B1022" s="66" t="s">
        <v>1173</v>
      </c>
      <c r="C1022" s="66" t="s">
        <v>1245</v>
      </c>
      <c r="D1022" s="66" t="s">
        <v>1165</v>
      </c>
      <c r="E1022" s="66">
        <v>30</v>
      </c>
      <c r="F1022" s="66"/>
      <c r="G1022" s="66" t="s">
        <v>72</v>
      </c>
      <c r="H1022" s="66" t="s">
        <v>33</v>
      </c>
      <c r="I1022" s="66"/>
      <c r="J1022" s="66"/>
      <c r="K1022" s="66" t="s">
        <v>1361</v>
      </c>
      <c r="L1022" s="67">
        <v>360000</v>
      </c>
      <c r="M1022" s="67">
        <v>0</v>
      </c>
      <c r="N1022" s="47">
        <v>2022.03</v>
      </c>
      <c r="O1022" s="66" t="s">
        <v>74</v>
      </c>
      <c r="P1022" s="66" t="s">
        <v>75</v>
      </c>
      <c r="Q1022" s="66">
        <v>13269819378</v>
      </c>
      <c r="R1022" s="66" t="s">
        <v>76</v>
      </c>
      <c r="S1022" s="66" t="s">
        <v>77</v>
      </c>
      <c r="T1022" s="64"/>
    </row>
    <row r="1023" spans="1:20" s="14" customFormat="1" ht="24" hidden="1" customHeight="1">
      <c r="A1023" s="63"/>
      <c r="B1023" s="66" t="s">
        <v>1173</v>
      </c>
      <c r="C1023" s="66" t="s">
        <v>1245</v>
      </c>
      <c r="D1023" s="66" t="s">
        <v>1165</v>
      </c>
      <c r="E1023" s="66">
        <v>12</v>
      </c>
      <c r="F1023" s="66"/>
      <c r="G1023" s="66" t="s">
        <v>72</v>
      </c>
      <c r="H1023" s="66" t="s">
        <v>33</v>
      </c>
      <c r="I1023" s="66"/>
      <c r="J1023" s="66"/>
      <c r="K1023" s="66" t="s">
        <v>1361</v>
      </c>
      <c r="L1023" s="67">
        <v>144000</v>
      </c>
      <c r="M1023" s="67">
        <v>0</v>
      </c>
      <c r="N1023" s="47">
        <v>2022.03</v>
      </c>
      <c r="O1023" s="66" t="s">
        <v>74</v>
      </c>
      <c r="P1023" s="66" t="s">
        <v>75</v>
      </c>
      <c r="Q1023" s="66">
        <v>13269819378</v>
      </c>
      <c r="R1023" s="66" t="s">
        <v>76</v>
      </c>
      <c r="S1023" s="66" t="s">
        <v>77</v>
      </c>
      <c r="T1023" s="64"/>
    </row>
    <row r="1024" spans="1:20" s="14" customFormat="1" ht="24" hidden="1" customHeight="1">
      <c r="A1024" s="15">
        <v>3</v>
      </c>
      <c r="B1024" s="68" t="s">
        <v>1362</v>
      </c>
      <c r="C1024" s="69"/>
      <c r="D1024" s="69"/>
      <c r="E1024" s="70"/>
      <c r="F1024" s="70"/>
      <c r="G1024" s="69"/>
      <c r="H1024" s="69"/>
      <c r="I1024" s="69"/>
      <c r="J1024" s="69"/>
      <c r="K1024" s="69"/>
      <c r="L1024" s="71"/>
      <c r="M1024" s="71"/>
      <c r="N1024" s="69"/>
      <c r="O1024" s="69"/>
      <c r="P1024" s="69"/>
      <c r="Q1024" s="69"/>
      <c r="R1024" s="69"/>
      <c r="S1024" s="69"/>
      <c r="T1024" s="69"/>
    </row>
    <row r="1025" spans="1:20" s="14" customFormat="1" ht="24" customHeight="1">
      <c r="A1025" s="15"/>
      <c r="B1025" s="11" t="s">
        <v>1363</v>
      </c>
      <c r="C1025" s="11" t="s">
        <v>1364</v>
      </c>
      <c r="D1025" s="11" t="s">
        <v>888</v>
      </c>
      <c r="E1025" s="9">
        <v>216</v>
      </c>
      <c r="F1025" s="9" t="s">
        <v>34</v>
      </c>
      <c r="G1025" s="11" t="s">
        <v>87</v>
      </c>
      <c r="H1025" s="11" t="s">
        <v>41</v>
      </c>
      <c r="I1025" s="11" t="s">
        <v>34</v>
      </c>
      <c r="J1025" s="11" t="s">
        <v>214</v>
      </c>
      <c r="K1025" s="11" t="s">
        <v>1365</v>
      </c>
      <c r="L1025" s="12">
        <v>64800</v>
      </c>
      <c r="M1025" s="12">
        <v>19440</v>
      </c>
      <c r="N1025" s="23">
        <v>41730</v>
      </c>
      <c r="O1025" s="11" t="s">
        <v>216</v>
      </c>
      <c r="P1025" s="11" t="s">
        <v>217</v>
      </c>
      <c r="Q1025" s="11">
        <v>13911525139</v>
      </c>
      <c r="R1025" s="11" t="s">
        <v>218</v>
      </c>
      <c r="S1025" s="11" t="s">
        <v>77</v>
      </c>
      <c r="T1025" s="11"/>
    </row>
    <row r="1026" spans="1:20" s="14" customFormat="1" ht="24" hidden="1" customHeight="1">
      <c r="A1026" s="15"/>
      <c r="B1026" s="11" t="s">
        <v>1366</v>
      </c>
      <c r="C1026" s="11"/>
      <c r="D1026" s="11" t="s">
        <v>79</v>
      </c>
      <c r="E1026" s="9">
        <v>2</v>
      </c>
      <c r="F1026" s="9"/>
      <c r="G1026" s="11" t="s">
        <v>32</v>
      </c>
      <c r="H1026" s="11" t="s">
        <v>33</v>
      </c>
      <c r="I1026" s="11"/>
      <c r="J1026" s="11" t="s">
        <v>901</v>
      </c>
      <c r="K1026" s="11" t="s">
        <v>1200</v>
      </c>
      <c r="L1026" s="12">
        <v>78000</v>
      </c>
      <c r="M1026" s="12">
        <v>78000</v>
      </c>
      <c r="N1026" s="24">
        <v>43466</v>
      </c>
      <c r="O1026" s="11" t="s">
        <v>903</v>
      </c>
      <c r="P1026" s="11" t="s">
        <v>904</v>
      </c>
      <c r="Q1026" s="11">
        <v>13622035114</v>
      </c>
      <c r="R1026" s="11" t="s">
        <v>905</v>
      </c>
      <c r="S1026" s="11"/>
      <c r="T1026" s="11"/>
    </row>
    <row r="1027" spans="1:20" s="14" customFormat="1" ht="24" hidden="1" customHeight="1">
      <c r="A1027" s="15"/>
      <c r="B1027" s="11" t="s">
        <v>1278</v>
      </c>
      <c r="C1027" s="11"/>
      <c r="D1027" s="11" t="s">
        <v>79</v>
      </c>
      <c r="E1027" s="9">
        <v>1</v>
      </c>
      <c r="F1027" s="9"/>
      <c r="G1027" s="11" t="s">
        <v>32</v>
      </c>
      <c r="H1027" s="11" t="s">
        <v>33</v>
      </c>
      <c r="I1027" s="11"/>
      <c r="J1027" s="11" t="s">
        <v>901</v>
      </c>
      <c r="K1027" s="11" t="s">
        <v>1200</v>
      </c>
      <c r="L1027" s="12">
        <v>10000</v>
      </c>
      <c r="M1027" s="12">
        <v>10000</v>
      </c>
      <c r="N1027" s="24">
        <v>43466</v>
      </c>
      <c r="O1027" s="11" t="s">
        <v>903</v>
      </c>
      <c r="P1027" s="11" t="s">
        <v>904</v>
      </c>
      <c r="Q1027" s="11">
        <v>13622035114</v>
      </c>
      <c r="R1027" s="11" t="s">
        <v>905</v>
      </c>
      <c r="S1027" s="11"/>
      <c r="T1027" s="11"/>
    </row>
    <row r="1028" spans="1:20" s="14" customFormat="1" ht="24" hidden="1" customHeight="1">
      <c r="A1028" s="15"/>
      <c r="B1028" s="11" t="s">
        <v>1367</v>
      </c>
      <c r="C1028" s="11" t="s">
        <v>1368</v>
      </c>
      <c r="D1028" s="11" t="s">
        <v>1369</v>
      </c>
      <c r="E1028" s="9">
        <v>986.35</v>
      </c>
      <c r="F1028" s="9"/>
      <c r="G1028" s="11" t="s">
        <v>32</v>
      </c>
      <c r="H1028" s="11" t="s">
        <v>33</v>
      </c>
      <c r="I1028" s="11"/>
      <c r="J1028" s="11" t="s">
        <v>901</v>
      </c>
      <c r="K1028" s="11" t="s">
        <v>1370</v>
      </c>
      <c r="L1028" s="12">
        <v>300836.75</v>
      </c>
      <c r="M1028" s="12">
        <v>300836.75</v>
      </c>
      <c r="N1028" s="24">
        <v>43466</v>
      </c>
      <c r="O1028" s="11" t="s">
        <v>903</v>
      </c>
      <c r="P1028" s="11" t="s">
        <v>904</v>
      </c>
      <c r="Q1028" s="11">
        <v>13622035114</v>
      </c>
      <c r="R1028" s="11" t="s">
        <v>905</v>
      </c>
      <c r="S1028" s="11"/>
      <c r="T1028" s="11"/>
    </row>
    <row r="1029" spans="1:20" s="14" customFormat="1" ht="24" hidden="1" customHeight="1">
      <c r="A1029" s="15"/>
      <c r="B1029" s="11" t="s">
        <v>1367</v>
      </c>
      <c r="C1029" s="11" t="s">
        <v>1368</v>
      </c>
      <c r="D1029" s="11" t="s">
        <v>1369</v>
      </c>
      <c r="E1029" s="9">
        <v>1491.48</v>
      </c>
      <c r="F1029" s="9"/>
      <c r="G1029" s="11" t="s">
        <v>32</v>
      </c>
      <c r="H1029" s="11" t="s">
        <v>33</v>
      </c>
      <c r="I1029" s="11"/>
      <c r="J1029" s="11" t="s">
        <v>901</v>
      </c>
      <c r="K1029" s="11" t="s">
        <v>1370</v>
      </c>
      <c r="L1029" s="12">
        <v>454901.4</v>
      </c>
      <c r="M1029" s="12">
        <v>454901.4</v>
      </c>
      <c r="N1029" s="24">
        <v>43466</v>
      </c>
      <c r="O1029" s="11" t="s">
        <v>903</v>
      </c>
      <c r="P1029" s="11" t="s">
        <v>904</v>
      </c>
      <c r="Q1029" s="11">
        <v>13622035114</v>
      </c>
      <c r="R1029" s="11" t="s">
        <v>905</v>
      </c>
      <c r="S1029" s="11"/>
      <c r="T1029" s="11"/>
    </row>
    <row r="1030" spans="1:20" s="14" customFormat="1" ht="24" hidden="1" customHeight="1">
      <c r="A1030" s="15"/>
      <c r="B1030" s="11" t="s">
        <v>1367</v>
      </c>
      <c r="C1030" s="11" t="s">
        <v>1368</v>
      </c>
      <c r="D1030" s="11" t="s">
        <v>1369</v>
      </c>
      <c r="E1030" s="9">
        <v>482.28</v>
      </c>
      <c r="F1030" s="9"/>
      <c r="G1030" s="11" t="s">
        <v>32</v>
      </c>
      <c r="H1030" s="11" t="s">
        <v>33</v>
      </c>
      <c r="I1030" s="11"/>
      <c r="J1030" s="11" t="s">
        <v>901</v>
      </c>
      <c r="K1030" s="11" t="s">
        <v>1213</v>
      </c>
      <c r="L1030" s="12">
        <v>147095.4</v>
      </c>
      <c r="M1030" s="12">
        <v>147095.4</v>
      </c>
      <c r="N1030" s="24">
        <v>43466</v>
      </c>
      <c r="O1030" s="11" t="s">
        <v>903</v>
      </c>
      <c r="P1030" s="11" t="s">
        <v>904</v>
      </c>
      <c r="Q1030" s="11">
        <v>13622035114</v>
      </c>
      <c r="R1030" s="11" t="s">
        <v>905</v>
      </c>
      <c r="S1030" s="11"/>
      <c r="T1030" s="11"/>
    </row>
    <row r="1031" spans="1:20" s="14" customFormat="1" ht="24" hidden="1" customHeight="1">
      <c r="A1031" s="15"/>
      <c r="B1031" s="11" t="s">
        <v>1367</v>
      </c>
      <c r="C1031" s="11" t="s">
        <v>1371</v>
      </c>
      <c r="D1031" s="11" t="s">
        <v>1369</v>
      </c>
      <c r="E1031" s="9">
        <v>595.39</v>
      </c>
      <c r="F1031" s="9"/>
      <c r="G1031" s="11" t="s">
        <v>32</v>
      </c>
      <c r="H1031" s="11" t="s">
        <v>33</v>
      </c>
      <c r="I1031" s="11"/>
      <c r="J1031" s="11" t="s">
        <v>901</v>
      </c>
      <c r="K1031" s="11" t="s">
        <v>1213</v>
      </c>
      <c r="L1031" s="12">
        <v>196478.7</v>
      </c>
      <c r="M1031" s="12">
        <v>196478.7</v>
      </c>
      <c r="N1031" s="24">
        <v>43466</v>
      </c>
      <c r="O1031" s="11" t="s">
        <v>903</v>
      </c>
      <c r="P1031" s="11" t="s">
        <v>904</v>
      </c>
      <c r="Q1031" s="11">
        <v>13622035114</v>
      </c>
      <c r="R1031" s="11" t="s">
        <v>905</v>
      </c>
      <c r="S1031" s="11"/>
      <c r="T1031" s="11"/>
    </row>
    <row r="1032" spans="1:20" s="14" customFormat="1" ht="24" hidden="1" customHeight="1">
      <c r="A1032" s="15"/>
      <c r="B1032" s="11" t="s">
        <v>1372</v>
      </c>
      <c r="C1032" s="11" t="s">
        <v>1373</v>
      </c>
      <c r="D1032" s="11" t="s">
        <v>131</v>
      </c>
      <c r="E1032" s="9">
        <v>2</v>
      </c>
      <c r="F1032" s="9"/>
      <c r="G1032" s="11" t="s">
        <v>32</v>
      </c>
      <c r="H1032" s="11" t="s">
        <v>33</v>
      </c>
      <c r="I1032" s="11"/>
      <c r="J1032" s="11" t="s">
        <v>901</v>
      </c>
      <c r="K1032" s="11" t="s">
        <v>1213</v>
      </c>
      <c r="L1032" s="12">
        <v>24000</v>
      </c>
      <c r="M1032" s="12">
        <v>24000</v>
      </c>
      <c r="N1032" s="24">
        <v>43466</v>
      </c>
      <c r="O1032" s="11" t="s">
        <v>903</v>
      </c>
      <c r="P1032" s="11" t="s">
        <v>904</v>
      </c>
      <c r="Q1032" s="11">
        <v>13622035114</v>
      </c>
      <c r="R1032" s="11" t="s">
        <v>905</v>
      </c>
      <c r="S1032" s="11"/>
      <c r="T1032" s="11"/>
    </row>
    <row r="1033" spans="1:20" s="14" customFormat="1" ht="24" hidden="1" customHeight="1">
      <c r="A1033" s="15"/>
      <c r="B1033" s="11" t="s">
        <v>1372</v>
      </c>
      <c r="C1033" s="11" t="s">
        <v>1374</v>
      </c>
      <c r="D1033" s="11" t="s">
        <v>131</v>
      </c>
      <c r="E1033" s="9">
        <v>1</v>
      </c>
      <c r="F1033" s="9"/>
      <c r="G1033" s="11" t="s">
        <v>32</v>
      </c>
      <c r="H1033" s="11" t="s">
        <v>33</v>
      </c>
      <c r="I1033" s="11"/>
      <c r="J1033" s="11" t="s">
        <v>901</v>
      </c>
      <c r="K1033" s="11" t="s">
        <v>1213</v>
      </c>
      <c r="L1033" s="12">
        <v>26000</v>
      </c>
      <c r="M1033" s="12">
        <v>26000</v>
      </c>
      <c r="N1033" s="24">
        <v>43466</v>
      </c>
      <c r="O1033" s="11" t="s">
        <v>903</v>
      </c>
      <c r="P1033" s="11" t="s">
        <v>904</v>
      </c>
      <c r="Q1033" s="11">
        <v>13622035114</v>
      </c>
      <c r="R1033" s="11" t="s">
        <v>905</v>
      </c>
      <c r="S1033" s="11"/>
      <c r="T1033" s="11"/>
    </row>
    <row r="1034" spans="1:20" s="14" customFormat="1" ht="24" hidden="1" customHeight="1">
      <c r="A1034" s="15"/>
      <c r="B1034" s="11" t="s">
        <v>1278</v>
      </c>
      <c r="C1034" s="11"/>
      <c r="D1034" s="11" t="s">
        <v>79</v>
      </c>
      <c r="E1034" s="9">
        <v>1</v>
      </c>
      <c r="F1034" s="9"/>
      <c r="G1034" s="11" t="s">
        <v>32</v>
      </c>
      <c r="H1034" s="11" t="s">
        <v>33</v>
      </c>
      <c r="I1034" s="11"/>
      <c r="J1034" s="11" t="s">
        <v>901</v>
      </c>
      <c r="K1034" s="11" t="s">
        <v>1200</v>
      </c>
      <c r="L1034" s="12">
        <v>10000</v>
      </c>
      <c r="M1034" s="12">
        <v>10000</v>
      </c>
      <c r="N1034" s="24">
        <v>43466</v>
      </c>
      <c r="O1034" s="11" t="s">
        <v>903</v>
      </c>
      <c r="P1034" s="11" t="s">
        <v>904</v>
      </c>
      <c r="Q1034" s="11">
        <v>13622035114</v>
      </c>
      <c r="R1034" s="11" t="s">
        <v>905</v>
      </c>
      <c r="S1034" s="11"/>
      <c r="T1034" s="11"/>
    </row>
    <row r="1035" spans="1:20" s="14" customFormat="1" ht="24" hidden="1" customHeight="1">
      <c r="A1035" s="15"/>
      <c r="B1035" s="11" t="s">
        <v>1375</v>
      </c>
      <c r="C1035" s="11" t="s">
        <v>1376</v>
      </c>
      <c r="D1035" s="11" t="s">
        <v>79</v>
      </c>
      <c r="E1035" s="9">
        <v>1</v>
      </c>
      <c r="F1035" s="9"/>
      <c r="G1035" s="11" t="s">
        <v>32</v>
      </c>
      <c r="H1035" s="11" t="s">
        <v>33</v>
      </c>
      <c r="I1035" s="11"/>
      <c r="J1035" s="11" t="s">
        <v>901</v>
      </c>
      <c r="K1035" s="11" t="s">
        <v>1200</v>
      </c>
      <c r="L1035" s="12">
        <v>98345</v>
      </c>
      <c r="M1035" s="12">
        <v>98345</v>
      </c>
      <c r="N1035" s="24">
        <v>43466</v>
      </c>
      <c r="O1035" s="11" t="s">
        <v>903</v>
      </c>
      <c r="P1035" s="11" t="s">
        <v>904</v>
      </c>
      <c r="Q1035" s="11">
        <v>13622035114</v>
      </c>
      <c r="R1035" s="11" t="s">
        <v>905</v>
      </c>
      <c r="S1035" s="11"/>
      <c r="T1035" s="11"/>
    </row>
    <row r="1036" spans="1:20" s="14" customFormat="1" ht="24" hidden="1" customHeight="1">
      <c r="A1036" s="15"/>
      <c r="B1036" s="11" t="s">
        <v>1366</v>
      </c>
      <c r="C1036" s="11"/>
      <c r="D1036" s="11" t="s">
        <v>79</v>
      </c>
      <c r="E1036" s="9">
        <v>2</v>
      </c>
      <c r="F1036" s="9"/>
      <c r="G1036" s="11" t="s">
        <v>32</v>
      </c>
      <c r="H1036" s="11" t="s">
        <v>33</v>
      </c>
      <c r="I1036" s="11"/>
      <c r="J1036" s="11" t="s">
        <v>901</v>
      </c>
      <c r="K1036" s="11" t="s">
        <v>1200</v>
      </c>
      <c r="L1036" s="12">
        <v>78000</v>
      </c>
      <c r="M1036" s="12">
        <v>78000</v>
      </c>
      <c r="N1036" s="24">
        <v>43466</v>
      </c>
      <c r="O1036" s="11" t="s">
        <v>903</v>
      </c>
      <c r="P1036" s="11" t="s">
        <v>904</v>
      </c>
      <c r="Q1036" s="11">
        <v>13622035114</v>
      </c>
      <c r="R1036" s="11" t="s">
        <v>905</v>
      </c>
      <c r="S1036" s="11"/>
      <c r="T1036" s="11"/>
    </row>
    <row r="1037" spans="1:20" s="14" customFormat="1" ht="24" hidden="1" customHeight="1">
      <c r="A1037" s="15"/>
      <c r="B1037" s="11" t="s">
        <v>1377</v>
      </c>
      <c r="C1037" s="11" t="s">
        <v>1378</v>
      </c>
      <c r="D1037" s="11" t="s">
        <v>1369</v>
      </c>
      <c r="E1037" s="9">
        <v>168</v>
      </c>
      <c r="F1037" s="9"/>
      <c r="G1037" s="11" t="s">
        <v>32</v>
      </c>
      <c r="H1037" s="11" t="s">
        <v>33</v>
      </c>
      <c r="I1037" s="11"/>
      <c r="J1037" s="11" t="s">
        <v>901</v>
      </c>
      <c r="K1037" s="11" t="s">
        <v>1089</v>
      </c>
      <c r="L1037" s="12">
        <v>51912</v>
      </c>
      <c r="M1037" s="12">
        <v>51912</v>
      </c>
      <c r="N1037" s="24">
        <v>43466</v>
      </c>
      <c r="O1037" s="11" t="s">
        <v>903</v>
      </c>
      <c r="P1037" s="11" t="s">
        <v>904</v>
      </c>
      <c r="Q1037" s="11">
        <v>13622035114</v>
      </c>
      <c r="R1037" s="11" t="s">
        <v>905</v>
      </c>
      <c r="S1037" s="11"/>
      <c r="T1037" s="11"/>
    </row>
    <row r="1038" spans="1:20" s="14" customFormat="1" ht="24" hidden="1" customHeight="1">
      <c r="A1038" s="15"/>
      <c r="B1038" s="11" t="s">
        <v>1377</v>
      </c>
      <c r="C1038" s="11" t="s">
        <v>1379</v>
      </c>
      <c r="D1038" s="11" t="s">
        <v>1369</v>
      </c>
      <c r="E1038" s="9">
        <v>154</v>
      </c>
      <c r="F1038" s="9"/>
      <c r="G1038" s="11" t="s">
        <v>32</v>
      </c>
      <c r="H1038" s="11" t="s">
        <v>33</v>
      </c>
      <c r="I1038" s="11"/>
      <c r="J1038" s="11" t="s">
        <v>901</v>
      </c>
      <c r="K1038" s="11" t="s">
        <v>1089</v>
      </c>
      <c r="L1038" s="12">
        <v>47586</v>
      </c>
      <c r="M1038" s="12">
        <v>47586</v>
      </c>
      <c r="N1038" s="24">
        <v>43466</v>
      </c>
      <c r="O1038" s="11" t="s">
        <v>903</v>
      </c>
      <c r="P1038" s="11" t="s">
        <v>904</v>
      </c>
      <c r="Q1038" s="11">
        <v>13622035114</v>
      </c>
      <c r="R1038" s="11" t="s">
        <v>905</v>
      </c>
      <c r="S1038" s="11"/>
      <c r="T1038" s="11"/>
    </row>
    <row r="1039" spans="1:20" s="14" customFormat="1" ht="24" hidden="1" customHeight="1">
      <c r="A1039" s="15"/>
      <c r="B1039" s="11" t="s">
        <v>1377</v>
      </c>
      <c r="C1039" s="11" t="s">
        <v>1380</v>
      </c>
      <c r="D1039" s="11" t="s">
        <v>1369</v>
      </c>
      <c r="E1039" s="9">
        <v>432</v>
      </c>
      <c r="F1039" s="9"/>
      <c r="G1039" s="11" t="s">
        <v>32</v>
      </c>
      <c r="H1039" s="11" t="s">
        <v>33</v>
      </c>
      <c r="I1039" s="11"/>
      <c r="J1039" s="11" t="s">
        <v>901</v>
      </c>
      <c r="K1039" s="11" t="s">
        <v>1089</v>
      </c>
      <c r="L1039" s="12">
        <v>133488</v>
      </c>
      <c r="M1039" s="12">
        <v>133488</v>
      </c>
      <c r="N1039" s="24">
        <v>43466</v>
      </c>
      <c r="O1039" s="11" t="s">
        <v>903</v>
      </c>
      <c r="P1039" s="11" t="s">
        <v>904</v>
      </c>
      <c r="Q1039" s="11">
        <v>13622035114</v>
      </c>
      <c r="R1039" s="11" t="s">
        <v>905</v>
      </c>
      <c r="S1039" s="11"/>
      <c r="T1039" s="11"/>
    </row>
    <row r="1040" spans="1:20" s="14" customFormat="1" ht="24" hidden="1" customHeight="1">
      <c r="A1040" s="15"/>
      <c r="B1040" s="11" t="s">
        <v>1377</v>
      </c>
      <c r="C1040" s="11" t="s">
        <v>1381</v>
      </c>
      <c r="D1040" s="11" t="s">
        <v>1369</v>
      </c>
      <c r="E1040" s="9">
        <v>396</v>
      </c>
      <c r="F1040" s="9"/>
      <c r="G1040" s="11" t="s">
        <v>32</v>
      </c>
      <c r="H1040" s="11" t="s">
        <v>33</v>
      </c>
      <c r="I1040" s="11"/>
      <c r="J1040" s="11" t="s">
        <v>901</v>
      </c>
      <c r="K1040" s="11" t="s">
        <v>1089</v>
      </c>
      <c r="L1040" s="12">
        <v>122364</v>
      </c>
      <c r="M1040" s="12">
        <v>122364</v>
      </c>
      <c r="N1040" s="24">
        <v>43466</v>
      </c>
      <c r="O1040" s="11" t="s">
        <v>903</v>
      </c>
      <c r="P1040" s="11" t="s">
        <v>904</v>
      </c>
      <c r="Q1040" s="11">
        <v>13622035114</v>
      </c>
      <c r="R1040" s="11" t="s">
        <v>905</v>
      </c>
      <c r="S1040" s="11"/>
      <c r="T1040" s="11"/>
    </row>
    <row r="1041" spans="1:20" s="14" customFormat="1" ht="24" hidden="1" customHeight="1">
      <c r="A1041" s="15"/>
      <c r="B1041" s="11" t="s">
        <v>1382</v>
      </c>
      <c r="C1041" s="11" t="s">
        <v>1383</v>
      </c>
      <c r="D1041" s="11" t="s">
        <v>62</v>
      </c>
      <c r="E1041" s="9">
        <v>27.297000000000001</v>
      </c>
      <c r="F1041" s="9"/>
      <c r="G1041" s="11" t="s">
        <v>32</v>
      </c>
      <c r="H1041" s="11" t="s">
        <v>33</v>
      </c>
      <c r="I1041" s="11"/>
      <c r="J1041" s="11" t="s">
        <v>901</v>
      </c>
      <c r="K1041" s="11" t="s">
        <v>1384</v>
      </c>
      <c r="L1041" s="12">
        <v>150133.5</v>
      </c>
      <c r="M1041" s="12">
        <v>150133.5</v>
      </c>
      <c r="N1041" s="24">
        <v>43466</v>
      </c>
      <c r="O1041" s="11" t="s">
        <v>903</v>
      </c>
      <c r="P1041" s="11" t="s">
        <v>904</v>
      </c>
      <c r="Q1041" s="11">
        <v>13622035114</v>
      </c>
      <c r="R1041" s="11" t="s">
        <v>905</v>
      </c>
      <c r="S1041" s="11"/>
      <c r="T1041" s="11"/>
    </row>
    <row r="1042" spans="1:20" s="14" customFormat="1" ht="24" hidden="1" customHeight="1">
      <c r="A1042" s="15"/>
      <c r="B1042" s="11" t="s">
        <v>1382</v>
      </c>
      <c r="C1042" s="11" t="s">
        <v>1385</v>
      </c>
      <c r="D1042" s="11" t="s">
        <v>62</v>
      </c>
      <c r="E1042" s="9">
        <v>42.881</v>
      </c>
      <c r="F1042" s="9"/>
      <c r="G1042" s="11" t="s">
        <v>32</v>
      </c>
      <c r="H1042" s="11" t="s">
        <v>33</v>
      </c>
      <c r="I1042" s="11"/>
      <c r="J1042" s="11" t="s">
        <v>901</v>
      </c>
      <c r="K1042" s="11" t="s">
        <v>1384</v>
      </c>
      <c r="L1042" s="12">
        <v>235845.5</v>
      </c>
      <c r="M1042" s="12">
        <v>235845.5</v>
      </c>
      <c r="N1042" s="24">
        <v>43466</v>
      </c>
      <c r="O1042" s="11" t="s">
        <v>903</v>
      </c>
      <c r="P1042" s="11" t="s">
        <v>904</v>
      </c>
      <c r="Q1042" s="11">
        <v>13622035114</v>
      </c>
      <c r="R1042" s="11" t="s">
        <v>905</v>
      </c>
      <c r="S1042" s="11"/>
      <c r="T1042" s="11"/>
    </row>
    <row r="1043" spans="1:20" s="14" customFormat="1" ht="24" hidden="1" customHeight="1">
      <c r="A1043" s="15"/>
      <c r="B1043" s="11" t="s">
        <v>1382</v>
      </c>
      <c r="C1043" s="11" t="s">
        <v>1386</v>
      </c>
      <c r="D1043" s="11" t="s">
        <v>62</v>
      </c>
      <c r="E1043" s="9">
        <v>20.709</v>
      </c>
      <c r="F1043" s="9"/>
      <c r="G1043" s="11" t="s">
        <v>32</v>
      </c>
      <c r="H1043" s="11" t="s">
        <v>33</v>
      </c>
      <c r="I1043" s="11"/>
      <c r="J1043" s="11" t="s">
        <v>901</v>
      </c>
      <c r="K1043" s="11" t="s">
        <v>1384</v>
      </c>
      <c r="L1043" s="12">
        <v>113899.5</v>
      </c>
      <c r="M1043" s="12">
        <v>113899.5</v>
      </c>
      <c r="N1043" s="24">
        <v>43466</v>
      </c>
      <c r="O1043" s="11" t="s">
        <v>903</v>
      </c>
      <c r="P1043" s="11" t="s">
        <v>904</v>
      </c>
      <c r="Q1043" s="11">
        <v>13622035114</v>
      </c>
      <c r="R1043" s="11" t="s">
        <v>905</v>
      </c>
      <c r="S1043" s="11"/>
      <c r="T1043" s="11"/>
    </row>
    <row r="1044" spans="1:20" s="14" customFormat="1" ht="24" hidden="1" customHeight="1">
      <c r="A1044" s="15"/>
      <c r="B1044" s="11" t="s">
        <v>1382</v>
      </c>
      <c r="C1044" s="11" t="s">
        <v>1387</v>
      </c>
      <c r="D1044" s="11" t="s">
        <v>62</v>
      </c>
      <c r="E1044" s="9">
        <v>69.688000000000002</v>
      </c>
      <c r="F1044" s="9"/>
      <c r="G1044" s="11" t="s">
        <v>32</v>
      </c>
      <c r="H1044" s="11" t="s">
        <v>33</v>
      </c>
      <c r="I1044" s="11"/>
      <c r="J1044" s="11" t="s">
        <v>901</v>
      </c>
      <c r="K1044" s="11" t="s">
        <v>1384</v>
      </c>
      <c r="L1044" s="12">
        <v>383284</v>
      </c>
      <c r="M1044" s="12">
        <v>383284</v>
      </c>
      <c r="N1044" s="24">
        <v>43466</v>
      </c>
      <c r="O1044" s="11" t="s">
        <v>903</v>
      </c>
      <c r="P1044" s="11" t="s">
        <v>904</v>
      </c>
      <c r="Q1044" s="11">
        <v>13622035114</v>
      </c>
      <c r="R1044" s="11" t="s">
        <v>905</v>
      </c>
      <c r="S1044" s="11"/>
      <c r="T1044" s="11"/>
    </row>
    <row r="1045" spans="1:20" s="14" customFormat="1" ht="24" hidden="1" customHeight="1">
      <c r="A1045" s="15"/>
      <c r="B1045" s="11" t="s">
        <v>1388</v>
      </c>
      <c r="C1045" s="11" t="s">
        <v>1389</v>
      </c>
      <c r="D1045" s="11" t="s">
        <v>1165</v>
      </c>
      <c r="E1045" s="9">
        <v>9</v>
      </c>
      <c r="F1045" s="9"/>
      <c r="G1045" s="11" t="s">
        <v>32</v>
      </c>
      <c r="H1045" s="11" t="s">
        <v>33</v>
      </c>
      <c r="I1045" s="11"/>
      <c r="J1045" s="11" t="s">
        <v>901</v>
      </c>
      <c r="K1045" s="11" t="s">
        <v>1390</v>
      </c>
      <c r="L1045" s="12">
        <v>193500</v>
      </c>
      <c r="M1045" s="12">
        <v>193500</v>
      </c>
      <c r="N1045" s="24">
        <v>43466</v>
      </c>
      <c r="O1045" s="11" t="s">
        <v>903</v>
      </c>
      <c r="P1045" s="11" t="s">
        <v>904</v>
      </c>
      <c r="Q1045" s="11">
        <v>13622035114</v>
      </c>
      <c r="R1045" s="11" t="s">
        <v>905</v>
      </c>
      <c r="S1045" s="11"/>
      <c r="T1045" s="11"/>
    </row>
    <row r="1046" spans="1:20" s="14" customFormat="1" ht="24" hidden="1" customHeight="1">
      <c r="A1046" s="15"/>
      <c r="B1046" s="11" t="s">
        <v>1367</v>
      </c>
      <c r="C1046" s="11" t="s">
        <v>1389</v>
      </c>
      <c r="D1046" s="11" t="s">
        <v>1165</v>
      </c>
      <c r="E1046" s="9">
        <v>2</v>
      </c>
      <c r="F1046" s="9"/>
      <c r="G1046" s="11" t="s">
        <v>32</v>
      </c>
      <c r="H1046" s="11" t="s">
        <v>33</v>
      </c>
      <c r="I1046" s="11"/>
      <c r="J1046" s="11" t="s">
        <v>901</v>
      </c>
      <c r="K1046" s="11" t="s">
        <v>1390</v>
      </c>
      <c r="L1046" s="12">
        <v>16500</v>
      </c>
      <c r="M1046" s="12">
        <v>16500</v>
      </c>
      <c r="N1046" s="24">
        <v>43466</v>
      </c>
      <c r="O1046" s="11" t="s">
        <v>903</v>
      </c>
      <c r="P1046" s="11" t="s">
        <v>904</v>
      </c>
      <c r="Q1046" s="11">
        <v>13622035114</v>
      </c>
      <c r="R1046" s="11" t="s">
        <v>905</v>
      </c>
      <c r="S1046" s="11"/>
      <c r="T1046" s="11"/>
    </row>
    <row r="1047" spans="1:20" s="14" customFormat="1" ht="24" hidden="1" customHeight="1">
      <c r="A1047" s="15"/>
      <c r="B1047" s="11" t="s">
        <v>1391</v>
      </c>
      <c r="C1047" s="11" t="s">
        <v>1392</v>
      </c>
      <c r="D1047" s="11" t="s">
        <v>1369</v>
      </c>
      <c r="E1047" s="9">
        <v>1918.62</v>
      </c>
      <c r="F1047" s="9"/>
      <c r="G1047" s="11" t="s">
        <v>32</v>
      </c>
      <c r="H1047" s="11" t="s">
        <v>33</v>
      </c>
      <c r="I1047" s="11"/>
      <c r="J1047" s="11" t="s">
        <v>901</v>
      </c>
      <c r="K1047" s="11" t="s">
        <v>1283</v>
      </c>
      <c r="L1047" s="12">
        <v>456631.56</v>
      </c>
      <c r="M1047" s="12">
        <v>456631.56</v>
      </c>
      <c r="N1047" s="24">
        <v>43466</v>
      </c>
      <c r="O1047" s="11" t="s">
        <v>903</v>
      </c>
      <c r="P1047" s="11" t="s">
        <v>904</v>
      </c>
      <c r="Q1047" s="11">
        <v>13622035114</v>
      </c>
      <c r="R1047" s="11" t="s">
        <v>905</v>
      </c>
      <c r="S1047" s="11"/>
      <c r="T1047" s="11"/>
    </row>
    <row r="1048" spans="1:20" s="14" customFormat="1" ht="24" hidden="1" customHeight="1">
      <c r="A1048" s="15"/>
      <c r="B1048" s="11" t="s">
        <v>1391</v>
      </c>
      <c r="C1048" s="11" t="s">
        <v>1393</v>
      </c>
      <c r="D1048" s="11" t="s">
        <v>1369</v>
      </c>
      <c r="E1048" s="9">
        <v>853.37</v>
      </c>
      <c r="F1048" s="9"/>
      <c r="G1048" s="11" t="s">
        <v>32</v>
      </c>
      <c r="H1048" s="11" t="s">
        <v>33</v>
      </c>
      <c r="I1048" s="11"/>
      <c r="J1048" s="11" t="s">
        <v>901</v>
      </c>
      <c r="K1048" s="11" t="s">
        <v>1283</v>
      </c>
      <c r="L1048" s="12">
        <v>203102.06</v>
      </c>
      <c r="M1048" s="12">
        <v>203102.06</v>
      </c>
      <c r="N1048" s="24">
        <v>43466</v>
      </c>
      <c r="O1048" s="11" t="s">
        <v>903</v>
      </c>
      <c r="P1048" s="11" t="s">
        <v>904</v>
      </c>
      <c r="Q1048" s="11">
        <v>13622035114</v>
      </c>
      <c r="R1048" s="11" t="s">
        <v>905</v>
      </c>
      <c r="S1048" s="11"/>
      <c r="T1048" s="11"/>
    </row>
    <row r="1049" spans="1:20" s="14" customFormat="1" ht="24" hidden="1" customHeight="1">
      <c r="A1049" s="15"/>
      <c r="B1049" s="11" t="s">
        <v>1394</v>
      </c>
      <c r="C1049" s="11" t="s">
        <v>1395</v>
      </c>
      <c r="D1049" s="11" t="s">
        <v>79</v>
      </c>
      <c r="E1049" s="9">
        <v>7</v>
      </c>
      <c r="F1049" s="9"/>
      <c r="G1049" s="11" t="s">
        <v>32</v>
      </c>
      <c r="H1049" s="11" t="s">
        <v>33</v>
      </c>
      <c r="I1049" s="11" t="s">
        <v>1251</v>
      </c>
      <c r="J1049" s="11" t="s">
        <v>1251</v>
      </c>
      <c r="K1049" s="11" t="s">
        <v>1283</v>
      </c>
      <c r="L1049" s="12">
        <v>4500</v>
      </c>
      <c r="M1049" s="12">
        <v>26198.019801980201</v>
      </c>
      <c r="N1049" s="11" t="s">
        <v>1396</v>
      </c>
      <c r="O1049" s="11" t="s">
        <v>1254</v>
      </c>
      <c r="P1049" s="11" t="s">
        <v>37</v>
      </c>
      <c r="Q1049" s="11">
        <v>18631369860</v>
      </c>
      <c r="R1049" s="11" t="s">
        <v>38</v>
      </c>
      <c r="S1049" s="11" t="s">
        <v>39</v>
      </c>
      <c r="T1049" s="11"/>
    </row>
    <row r="1050" spans="1:20" s="14" customFormat="1" ht="24" hidden="1" customHeight="1">
      <c r="A1050" s="15"/>
      <c r="B1050" s="11" t="s">
        <v>1397</v>
      </c>
      <c r="C1050" s="11" t="s">
        <v>1395</v>
      </c>
      <c r="D1050" s="11" t="s">
        <v>79</v>
      </c>
      <c r="E1050" s="9">
        <v>1</v>
      </c>
      <c r="F1050" s="9"/>
      <c r="G1050" s="11" t="s">
        <v>32</v>
      </c>
      <c r="H1050" s="11" t="s">
        <v>33</v>
      </c>
      <c r="I1050" s="11" t="s">
        <v>1251</v>
      </c>
      <c r="J1050" s="11" t="s">
        <v>1251</v>
      </c>
      <c r="K1050" s="11" t="s">
        <v>1283</v>
      </c>
      <c r="L1050" s="12">
        <v>12500</v>
      </c>
      <c r="M1050" s="12">
        <v>10396.0396039604</v>
      </c>
      <c r="N1050" s="11" t="s">
        <v>1396</v>
      </c>
      <c r="O1050" s="11" t="s">
        <v>1254</v>
      </c>
      <c r="P1050" s="11" t="s">
        <v>37</v>
      </c>
      <c r="Q1050" s="11">
        <v>18631369861</v>
      </c>
      <c r="R1050" s="11" t="s">
        <v>38</v>
      </c>
      <c r="S1050" s="11" t="s">
        <v>39</v>
      </c>
      <c r="T1050" s="11"/>
    </row>
    <row r="1051" spans="1:20" s="14" customFormat="1" ht="24" hidden="1" customHeight="1">
      <c r="A1051" s="15"/>
      <c r="B1051" s="11" t="s">
        <v>1398</v>
      </c>
      <c r="C1051" s="11" t="s">
        <v>34</v>
      </c>
      <c r="D1051" s="11" t="s">
        <v>888</v>
      </c>
      <c r="E1051" s="9">
        <v>432</v>
      </c>
      <c r="F1051" s="9"/>
      <c r="G1051" s="11" t="s">
        <v>32</v>
      </c>
      <c r="H1051" s="11" t="s">
        <v>33</v>
      </c>
      <c r="I1051" s="11" t="s">
        <v>1251</v>
      </c>
      <c r="J1051" s="11" t="s">
        <v>1251</v>
      </c>
      <c r="K1051" s="11" t="s">
        <v>1399</v>
      </c>
      <c r="L1051" s="12">
        <v>211680</v>
      </c>
      <c r="M1051" s="12">
        <v>176050.69306930699</v>
      </c>
      <c r="N1051" s="11" t="s">
        <v>1396</v>
      </c>
      <c r="O1051" s="11" t="s">
        <v>1254</v>
      </c>
      <c r="P1051" s="11" t="s">
        <v>37</v>
      </c>
      <c r="Q1051" s="11">
        <v>18631369862</v>
      </c>
      <c r="R1051" s="11" t="s">
        <v>38</v>
      </c>
      <c r="S1051" s="11" t="s">
        <v>39</v>
      </c>
      <c r="T1051" s="11"/>
    </row>
    <row r="1052" spans="1:20" s="14" customFormat="1" ht="24" hidden="1" customHeight="1">
      <c r="A1052" s="15"/>
      <c r="B1052" s="11" t="s">
        <v>1400</v>
      </c>
      <c r="C1052" s="11" t="s">
        <v>1401</v>
      </c>
      <c r="D1052" s="11" t="s">
        <v>888</v>
      </c>
      <c r="E1052" s="9">
        <v>1330.92</v>
      </c>
      <c r="F1052" s="9"/>
      <c r="G1052" s="11" t="s">
        <v>32</v>
      </c>
      <c r="H1052" s="11" t="s">
        <v>33</v>
      </c>
      <c r="I1052" s="11" t="s">
        <v>1251</v>
      </c>
      <c r="J1052" s="11" t="s">
        <v>1251</v>
      </c>
      <c r="K1052" s="11" t="s">
        <v>1283</v>
      </c>
      <c r="L1052" s="12">
        <v>326075</v>
      </c>
      <c r="M1052" s="12">
        <v>271191</v>
      </c>
      <c r="N1052" s="11" t="s">
        <v>1396</v>
      </c>
      <c r="O1052" s="11" t="s">
        <v>1254</v>
      </c>
      <c r="P1052" s="11" t="s">
        <v>37</v>
      </c>
      <c r="Q1052" s="11">
        <v>18631369864</v>
      </c>
      <c r="R1052" s="11" t="s">
        <v>38</v>
      </c>
      <c r="S1052" s="11" t="s">
        <v>39</v>
      </c>
      <c r="T1052" s="11"/>
    </row>
    <row r="1053" spans="1:20" s="14" customFormat="1" ht="24" hidden="1" customHeight="1">
      <c r="A1053" s="15"/>
      <c r="B1053" s="11" t="s">
        <v>1400</v>
      </c>
      <c r="C1053" s="11" t="s">
        <v>1402</v>
      </c>
      <c r="D1053" s="11" t="s">
        <v>888</v>
      </c>
      <c r="E1053" s="9">
        <v>318.95999999999998</v>
      </c>
      <c r="F1053" s="9"/>
      <c r="G1053" s="11" t="s">
        <v>32</v>
      </c>
      <c r="H1053" s="11" t="s">
        <v>33</v>
      </c>
      <c r="I1053" s="11" t="s">
        <v>1251</v>
      </c>
      <c r="J1053" s="11" t="s">
        <v>1251</v>
      </c>
      <c r="K1053" s="11" t="s">
        <v>1283</v>
      </c>
      <c r="L1053" s="12">
        <v>66982</v>
      </c>
      <c r="M1053" s="12">
        <v>55707</v>
      </c>
      <c r="N1053" s="11" t="s">
        <v>1396</v>
      </c>
      <c r="O1053" s="11" t="s">
        <v>1254</v>
      </c>
      <c r="P1053" s="11" t="s">
        <v>37</v>
      </c>
      <c r="Q1053" s="11">
        <v>18631369865</v>
      </c>
      <c r="R1053" s="11" t="s">
        <v>38</v>
      </c>
      <c r="S1053" s="11" t="s">
        <v>39</v>
      </c>
      <c r="T1053" s="11"/>
    </row>
    <row r="1054" spans="1:20" s="14" customFormat="1" ht="24" hidden="1" customHeight="1">
      <c r="A1054" s="15"/>
      <c r="B1054" s="11" t="s">
        <v>1400</v>
      </c>
      <c r="C1054" s="11" t="s">
        <v>1403</v>
      </c>
      <c r="D1054" s="11" t="s">
        <v>888</v>
      </c>
      <c r="E1054" s="9">
        <v>38.22</v>
      </c>
      <c r="F1054" s="9"/>
      <c r="G1054" s="11" t="s">
        <v>32</v>
      </c>
      <c r="H1054" s="11" t="s">
        <v>33</v>
      </c>
      <c r="I1054" s="11" t="s">
        <v>1251</v>
      </c>
      <c r="J1054" s="11" t="s">
        <v>1251</v>
      </c>
      <c r="K1054" s="11" t="s">
        <v>1283</v>
      </c>
      <c r="L1054" s="12">
        <v>8026</v>
      </c>
      <c r="M1054" s="12">
        <v>6675</v>
      </c>
      <c r="N1054" s="11" t="s">
        <v>1396</v>
      </c>
      <c r="O1054" s="11" t="s">
        <v>1254</v>
      </c>
      <c r="P1054" s="11" t="s">
        <v>37</v>
      </c>
      <c r="Q1054" s="11">
        <v>18631369866</v>
      </c>
      <c r="R1054" s="11" t="s">
        <v>38</v>
      </c>
      <c r="S1054" s="11" t="s">
        <v>39</v>
      </c>
      <c r="T1054" s="11"/>
    </row>
    <row r="1055" spans="1:20" s="14" customFormat="1" ht="24" hidden="1" customHeight="1">
      <c r="A1055" s="15"/>
      <c r="B1055" s="11" t="s">
        <v>1367</v>
      </c>
      <c r="C1055" s="11" t="s">
        <v>1404</v>
      </c>
      <c r="D1055" s="11" t="s">
        <v>888</v>
      </c>
      <c r="E1055" s="9">
        <v>1276.4000000000001</v>
      </c>
      <c r="F1055" s="9"/>
      <c r="G1055" s="11" t="s">
        <v>32</v>
      </c>
      <c r="H1055" s="11" t="s">
        <v>33</v>
      </c>
      <c r="I1055" s="11"/>
      <c r="J1055" s="11"/>
      <c r="K1055" s="11" t="s">
        <v>1338</v>
      </c>
      <c r="L1055" s="12">
        <v>480229.7</v>
      </c>
      <c r="M1055" s="12">
        <v>48022.97</v>
      </c>
      <c r="N1055" s="11" t="s">
        <v>1339</v>
      </c>
      <c r="O1055" s="11" t="s">
        <v>1340</v>
      </c>
      <c r="P1055" s="11" t="s">
        <v>66</v>
      </c>
      <c r="Q1055" s="11">
        <v>13603213171</v>
      </c>
      <c r="R1055" s="11" t="s">
        <v>67</v>
      </c>
      <c r="S1055" s="11" t="s">
        <v>68</v>
      </c>
      <c r="T1055" s="11"/>
    </row>
    <row r="1056" spans="1:20" s="14" customFormat="1" ht="24" hidden="1" customHeight="1">
      <c r="A1056" s="15"/>
      <c r="B1056" s="11" t="s">
        <v>1405</v>
      </c>
      <c r="C1056" s="11" t="s">
        <v>1406</v>
      </c>
      <c r="D1056" s="11" t="s">
        <v>131</v>
      </c>
      <c r="E1056" s="9">
        <v>1</v>
      </c>
      <c r="F1056" s="9"/>
      <c r="G1056" s="11" t="s">
        <v>32</v>
      </c>
      <c r="H1056" s="11" t="s">
        <v>33</v>
      </c>
      <c r="I1056" s="11"/>
      <c r="J1056" s="11"/>
      <c r="K1056" s="11" t="s">
        <v>1338</v>
      </c>
      <c r="L1056" s="12">
        <v>16831.68</v>
      </c>
      <c r="M1056" s="12">
        <v>1683.17</v>
      </c>
      <c r="N1056" s="11" t="s">
        <v>1339</v>
      </c>
      <c r="O1056" s="11" t="s">
        <v>1340</v>
      </c>
      <c r="P1056" s="11" t="s">
        <v>66</v>
      </c>
      <c r="Q1056" s="11">
        <v>13603213171</v>
      </c>
      <c r="R1056" s="11" t="s">
        <v>67</v>
      </c>
      <c r="S1056" s="11" t="s">
        <v>68</v>
      </c>
      <c r="T1056" s="11"/>
    </row>
    <row r="1057" spans="1:20" s="14" customFormat="1" ht="24" hidden="1" customHeight="1">
      <c r="A1057" s="15"/>
      <c r="B1057" s="11" t="s">
        <v>1407</v>
      </c>
      <c r="C1057" s="11" t="s">
        <v>1408</v>
      </c>
      <c r="D1057" s="11" t="s">
        <v>888</v>
      </c>
      <c r="E1057" s="9">
        <v>120</v>
      </c>
      <c r="F1057" s="9"/>
      <c r="G1057" s="11" t="s">
        <v>32</v>
      </c>
      <c r="H1057" s="11" t="s">
        <v>33</v>
      </c>
      <c r="I1057" s="11"/>
      <c r="J1057" s="11"/>
      <c r="K1057" s="11" t="s">
        <v>1409</v>
      </c>
      <c r="L1057" s="12">
        <v>42000</v>
      </c>
      <c r="M1057" s="12">
        <v>4158.4200000000101</v>
      </c>
      <c r="N1057" s="11" t="s">
        <v>1410</v>
      </c>
      <c r="O1057" s="11" t="s">
        <v>1340</v>
      </c>
      <c r="P1057" s="11" t="s">
        <v>66</v>
      </c>
      <c r="Q1057" s="11">
        <v>13603213171</v>
      </c>
      <c r="R1057" s="11" t="s">
        <v>67</v>
      </c>
      <c r="S1057" s="11" t="s">
        <v>68</v>
      </c>
      <c r="T1057" s="11"/>
    </row>
    <row r="1058" spans="1:20" s="14" customFormat="1" ht="24" hidden="1" customHeight="1">
      <c r="A1058" s="15"/>
      <c r="B1058" s="11" t="s">
        <v>1407</v>
      </c>
      <c r="C1058" s="11" t="s">
        <v>1411</v>
      </c>
      <c r="D1058" s="11" t="s">
        <v>888</v>
      </c>
      <c r="E1058" s="9">
        <v>112.8</v>
      </c>
      <c r="F1058" s="9"/>
      <c r="G1058" s="11" t="s">
        <v>32</v>
      </c>
      <c r="H1058" s="11" t="s">
        <v>33</v>
      </c>
      <c r="I1058" s="11"/>
      <c r="J1058" s="11"/>
      <c r="K1058" s="11" t="s">
        <v>1409</v>
      </c>
      <c r="L1058" s="12">
        <v>39480</v>
      </c>
      <c r="M1058" s="12">
        <v>3908.9</v>
      </c>
      <c r="N1058" s="11" t="s">
        <v>1410</v>
      </c>
      <c r="O1058" s="11" t="s">
        <v>1340</v>
      </c>
      <c r="P1058" s="11" t="s">
        <v>66</v>
      </c>
      <c r="Q1058" s="11">
        <v>13603213171</v>
      </c>
      <c r="R1058" s="11" t="s">
        <v>67</v>
      </c>
      <c r="S1058" s="11" t="s">
        <v>68</v>
      </c>
      <c r="T1058" s="11"/>
    </row>
    <row r="1059" spans="1:20" s="14" customFormat="1" ht="24" hidden="1" customHeight="1">
      <c r="A1059" s="15"/>
      <c r="B1059" s="11" t="s">
        <v>1412</v>
      </c>
      <c r="C1059" s="11" t="s">
        <v>1413</v>
      </c>
      <c r="D1059" s="11" t="s">
        <v>888</v>
      </c>
      <c r="E1059" s="9">
        <v>1750</v>
      </c>
      <c r="F1059" s="9"/>
      <c r="G1059" s="11" t="s">
        <v>32</v>
      </c>
      <c r="H1059" s="11" t="s">
        <v>33</v>
      </c>
      <c r="I1059" s="11"/>
      <c r="J1059" s="11"/>
      <c r="K1059" s="11" t="s">
        <v>1409</v>
      </c>
      <c r="L1059" s="12">
        <v>910000</v>
      </c>
      <c r="M1059" s="12">
        <v>90099.01</v>
      </c>
      <c r="N1059" s="11" t="s">
        <v>1410</v>
      </c>
      <c r="O1059" s="11" t="s">
        <v>1340</v>
      </c>
      <c r="P1059" s="11" t="s">
        <v>66</v>
      </c>
      <c r="Q1059" s="11">
        <v>13603213171</v>
      </c>
      <c r="R1059" s="11" t="s">
        <v>67</v>
      </c>
      <c r="S1059" s="11" t="s">
        <v>68</v>
      </c>
      <c r="T1059" s="11"/>
    </row>
    <row r="1060" spans="1:20" s="14" customFormat="1" ht="24" hidden="1" customHeight="1">
      <c r="A1060" s="15"/>
      <c r="B1060" s="38" t="s">
        <v>1414</v>
      </c>
      <c r="C1060" s="64" t="s">
        <v>1415</v>
      </c>
      <c r="D1060" s="38" t="s">
        <v>888</v>
      </c>
      <c r="E1060" s="72">
        <v>1440</v>
      </c>
      <c r="F1060" s="72"/>
      <c r="G1060" s="11" t="s">
        <v>33</v>
      </c>
      <c r="H1060" s="11" t="s">
        <v>32</v>
      </c>
      <c r="I1060" s="11"/>
      <c r="J1060" s="11"/>
      <c r="K1060" s="11" t="s">
        <v>1416</v>
      </c>
      <c r="L1060" s="62">
        <v>691200</v>
      </c>
      <c r="M1060" s="12">
        <v>691200</v>
      </c>
      <c r="N1060" s="38" t="s">
        <v>1417</v>
      </c>
      <c r="O1060" s="11" t="s">
        <v>1418</v>
      </c>
      <c r="P1060" s="11" t="s">
        <v>66</v>
      </c>
      <c r="Q1060" s="11">
        <v>13603213171</v>
      </c>
      <c r="R1060" s="11" t="s">
        <v>67</v>
      </c>
      <c r="S1060" s="11" t="s">
        <v>68</v>
      </c>
      <c r="T1060" s="11"/>
    </row>
    <row r="1061" spans="1:20" s="14" customFormat="1" ht="24" hidden="1" customHeight="1">
      <c r="A1061" s="15"/>
      <c r="B1061" s="38" t="s">
        <v>1419</v>
      </c>
      <c r="C1061" s="64" t="s">
        <v>1420</v>
      </c>
      <c r="D1061" s="38" t="s">
        <v>888</v>
      </c>
      <c r="E1061" s="72">
        <v>400</v>
      </c>
      <c r="F1061" s="72"/>
      <c r="G1061" s="11" t="s">
        <v>33</v>
      </c>
      <c r="H1061" s="11" t="s">
        <v>32</v>
      </c>
      <c r="I1061" s="11"/>
      <c r="J1061" s="11"/>
      <c r="K1061" s="11" t="s">
        <v>1416</v>
      </c>
      <c r="L1061" s="62">
        <v>168000</v>
      </c>
      <c r="M1061" s="12">
        <v>168000</v>
      </c>
      <c r="N1061" s="38" t="s">
        <v>1417</v>
      </c>
      <c r="O1061" s="11" t="s">
        <v>1418</v>
      </c>
      <c r="P1061" s="11" t="s">
        <v>66</v>
      </c>
      <c r="Q1061" s="11">
        <v>13603213171</v>
      </c>
      <c r="R1061" s="11" t="s">
        <v>67</v>
      </c>
      <c r="S1061" s="11" t="s">
        <v>68</v>
      </c>
      <c r="T1061" s="11"/>
    </row>
    <row r="1062" spans="1:20" ht="24" hidden="1" customHeight="1">
      <c r="A1062" s="15"/>
      <c r="B1062" s="38" t="s">
        <v>1173</v>
      </c>
      <c r="C1062" s="73" t="s">
        <v>1421</v>
      </c>
      <c r="D1062" s="74" t="s">
        <v>131</v>
      </c>
      <c r="E1062" s="75">
        <v>2</v>
      </c>
      <c r="F1062" s="75"/>
      <c r="G1062" s="11" t="s">
        <v>32</v>
      </c>
      <c r="H1062" s="11" t="s">
        <v>33</v>
      </c>
      <c r="I1062" s="53" t="s">
        <v>34</v>
      </c>
      <c r="J1062" s="50" t="s">
        <v>34</v>
      </c>
      <c r="K1062" s="11" t="s">
        <v>1283</v>
      </c>
      <c r="L1062" s="76">
        <v>13592.08</v>
      </c>
      <c r="M1062" s="20">
        <v>0</v>
      </c>
      <c r="N1062" s="77">
        <v>43944</v>
      </c>
      <c r="O1062" s="53" t="s">
        <v>138</v>
      </c>
      <c r="P1062" s="53" t="s">
        <v>139</v>
      </c>
      <c r="Q1062" s="54">
        <v>15076764689</v>
      </c>
      <c r="R1062" s="53" t="s">
        <v>140</v>
      </c>
      <c r="S1062" s="11" t="s">
        <v>141</v>
      </c>
      <c r="T1062" s="54"/>
    </row>
    <row r="1063" spans="1:20" ht="24" hidden="1" customHeight="1">
      <c r="A1063" s="15"/>
      <c r="B1063" s="10" t="s">
        <v>1173</v>
      </c>
      <c r="C1063" s="11" t="s">
        <v>1422</v>
      </c>
      <c r="D1063" s="10" t="s">
        <v>131</v>
      </c>
      <c r="E1063" s="10">
        <v>7</v>
      </c>
      <c r="F1063" s="10"/>
      <c r="G1063" s="11" t="s">
        <v>32</v>
      </c>
      <c r="H1063" s="11" t="s">
        <v>33</v>
      </c>
      <c r="I1063" s="53" t="s">
        <v>34</v>
      </c>
      <c r="J1063" s="50" t="s">
        <v>34</v>
      </c>
      <c r="K1063" s="10" t="s">
        <v>1283</v>
      </c>
      <c r="L1063" s="20">
        <v>47572.28</v>
      </c>
      <c r="M1063" s="20">
        <v>0</v>
      </c>
      <c r="N1063" s="32">
        <v>44124</v>
      </c>
      <c r="O1063" s="53" t="s">
        <v>138</v>
      </c>
      <c r="P1063" s="53" t="s">
        <v>139</v>
      </c>
      <c r="Q1063" s="54">
        <v>15076764689</v>
      </c>
      <c r="R1063" s="53" t="s">
        <v>140</v>
      </c>
      <c r="S1063" s="11" t="s">
        <v>141</v>
      </c>
      <c r="T1063" s="54"/>
    </row>
    <row r="1064" spans="1:20" ht="24" hidden="1" customHeight="1">
      <c r="A1064" s="15"/>
      <c r="B1064" s="10" t="s">
        <v>1337</v>
      </c>
      <c r="C1064" s="11" t="s">
        <v>1423</v>
      </c>
      <c r="D1064" s="10" t="s">
        <v>131</v>
      </c>
      <c r="E1064" s="74">
        <v>1</v>
      </c>
      <c r="F1064" s="74"/>
      <c r="G1064" s="11" t="s">
        <v>32</v>
      </c>
      <c r="H1064" s="11" t="s">
        <v>33</v>
      </c>
      <c r="I1064" s="53" t="s">
        <v>34</v>
      </c>
      <c r="J1064" s="50" t="s">
        <v>34</v>
      </c>
      <c r="K1064" s="74" t="s">
        <v>1283</v>
      </c>
      <c r="L1064" s="76">
        <v>13861.39</v>
      </c>
      <c r="M1064" s="20">
        <v>0</v>
      </c>
      <c r="N1064" s="32">
        <v>44124</v>
      </c>
      <c r="O1064" s="53" t="s">
        <v>138</v>
      </c>
      <c r="P1064" s="53" t="s">
        <v>139</v>
      </c>
      <c r="Q1064" s="54">
        <v>15076764689</v>
      </c>
      <c r="R1064" s="53" t="s">
        <v>140</v>
      </c>
      <c r="S1064" s="11" t="s">
        <v>141</v>
      </c>
      <c r="T1064" s="54"/>
    </row>
    <row r="1065" spans="1:20" ht="24" hidden="1" customHeight="1">
      <c r="A1065" s="15"/>
      <c r="B1065" s="10" t="s">
        <v>1351</v>
      </c>
      <c r="C1065" s="11"/>
      <c r="D1065" s="10" t="s">
        <v>79</v>
      </c>
      <c r="E1065" s="74">
        <v>1</v>
      </c>
      <c r="F1065" s="74"/>
      <c r="G1065" s="11" t="s">
        <v>32</v>
      </c>
      <c r="H1065" s="11" t="s">
        <v>33</v>
      </c>
      <c r="I1065" s="53" t="s">
        <v>34</v>
      </c>
      <c r="J1065" s="50" t="s">
        <v>34</v>
      </c>
      <c r="K1065" s="74" t="s">
        <v>1283</v>
      </c>
      <c r="L1065" s="76">
        <v>9702.9699999999993</v>
      </c>
      <c r="M1065" s="20">
        <v>0</v>
      </c>
      <c r="N1065" s="32">
        <v>43944</v>
      </c>
      <c r="O1065" s="53" t="s">
        <v>138</v>
      </c>
      <c r="P1065" s="53" t="s">
        <v>139</v>
      </c>
      <c r="Q1065" s="54">
        <v>15076764689</v>
      </c>
      <c r="R1065" s="53" t="s">
        <v>140</v>
      </c>
      <c r="S1065" s="11" t="s">
        <v>141</v>
      </c>
      <c r="T1065" s="54"/>
    </row>
    <row r="1066" spans="1:20" s="14" customFormat="1" ht="24" hidden="1" customHeight="1">
      <c r="A1066" s="15"/>
      <c r="B1066" s="11" t="s">
        <v>1424</v>
      </c>
      <c r="C1066" s="11" t="s">
        <v>34</v>
      </c>
      <c r="D1066" s="11" t="s">
        <v>888</v>
      </c>
      <c r="E1066" s="11" t="s">
        <v>1425</v>
      </c>
      <c r="F1066" s="11"/>
      <c r="G1066" s="11" t="s">
        <v>72</v>
      </c>
      <c r="H1066" s="11" t="s">
        <v>33</v>
      </c>
      <c r="I1066" s="11"/>
      <c r="J1066" s="11"/>
      <c r="K1066" s="11" t="s">
        <v>1242</v>
      </c>
      <c r="L1066" s="12">
        <v>287100</v>
      </c>
      <c r="M1066" s="12">
        <v>0</v>
      </c>
      <c r="N1066" s="22">
        <v>2020.11</v>
      </c>
      <c r="O1066" s="11" t="s">
        <v>1426</v>
      </c>
      <c r="P1066" s="11" t="s">
        <v>75</v>
      </c>
      <c r="Q1066" s="11">
        <v>13269819378</v>
      </c>
      <c r="R1066" s="11" t="s">
        <v>76</v>
      </c>
      <c r="S1066" s="11" t="s">
        <v>77</v>
      </c>
      <c r="T1066" s="54"/>
    </row>
    <row r="1067" spans="1:20" s="14" customFormat="1" ht="24" hidden="1" customHeight="1">
      <c r="A1067" s="15"/>
      <c r="B1067" s="11" t="s">
        <v>1427</v>
      </c>
      <c r="C1067" s="11" t="s">
        <v>1428</v>
      </c>
      <c r="D1067" s="11" t="s">
        <v>31</v>
      </c>
      <c r="E1067" s="11">
        <v>102</v>
      </c>
      <c r="F1067" s="11"/>
      <c r="G1067" s="11" t="s">
        <v>72</v>
      </c>
      <c r="H1067" s="11" t="s">
        <v>33</v>
      </c>
      <c r="I1067" s="11"/>
      <c r="J1067" s="11"/>
      <c r="K1067" s="11" t="s">
        <v>1027</v>
      </c>
      <c r="L1067" s="12">
        <v>10200</v>
      </c>
      <c r="M1067" s="12">
        <v>0</v>
      </c>
      <c r="N1067" s="22">
        <v>2020.11</v>
      </c>
      <c r="O1067" s="11" t="s">
        <v>1426</v>
      </c>
      <c r="P1067" s="11" t="s">
        <v>75</v>
      </c>
      <c r="Q1067" s="11">
        <v>13269819378</v>
      </c>
      <c r="R1067" s="11" t="s">
        <v>76</v>
      </c>
      <c r="S1067" s="11" t="s">
        <v>77</v>
      </c>
      <c r="T1067" s="54"/>
    </row>
    <row r="1068" spans="1:20" s="14" customFormat="1" ht="24" hidden="1" customHeight="1">
      <c r="A1068" s="15"/>
      <c r="B1068" s="11" t="s">
        <v>1429</v>
      </c>
      <c r="C1068" s="11" t="s">
        <v>1430</v>
      </c>
      <c r="D1068" s="11" t="s">
        <v>888</v>
      </c>
      <c r="E1068" s="11">
        <v>560</v>
      </c>
      <c r="F1068" s="11"/>
      <c r="G1068" s="11" t="s">
        <v>72</v>
      </c>
      <c r="H1068" s="11" t="s">
        <v>33</v>
      </c>
      <c r="I1068" s="11"/>
      <c r="J1068" s="11"/>
      <c r="K1068" s="11" t="s">
        <v>1361</v>
      </c>
      <c r="L1068" s="12">
        <v>16800</v>
      </c>
      <c r="M1068" s="12">
        <v>0</v>
      </c>
      <c r="N1068" s="22">
        <v>2020.11</v>
      </c>
      <c r="O1068" s="11" t="s">
        <v>1426</v>
      </c>
      <c r="P1068" s="11" t="s">
        <v>75</v>
      </c>
      <c r="Q1068" s="11">
        <v>13269819378</v>
      </c>
      <c r="R1068" s="11" t="s">
        <v>76</v>
      </c>
      <c r="S1068" s="11" t="s">
        <v>77</v>
      </c>
      <c r="T1068" s="54"/>
    </row>
    <row r="1069" spans="1:20" s="14" customFormat="1" ht="24" hidden="1" customHeight="1">
      <c r="A1069" s="15"/>
      <c r="B1069" s="11" t="s">
        <v>1429</v>
      </c>
      <c r="C1069" s="11" t="s">
        <v>1431</v>
      </c>
      <c r="D1069" s="11" t="s">
        <v>888</v>
      </c>
      <c r="E1069" s="11">
        <v>504</v>
      </c>
      <c r="F1069" s="11"/>
      <c r="G1069" s="11" t="s">
        <v>72</v>
      </c>
      <c r="H1069" s="11" t="s">
        <v>33</v>
      </c>
      <c r="I1069" s="11"/>
      <c r="J1069" s="11"/>
      <c r="K1069" s="11" t="s">
        <v>1361</v>
      </c>
      <c r="L1069" s="12">
        <v>15120</v>
      </c>
      <c r="M1069" s="12">
        <v>0</v>
      </c>
      <c r="N1069" s="22">
        <v>2020.11</v>
      </c>
      <c r="O1069" s="11" t="s">
        <v>1426</v>
      </c>
      <c r="P1069" s="11" t="s">
        <v>75</v>
      </c>
      <c r="Q1069" s="11">
        <v>13269819378</v>
      </c>
      <c r="R1069" s="11" t="s">
        <v>76</v>
      </c>
      <c r="S1069" s="11" t="s">
        <v>77</v>
      </c>
      <c r="T1069" s="54"/>
    </row>
    <row r="1070" spans="1:20" s="14" customFormat="1" ht="24" customHeight="1">
      <c r="A1070" s="15"/>
      <c r="B1070" s="11" t="s">
        <v>1391</v>
      </c>
      <c r="C1070" s="11" t="s">
        <v>1432</v>
      </c>
      <c r="D1070" s="11" t="s">
        <v>1193</v>
      </c>
      <c r="E1070" s="11">
        <v>1964</v>
      </c>
      <c r="F1070" s="11"/>
      <c r="G1070" s="11" t="s">
        <v>87</v>
      </c>
      <c r="H1070" s="11" t="s">
        <v>41</v>
      </c>
      <c r="I1070" s="11"/>
      <c r="J1070" s="11"/>
      <c r="K1070" s="11" t="s">
        <v>1433</v>
      </c>
      <c r="L1070" s="12">
        <v>467432</v>
      </c>
      <c r="M1070" s="12">
        <v>0</v>
      </c>
      <c r="N1070" s="47">
        <v>2021.02</v>
      </c>
      <c r="O1070" s="11" t="s">
        <v>1434</v>
      </c>
      <c r="P1070" s="11" t="s">
        <v>75</v>
      </c>
      <c r="Q1070" s="11">
        <v>13269819378</v>
      </c>
      <c r="R1070" s="11" t="s">
        <v>76</v>
      </c>
      <c r="S1070" s="11" t="s">
        <v>77</v>
      </c>
      <c r="T1070" s="54"/>
    </row>
    <row r="1071" spans="1:20" s="14" customFormat="1" ht="24" customHeight="1">
      <c r="A1071" s="15"/>
      <c r="B1071" s="11" t="s">
        <v>1391</v>
      </c>
      <c r="C1071" s="11" t="s">
        <v>1432</v>
      </c>
      <c r="D1071" s="11" t="s">
        <v>1193</v>
      </c>
      <c r="E1071" s="11">
        <v>210</v>
      </c>
      <c r="F1071" s="11"/>
      <c r="G1071" s="11" t="s">
        <v>87</v>
      </c>
      <c r="H1071" s="11" t="s">
        <v>41</v>
      </c>
      <c r="I1071" s="11"/>
      <c r="J1071" s="11"/>
      <c r="K1071" s="11" t="s">
        <v>1433</v>
      </c>
      <c r="L1071" s="12">
        <v>49980</v>
      </c>
      <c r="M1071" s="12">
        <v>0</v>
      </c>
      <c r="N1071" s="47">
        <v>2021.04</v>
      </c>
      <c r="O1071" s="11" t="s">
        <v>1434</v>
      </c>
      <c r="P1071" s="11" t="s">
        <v>75</v>
      </c>
      <c r="Q1071" s="11">
        <v>13269819378</v>
      </c>
      <c r="R1071" s="11" t="s">
        <v>76</v>
      </c>
      <c r="S1071" s="11" t="s">
        <v>77</v>
      </c>
      <c r="T1071" s="54"/>
    </row>
    <row r="1072" spans="1:20" s="14" customFormat="1" ht="24" customHeight="1">
      <c r="A1072" s="15"/>
      <c r="B1072" s="11" t="s">
        <v>1435</v>
      </c>
      <c r="C1072" s="11" t="s">
        <v>1436</v>
      </c>
      <c r="D1072" s="11" t="s">
        <v>1437</v>
      </c>
      <c r="E1072" s="11">
        <v>6</v>
      </c>
      <c r="F1072" s="11"/>
      <c r="G1072" s="11" t="s">
        <v>87</v>
      </c>
      <c r="H1072" s="11" t="s">
        <v>41</v>
      </c>
      <c r="I1072" s="11"/>
      <c r="J1072" s="11"/>
      <c r="K1072" s="11" t="s">
        <v>1433</v>
      </c>
      <c r="L1072" s="12">
        <v>5940.5940594059402</v>
      </c>
      <c r="M1072" s="12">
        <v>0</v>
      </c>
      <c r="N1072" s="47">
        <v>2021.04</v>
      </c>
      <c r="O1072" s="11" t="s">
        <v>1434</v>
      </c>
      <c r="P1072" s="11" t="s">
        <v>75</v>
      </c>
      <c r="Q1072" s="11">
        <v>13269819378</v>
      </c>
      <c r="R1072" s="11" t="s">
        <v>76</v>
      </c>
      <c r="S1072" s="11" t="s">
        <v>77</v>
      </c>
      <c r="T1072" s="54"/>
    </row>
    <row r="1073" spans="1:20" s="14" customFormat="1" ht="24" customHeight="1">
      <c r="A1073" s="15"/>
      <c r="B1073" s="11" t="s">
        <v>1391</v>
      </c>
      <c r="C1073" s="11"/>
      <c r="D1073" s="11" t="s">
        <v>888</v>
      </c>
      <c r="E1073" s="11">
        <v>425</v>
      </c>
      <c r="F1073" s="11"/>
      <c r="G1073" s="11" t="s">
        <v>87</v>
      </c>
      <c r="H1073" s="11" t="s">
        <v>41</v>
      </c>
      <c r="I1073" s="11"/>
      <c r="J1073" s="11"/>
      <c r="K1073" s="11" t="s">
        <v>1356</v>
      </c>
      <c r="L1073" s="12">
        <v>122029.7</v>
      </c>
      <c r="M1073" s="12">
        <v>0</v>
      </c>
      <c r="N1073" s="47">
        <v>2020.07</v>
      </c>
      <c r="O1073" s="11" t="s">
        <v>1434</v>
      </c>
      <c r="P1073" s="11" t="s">
        <v>75</v>
      </c>
      <c r="Q1073" s="11">
        <v>13269819378</v>
      </c>
      <c r="R1073" s="11" t="s">
        <v>76</v>
      </c>
      <c r="S1073" s="11" t="s">
        <v>77</v>
      </c>
      <c r="T1073" s="54"/>
    </row>
    <row r="1074" spans="1:20" s="14" customFormat="1" ht="24" hidden="1" customHeight="1">
      <c r="A1074" s="15"/>
      <c r="B1074" s="11" t="s">
        <v>1391</v>
      </c>
      <c r="C1074" s="11" t="s">
        <v>1404</v>
      </c>
      <c r="D1074" s="11" t="s">
        <v>888</v>
      </c>
      <c r="E1074" s="11">
        <v>1687.8</v>
      </c>
      <c r="F1074" s="11"/>
      <c r="G1074" s="11" t="s">
        <v>32</v>
      </c>
      <c r="H1074" s="11" t="s">
        <v>33</v>
      </c>
      <c r="I1074" s="11"/>
      <c r="J1074" s="11"/>
      <c r="K1074" s="11" t="s">
        <v>1409</v>
      </c>
      <c r="L1074" s="12">
        <v>635013.86</v>
      </c>
      <c r="M1074" s="12">
        <v>63501.39</v>
      </c>
      <c r="N1074" s="11" t="s">
        <v>1438</v>
      </c>
      <c r="O1074" s="11" t="s">
        <v>1340</v>
      </c>
      <c r="P1074" s="11" t="s">
        <v>66</v>
      </c>
      <c r="Q1074" s="11">
        <v>13603213171</v>
      </c>
      <c r="R1074" s="11" t="s">
        <v>67</v>
      </c>
      <c r="S1074" s="11" t="s">
        <v>68</v>
      </c>
      <c r="T1074" s="11"/>
    </row>
    <row r="1075" spans="1:20" s="14" customFormat="1" ht="24" hidden="1" customHeight="1">
      <c r="A1075" s="15" t="s">
        <v>1439</v>
      </c>
      <c r="B1075" s="13" t="s">
        <v>1440</v>
      </c>
      <c r="C1075" s="11"/>
      <c r="D1075" s="11"/>
      <c r="E1075" s="9"/>
      <c r="F1075" s="9"/>
      <c r="G1075" s="11"/>
      <c r="H1075" s="11"/>
      <c r="I1075" s="11"/>
      <c r="J1075" s="11"/>
      <c r="K1075" s="11"/>
      <c r="L1075" s="12"/>
      <c r="M1075" s="12"/>
      <c r="N1075" s="11"/>
      <c r="O1075" s="11"/>
      <c r="P1075" s="11"/>
      <c r="Q1075" s="11"/>
      <c r="R1075" s="11"/>
      <c r="S1075" s="11"/>
      <c r="T1075" s="11"/>
    </row>
    <row r="1076" spans="1:20" s="14" customFormat="1" ht="24" customHeight="1">
      <c r="A1076" s="15"/>
      <c r="B1076" s="11" t="s">
        <v>1441</v>
      </c>
      <c r="C1076" s="11" t="s">
        <v>1442</v>
      </c>
      <c r="D1076" s="11" t="s">
        <v>62</v>
      </c>
      <c r="E1076" s="9" t="s">
        <v>1443</v>
      </c>
      <c r="F1076" s="9">
        <v>1.728</v>
      </c>
      <c r="G1076" s="11" t="s">
        <v>32</v>
      </c>
      <c r="H1076" s="11" t="s">
        <v>41</v>
      </c>
      <c r="I1076" s="11"/>
      <c r="J1076" s="11"/>
      <c r="K1076" s="11" t="s">
        <v>57</v>
      </c>
      <c r="L1076" s="12"/>
      <c r="M1076" s="12">
        <v>3456</v>
      </c>
      <c r="N1076" s="11">
        <v>2021.8</v>
      </c>
      <c r="O1076" s="11" t="s">
        <v>43</v>
      </c>
      <c r="P1076" s="11" t="s">
        <v>44</v>
      </c>
      <c r="Q1076" s="11">
        <v>18611425182</v>
      </c>
      <c r="R1076" s="11" t="s">
        <v>45</v>
      </c>
      <c r="S1076" s="11" t="s">
        <v>141</v>
      </c>
      <c r="T1076" s="11"/>
    </row>
    <row r="1077" spans="1:20" s="14" customFormat="1" ht="24" customHeight="1">
      <c r="A1077" s="15"/>
      <c r="B1077" s="11" t="s">
        <v>1444</v>
      </c>
      <c r="C1077" s="11" t="s">
        <v>1445</v>
      </c>
      <c r="D1077" s="11" t="s">
        <v>464</v>
      </c>
      <c r="E1077" s="9">
        <v>1647</v>
      </c>
      <c r="F1077" s="9"/>
      <c r="G1077" s="11" t="s">
        <v>32</v>
      </c>
      <c r="H1077" s="11" t="s">
        <v>41</v>
      </c>
      <c r="I1077" s="11" t="s">
        <v>404</v>
      </c>
      <c r="J1077" s="11" t="s">
        <v>404</v>
      </c>
      <c r="K1077" s="11" t="s">
        <v>1446</v>
      </c>
      <c r="L1077" s="12">
        <v>210</v>
      </c>
      <c r="M1077" s="12">
        <v>80</v>
      </c>
      <c r="N1077" s="11">
        <v>2021.8</v>
      </c>
      <c r="O1077" s="11" t="s">
        <v>43</v>
      </c>
      <c r="P1077" s="11" t="s">
        <v>44</v>
      </c>
      <c r="Q1077" s="11">
        <v>18611425182</v>
      </c>
      <c r="R1077" s="11" t="s">
        <v>45</v>
      </c>
      <c r="S1077" s="11" t="s">
        <v>141</v>
      </c>
      <c r="T1077" s="11"/>
    </row>
    <row r="1078" spans="1:20" s="14" customFormat="1" ht="24" customHeight="1">
      <c r="A1078" s="15"/>
      <c r="B1078" s="11" t="s">
        <v>1447</v>
      </c>
      <c r="C1078" s="11"/>
      <c r="D1078" s="11" t="s">
        <v>31</v>
      </c>
      <c r="E1078" s="9">
        <v>373</v>
      </c>
      <c r="F1078" s="9">
        <v>843.98</v>
      </c>
      <c r="G1078" s="11" t="s">
        <v>32</v>
      </c>
      <c r="H1078" s="11" t="s">
        <v>41</v>
      </c>
      <c r="I1078" s="11"/>
      <c r="J1078" s="11"/>
      <c r="K1078" s="11" t="s">
        <v>979</v>
      </c>
      <c r="L1078" s="12"/>
      <c r="M1078" s="12"/>
      <c r="N1078" s="11">
        <v>2021.8</v>
      </c>
      <c r="O1078" s="11" t="s">
        <v>43</v>
      </c>
      <c r="P1078" s="11" t="s">
        <v>44</v>
      </c>
      <c r="Q1078" s="11">
        <v>18611425182</v>
      </c>
      <c r="R1078" s="11" t="s">
        <v>45</v>
      </c>
      <c r="S1078" s="11" t="s">
        <v>141</v>
      </c>
      <c r="T1078" s="11"/>
    </row>
    <row r="1079" spans="1:20" s="14" customFormat="1" ht="24" hidden="1" customHeight="1">
      <c r="A1079" s="15"/>
      <c r="B1079" s="11" t="s">
        <v>1447</v>
      </c>
      <c r="C1079" s="11"/>
      <c r="D1079" s="11" t="s">
        <v>31</v>
      </c>
      <c r="E1079" s="9">
        <v>71</v>
      </c>
      <c r="F1079" s="9">
        <v>160.36000000000001</v>
      </c>
      <c r="G1079" s="11" t="s">
        <v>32</v>
      </c>
      <c r="H1079" s="11" t="s">
        <v>33</v>
      </c>
      <c r="I1079" s="11"/>
      <c r="J1079" s="11"/>
      <c r="K1079" s="11" t="s">
        <v>979</v>
      </c>
      <c r="L1079" s="12"/>
      <c r="M1079" s="12"/>
      <c r="N1079" s="11">
        <v>2021.8</v>
      </c>
      <c r="O1079" s="11" t="s">
        <v>1448</v>
      </c>
      <c r="P1079" s="11" t="s">
        <v>44</v>
      </c>
      <c r="Q1079" s="11">
        <v>18611425182</v>
      </c>
      <c r="R1079" s="11" t="s">
        <v>45</v>
      </c>
      <c r="S1079" s="11" t="s">
        <v>141</v>
      </c>
      <c r="T1079" s="11"/>
    </row>
    <row r="1080" spans="1:20" s="14" customFormat="1" ht="24" hidden="1" customHeight="1">
      <c r="A1080" s="15"/>
      <c r="B1080" s="11" t="s">
        <v>699</v>
      </c>
      <c r="C1080" s="11" t="s">
        <v>1449</v>
      </c>
      <c r="D1080" s="11" t="s">
        <v>62</v>
      </c>
      <c r="E1080" s="9"/>
      <c r="F1080" s="9">
        <v>12.06</v>
      </c>
      <c r="G1080" s="11" t="s">
        <v>32</v>
      </c>
      <c r="H1080" s="11" t="s">
        <v>33</v>
      </c>
      <c r="I1080" s="11"/>
      <c r="J1080" s="11"/>
      <c r="K1080" s="11" t="s">
        <v>548</v>
      </c>
      <c r="L1080" s="12"/>
      <c r="M1080" s="12"/>
      <c r="N1080" s="11">
        <v>2021.8</v>
      </c>
      <c r="O1080" s="11" t="s">
        <v>1450</v>
      </c>
      <c r="P1080" s="11" t="s">
        <v>44</v>
      </c>
      <c r="Q1080" s="11">
        <v>18611425182</v>
      </c>
      <c r="R1080" s="11" t="s">
        <v>45</v>
      </c>
      <c r="S1080" s="11" t="s">
        <v>141</v>
      </c>
      <c r="T1080" s="11"/>
    </row>
    <row r="1081" spans="1:20" s="14" customFormat="1" ht="24" customHeight="1">
      <c r="A1081" s="15"/>
      <c r="B1081" s="11" t="s">
        <v>699</v>
      </c>
      <c r="C1081" s="11" t="s">
        <v>1449</v>
      </c>
      <c r="D1081" s="11" t="s">
        <v>62</v>
      </c>
      <c r="E1081" s="9"/>
      <c r="F1081" s="9">
        <v>69.569999999999993</v>
      </c>
      <c r="G1081" s="11" t="s">
        <v>32</v>
      </c>
      <c r="H1081" s="11" t="s">
        <v>41</v>
      </c>
      <c r="I1081" s="11"/>
      <c r="J1081" s="11"/>
      <c r="K1081" s="11" t="s">
        <v>548</v>
      </c>
      <c r="L1081" s="12"/>
      <c r="M1081" s="12"/>
      <c r="N1081" s="11">
        <v>2021.8</v>
      </c>
      <c r="O1081" s="11" t="s">
        <v>43</v>
      </c>
      <c r="P1081" s="11" t="s">
        <v>44</v>
      </c>
      <c r="Q1081" s="11">
        <v>18611425182</v>
      </c>
      <c r="R1081" s="11" t="s">
        <v>45</v>
      </c>
      <c r="S1081" s="11" t="s">
        <v>141</v>
      </c>
      <c r="T1081" s="11"/>
    </row>
    <row r="1082" spans="1:20" s="14" customFormat="1" ht="24" customHeight="1">
      <c r="A1082" s="15"/>
      <c r="B1082" s="11" t="s">
        <v>1451</v>
      </c>
      <c r="C1082" s="11" t="s">
        <v>1452</v>
      </c>
      <c r="D1082" s="11" t="s">
        <v>464</v>
      </c>
      <c r="E1082" s="9">
        <v>60</v>
      </c>
      <c r="F1082" s="9"/>
      <c r="G1082" s="11" t="s">
        <v>32</v>
      </c>
      <c r="H1082" s="11" t="s">
        <v>41</v>
      </c>
      <c r="I1082" s="11"/>
      <c r="J1082" s="11"/>
      <c r="K1082" s="11" t="s">
        <v>1453</v>
      </c>
      <c r="L1082" s="12">
        <v>11100</v>
      </c>
      <c r="M1082" s="12">
        <v>666000</v>
      </c>
      <c r="N1082" s="11">
        <v>44105</v>
      </c>
      <c r="O1082" s="11" t="s">
        <v>770</v>
      </c>
      <c r="P1082" s="11" t="s">
        <v>771</v>
      </c>
      <c r="Q1082" s="11">
        <v>15011231259</v>
      </c>
      <c r="R1082" s="11" t="s">
        <v>772</v>
      </c>
      <c r="S1082" s="11" t="s">
        <v>68</v>
      </c>
      <c r="T1082" s="11" t="s">
        <v>1454</v>
      </c>
    </row>
    <row r="1083" spans="1:20" s="14" customFormat="1" ht="24" customHeight="1">
      <c r="A1083" s="15"/>
      <c r="B1083" s="11" t="s">
        <v>1451</v>
      </c>
      <c r="C1083" s="11" t="s">
        <v>1455</v>
      </c>
      <c r="D1083" s="11" t="s">
        <v>464</v>
      </c>
      <c r="E1083" s="9">
        <v>59</v>
      </c>
      <c r="F1083" s="9"/>
      <c r="G1083" s="11" t="s">
        <v>32</v>
      </c>
      <c r="H1083" s="11" t="s">
        <v>41</v>
      </c>
      <c r="I1083" s="11"/>
      <c r="J1083" s="11"/>
      <c r="K1083" s="11" t="s">
        <v>1453</v>
      </c>
      <c r="L1083" s="12">
        <v>12980</v>
      </c>
      <c r="M1083" s="12">
        <v>765820</v>
      </c>
      <c r="N1083" s="11">
        <v>44105</v>
      </c>
      <c r="O1083" s="11" t="s">
        <v>770</v>
      </c>
      <c r="P1083" s="11" t="s">
        <v>771</v>
      </c>
      <c r="Q1083" s="11">
        <v>15011231259</v>
      </c>
      <c r="R1083" s="11" t="s">
        <v>772</v>
      </c>
      <c r="S1083" s="11" t="s">
        <v>68</v>
      </c>
      <c r="T1083" s="11" t="s">
        <v>1454</v>
      </c>
    </row>
    <row r="1084" spans="1:20" s="14" customFormat="1" ht="24" customHeight="1">
      <c r="A1084" s="15"/>
      <c r="B1084" s="11" t="s">
        <v>1456</v>
      </c>
      <c r="C1084" s="11" t="s">
        <v>1457</v>
      </c>
      <c r="D1084" s="11" t="s">
        <v>464</v>
      </c>
      <c r="E1084" s="9">
        <v>479</v>
      </c>
      <c r="F1084" s="9"/>
      <c r="G1084" s="11" t="s">
        <v>32</v>
      </c>
      <c r="H1084" s="11" t="s">
        <v>41</v>
      </c>
      <c r="I1084" s="11"/>
      <c r="J1084" s="11"/>
      <c r="K1084" s="11" t="s">
        <v>1453</v>
      </c>
      <c r="L1084" s="12">
        <v>129330</v>
      </c>
      <c r="M1084" s="12">
        <v>61949070</v>
      </c>
      <c r="N1084" s="11">
        <v>44105</v>
      </c>
      <c r="O1084" s="11" t="s">
        <v>770</v>
      </c>
      <c r="P1084" s="11" t="s">
        <v>771</v>
      </c>
      <c r="Q1084" s="11">
        <v>15011231259</v>
      </c>
      <c r="R1084" s="11" t="s">
        <v>772</v>
      </c>
      <c r="S1084" s="11" t="s">
        <v>68</v>
      </c>
      <c r="T1084" s="11" t="s">
        <v>1454</v>
      </c>
    </row>
    <row r="1085" spans="1:20" s="14" customFormat="1" ht="24" customHeight="1">
      <c r="A1085" s="15"/>
      <c r="B1085" s="11" t="s">
        <v>1456</v>
      </c>
      <c r="C1085" s="11" t="s">
        <v>1458</v>
      </c>
      <c r="D1085" s="11" t="s">
        <v>464</v>
      </c>
      <c r="E1085" s="9">
        <v>119</v>
      </c>
      <c r="F1085" s="9"/>
      <c r="G1085" s="11" t="s">
        <v>32</v>
      </c>
      <c r="H1085" s="11" t="s">
        <v>41</v>
      </c>
      <c r="I1085" s="11"/>
      <c r="J1085" s="11"/>
      <c r="K1085" s="11" t="s">
        <v>1453</v>
      </c>
      <c r="L1085" s="12">
        <v>35700</v>
      </c>
      <c r="M1085" s="12">
        <v>4248300</v>
      </c>
      <c r="N1085" s="11">
        <v>44105</v>
      </c>
      <c r="O1085" s="11" t="s">
        <v>770</v>
      </c>
      <c r="P1085" s="11" t="s">
        <v>771</v>
      </c>
      <c r="Q1085" s="11">
        <v>15011231259</v>
      </c>
      <c r="R1085" s="11" t="s">
        <v>772</v>
      </c>
      <c r="S1085" s="11" t="s">
        <v>68</v>
      </c>
      <c r="T1085" s="11" t="s">
        <v>1454</v>
      </c>
    </row>
    <row r="1086" spans="1:20" s="14" customFormat="1" ht="24" customHeight="1">
      <c r="A1086" s="15"/>
      <c r="B1086" s="11" t="s">
        <v>1459</v>
      </c>
      <c r="C1086" s="11" t="s">
        <v>1452</v>
      </c>
      <c r="D1086" s="11" t="s">
        <v>464</v>
      </c>
      <c r="E1086" s="9">
        <v>72</v>
      </c>
      <c r="F1086" s="9"/>
      <c r="G1086" s="11" t="s">
        <v>32</v>
      </c>
      <c r="H1086" s="11" t="s">
        <v>41</v>
      </c>
      <c r="I1086" s="11"/>
      <c r="J1086" s="11"/>
      <c r="K1086" s="11" t="s">
        <v>1453</v>
      </c>
      <c r="L1086" s="12">
        <v>27936</v>
      </c>
      <c r="M1086" s="12">
        <v>2011392</v>
      </c>
      <c r="N1086" s="11">
        <v>44105</v>
      </c>
      <c r="O1086" s="11" t="s">
        <v>770</v>
      </c>
      <c r="P1086" s="11" t="s">
        <v>771</v>
      </c>
      <c r="Q1086" s="11">
        <v>15011231259</v>
      </c>
      <c r="R1086" s="11" t="s">
        <v>772</v>
      </c>
      <c r="S1086" s="11" t="s">
        <v>68</v>
      </c>
      <c r="T1086" s="11"/>
    </row>
    <row r="1087" spans="1:20" s="14" customFormat="1" ht="24" customHeight="1">
      <c r="A1087" s="15"/>
      <c r="B1087" s="11" t="s">
        <v>1459</v>
      </c>
      <c r="C1087" s="11" t="s">
        <v>1460</v>
      </c>
      <c r="D1087" s="11" t="s">
        <v>464</v>
      </c>
      <c r="E1087" s="9">
        <v>8</v>
      </c>
      <c r="F1087" s="9"/>
      <c r="G1087" s="11" t="s">
        <v>32</v>
      </c>
      <c r="H1087" s="11" t="s">
        <v>41</v>
      </c>
      <c r="I1087" s="11"/>
      <c r="J1087" s="11"/>
      <c r="K1087" s="11" t="s">
        <v>1453</v>
      </c>
      <c r="L1087" s="12">
        <v>3264</v>
      </c>
      <c r="M1087" s="12">
        <v>26112</v>
      </c>
      <c r="N1087" s="11">
        <v>44105</v>
      </c>
      <c r="O1087" s="11" t="s">
        <v>770</v>
      </c>
      <c r="P1087" s="11" t="s">
        <v>771</v>
      </c>
      <c r="Q1087" s="11">
        <v>15011231259</v>
      </c>
      <c r="R1087" s="11" t="s">
        <v>772</v>
      </c>
      <c r="S1087" s="11" t="s">
        <v>68</v>
      </c>
      <c r="T1087" s="11"/>
    </row>
    <row r="1088" spans="1:20" s="14" customFormat="1" ht="24" customHeight="1">
      <c r="A1088" s="15"/>
      <c r="B1088" s="11" t="s">
        <v>1461</v>
      </c>
      <c r="C1088" s="11" t="s">
        <v>1457</v>
      </c>
      <c r="D1088" s="11" t="s">
        <v>464</v>
      </c>
      <c r="E1088" s="9">
        <v>37</v>
      </c>
      <c r="F1088" s="9"/>
      <c r="G1088" s="11" t="s">
        <v>32</v>
      </c>
      <c r="H1088" s="11" t="s">
        <v>41</v>
      </c>
      <c r="I1088" s="11"/>
      <c r="J1088" s="11"/>
      <c r="K1088" s="11" t="s">
        <v>1453</v>
      </c>
      <c r="L1088" s="12">
        <v>15910</v>
      </c>
      <c r="M1088" s="12">
        <v>588670</v>
      </c>
      <c r="N1088" s="11">
        <v>44105</v>
      </c>
      <c r="O1088" s="11" t="s">
        <v>770</v>
      </c>
      <c r="P1088" s="11" t="s">
        <v>771</v>
      </c>
      <c r="Q1088" s="11">
        <v>15011231259</v>
      </c>
      <c r="R1088" s="11" t="s">
        <v>772</v>
      </c>
      <c r="S1088" s="11" t="s">
        <v>68</v>
      </c>
      <c r="T1088" s="11"/>
    </row>
    <row r="1089" spans="1:20" s="14" customFormat="1" ht="24" customHeight="1">
      <c r="A1089" s="15"/>
      <c r="B1089" s="11" t="s">
        <v>1461</v>
      </c>
      <c r="C1089" s="11" t="s">
        <v>1458</v>
      </c>
      <c r="D1089" s="11" t="s">
        <v>464</v>
      </c>
      <c r="E1089" s="9">
        <v>24</v>
      </c>
      <c r="F1089" s="9"/>
      <c r="G1089" s="11" t="s">
        <v>32</v>
      </c>
      <c r="H1089" s="11" t="s">
        <v>41</v>
      </c>
      <c r="I1089" s="11"/>
      <c r="J1089" s="11"/>
      <c r="K1089" s="11" t="s">
        <v>1453</v>
      </c>
      <c r="L1089" s="12">
        <v>10320</v>
      </c>
      <c r="M1089" s="12">
        <v>247680</v>
      </c>
      <c r="N1089" s="11">
        <v>44105</v>
      </c>
      <c r="O1089" s="11" t="s">
        <v>770</v>
      </c>
      <c r="P1089" s="11" t="s">
        <v>771</v>
      </c>
      <c r="Q1089" s="11">
        <v>15011231259</v>
      </c>
      <c r="R1089" s="11" t="s">
        <v>772</v>
      </c>
      <c r="S1089" s="11" t="s">
        <v>68</v>
      </c>
      <c r="T1089" s="11"/>
    </row>
    <row r="1090" spans="1:20" s="14" customFormat="1" ht="24" customHeight="1">
      <c r="A1090" s="15"/>
      <c r="B1090" s="11" t="s">
        <v>1461</v>
      </c>
      <c r="C1090" s="11" t="s">
        <v>1460</v>
      </c>
      <c r="D1090" s="11" t="s">
        <v>464</v>
      </c>
      <c r="E1090" s="9">
        <v>442</v>
      </c>
      <c r="F1090" s="9"/>
      <c r="G1090" s="11" t="s">
        <v>32</v>
      </c>
      <c r="H1090" s="11" t="s">
        <v>41</v>
      </c>
      <c r="I1090" s="11"/>
      <c r="J1090" s="11"/>
      <c r="K1090" s="11" t="s">
        <v>1453</v>
      </c>
      <c r="L1090" s="12">
        <v>132600</v>
      </c>
      <c r="M1090" s="12">
        <v>58609200</v>
      </c>
      <c r="N1090" s="11">
        <v>44105</v>
      </c>
      <c r="O1090" s="11" t="s">
        <v>770</v>
      </c>
      <c r="P1090" s="11" t="s">
        <v>771</v>
      </c>
      <c r="Q1090" s="11">
        <v>15011231259</v>
      </c>
      <c r="R1090" s="11" t="s">
        <v>772</v>
      </c>
      <c r="S1090" s="11" t="s">
        <v>68</v>
      </c>
      <c r="T1090" s="11"/>
    </row>
    <row r="1091" spans="1:20" s="14" customFormat="1" ht="24" hidden="1" customHeight="1">
      <c r="A1091" s="15"/>
      <c r="B1091" s="11" t="s">
        <v>1462</v>
      </c>
      <c r="C1091" s="11" t="s">
        <v>1463</v>
      </c>
      <c r="D1091" s="11" t="s">
        <v>31</v>
      </c>
      <c r="E1091" s="9">
        <v>877.5</v>
      </c>
      <c r="F1091" s="9"/>
      <c r="G1091" s="11" t="s">
        <v>32</v>
      </c>
      <c r="H1091" s="11" t="s">
        <v>33</v>
      </c>
      <c r="I1091" s="11"/>
      <c r="J1091" s="11" t="s">
        <v>515</v>
      </c>
      <c r="K1091" s="11"/>
      <c r="L1091" s="12">
        <v>80730</v>
      </c>
      <c r="M1091" s="12">
        <v>0</v>
      </c>
      <c r="N1091" s="24">
        <v>43525</v>
      </c>
      <c r="O1091" s="11" t="s">
        <v>516</v>
      </c>
      <c r="P1091" s="11" t="s">
        <v>517</v>
      </c>
      <c r="Q1091" s="11">
        <v>1391013945</v>
      </c>
      <c r="R1091" s="11" t="s">
        <v>518</v>
      </c>
      <c r="S1091" s="11" t="s">
        <v>68</v>
      </c>
      <c r="T1091" s="11"/>
    </row>
    <row r="1092" spans="1:20" s="14" customFormat="1" ht="24" hidden="1" customHeight="1">
      <c r="A1092" s="15"/>
      <c r="B1092" s="11" t="s">
        <v>1462</v>
      </c>
      <c r="C1092" s="11" t="s">
        <v>1464</v>
      </c>
      <c r="D1092" s="11" t="s">
        <v>31</v>
      </c>
      <c r="E1092" s="9">
        <v>112.5</v>
      </c>
      <c r="F1092" s="9"/>
      <c r="G1092" s="11" t="s">
        <v>32</v>
      </c>
      <c r="H1092" s="11" t="s">
        <v>33</v>
      </c>
      <c r="I1092" s="11"/>
      <c r="J1092" s="11" t="s">
        <v>515</v>
      </c>
      <c r="K1092" s="11"/>
      <c r="L1092" s="12">
        <v>10912.5</v>
      </c>
      <c r="M1092" s="12">
        <v>0</v>
      </c>
      <c r="N1092" s="24">
        <v>43525</v>
      </c>
      <c r="O1092" s="11" t="s">
        <v>516</v>
      </c>
      <c r="P1092" s="11" t="s">
        <v>517</v>
      </c>
      <c r="Q1092" s="11">
        <v>1391013946</v>
      </c>
      <c r="R1092" s="11" t="s">
        <v>518</v>
      </c>
      <c r="S1092" s="11" t="s">
        <v>68</v>
      </c>
      <c r="T1092" s="11"/>
    </row>
    <row r="1093" spans="1:20" s="14" customFormat="1" ht="24" hidden="1" customHeight="1">
      <c r="A1093" s="15"/>
      <c r="B1093" s="11" t="s">
        <v>1465</v>
      </c>
      <c r="C1093" s="11" t="s">
        <v>1466</v>
      </c>
      <c r="D1093" s="11" t="s">
        <v>1467</v>
      </c>
      <c r="E1093" s="9">
        <f>786.875</f>
        <v>786.875</v>
      </c>
      <c r="F1093" s="9"/>
      <c r="G1093" s="11" t="s">
        <v>32</v>
      </c>
      <c r="H1093" s="11" t="s">
        <v>33</v>
      </c>
      <c r="I1093" s="11"/>
      <c r="J1093" s="11" t="s">
        <v>515</v>
      </c>
      <c r="K1093" s="11"/>
      <c r="L1093" s="12">
        <v>118031.25</v>
      </c>
      <c r="M1093" s="12">
        <v>0</v>
      </c>
      <c r="N1093" s="24">
        <v>43529</v>
      </c>
      <c r="O1093" s="11" t="s">
        <v>516</v>
      </c>
      <c r="P1093" s="11" t="s">
        <v>517</v>
      </c>
      <c r="Q1093" s="11">
        <v>1391013946</v>
      </c>
      <c r="R1093" s="11" t="s">
        <v>518</v>
      </c>
      <c r="S1093" s="11" t="s">
        <v>68</v>
      </c>
      <c r="T1093" s="11"/>
    </row>
    <row r="1094" spans="1:20" s="14" customFormat="1" ht="24" hidden="1" customHeight="1">
      <c r="A1094" s="15"/>
      <c r="B1094" s="11" t="s">
        <v>1468</v>
      </c>
      <c r="C1094" s="11" t="s">
        <v>1469</v>
      </c>
      <c r="D1094" s="11" t="s">
        <v>161</v>
      </c>
      <c r="E1094" s="9">
        <v>110</v>
      </c>
      <c r="F1094" s="9"/>
      <c r="G1094" s="11" t="s">
        <v>32</v>
      </c>
      <c r="H1094" s="11" t="s">
        <v>33</v>
      </c>
      <c r="I1094" s="11" t="s">
        <v>34</v>
      </c>
      <c r="J1094" s="11" t="s">
        <v>34</v>
      </c>
      <c r="K1094" s="12" t="s">
        <v>1470</v>
      </c>
      <c r="L1094" s="12">
        <v>71500</v>
      </c>
      <c r="M1094" s="12">
        <v>47666.667200269301</v>
      </c>
      <c r="N1094" s="11" t="s">
        <v>1471</v>
      </c>
      <c r="O1094" s="11" t="s">
        <v>1180</v>
      </c>
      <c r="P1094" s="11" t="s">
        <v>1181</v>
      </c>
      <c r="Q1094" s="11">
        <v>15810522330</v>
      </c>
      <c r="R1094" s="60" t="s">
        <v>1182</v>
      </c>
      <c r="S1094" s="60" t="s">
        <v>115</v>
      </c>
      <c r="T1094" s="60"/>
    </row>
    <row r="1095" spans="1:20" s="14" customFormat="1" ht="24" hidden="1" customHeight="1">
      <c r="A1095" s="15"/>
      <c r="B1095" s="11" t="s">
        <v>1472</v>
      </c>
      <c r="C1095" s="11" t="s">
        <v>1473</v>
      </c>
      <c r="D1095" s="11" t="s">
        <v>161</v>
      </c>
      <c r="E1095" s="9">
        <v>136</v>
      </c>
      <c r="F1095" s="9"/>
      <c r="G1095" s="11" t="s">
        <v>32</v>
      </c>
      <c r="H1095" s="11" t="s">
        <v>33</v>
      </c>
      <c r="I1095" s="11" t="s">
        <v>34</v>
      </c>
      <c r="J1095" s="11" t="s">
        <v>34</v>
      </c>
      <c r="K1095" s="12" t="s">
        <v>1470</v>
      </c>
      <c r="L1095" s="12">
        <v>50048</v>
      </c>
      <c r="M1095" s="12">
        <v>33365.336533494898</v>
      </c>
      <c r="N1095" s="11" t="s">
        <v>1471</v>
      </c>
      <c r="O1095" s="11" t="s">
        <v>1180</v>
      </c>
      <c r="P1095" s="11" t="s">
        <v>1181</v>
      </c>
      <c r="Q1095" s="11">
        <v>15810522330</v>
      </c>
      <c r="R1095" s="60" t="s">
        <v>1182</v>
      </c>
      <c r="S1095" s="60" t="s">
        <v>115</v>
      </c>
      <c r="T1095" s="60"/>
    </row>
    <row r="1096" spans="1:20" s="14" customFormat="1" ht="24" hidden="1" customHeight="1">
      <c r="A1096" s="15"/>
      <c r="B1096" s="11" t="s">
        <v>1472</v>
      </c>
      <c r="C1096" s="11" t="s">
        <v>1474</v>
      </c>
      <c r="D1096" s="11" t="s">
        <v>161</v>
      </c>
      <c r="E1096" s="9">
        <v>130</v>
      </c>
      <c r="F1096" s="9"/>
      <c r="G1096" s="11" t="s">
        <v>32</v>
      </c>
      <c r="H1096" s="11" t="s">
        <v>33</v>
      </c>
      <c r="I1096" s="11" t="s">
        <v>34</v>
      </c>
      <c r="J1096" s="11" t="s">
        <v>34</v>
      </c>
      <c r="K1096" s="12" t="s">
        <v>1470</v>
      </c>
      <c r="L1096" s="12">
        <v>12740</v>
      </c>
      <c r="M1096" s="12">
        <v>8493.3324000269295</v>
      </c>
      <c r="N1096" s="11" t="s">
        <v>1471</v>
      </c>
      <c r="O1096" s="11" t="s">
        <v>1180</v>
      </c>
      <c r="P1096" s="11" t="s">
        <v>1181</v>
      </c>
      <c r="Q1096" s="11">
        <v>15810522330</v>
      </c>
      <c r="R1096" s="60" t="s">
        <v>1182</v>
      </c>
      <c r="S1096" s="60" t="s">
        <v>115</v>
      </c>
      <c r="T1096" s="60"/>
    </row>
    <row r="1097" spans="1:20" s="14" customFormat="1" ht="24" customHeight="1">
      <c r="A1097" s="15"/>
      <c r="B1097" s="11" t="s">
        <v>1475</v>
      </c>
      <c r="C1097" s="11" t="s">
        <v>1476</v>
      </c>
      <c r="D1097" s="11" t="s">
        <v>1477</v>
      </c>
      <c r="E1097" s="9">
        <v>1</v>
      </c>
      <c r="F1097" s="9"/>
      <c r="G1097" s="11" t="s">
        <v>72</v>
      </c>
      <c r="H1097" s="11" t="s">
        <v>41</v>
      </c>
      <c r="I1097" s="11"/>
      <c r="J1097" s="11"/>
      <c r="K1097" s="11"/>
      <c r="L1097" s="12"/>
      <c r="M1097" s="12"/>
      <c r="N1097" s="24"/>
      <c r="O1097" s="11" t="s">
        <v>1478</v>
      </c>
      <c r="P1097" s="11" t="s">
        <v>249</v>
      </c>
      <c r="Q1097" s="11">
        <v>17731886959</v>
      </c>
      <c r="R1097" s="11" t="s">
        <v>1216</v>
      </c>
      <c r="S1097" s="11" t="s">
        <v>115</v>
      </c>
      <c r="T1097" s="11"/>
    </row>
    <row r="1098" spans="1:20" s="14" customFormat="1" ht="24" hidden="1" customHeight="1">
      <c r="A1098" s="15"/>
      <c r="B1098" s="11" t="s">
        <v>1479</v>
      </c>
      <c r="C1098" s="11" t="s">
        <v>1480</v>
      </c>
      <c r="D1098" s="11" t="s">
        <v>1467</v>
      </c>
      <c r="E1098" s="9">
        <v>7735.0550000000003</v>
      </c>
      <c r="F1098" s="9"/>
      <c r="G1098" s="11" t="s">
        <v>32</v>
      </c>
      <c r="H1098" s="11" t="s">
        <v>33</v>
      </c>
      <c r="I1098" s="11" t="s">
        <v>179</v>
      </c>
      <c r="J1098" s="11" t="s">
        <v>1481</v>
      </c>
      <c r="K1098" s="11" t="s">
        <v>1481</v>
      </c>
      <c r="L1098" s="12">
        <v>1667158.602</v>
      </c>
      <c r="M1098" s="12">
        <v>576201.495474</v>
      </c>
      <c r="N1098" s="11">
        <v>2018.9</v>
      </c>
      <c r="O1098" s="11" t="s">
        <v>583</v>
      </c>
      <c r="P1098" s="11" t="s">
        <v>113</v>
      </c>
      <c r="Q1098" s="11">
        <v>13810668661</v>
      </c>
      <c r="R1098" s="11" t="s">
        <v>114</v>
      </c>
      <c r="S1098" s="11" t="s">
        <v>115</v>
      </c>
      <c r="T1098" s="60"/>
    </row>
    <row r="1099" spans="1:20" s="14" customFormat="1" ht="24" hidden="1" customHeight="1">
      <c r="A1099" s="15"/>
      <c r="B1099" s="11" t="s">
        <v>1482</v>
      </c>
      <c r="C1099" s="11" t="s">
        <v>1483</v>
      </c>
      <c r="D1099" s="11" t="s">
        <v>31</v>
      </c>
      <c r="E1099" s="9">
        <v>666</v>
      </c>
      <c r="F1099" s="9"/>
      <c r="G1099" s="11" t="s">
        <v>32</v>
      </c>
      <c r="H1099" s="11" t="s">
        <v>33</v>
      </c>
      <c r="I1099" s="11" t="s">
        <v>179</v>
      </c>
      <c r="J1099" s="11" t="s">
        <v>1242</v>
      </c>
      <c r="K1099" s="11" t="s">
        <v>1242</v>
      </c>
      <c r="L1099" s="12">
        <v>39128</v>
      </c>
      <c r="M1099" s="12">
        <v>16303.33</v>
      </c>
      <c r="N1099" s="11">
        <v>2020.4</v>
      </c>
      <c r="O1099" s="11" t="s">
        <v>583</v>
      </c>
      <c r="P1099" s="11" t="s">
        <v>113</v>
      </c>
      <c r="Q1099" s="11">
        <v>13810668661</v>
      </c>
      <c r="R1099" s="11" t="s">
        <v>114</v>
      </c>
      <c r="S1099" s="11" t="s">
        <v>115</v>
      </c>
      <c r="T1099" s="60"/>
    </row>
    <row r="1100" spans="1:20" s="14" customFormat="1" ht="24" hidden="1" customHeight="1">
      <c r="A1100" s="15"/>
      <c r="B1100" s="11" t="s">
        <v>1484</v>
      </c>
      <c r="C1100" s="11"/>
      <c r="D1100" s="11" t="s">
        <v>161</v>
      </c>
      <c r="E1100" s="9">
        <v>730</v>
      </c>
      <c r="F1100" s="78"/>
      <c r="G1100" s="11" t="s">
        <v>32</v>
      </c>
      <c r="H1100" s="11" t="s">
        <v>33</v>
      </c>
      <c r="I1100" s="60" t="s">
        <v>179</v>
      </c>
      <c r="J1100" s="60" t="s">
        <v>1485</v>
      </c>
      <c r="K1100" s="60" t="s">
        <v>1485</v>
      </c>
      <c r="L1100" s="12">
        <v>116800</v>
      </c>
      <c r="M1100" s="12">
        <v>34019.417999999998</v>
      </c>
      <c r="N1100" s="11">
        <v>2019.4</v>
      </c>
      <c r="O1100" s="11" t="s">
        <v>583</v>
      </c>
      <c r="P1100" s="11" t="s">
        <v>113</v>
      </c>
      <c r="Q1100" s="11">
        <v>13810668661</v>
      </c>
      <c r="R1100" s="11" t="s">
        <v>114</v>
      </c>
      <c r="S1100" s="11" t="s">
        <v>115</v>
      </c>
      <c r="T1100" s="60"/>
    </row>
    <row r="1101" spans="1:20" s="14" customFormat="1" ht="24" hidden="1" customHeight="1">
      <c r="A1101" s="15"/>
      <c r="B1101" s="11" t="s">
        <v>1486</v>
      </c>
      <c r="C1101" s="11" t="s">
        <v>1487</v>
      </c>
      <c r="D1101" s="11" t="s">
        <v>131</v>
      </c>
      <c r="E1101" s="9">
        <v>109</v>
      </c>
      <c r="F1101" s="78"/>
      <c r="G1101" s="11" t="s">
        <v>32</v>
      </c>
      <c r="H1101" s="11" t="s">
        <v>33</v>
      </c>
      <c r="I1101" s="60" t="s">
        <v>179</v>
      </c>
      <c r="J1101" s="60"/>
      <c r="K1101" s="60" t="s">
        <v>1488</v>
      </c>
      <c r="L1101" s="12">
        <v>183115</v>
      </c>
      <c r="M1101" s="12">
        <v>53334.466999999997</v>
      </c>
      <c r="N1101" s="11">
        <v>2018.9</v>
      </c>
      <c r="O1101" s="11" t="s">
        <v>583</v>
      </c>
      <c r="P1101" s="11" t="s">
        <v>113</v>
      </c>
      <c r="Q1101" s="11">
        <v>13810668661</v>
      </c>
      <c r="R1101" s="11" t="s">
        <v>114</v>
      </c>
      <c r="S1101" s="11" t="s">
        <v>115</v>
      </c>
      <c r="T1101" s="60"/>
    </row>
    <row r="1102" spans="1:20" s="14" customFormat="1" ht="24" hidden="1" customHeight="1">
      <c r="A1102" s="15"/>
      <c r="B1102" s="79" t="s">
        <v>1489</v>
      </c>
      <c r="C1102" s="80" t="s">
        <v>1490</v>
      </c>
      <c r="D1102" s="80" t="s">
        <v>131</v>
      </c>
      <c r="E1102" s="79">
        <v>4</v>
      </c>
      <c r="F1102" s="79">
        <v>19.8</v>
      </c>
      <c r="G1102" s="79" t="s">
        <v>72</v>
      </c>
      <c r="H1102" s="81" t="s">
        <v>33</v>
      </c>
      <c r="I1102" s="80" t="s">
        <v>1251</v>
      </c>
      <c r="J1102" s="79" t="s">
        <v>1251</v>
      </c>
      <c r="K1102" s="79" t="s">
        <v>1491</v>
      </c>
      <c r="L1102" s="51">
        <v>88000</v>
      </c>
      <c r="M1102" s="51">
        <v>88000</v>
      </c>
      <c r="N1102" s="79" t="s">
        <v>1492</v>
      </c>
      <c r="O1102" s="79" t="s">
        <v>1493</v>
      </c>
      <c r="P1102" s="80" t="s">
        <v>37</v>
      </c>
      <c r="Q1102" s="79">
        <v>18631369862</v>
      </c>
      <c r="R1102" s="82" t="s">
        <v>38</v>
      </c>
      <c r="S1102" s="80" t="s">
        <v>39</v>
      </c>
      <c r="T1102" s="11"/>
    </row>
    <row r="1103" spans="1:20" s="14" customFormat="1" ht="24" hidden="1" customHeight="1">
      <c r="A1103" s="15"/>
      <c r="B1103" s="79" t="s">
        <v>1489</v>
      </c>
      <c r="C1103" s="80" t="s">
        <v>1494</v>
      </c>
      <c r="D1103" s="80" t="s">
        <v>131</v>
      </c>
      <c r="E1103" s="79">
        <v>3</v>
      </c>
      <c r="F1103" s="79">
        <v>12.48</v>
      </c>
      <c r="G1103" s="79" t="s">
        <v>72</v>
      </c>
      <c r="H1103" s="81" t="s">
        <v>33</v>
      </c>
      <c r="I1103" s="80" t="s">
        <v>1251</v>
      </c>
      <c r="J1103" s="79" t="s">
        <v>1251</v>
      </c>
      <c r="K1103" s="79" t="s">
        <v>1491</v>
      </c>
      <c r="L1103" s="51">
        <v>63000</v>
      </c>
      <c r="M1103" s="51">
        <v>63000</v>
      </c>
      <c r="N1103" s="79" t="s">
        <v>1495</v>
      </c>
      <c r="O1103" s="79" t="s">
        <v>1493</v>
      </c>
      <c r="P1103" s="80" t="s">
        <v>37</v>
      </c>
      <c r="Q1103" s="79">
        <v>18631369863</v>
      </c>
      <c r="R1103" s="82" t="s">
        <v>38</v>
      </c>
      <c r="S1103" s="80" t="s">
        <v>39</v>
      </c>
      <c r="T1103" s="11"/>
    </row>
    <row r="1104" spans="1:20" s="14" customFormat="1" ht="24" hidden="1" customHeight="1">
      <c r="A1104" s="15"/>
      <c r="B1104" s="79" t="s">
        <v>1489</v>
      </c>
      <c r="C1104" s="80" t="s">
        <v>1494</v>
      </c>
      <c r="D1104" s="80" t="s">
        <v>131</v>
      </c>
      <c r="E1104" s="79">
        <v>12</v>
      </c>
      <c r="F1104" s="79"/>
      <c r="G1104" s="79" t="s">
        <v>32</v>
      </c>
      <c r="H1104" s="81" t="s">
        <v>33</v>
      </c>
      <c r="I1104" s="80" t="s">
        <v>1251</v>
      </c>
      <c r="J1104" s="79" t="s">
        <v>1251</v>
      </c>
      <c r="K1104" s="79" t="s">
        <v>1491</v>
      </c>
      <c r="L1104" s="51">
        <v>480000</v>
      </c>
      <c r="M1104" s="51">
        <v>480000</v>
      </c>
      <c r="N1104" s="79" t="s">
        <v>1496</v>
      </c>
      <c r="O1104" s="79" t="s">
        <v>1254</v>
      </c>
      <c r="P1104" s="80" t="s">
        <v>37</v>
      </c>
      <c r="Q1104" s="79" t="s">
        <v>1285</v>
      </c>
      <c r="R1104" s="82" t="s">
        <v>38</v>
      </c>
      <c r="S1104" s="80" t="s">
        <v>39</v>
      </c>
      <c r="T1104" s="11"/>
    </row>
    <row r="1105" spans="1:20" s="14" customFormat="1" ht="24" hidden="1" customHeight="1">
      <c r="A1105" s="15"/>
      <c r="B1105" s="79" t="s">
        <v>1489</v>
      </c>
      <c r="C1105" s="80" t="s">
        <v>1490</v>
      </c>
      <c r="D1105" s="80" t="s">
        <v>131</v>
      </c>
      <c r="E1105" s="79">
        <v>2</v>
      </c>
      <c r="F1105" s="79"/>
      <c r="G1105" s="79" t="s">
        <v>32</v>
      </c>
      <c r="H1105" s="81" t="s">
        <v>33</v>
      </c>
      <c r="I1105" s="80" t="s">
        <v>1251</v>
      </c>
      <c r="J1105" s="79" t="s">
        <v>1251</v>
      </c>
      <c r="K1105" s="79" t="s">
        <v>623</v>
      </c>
      <c r="L1105" s="51">
        <v>81000</v>
      </c>
      <c r="M1105" s="51">
        <v>81000</v>
      </c>
      <c r="N1105" s="79" t="s">
        <v>1497</v>
      </c>
      <c r="O1105" s="79" t="s">
        <v>1254</v>
      </c>
      <c r="P1105" s="80" t="s">
        <v>37</v>
      </c>
      <c r="Q1105" s="79" t="s">
        <v>1285</v>
      </c>
      <c r="R1105" s="82" t="s">
        <v>38</v>
      </c>
      <c r="S1105" s="80" t="s">
        <v>39</v>
      </c>
      <c r="T1105" s="11"/>
    </row>
    <row r="1106" spans="1:20" s="14" customFormat="1" ht="24" hidden="1" customHeight="1">
      <c r="A1106" s="15"/>
      <c r="B1106" s="79" t="s">
        <v>1489</v>
      </c>
      <c r="C1106" s="80" t="s">
        <v>1498</v>
      </c>
      <c r="D1106" s="80" t="s">
        <v>131</v>
      </c>
      <c r="E1106" s="79">
        <v>2</v>
      </c>
      <c r="F1106" s="79"/>
      <c r="G1106" s="79" t="s">
        <v>32</v>
      </c>
      <c r="H1106" s="81" t="s">
        <v>33</v>
      </c>
      <c r="I1106" s="80" t="s">
        <v>1251</v>
      </c>
      <c r="J1106" s="79" t="s">
        <v>1251</v>
      </c>
      <c r="K1106" s="79" t="s">
        <v>623</v>
      </c>
      <c r="L1106" s="51">
        <v>76800</v>
      </c>
      <c r="M1106" s="51">
        <v>76800</v>
      </c>
      <c r="N1106" s="79" t="s">
        <v>1497</v>
      </c>
      <c r="O1106" s="79" t="s">
        <v>1254</v>
      </c>
      <c r="P1106" s="80" t="s">
        <v>37</v>
      </c>
      <c r="Q1106" s="79" t="s">
        <v>1285</v>
      </c>
      <c r="R1106" s="82" t="s">
        <v>38</v>
      </c>
      <c r="S1106" s="80" t="s">
        <v>39</v>
      </c>
      <c r="T1106" s="11"/>
    </row>
    <row r="1107" spans="1:20" s="14" customFormat="1" ht="24" hidden="1" customHeight="1">
      <c r="A1107" s="15"/>
      <c r="B1107" s="79" t="s">
        <v>1499</v>
      </c>
      <c r="C1107" s="80" t="s">
        <v>1500</v>
      </c>
      <c r="D1107" s="80" t="s">
        <v>888</v>
      </c>
      <c r="E1107" s="79">
        <v>839.31</v>
      </c>
      <c r="F1107" s="79"/>
      <c r="G1107" s="79" t="s">
        <v>32</v>
      </c>
      <c r="H1107" s="81" t="s">
        <v>33</v>
      </c>
      <c r="I1107" s="80" t="s">
        <v>1251</v>
      </c>
      <c r="J1107" s="79" t="s">
        <v>1251</v>
      </c>
      <c r="K1107" s="79" t="s">
        <v>1283</v>
      </c>
      <c r="L1107" s="51">
        <v>20982.75</v>
      </c>
      <c r="M1107" s="51">
        <v>0</v>
      </c>
      <c r="N1107" s="79" t="s">
        <v>1396</v>
      </c>
      <c r="O1107" s="79" t="s">
        <v>1254</v>
      </c>
      <c r="P1107" s="80" t="s">
        <v>37</v>
      </c>
      <c r="Q1107" s="79">
        <v>18631369867</v>
      </c>
      <c r="R1107" s="82" t="s">
        <v>38</v>
      </c>
      <c r="S1107" s="80" t="s">
        <v>39</v>
      </c>
      <c r="T1107" s="11"/>
    </row>
    <row r="1108" spans="1:20" s="14" customFormat="1" ht="24" hidden="1" customHeight="1">
      <c r="A1108" s="15"/>
      <c r="B1108" s="79" t="s">
        <v>1501</v>
      </c>
      <c r="C1108" s="80" t="s">
        <v>34</v>
      </c>
      <c r="D1108" s="80" t="s">
        <v>161</v>
      </c>
      <c r="E1108" s="79">
        <v>255</v>
      </c>
      <c r="F1108" s="79"/>
      <c r="G1108" s="79" t="s">
        <v>32</v>
      </c>
      <c r="H1108" s="81" t="s">
        <v>33</v>
      </c>
      <c r="I1108" s="80" t="s">
        <v>1251</v>
      </c>
      <c r="J1108" s="79" t="s">
        <v>1251</v>
      </c>
      <c r="K1108" s="79" t="s">
        <v>1283</v>
      </c>
      <c r="L1108" s="51">
        <v>3825</v>
      </c>
      <c r="M1108" s="51">
        <v>0</v>
      </c>
      <c r="N1108" s="79" t="s">
        <v>1396</v>
      </c>
      <c r="O1108" s="79" t="s">
        <v>1254</v>
      </c>
      <c r="P1108" s="80" t="s">
        <v>37</v>
      </c>
      <c r="Q1108" s="79">
        <v>18631369868</v>
      </c>
      <c r="R1108" s="82" t="s">
        <v>38</v>
      </c>
      <c r="S1108" s="80" t="s">
        <v>39</v>
      </c>
      <c r="T1108" s="11"/>
    </row>
    <row r="1109" spans="1:20" s="14" customFormat="1" ht="24" hidden="1" customHeight="1">
      <c r="A1109" s="15"/>
      <c r="B1109" s="79" t="s">
        <v>1367</v>
      </c>
      <c r="C1109" s="80" t="s">
        <v>1502</v>
      </c>
      <c r="D1109" s="80" t="s">
        <v>888</v>
      </c>
      <c r="E1109" s="79">
        <v>3488.25</v>
      </c>
      <c r="F1109" s="79"/>
      <c r="G1109" s="79" t="s">
        <v>32</v>
      </c>
      <c r="H1109" s="81" t="s">
        <v>33</v>
      </c>
      <c r="I1109" s="80" t="s">
        <v>1251</v>
      </c>
      <c r="J1109" s="79" t="s">
        <v>1251</v>
      </c>
      <c r="K1109" s="79" t="s">
        <v>1399</v>
      </c>
      <c r="L1109" s="51">
        <v>732532.5</v>
      </c>
      <c r="M1109" s="51">
        <v>609234.95049504901</v>
      </c>
      <c r="N1109" s="79" t="s">
        <v>1396</v>
      </c>
      <c r="O1109" s="79" t="s">
        <v>1254</v>
      </c>
      <c r="P1109" s="80" t="s">
        <v>37</v>
      </c>
      <c r="Q1109" s="79">
        <v>18631369869</v>
      </c>
      <c r="R1109" s="82" t="s">
        <v>38</v>
      </c>
      <c r="S1109" s="80" t="s">
        <v>39</v>
      </c>
      <c r="T1109" s="11"/>
    </row>
    <row r="1110" spans="1:20" s="14" customFormat="1" ht="24" hidden="1" customHeight="1">
      <c r="A1110" s="15"/>
      <c r="B1110" s="79" t="s">
        <v>1465</v>
      </c>
      <c r="C1110" s="80" t="s">
        <v>1503</v>
      </c>
      <c r="D1110" s="80" t="s">
        <v>161</v>
      </c>
      <c r="E1110" s="79">
        <v>647.15</v>
      </c>
      <c r="F1110" s="79"/>
      <c r="G1110" s="79" t="s">
        <v>32</v>
      </c>
      <c r="H1110" s="81" t="s">
        <v>33</v>
      </c>
      <c r="I1110" s="80" t="s">
        <v>1251</v>
      </c>
      <c r="J1110" s="79" t="s">
        <v>1251</v>
      </c>
      <c r="K1110" s="79" t="s">
        <v>1242</v>
      </c>
      <c r="L1110" s="51">
        <v>97072.5</v>
      </c>
      <c r="M1110" s="51">
        <v>81540.899999999994</v>
      </c>
      <c r="N1110" s="79" t="s">
        <v>1504</v>
      </c>
      <c r="O1110" s="79" t="s">
        <v>1254</v>
      </c>
      <c r="P1110" s="80" t="s">
        <v>37</v>
      </c>
      <c r="Q1110" s="79">
        <v>18631369870</v>
      </c>
      <c r="R1110" s="82" t="s">
        <v>38</v>
      </c>
      <c r="S1110" s="80" t="s">
        <v>39</v>
      </c>
      <c r="T1110" s="11"/>
    </row>
    <row r="1111" spans="1:20" s="14" customFormat="1" ht="24" hidden="1" customHeight="1">
      <c r="A1111" s="15"/>
      <c r="B1111" s="79" t="s">
        <v>1465</v>
      </c>
      <c r="C1111" s="80" t="s">
        <v>1503</v>
      </c>
      <c r="D1111" s="80" t="s">
        <v>161</v>
      </c>
      <c r="E1111" s="79">
        <v>520.29999999999995</v>
      </c>
      <c r="F1111" s="79"/>
      <c r="G1111" s="79" t="s">
        <v>32</v>
      </c>
      <c r="H1111" s="81" t="s">
        <v>33</v>
      </c>
      <c r="I1111" s="80" t="s">
        <v>1251</v>
      </c>
      <c r="J1111" s="79" t="s">
        <v>1251</v>
      </c>
      <c r="K1111" s="79" t="s">
        <v>1242</v>
      </c>
      <c r="L1111" s="51">
        <v>78045</v>
      </c>
      <c r="M1111" s="51">
        <v>65557.8</v>
      </c>
      <c r="N1111" s="79" t="s">
        <v>1504</v>
      </c>
      <c r="O1111" s="79" t="s">
        <v>1254</v>
      </c>
      <c r="P1111" s="80" t="s">
        <v>37</v>
      </c>
      <c r="Q1111" s="79">
        <v>18631369871</v>
      </c>
      <c r="R1111" s="82" t="s">
        <v>38</v>
      </c>
      <c r="S1111" s="80" t="s">
        <v>39</v>
      </c>
      <c r="T1111" s="11"/>
    </row>
    <row r="1112" spans="1:20" s="14" customFormat="1" ht="24" hidden="1" customHeight="1">
      <c r="A1112" s="15"/>
      <c r="B1112" s="79" t="s">
        <v>1462</v>
      </c>
      <c r="C1112" s="80" t="s">
        <v>1505</v>
      </c>
      <c r="D1112" s="80" t="s">
        <v>31</v>
      </c>
      <c r="E1112" s="79">
        <v>500</v>
      </c>
      <c r="F1112" s="79"/>
      <c r="G1112" s="79" t="s">
        <v>32</v>
      </c>
      <c r="H1112" s="81" t="s">
        <v>33</v>
      </c>
      <c r="I1112" s="80" t="s">
        <v>1251</v>
      </c>
      <c r="J1112" s="79" t="s">
        <v>1251</v>
      </c>
      <c r="K1112" s="79" t="s">
        <v>1242</v>
      </c>
      <c r="L1112" s="51">
        <v>26500</v>
      </c>
      <c r="M1112" s="51">
        <v>0</v>
      </c>
      <c r="N1112" s="79" t="s">
        <v>1504</v>
      </c>
      <c r="O1112" s="79" t="s">
        <v>1254</v>
      </c>
      <c r="P1112" s="80" t="s">
        <v>37</v>
      </c>
      <c r="Q1112" s="79">
        <v>18631369872</v>
      </c>
      <c r="R1112" s="82" t="s">
        <v>38</v>
      </c>
      <c r="S1112" s="80" t="s">
        <v>39</v>
      </c>
      <c r="T1112" s="11"/>
    </row>
    <row r="1113" spans="1:20" s="14" customFormat="1" ht="24" hidden="1" customHeight="1">
      <c r="A1113" s="15"/>
      <c r="B1113" s="79" t="s">
        <v>1506</v>
      </c>
      <c r="C1113" s="80" t="s">
        <v>30</v>
      </c>
      <c r="D1113" s="80" t="s">
        <v>62</v>
      </c>
      <c r="E1113" s="79">
        <v>6.67</v>
      </c>
      <c r="F1113" s="79"/>
      <c r="G1113" s="79" t="s">
        <v>32</v>
      </c>
      <c r="H1113" s="81" t="s">
        <v>33</v>
      </c>
      <c r="I1113" s="80" t="s">
        <v>1251</v>
      </c>
      <c r="J1113" s="79" t="s">
        <v>1251</v>
      </c>
      <c r="K1113" s="79" t="s">
        <v>1507</v>
      </c>
      <c r="L1113" s="51">
        <v>20010</v>
      </c>
      <c r="M1113" s="51">
        <v>18231.333333333299</v>
      </c>
      <c r="N1113" s="79" t="s">
        <v>1508</v>
      </c>
      <c r="O1113" s="79" t="s">
        <v>1254</v>
      </c>
      <c r="P1113" s="80" t="s">
        <v>37</v>
      </c>
      <c r="Q1113" s="79">
        <v>18631369873</v>
      </c>
      <c r="R1113" s="82" t="s">
        <v>38</v>
      </c>
      <c r="S1113" s="80" t="s">
        <v>39</v>
      </c>
      <c r="T1113" s="11"/>
    </row>
    <row r="1114" spans="1:20" s="14" customFormat="1" ht="24" hidden="1" customHeight="1">
      <c r="A1114" s="15"/>
      <c r="B1114" s="79" t="s">
        <v>1509</v>
      </c>
      <c r="C1114" s="80" t="s">
        <v>1510</v>
      </c>
      <c r="D1114" s="80" t="s">
        <v>31</v>
      </c>
      <c r="E1114" s="79">
        <v>200</v>
      </c>
      <c r="F1114" s="79"/>
      <c r="G1114" s="79" t="s">
        <v>32</v>
      </c>
      <c r="H1114" s="81" t="s">
        <v>33</v>
      </c>
      <c r="I1114" s="80" t="s">
        <v>1251</v>
      </c>
      <c r="J1114" s="79" t="s">
        <v>1251</v>
      </c>
      <c r="K1114" s="79" t="s">
        <v>1242</v>
      </c>
      <c r="L1114" s="51">
        <v>23000</v>
      </c>
      <c r="M1114" s="51">
        <v>0</v>
      </c>
      <c r="N1114" s="79" t="s">
        <v>1511</v>
      </c>
      <c r="O1114" s="79" t="s">
        <v>1254</v>
      </c>
      <c r="P1114" s="80" t="s">
        <v>37</v>
      </c>
      <c r="Q1114" s="79">
        <v>18631369874</v>
      </c>
      <c r="R1114" s="82" t="s">
        <v>38</v>
      </c>
      <c r="S1114" s="80" t="s">
        <v>39</v>
      </c>
      <c r="T1114" s="11"/>
    </row>
    <row r="1115" spans="1:20" s="14" customFormat="1" ht="24" hidden="1" customHeight="1">
      <c r="A1115" s="15"/>
      <c r="B1115" s="79" t="s">
        <v>1512</v>
      </c>
      <c r="C1115" s="80" t="s">
        <v>1513</v>
      </c>
      <c r="D1115" s="80" t="s">
        <v>79</v>
      </c>
      <c r="E1115" s="79">
        <v>1</v>
      </c>
      <c r="F1115" s="79"/>
      <c r="G1115" s="79" t="s">
        <v>32</v>
      </c>
      <c r="H1115" s="81" t="s">
        <v>33</v>
      </c>
      <c r="I1115" s="80" t="s">
        <v>1251</v>
      </c>
      <c r="J1115" s="79" t="s">
        <v>1251</v>
      </c>
      <c r="K1115" s="79" t="s">
        <v>1514</v>
      </c>
      <c r="L1115" s="51">
        <v>38380</v>
      </c>
      <c r="M1115" s="51">
        <v>38380</v>
      </c>
      <c r="N1115" s="79" t="s">
        <v>1515</v>
      </c>
      <c r="O1115" s="79" t="s">
        <v>1254</v>
      </c>
      <c r="P1115" s="80" t="s">
        <v>37</v>
      </c>
      <c r="Q1115" s="79" t="s">
        <v>1285</v>
      </c>
      <c r="R1115" s="82" t="s">
        <v>38</v>
      </c>
      <c r="S1115" s="80" t="s">
        <v>39</v>
      </c>
      <c r="T1115" s="11"/>
    </row>
    <row r="1116" spans="1:20" s="14" customFormat="1" ht="24" hidden="1" customHeight="1">
      <c r="A1116" s="15"/>
      <c r="B1116" s="79" t="s">
        <v>1516</v>
      </c>
      <c r="C1116" s="80" t="s">
        <v>1517</v>
      </c>
      <c r="D1116" s="80" t="s">
        <v>161</v>
      </c>
      <c r="E1116" s="79">
        <v>160</v>
      </c>
      <c r="F1116" s="79"/>
      <c r="G1116" s="79" t="s">
        <v>32</v>
      </c>
      <c r="H1116" s="81" t="s">
        <v>33</v>
      </c>
      <c r="I1116" s="80" t="s">
        <v>34</v>
      </c>
      <c r="J1116" s="79" t="s">
        <v>34</v>
      </c>
      <c r="K1116" s="79" t="s">
        <v>1518</v>
      </c>
      <c r="L1116" s="51">
        <v>68800</v>
      </c>
      <c r="M1116" s="51">
        <v>20640</v>
      </c>
      <c r="N1116" s="79">
        <v>2021.6</v>
      </c>
      <c r="O1116" s="79" t="s">
        <v>227</v>
      </c>
      <c r="P1116" s="80" t="s">
        <v>119</v>
      </c>
      <c r="Q1116" s="79">
        <v>18611227933</v>
      </c>
      <c r="R1116" s="82" t="s">
        <v>120</v>
      </c>
      <c r="S1116" s="80" t="s">
        <v>39</v>
      </c>
      <c r="T1116" s="11"/>
    </row>
    <row r="1117" spans="1:20" s="14" customFormat="1" ht="24" hidden="1" customHeight="1">
      <c r="A1117" s="15"/>
      <c r="B1117" s="79" t="s">
        <v>1516</v>
      </c>
      <c r="C1117" s="80" t="s">
        <v>1519</v>
      </c>
      <c r="D1117" s="80" t="s">
        <v>161</v>
      </c>
      <c r="E1117" s="79">
        <v>142</v>
      </c>
      <c r="F1117" s="79"/>
      <c r="G1117" s="79" t="s">
        <v>32</v>
      </c>
      <c r="H1117" s="81" t="s">
        <v>33</v>
      </c>
      <c r="I1117" s="80" t="s">
        <v>34</v>
      </c>
      <c r="J1117" s="79" t="s">
        <v>34</v>
      </c>
      <c r="K1117" s="79" t="s">
        <v>1518</v>
      </c>
      <c r="L1117" s="51">
        <v>44730</v>
      </c>
      <c r="M1117" s="51">
        <v>13419</v>
      </c>
      <c r="N1117" s="79">
        <v>2021.6</v>
      </c>
      <c r="O1117" s="79" t="s">
        <v>227</v>
      </c>
      <c r="P1117" s="80" t="s">
        <v>119</v>
      </c>
      <c r="Q1117" s="79">
        <v>18611227933</v>
      </c>
      <c r="R1117" s="82" t="s">
        <v>120</v>
      </c>
      <c r="S1117" s="80" t="s">
        <v>39</v>
      </c>
      <c r="T1117" s="11"/>
    </row>
    <row r="1118" spans="1:20" s="14" customFormat="1" ht="24" hidden="1" customHeight="1">
      <c r="A1118" s="15"/>
      <c r="B1118" s="79" t="s">
        <v>1516</v>
      </c>
      <c r="C1118" s="80" t="s">
        <v>1520</v>
      </c>
      <c r="D1118" s="80" t="s">
        <v>161</v>
      </c>
      <c r="E1118" s="79">
        <v>170</v>
      </c>
      <c r="F1118" s="79"/>
      <c r="G1118" s="79" t="s">
        <v>32</v>
      </c>
      <c r="H1118" s="81" t="s">
        <v>33</v>
      </c>
      <c r="I1118" s="80" t="s">
        <v>34</v>
      </c>
      <c r="J1118" s="79" t="s">
        <v>34</v>
      </c>
      <c r="K1118" s="79" t="s">
        <v>1518</v>
      </c>
      <c r="L1118" s="51">
        <v>18700</v>
      </c>
      <c r="M1118" s="51">
        <v>5610</v>
      </c>
      <c r="N1118" s="79">
        <v>2021.6</v>
      </c>
      <c r="O1118" s="79" t="s">
        <v>227</v>
      </c>
      <c r="P1118" s="80" t="s">
        <v>119</v>
      </c>
      <c r="Q1118" s="79">
        <v>18611227933</v>
      </c>
      <c r="R1118" s="82" t="s">
        <v>120</v>
      </c>
      <c r="S1118" s="80" t="s">
        <v>39</v>
      </c>
      <c r="T1118" s="11"/>
    </row>
    <row r="1119" spans="1:20" s="14" customFormat="1" ht="24" hidden="1" customHeight="1">
      <c r="A1119" s="15"/>
      <c r="B1119" s="79" t="s">
        <v>1516</v>
      </c>
      <c r="C1119" s="80" t="s">
        <v>1521</v>
      </c>
      <c r="D1119" s="80" t="s">
        <v>161</v>
      </c>
      <c r="E1119" s="79">
        <v>130</v>
      </c>
      <c r="F1119" s="79"/>
      <c r="G1119" s="79" t="s">
        <v>32</v>
      </c>
      <c r="H1119" s="81" t="s">
        <v>33</v>
      </c>
      <c r="I1119" s="80" t="s">
        <v>34</v>
      </c>
      <c r="J1119" s="79" t="s">
        <v>34</v>
      </c>
      <c r="K1119" s="79" t="s">
        <v>1518</v>
      </c>
      <c r="L1119" s="51">
        <v>11115</v>
      </c>
      <c r="M1119" s="51">
        <v>3334.5</v>
      </c>
      <c r="N1119" s="79">
        <v>2021.6</v>
      </c>
      <c r="O1119" s="79" t="s">
        <v>227</v>
      </c>
      <c r="P1119" s="80" t="s">
        <v>119</v>
      </c>
      <c r="Q1119" s="79">
        <v>18611227933</v>
      </c>
      <c r="R1119" s="82" t="s">
        <v>120</v>
      </c>
      <c r="S1119" s="80" t="s">
        <v>39</v>
      </c>
      <c r="T1119" s="11"/>
    </row>
    <row r="1120" spans="1:20" s="14" customFormat="1" ht="24" hidden="1" customHeight="1">
      <c r="A1120" s="15"/>
      <c r="B1120" s="79" t="s">
        <v>1522</v>
      </c>
      <c r="C1120" s="80" t="s">
        <v>1523</v>
      </c>
      <c r="D1120" s="80" t="s">
        <v>161</v>
      </c>
      <c r="E1120" s="79">
        <v>100</v>
      </c>
      <c r="F1120" s="79"/>
      <c r="G1120" s="79" t="s">
        <v>32</v>
      </c>
      <c r="H1120" s="81" t="s">
        <v>33</v>
      </c>
      <c r="I1120" s="80" t="s">
        <v>34</v>
      </c>
      <c r="J1120" s="79" t="s">
        <v>34</v>
      </c>
      <c r="K1120" s="79" t="s">
        <v>1518</v>
      </c>
      <c r="L1120" s="51">
        <v>7700</v>
      </c>
      <c r="M1120" s="51">
        <v>2310</v>
      </c>
      <c r="N1120" s="79">
        <v>2021.6</v>
      </c>
      <c r="O1120" s="79" t="s">
        <v>227</v>
      </c>
      <c r="P1120" s="80" t="s">
        <v>119</v>
      </c>
      <c r="Q1120" s="79">
        <v>18611227933</v>
      </c>
      <c r="R1120" s="82" t="s">
        <v>120</v>
      </c>
      <c r="S1120" s="80" t="s">
        <v>39</v>
      </c>
      <c r="T1120" s="11"/>
    </row>
    <row r="1121" spans="1:20" s="14" customFormat="1" ht="24" hidden="1" customHeight="1">
      <c r="A1121" s="15"/>
      <c r="B1121" s="79" t="s">
        <v>1522</v>
      </c>
      <c r="C1121" s="80" t="s">
        <v>1520</v>
      </c>
      <c r="D1121" s="80" t="s">
        <v>161</v>
      </c>
      <c r="E1121" s="79">
        <v>60</v>
      </c>
      <c r="F1121" s="79"/>
      <c r="G1121" s="79" t="s">
        <v>32</v>
      </c>
      <c r="H1121" s="81" t="s">
        <v>33</v>
      </c>
      <c r="I1121" s="80" t="s">
        <v>34</v>
      </c>
      <c r="J1121" s="79" t="s">
        <v>34</v>
      </c>
      <c r="K1121" s="79" t="s">
        <v>1518</v>
      </c>
      <c r="L1121" s="51">
        <v>7200</v>
      </c>
      <c r="M1121" s="51">
        <v>2160</v>
      </c>
      <c r="N1121" s="79">
        <v>2021.6</v>
      </c>
      <c r="O1121" s="79" t="s">
        <v>227</v>
      </c>
      <c r="P1121" s="80" t="s">
        <v>119</v>
      </c>
      <c r="Q1121" s="79">
        <v>18611227933</v>
      </c>
      <c r="R1121" s="82" t="s">
        <v>120</v>
      </c>
      <c r="S1121" s="80" t="s">
        <v>39</v>
      </c>
      <c r="T1121" s="11"/>
    </row>
    <row r="1122" spans="1:20" s="14" customFormat="1" ht="24" hidden="1" customHeight="1">
      <c r="A1122" s="15"/>
      <c r="B1122" s="79" t="s">
        <v>1524</v>
      </c>
      <c r="C1122" s="80" t="s">
        <v>1525</v>
      </c>
      <c r="D1122" s="80" t="s">
        <v>31</v>
      </c>
      <c r="E1122" s="79">
        <v>1438</v>
      </c>
      <c r="F1122" s="79" t="s">
        <v>1036</v>
      </c>
      <c r="G1122" s="79" t="s">
        <v>32</v>
      </c>
      <c r="H1122" s="81" t="s">
        <v>33</v>
      </c>
      <c r="I1122" s="80"/>
      <c r="J1122" s="79"/>
      <c r="K1122" s="79"/>
      <c r="L1122" s="51">
        <v>134168</v>
      </c>
      <c r="M1122" s="51">
        <v>40250.400000000001</v>
      </c>
      <c r="N1122" s="79">
        <v>2018</v>
      </c>
      <c r="O1122" s="79" t="s">
        <v>1526</v>
      </c>
      <c r="P1122" s="80" t="s">
        <v>444</v>
      </c>
      <c r="Q1122" s="79">
        <v>13126862881</v>
      </c>
      <c r="R1122" s="82" t="s">
        <v>1321</v>
      </c>
      <c r="S1122" s="80" t="s">
        <v>39</v>
      </c>
      <c r="T1122" s="11"/>
    </row>
    <row r="1123" spans="1:20" s="14" customFormat="1" ht="24" hidden="1" customHeight="1">
      <c r="A1123" s="15"/>
      <c r="B1123" s="79" t="s">
        <v>1527</v>
      </c>
      <c r="C1123" s="80" t="s">
        <v>1525</v>
      </c>
      <c r="D1123" s="80" t="s">
        <v>31</v>
      </c>
      <c r="E1123" s="79">
        <v>104</v>
      </c>
      <c r="F1123" s="79" t="s">
        <v>1036</v>
      </c>
      <c r="G1123" s="79" t="s">
        <v>32</v>
      </c>
      <c r="H1123" s="81" t="s">
        <v>33</v>
      </c>
      <c r="I1123" s="80"/>
      <c r="J1123" s="79"/>
      <c r="K1123" s="79"/>
      <c r="L1123" s="51">
        <v>10088</v>
      </c>
      <c r="M1123" s="51">
        <v>3026.4</v>
      </c>
      <c r="N1123" s="79">
        <v>2018</v>
      </c>
      <c r="O1123" s="79" t="s">
        <v>1526</v>
      </c>
      <c r="P1123" s="80" t="s">
        <v>444</v>
      </c>
      <c r="Q1123" s="79">
        <v>13126862881</v>
      </c>
      <c r="R1123" s="82" t="s">
        <v>1321</v>
      </c>
      <c r="S1123" s="80" t="s">
        <v>39</v>
      </c>
      <c r="T1123" s="11"/>
    </row>
    <row r="1124" spans="1:20" s="14" customFormat="1" ht="24" hidden="1" customHeight="1">
      <c r="A1124" s="15"/>
      <c r="B1124" s="79" t="s">
        <v>1528</v>
      </c>
      <c r="C1124" s="80" t="s">
        <v>1529</v>
      </c>
      <c r="D1124" s="80" t="s">
        <v>79</v>
      </c>
      <c r="E1124" s="79">
        <v>1</v>
      </c>
      <c r="F1124" s="79" t="s">
        <v>1036</v>
      </c>
      <c r="G1124" s="79" t="s">
        <v>32</v>
      </c>
      <c r="H1124" s="81" t="s">
        <v>33</v>
      </c>
      <c r="I1124" s="80"/>
      <c r="J1124" s="79"/>
      <c r="K1124" s="79"/>
      <c r="L1124" s="51">
        <v>4000</v>
      </c>
      <c r="M1124" s="51">
        <v>1200</v>
      </c>
      <c r="N1124" s="79">
        <v>2018.3</v>
      </c>
      <c r="O1124" s="79" t="s">
        <v>1526</v>
      </c>
      <c r="P1124" s="80" t="s">
        <v>444</v>
      </c>
      <c r="Q1124" s="79">
        <v>13126862881</v>
      </c>
      <c r="R1124" s="82" t="s">
        <v>1321</v>
      </c>
      <c r="S1124" s="80" t="s">
        <v>39</v>
      </c>
      <c r="T1124" s="11"/>
    </row>
    <row r="1125" spans="1:20" s="14" customFormat="1" ht="24" hidden="1" customHeight="1">
      <c r="A1125" s="15"/>
      <c r="B1125" s="79" t="s">
        <v>1484</v>
      </c>
      <c r="C1125" s="80" t="s">
        <v>1530</v>
      </c>
      <c r="D1125" s="80" t="s">
        <v>161</v>
      </c>
      <c r="E1125" s="79">
        <v>627</v>
      </c>
      <c r="F1125" s="79" t="s">
        <v>1036</v>
      </c>
      <c r="G1125" s="79" t="s">
        <v>32</v>
      </c>
      <c r="H1125" s="81" t="s">
        <v>33</v>
      </c>
      <c r="I1125" s="80"/>
      <c r="J1125" s="79"/>
      <c r="K1125" s="79"/>
      <c r="L1125" s="51">
        <v>81510</v>
      </c>
      <c r="M1125" s="51">
        <v>24453</v>
      </c>
      <c r="N1125" s="79">
        <v>2018.7</v>
      </c>
      <c r="O1125" s="79" t="s">
        <v>1526</v>
      </c>
      <c r="P1125" s="80" t="s">
        <v>444</v>
      </c>
      <c r="Q1125" s="79">
        <v>13126862881</v>
      </c>
      <c r="R1125" s="82" t="s">
        <v>1321</v>
      </c>
      <c r="S1125" s="80" t="s">
        <v>39</v>
      </c>
      <c r="T1125" s="11"/>
    </row>
    <row r="1126" spans="1:20" s="14" customFormat="1" ht="24" hidden="1" customHeight="1">
      <c r="A1126" s="15"/>
      <c r="B1126" s="79" t="s">
        <v>1531</v>
      </c>
      <c r="C1126" s="80" t="s">
        <v>1532</v>
      </c>
      <c r="D1126" s="80" t="s">
        <v>161</v>
      </c>
      <c r="E1126" s="79">
        <v>300</v>
      </c>
      <c r="F1126" s="79"/>
      <c r="G1126" s="79" t="s">
        <v>32</v>
      </c>
      <c r="H1126" s="81" t="s">
        <v>33</v>
      </c>
      <c r="I1126" s="80"/>
      <c r="J1126" s="79"/>
      <c r="K1126" s="79"/>
      <c r="L1126" s="51">
        <v>18000</v>
      </c>
      <c r="M1126" s="51">
        <v>18000</v>
      </c>
      <c r="N1126" s="79">
        <v>2020.11</v>
      </c>
      <c r="O1126" s="79" t="s">
        <v>443</v>
      </c>
      <c r="P1126" s="80" t="s">
        <v>444</v>
      </c>
      <c r="Q1126" s="79">
        <v>13126862881</v>
      </c>
      <c r="R1126" s="82" t="s">
        <v>1321</v>
      </c>
      <c r="S1126" s="80" t="s">
        <v>39</v>
      </c>
      <c r="T1126" s="11"/>
    </row>
    <row r="1127" spans="1:20" s="14" customFormat="1" ht="24" hidden="1" customHeight="1">
      <c r="A1127" s="15"/>
      <c r="B1127" s="79" t="s">
        <v>1533</v>
      </c>
      <c r="C1127" s="80" t="s">
        <v>1534</v>
      </c>
      <c r="D1127" s="80" t="s">
        <v>161</v>
      </c>
      <c r="E1127" s="79">
        <v>408.5</v>
      </c>
      <c r="F1127" s="79"/>
      <c r="G1127" s="79" t="s">
        <v>32</v>
      </c>
      <c r="H1127" s="81" t="s">
        <v>33</v>
      </c>
      <c r="I1127" s="80"/>
      <c r="J1127" s="79"/>
      <c r="K1127" s="79"/>
      <c r="L1127" s="51">
        <v>61275</v>
      </c>
      <c r="M1127" s="51">
        <v>61275</v>
      </c>
      <c r="N1127" s="79">
        <v>2021.09</v>
      </c>
      <c r="O1127" s="79" t="s">
        <v>443</v>
      </c>
      <c r="P1127" s="80" t="s">
        <v>444</v>
      </c>
      <c r="Q1127" s="79">
        <v>13126862881</v>
      </c>
      <c r="R1127" s="82" t="s">
        <v>1321</v>
      </c>
      <c r="S1127" s="80" t="s">
        <v>39</v>
      </c>
      <c r="T1127" s="11"/>
    </row>
    <row r="1128" spans="1:20" s="14" customFormat="1" ht="24" customHeight="1">
      <c r="A1128" s="15"/>
      <c r="B1128" s="79" t="s">
        <v>1535</v>
      </c>
      <c r="C1128" s="80" t="s">
        <v>1536</v>
      </c>
      <c r="D1128" s="11" t="s">
        <v>62</v>
      </c>
      <c r="E1128" s="9">
        <v>56</v>
      </c>
      <c r="F1128" s="79">
        <v>22.68</v>
      </c>
      <c r="G1128" s="79" t="s">
        <v>32</v>
      </c>
      <c r="H1128" s="81" t="s">
        <v>41</v>
      </c>
      <c r="I1128" s="80"/>
      <c r="J1128" s="79"/>
      <c r="K1128" s="79" t="s">
        <v>1537</v>
      </c>
      <c r="L1128" s="51">
        <v>127086.2</v>
      </c>
      <c r="M1128" s="51">
        <v>71101.78</v>
      </c>
      <c r="N1128" s="79">
        <v>2018.06</v>
      </c>
      <c r="O1128" s="79" t="s">
        <v>1538</v>
      </c>
      <c r="P1128" s="80" t="s">
        <v>125</v>
      </c>
      <c r="Q1128" s="79">
        <v>15711296788</v>
      </c>
      <c r="R1128" s="82" t="s">
        <v>126</v>
      </c>
      <c r="S1128" s="80" t="s">
        <v>77</v>
      </c>
      <c r="T1128" s="11"/>
    </row>
    <row r="1129" spans="1:20" s="14" customFormat="1" ht="24" hidden="1" customHeight="1">
      <c r="A1129" s="15"/>
      <c r="B1129" s="79" t="s">
        <v>1539</v>
      </c>
      <c r="C1129" s="80" t="s">
        <v>1540</v>
      </c>
      <c r="D1129" s="11" t="s">
        <v>31</v>
      </c>
      <c r="E1129" s="9">
        <v>90</v>
      </c>
      <c r="F1129" s="79"/>
      <c r="G1129" s="79" t="s">
        <v>1541</v>
      </c>
      <c r="H1129" s="81" t="s">
        <v>33</v>
      </c>
      <c r="I1129" s="80"/>
      <c r="J1129" s="79"/>
      <c r="K1129" s="79" t="s">
        <v>1542</v>
      </c>
      <c r="L1129" s="51">
        <v>8100</v>
      </c>
      <c r="M1129" s="51">
        <v>0</v>
      </c>
      <c r="N1129" s="79">
        <v>2016.11</v>
      </c>
      <c r="O1129" s="79" t="s">
        <v>124</v>
      </c>
      <c r="P1129" s="80" t="s">
        <v>125</v>
      </c>
      <c r="Q1129" s="79">
        <v>15711296788</v>
      </c>
      <c r="R1129" s="82" t="s">
        <v>126</v>
      </c>
      <c r="S1129" s="80" t="s">
        <v>77</v>
      </c>
      <c r="T1129" s="11"/>
    </row>
    <row r="1130" spans="1:20" s="14" customFormat="1" ht="24" hidden="1" customHeight="1">
      <c r="A1130" s="15"/>
      <c r="B1130" s="79" t="s">
        <v>1543</v>
      </c>
      <c r="C1130" s="80" t="s">
        <v>1540</v>
      </c>
      <c r="D1130" s="11" t="s">
        <v>31</v>
      </c>
      <c r="E1130" s="9">
        <v>807</v>
      </c>
      <c r="F1130" s="79"/>
      <c r="G1130" s="79" t="s">
        <v>1541</v>
      </c>
      <c r="H1130" s="81" t="s">
        <v>33</v>
      </c>
      <c r="I1130" s="80"/>
      <c r="J1130" s="79"/>
      <c r="K1130" s="79" t="s">
        <v>1542</v>
      </c>
      <c r="L1130" s="51">
        <v>68595</v>
      </c>
      <c r="M1130" s="51">
        <v>0</v>
      </c>
      <c r="N1130" s="79">
        <v>2016.11</v>
      </c>
      <c r="O1130" s="79" t="s">
        <v>124</v>
      </c>
      <c r="P1130" s="80" t="s">
        <v>125</v>
      </c>
      <c r="Q1130" s="79">
        <v>15711296788</v>
      </c>
      <c r="R1130" s="82" t="s">
        <v>126</v>
      </c>
      <c r="S1130" s="80" t="s">
        <v>77</v>
      </c>
      <c r="T1130" s="11"/>
    </row>
    <row r="1131" spans="1:20" s="14" customFormat="1" ht="24" hidden="1" customHeight="1">
      <c r="A1131" s="15"/>
      <c r="B1131" s="79" t="s">
        <v>1544</v>
      </c>
      <c r="C1131" s="79" t="s">
        <v>1545</v>
      </c>
      <c r="D1131" s="79" t="s">
        <v>1467</v>
      </c>
      <c r="E1131" s="79">
        <v>300</v>
      </c>
      <c r="F1131" s="79"/>
      <c r="G1131" s="79" t="s">
        <v>72</v>
      </c>
      <c r="H1131" s="79" t="s">
        <v>33</v>
      </c>
      <c r="I1131" s="79"/>
      <c r="J1131" s="79"/>
      <c r="K1131" s="79" t="s">
        <v>845</v>
      </c>
      <c r="L1131" s="51">
        <v>9557.5221238938102</v>
      </c>
      <c r="M1131" s="51">
        <v>2389.3805309734598</v>
      </c>
      <c r="N1131" s="47">
        <v>2021.01</v>
      </c>
      <c r="O1131" s="79" t="s">
        <v>1105</v>
      </c>
      <c r="P1131" s="79" t="s">
        <v>75</v>
      </c>
      <c r="Q1131" s="79">
        <v>13269819378</v>
      </c>
      <c r="R1131" s="79" t="s">
        <v>76</v>
      </c>
      <c r="S1131" s="79" t="s">
        <v>77</v>
      </c>
      <c r="T1131" s="11"/>
    </row>
    <row r="1132" spans="1:20" s="14" customFormat="1" ht="24" hidden="1" customHeight="1">
      <c r="A1132" s="15"/>
      <c r="B1132" s="79" t="s">
        <v>1546</v>
      </c>
      <c r="C1132" s="79" t="s">
        <v>1547</v>
      </c>
      <c r="D1132" s="79" t="s">
        <v>464</v>
      </c>
      <c r="E1132" s="79">
        <v>160</v>
      </c>
      <c r="F1132" s="79"/>
      <c r="G1132" s="79" t="s">
        <v>72</v>
      </c>
      <c r="H1132" s="79" t="s">
        <v>33</v>
      </c>
      <c r="I1132" s="79"/>
      <c r="J1132" s="79"/>
      <c r="K1132" s="79" t="s">
        <v>823</v>
      </c>
      <c r="L1132" s="51">
        <v>41188.118811881199</v>
      </c>
      <c r="M1132" s="51">
        <v>0</v>
      </c>
      <c r="N1132" s="47">
        <v>2021.07</v>
      </c>
      <c r="O1132" s="79" t="s">
        <v>1105</v>
      </c>
      <c r="P1132" s="79" t="s">
        <v>75</v>
      </c>
      <c r="Q1132" s="79">
        <v>13269819378</v>
      </c>
      <c r="R1132" s="79" t="s">
        <v>76</v>
      </c>
      <c r="S1132" s="79" t="s">
        <v>77</v>
      </c>
      <c r="T1132" s="11"/>
    </row>
    <row r="1133" spans="1:20" s="14" customFormat="1" ht="24" hidden="1" customHeight="1">
      <c r="A1133" s="15"/>
      <c r="B1133" s="79" t="s">
        <v>1546</v>
      </c>
      <c r="C1133" s="79" t="s">
        <v>1548</v>
      </c>
      <c r="D1133" s="79" t="s">
        <v>464</v>
      </c>
      <c r="E1133" s="79">
        <v>80</v>
      </c>
      <c r="F1133" s="79"/>
      <c r="G1133" s="79" t="s">
        <v>72</v>
      </c>
      <c r="H1133" s="79" t="s">
        <v>33</v>
      </c>
      <c r="I1133" s="79"/>
      <c r="J1133" s="79"/>
      <c r="K1133" s="79" t="s">
        <v>823</v>
      </c>
      <c r="L1133" s="51">
        <v>5544.55445544554</v>
      </c>
      <c r="M1133" s="51">
        <v>0</v>
      </c>
      <c r="N1133" s="47">
        <v>2021.07</v>
      </c>
      <c r="O1133" s="79" t="s">
        <v>1105</v>
      </c>
      <c r="P1133" s="79" t="s">
        <v>75</v>
      </c>
      <c r="Q1133" s="79">
        <v>13269819378</v>
      </c>
      <c r="R1133" s="79" t="s">
        <v>76</v>
      </c>
      <c r="S1133" s="79" t="s">
        <v>77</v>
      </c>
      <c r="T1133" s="11"/>
    </row>
    <row r="1134" spans="1:20" s="14" customFormat="1" ht="24" hidden="1" customHeight="1">
      <c r="A1134" s="15"/>
      <c r="B1134" s="79" t="s">
        <v>1546</v>
      </c>
      <c r="C1134" s="79" t="s">
        <v>1549</v>
      </c>
      <c r="D1134" s="79" t="s">
        <v>464</v>
      </c>
      <c r="E1134" s="79">
        <v>50</v>
      </c>
      <c r="F1134" s="79"/>
      <c r="G1134" s="79" t="s">
        <v>72</v>
      </c>
      <c r="H1134" s="79" t="s">
        <v>33</v>
      </c>
      <c r="I1134" s="79"/>
      <c r="J1134" s="79"/>
      <c r="K1134" s="79" t="s">
        <v>823</v>
      </c>
      <c r="L1134" s="51">
        <v>5445.5445544554505</v>
      </c>
      <c r="M1134" s="51">
        <v>8.1854523159563493E-12</v>
      </c>
      <c r="N1134" s="47">
        <v>2021.07</v>
      </c>
      <c r="O1134" s="79" t="s">
        <v>1105</v>
      </c>
      <c r="P1134" s="79" t="s">
        <v>75</v>
      </c>
      <c r="Q1134" s="79">
        <v>13269819378</v>
      </c>
      <c r="R1134" s="79" t="s">
        <v>76</v>
      </c>
      <c r="S1134" s="79" t="s">
        <v>77</v>
      </c>
      <c r="T1134" s="11"/>
    </row>
    <row r="1135" spans="1:20" s="14" customFormat="1" ht="24" hidden="1" customHeight="1">
      <c r="A1135" s="15"/>
      <c r="B1135" s="79" t="s">
        <v>1550</v>
      </c>
      <c r="C1135" s="79" t="s">
        <v>1551</v>
      </c>
      <c r="D1135" s="79" t="s">
        <v>31</v>
      </c>
      <c r="E1135" s="79">
        <v>4484</v>
      </c>
      <c r="F1135" s="79"/>
      <c r="G1135" s="79" t="s">
        <v>72</v>
      </c>
      <c r="H1135" s="79" t="s">
        <v>33</v>
      </c>
      <c r="I1135" s="79"/>
      <c r="J1135" s="79"/>
      <c r="K1135" s="79" t="s">
        <v>1552</v>
      </c>
      <c r="L1135" s="51">
        <v>544174.757281553</v>
      </c>
      <c r="M1135" s="51">
        <v>0</v>
      </c>
      <c r="N1135" s="47">
        <v>2021.07</v>
      </c>
      <c r="O1135" s="79" t="s">
        <v>1105</v>
      </c>
      <c r="P1135" s="79" t="s">
        <v>75</v>
      </c>
      <c r="Q1135" s="79">
        <v>13269819378</v>
      </c>
      <c r="R1135" s="79" t="s">
        <v>76</v>
      </c>
      <c r="S1135" s="79" t="s">
        <v>77</v>
      </c>
      <c r="T1135" s="11"/>
    </row>
    <row r="1136" spans="1:20" s="14" customFormat="1" ht="24" hidden="1" customHeight="1">
      <c r="A1136" s="15"/>
      <c r="B1136" s="79" t="s">
        <v>1462</v>
      </c>
      <c r="C1136" s="79" t="s">
        <v>1553</v>
      </c>
      <c r="D1136" s="79" t="s">
        <v>31</v>
      </c>
      <c r="E1136" s="79">
        <v>1650</v>
      </c>
      <c r="F1136" s="79"/>
      <c r="G1136" s="79" t="s">
        <v>72</v>
      </c>
      <c r="H1136" s="79" t="s">
        <v>33</v>
      </c>
      <c r="I1136" s="79"/>
      <c r="J1136" s="79"/>
      <c r="K1136" s="79" t="s">
        <v>1242</v>
      </c>
      <c r="L1136" s="51">
        <v>82500</v>
      </c>
      <c r="M1136" s="51">
        <v>0</v>
      </c>
      <c r="N1136" s="47">
        <v>2021.08</v>
      </c>
      <c r="O1136" s="79" t="s">
        <v>1105</v>
      </c>
      <c r="P1136" s="79" t="s">
        <v>75</v>
      </c>
      <c r="Q1136" s="79">
        <v>13269819378</v>
      </c>
      <c r="R1136" s="79" t="s">
        <v>76</v>
      </c>
      <c r="S1136" s="79" t="s">
        <v>77</v>
      </c>
      <c r="T1136" s="11"/>
    </row>
    <row r="1137" spans="1:20" s="14" customFormat="1" ht="24" hidden="1" customHeight="1">
      <c r="A1137" s="15"/>
      <c r="B1137" s="79" t="s">
        <v>1554</v>
      </c>
      <c r="C1137" s="79" t="s">
        <v>1553</v>
      </c>
      <c r="D1137" s="79" t="s">
        <v>31</v>
      </c>
      <c r="E1137" s="79">
        <v>150</v>
      </c>
      <c r="F1137" s="79"/>
      <c r="G1137" s="79" t="s">
        <v>72</v>
      </c>
      <c r="H1137" s="79" t="s">
        <v>33</v>
      </c>
      <c r="I1137" s="79"/>
      <c r="J1137" s="79"/>
      <c r="K1137" s="79" t="s">
        <v>1242</v>
      </c>
      <c r="L1137" s="51">
        <v>20250</v>
      </c>
      <c r="M1137" s="51">
        <v>0</v>
      </c>
      <c r="N1137" s="47">
        <v>2021.08</v>
      </c>
      <c r="O1137" s="79" t="s">
        <v>1105</v>
      </c>
      <c r="P1137" s="79" t="s">
        <v>75</v>
      </c>
      <c r="Q1137" s="79">
        <v>13269819378</v>
      </c>
      <c r="R1137" s="79" t="s">
        <v>76</v>
      </c>
      <c r="S1137" s="79" t="s">
        <v>77</v>
      </c>
      <c r="T1137" s="11"/>
    </row>
    <row r="1138" spans="1:20" s="14" customFormat="1" ht="24" hidden="1" customHeight="1">
      <c r="A1138" s="15"/>
      <c r="B1138" s="79" t="s">
        <v>1462</v>
      </c>
      <c r="C1138" s="79" t="s">
        <v>1553</v>
      </c>
      <c r="D1138" s="79" t="s">
        <v>31</v>
      </c>
      <c r="E1138" s="79">
        <v>800</v>
      </c>
      <c r="F1138" s="79"/>
      <c r="G1138" s="79" t="s">
        <v>72</v>
      </c>
      <c r="H1138" s="79" t="s">
        <v>33</v>
      </c>
      <c r="I1138" s="79"/>
      <c r="J1138" s="79"/>
      <c r="K1138" s="79" t="s">
        <v>1242</v>
      </c>
      <c r="L1138" s="51">
        <v>40000</v>
      </c>
      <c r="M1138" s="51">
        <v>0</v>
      </c>
      <c r="N1138" s="47">
        <v>2021.08</v>
      </c>
      <c r="O1138" s="79" t="s">
        <v>1105</v>
      </c>
      <c r="P1138" s="79" t="s">
        <v>75</v>
      </c>
      <c r="Q1138" s="79">
        <v>13269819378</v>
      </c>
      <c r="R1138" s="79" t="s">
        <v>76</v>
      </c>
      <c r="S1138" s="79" t="s">
        <v>77</v>
      </c>
      <c r="T1138" s="11"/>
    </row>
    <row r="1139" spans="1:20" s="14" customFormat="1" ht="24" hidden="1" customHeight="1">
      <c r="A1139" s="15"/>
      <c r="B1139" s="79" t="s">
        <v>1555</v>
      </c>
      <c r="C1139" s="79" t="s">
        <v>1556</v>
      </c>
      <c r="D1139" s="79" t="s">
        <v>131</v>
      </c>
      <c r="E1139" s="79">
        <v>2</v>
      </c>
      <c r="F1139" s="79"/>
      <c r="G1139" s="79" t="s">
        <v>72</v>
      </c>
      <c r="H1139" s="79" t="s">
        <v>33</v>
      </c>
      <c r="I1139" s="79"/>
      <c r="J1139" s="79"/>
      <c r="K1139" s="79" t="s">
        <v>1242</v>
      </c>
      <c r="L1139" s="51">
        <v>11800</v>
      </c>
      <c r="M1139" s="51">
        <v>2950</v>
      </c>
      <c r="N1139" s="47">
        <v>2021.08</v>
      </c>
      <c r="O1139" s="79" t="s">
        <v>1105</v>
      </c>
      <c r="P1139" s="79" t="s">
        <v>75</v>
      </c>
      <c r="Q1139" s="79">
        <v>13269819378</v>
      </c>
      <c r="R1139" s="79" t="s">
        <v>76</v>
      </c>
      <c r="S1139" s="79" t="s">
        <v>77</v>
      </c>
      <c r="T1139" s="11"/>
    </row>
    <row r="1140" spans="1:20" s="14" customFormat="1" ht="24" hidden="1" customHeight="1">
      <c r="A1140" s="15"/>
      <c r="B1140" s="79" t="s">
        <v>1546</v>
      </c>
      <c r="C1140" s="79" t="s">
        <v>1549</v>
      </c>
      <c r="D1140" s="79" t="s">
        <v>464</v>
      </c>
      <c r="E1140" s="79">
        <v>2500</v>
      </c>
      <c r="F1140" s="79"/>
      <c r="G1140" s="79" t="s">
        <v>72</v>
      </c>
      <c r="H1140" s="79" t="s">
        <v>33</v>
      </c>
      <c r="I1140" s="79"/>
      <c r="J1140" s="79"/>
      <c r="K1140" s="79" t="s">
        <v>1557</v>
      </c>
      <c r="L1140" s="51">
        <v>243362.83185840701</v>
      </c>
      <c r="M1140" s="51">
        <v>0</v>
      </c>
      <c r="N1140" s="47">
        <v>2021.09</v>
      </c>
      <c r="O1140" s="79" t="s">
        <v>1105</v>
      </c>
      <c r="P1140" s="79" t="s">
        <v>75</v>
      </c>
      <c r="Q1140" s="79">
        <v>13269819378</v>
      </c>
      <c r="R1140" s="79" t="s">
        <v>76</v>
      </c>
      <c r="S1140" s="79" t="s">
        <v>77</v>
      </c>
      <c r="T1140" s="11"/>
    </row>
    <row r="1141" spans="1:20" s="14" customFormat="1" ht="24" hidden="1" customHeight="1">
      <c r="A1141" s="15"/>
      <c r="B1141" s="79" t="s">
        <v>1546</v>
      </c>
      <c r="C1141" s="79" t="s">
        <v>1558</v>
      </c>
      <c r="D1141" s="79" t="s">
        <v>464</v>
      </c>
      <c r="E1141" s="79">
        <v>740</v>
      </c>
      <c r="F1141" s="79"/>
      <c r="G1141" s="79" t="s">
        <v>72</v>
      </c>
      <c r="H1141" s="79" t="s">
        <v>33</v>
      </c>
      <c r="I1141" s="79"/>
      <c r="J1141" s="79"/>
      <c r="K1141" s="79" t="s">
        <v>1557</v>
      </c>
      <c r="L1141" s="51">
        <v>129663.71681415899</v>
      </c>
      <c r="M1141" s="51">
        <v>0</v>
      </c>
      <c r="N1141" s="47">
        <v>2021.09</v>
      </c>
      <c r="O1141" s="79" t="s">
        <v>1105</v>
      </c>
      <c r="P1141" s="79" t="s">
        <v>75</v>
      </c>
      <c r="Q1141" s="79">
        <v>13269819378</v>
      </c>
      <c r="R1141" s="79" t="s">
        <v>76</v>
      </c>
      <c r="S1141" s="79" t="s">
        <v>77</v>
      </c>
      <c r="T1141" s="11"/>
    </row>
    <row r="1142" spans="1:20" s="14" customFormat="1" ht="24" hidden="1" customHeight="1">
      <c r="A1142" s="15"/>
      <c r="B1142" s="79" t="s">
        <v>1546</v>
      </c>
      <c r="C1142" s="79" t="s">
        <v>1559</v>
      </c>
      <c r="D1142" s="79" t="s">
        <v>464</v>
      </c>
      <c r="E1142" s="79">
        <v>1200</v>
      </c>
      <c r="F1142" s="79"/>
      <c r="G1142" s="79" t="s">
        <v>72</v>
      </c>
      <c r="H1142" s="79" t="s">
        <v>33</v>
      </c>
      <c r="I1142" s="79"/>
      <c r="J1142" s="79"/>
      <c r="K1142" s="79" t="s">
        <v>1557</v>
      </c>
      <c r="L1142" s="51">
        <v>58407.079646017701</v>
      </c>
      <c r="M1142" s="51">
        <v>0</v>
      </c>
      <c r="N1142" s="47">
        <v>2021.09</v>
      </c>
      <c r="O1142" s="79" t="s">
        <v>1105</v>
      </c>
      <c r="P1142" s="79" t="s">
        <v>75</v>
      </c>
      <c r="Q1142" s="79">
        <v>13269819378</v>
      </c>
      <c r="R1142" s="79" t="s">
        <v>76</v>
      </c>
      <c r="S1142" s="79" t="s">
        <v>77</v>
      </c>
      <c r="T1142" s="11"/>
    </row>
    <row r="1143" spans="1:20" s="14" customFormat="1" ht="24" hidden="1" customHeight="1">
      <c r="A1143" s="15"/>
      <c r="B1143" s="79" t="s">
        <v>1560</v>
      </c>
      <c r="C1143" s="79" t="s">
        <v>1561</v>
      </c>
      <c r="D1143" s="79" t="s">
        <v>464</v>
      </c>
      <c r="E1143" s="79">
        <v>940</v>
      </c>
      <c r="F1143" s="79"/>
      <c r="G1143" s="79" t="s">
        <v>72</v>
      </c>
      <c r="H1143" s="79" t="s">
        <v>33</v>
      </c>
      <c r="I1143" s="79"/>
      <c r="J1143" s="79"/>
      <c r="K1143" s="79" t="s">
        <v>1557</v>
      </c>
      <c r="L1143" s="51">
        <v>54902.654867256599</v>
      </c>
      <c r="M1143" s="51">
        <v>0</v>
      </c>
      <c r="N1143" s="47">
        <v>2021.09</v>
      </c>
      <c r="O1143" s="79" t="s">
        <v>1105</v>
      </c>
      <c r="P1143" s="79" t="s">
        <v>75</v>
      </c>
      <c r="Q1143" s="79">
        <v>13269819378</v>
      </c>
      <c r="R1143" s="79" t="s">
        <v>76</v>
      </c>
      <c r="S1143" s="79" t="s">
        <v>77</v>
      </c>
      <c r="T1143" s="11"/>
    </row>
    <row r="1144" spans="1:20" s="14" customFormat="1" ht="24" hidden="1" customHeight="1">
      <c r="A1144" s="15"/>
      <c r="B1144" s="79" t="s">
        <v>1560</v>
      </c>
      <c r="C1144" s="79" t="s">
        <v>1562</v>
      </c>
      <c r="D1144" s="79" t="s">
        <v>464</v>
      </c>
      <c r="E1144" s="79">
        <v>220</v>
      </c>
      <c r="F1144" s="79"/>
      <c r="G1144" s="79" t="s">
        <v>72</v>
      </c>
      <c r="H1144" s="79" t="s">
        <v>33</v>
      </c>
      <c r="I1144" s="79"/>
      <c r="J1144" s="79"/>
      <c r="K1144" s="79" t="s">
        <v>1557</v>
      </c>
      <c r="L1144" s="51">
        <v>17132.743362831901</v>
      </c>
      <c r="M1144" s="51">
        <v>0</v>
      </c>
      <c r="N1144" s="47">
        <v>2021.09</v>
      </c>
      <c r="O1144" s="79" t="s">
        <v>1105</v>
      </c>
      <c r="P1144" s="79" t="s">
        <v>75</v>
      </c>
      <c r="Q1144" s="79">
        <v>13269819378</v>
      </c>
      <c r="R1144" s="79" t="s">
        <v>76</v>
      </c>
      <c r="S1144" s="79" t="s">
        <v>77</v>
      </c>
      <c r="T1144" s="11"/>
    </row>
    <row r="1145" spans="1:20" s="14" customFormat="1" ht="24" hidden="1" customHeight="1">
      <c r="A1145" s="15"/>
      <c r="B1145" s="79" t="s">
        <v>1546</v>
      </c>
      <c r="C1145" s="79" t="s">
        <v>1563</v>
      </c>
      <c r="D1145" s="79" t="s">
        <v>464</v>
      </c>
      <c r="E1145" s="79">
        <v>1652</v>
      </c>
      <c r="F1145" s="79"/>
      <c r="G1145" s="79" t="s">
        <v>72</v>
      </c>
      <c r="H1145" s="79" t="s">
        <v>33</v>
      </c>
      <c r="I1145" s="79"/>
      <c r="J1145" s="79"/>
      <c r="K1145" s="79" t="s">
        <v>1029</v>
      </c>
      <c r="L1145" s="51">
        <v>78945.13</v>
      </c>
      <c r="M1145" s="51">
        <v>0</v>
      </c>
      <c r="N1145" s="47">
        <v>2020.05</v>
      </c>
      <c r="O1145" s="79" t="s">
        <v>1105</v>
      </c>
      <c r="P1145" s="79" t="s">
        <v>75</v>
      </c>
      <c r="Q1145" s="79">
        <v>13269819378</v>
      </c>
      <c r="R1145" s="79" t="s">
        <v>76</v>
      </c>
      <c r="S1145" s="79" t="s">
        <v>77</v>
      </c>
      <c r="T1145" s="11"/>
    </row>
    <row r="1146" spans="1:20" s="14" customFormat="1" ht="24" hidden="1" customHeight="1">
      <c r="A1146" s="15"/>
      <c r="B1146" s="79" t="s">
        <v>1546</v>
      </c>
      <c r="C1146" s="79" t="s">
        <v>1564</v>
      </c>
      <c r="D1146" s="79" t="s">
        <v>464</v>
      </c>
      <c r="E1146" s="79">
        <v>77</v>
      </c>
      <c r="F1146" s="79"/>
      <c r="G1146" s="79" t="s">
        <v>72</v>
      </c>
      <c r="H1146" s="79" t="s">
        <v>33</v>
      </c>
      <c r="I1146" s="79"/>
      <c r="J1146" s="79"/>
      <c r="K1146" s="79" t="s">
        <v>1029</v>
      </c>
      <c r="L1146" s="51">
        <v>5655.75</v>
      </c>
      <c r="M1146" s="51">
        <v>0</v>
      </c>
      <c r="N1146" s="47">
        <v>2020.05</v>
      </c>
      <c r="O1146" s="79" t="s">
        <v>1105</v>
      </c>
      <c r="P1146" s="79" t="s">
        <v>75</v>
      </c>
      <c r="Q1146" s="79">
        <v>13269819378</v>
      </c>
      <c r="R1146" s="79" t="s">
        <v>76</v>
      </c>
      <c r="S1146" s="79" t="s">
        <v>77</v>
      </c>
      <c r="T1146" s="11"/>
    </row>
    <row r="1147" spans="1:20" s="14" customFormat="1" ht="24" hidden="1" customHeight="1">
      <c r="A1147" s="15"/>
      <c r="B1147" s="79" t="s">
        <v>1550</v>
      </c>
      <c r="C1147" s="79" t="s">
        <v>1565</v>
      </c>
      <c r="D1147" s="79" t="s">
        <v>603</v>
      </c>
      <c r="E1147" s="79">
        <v>416</v>
      </c>
      <c r="F1147" s="79"/>
      <c r="G1147" s="79" t="s">
        <v>72</v>
      </c>
      <c r="H1147" s="79" t="s">
        <v>33</v>
      </c>
      <c r="I1147" s="79"/>
      <c r="J1147" s="79"/>
      <c r="K1147" s="79" t="s">
        <v>1029</v>
      </c>
      <c r="L1147" s="51">
        <v>49699.12</v>
      </c>
      <c r="M1147" s="51">
        <v>0</v>
      </c>
      <c r="N1147" s="47">
        <v>2020.05</v>
      </c>
      <c r="O1147" s="79" t="s">
        <v>1105</v>
      </c>
      <c r="P1147" s="79" t="s">
        <v>75</v>
      </c>
      <c r="Q1147" s="79">
        <v>13269819378</v>
      </c>
      <c r="R1147" s="79" t="s">
        <v>76</v>
      </c>
      <c r="S1147" s="79" t="s">
        <v>77</v>
      </c>
      <c r="T1147" s="11"/>
    </row>
    <row r="1148" spans="1:20" s="14" customFormat="1" ht="24" hidden="1" customHeight="1">
      <c r="A1148" s="15"/>
      <c r="B1148" s="79" t="s">
        <v>1550</v>
      </c>
      <c r="C1148" s="79" t="s">
        <v>1565</v>
      </c>
      <c r="D1148" s="79" t="s">
        <v>1566</v>
      </c>
      <c r="E1148" s="79">
        <v>69.63</v>
      </c>
      <c r="F1148" s="79"/>
      <c r="G1148" s="79" t="s">
        <v>72</v>
      </c>
      <c r="H1148" s="79" t="s">
        <v>33</v>
      </c>
      <c r="I1148" s="79"/>
      <c r="J1148" s="79"/>
      <c r="K1148" s="79" t="s">
        <v>1029</v>
      </c>
      <c r="L1148" s="51">
        <v>186299.14</v>
      </c>
      <c r="M1148" s="51">
        <v>0</v>
      </c>
      <c r="N1148" s="47">
        <v>2020.05</v>
      </c>
      <c r="O1148" s="79" t="s">
        <v>1105</v>
      </c>
      <c r="P1148" s="79" t="s">
        <v>75</v>
      </c>
      <c r="Q1148" s="79">
        <v>13269819378</v>
      </c>
      <c r="R1148" s="79" t="s">
        <v>76</v>
      </c>
      <c r="S1148" s="79" t="s">
        <v>77</v>
      </c>
      <c r="T1148" s="11"/>
    </row>
    <row r="1149" spans="1:20" s="14" customFormat="1" ht="24" hidden="1" customHeight="1">
      <c r="A1149" s="15"/>
      <c r="B1149" s="79" t="s">
        <v>1560</v>
      </c>
      <c r="C1149" s="79" t="s">
        <v>1567</v>
      </c>
      <c r="D1149" s="79" t="s">
        <v>31</v>
      </c>
      <c r="E1149" s="79">
        <v>799</v>
      </c>
      <c r="F1149" s="79"/>
      <c r="G1149" s="79" t="s">
        <v>72</v>
      </c>
      <c r="H1149" s="79" t="s">
        <v>33</v>
      </c>
      <c r="I1149" s="79"/>
      <c r="J1149" s="79"/>
      <c r="K1149" s="79" t="s">
        <v>1029</v>
      </c>
      <c r="L1149" s="51">
        <v>61282.59</v>
      </c>
      <c r="M1149" s="51">
        <v>0</v>
      </c>
      <c r="N1149" s="47">
        <v>2020.05</v>
      </c>
      <c r="O1149" s="79" t="s">
        <v>1105</v>
      </c>
      <c r="P1149" s="79" t="s">
        <v>75</v>
      </c>
      <c r="Q1149" s="79">
        <v>13269819378</v>
      </c>
      <c r="R1149" s="79" t="s">
        <v>76</v>
      </c>
      <c r="S1149" s="79" t="s">
        <v>77</v>
      </c>
      <c r="T1149" s="11"/>
    </row>
    <row r="1150" spans="1:20" s="14" customFormat="1" ht="24" hidden="1" customHeight="1">
      <c r="A1150" s="15"/>
      <c r="B1150" s="79" t="s">
        <v>1568</v>
      </c>
      <c r="C1150" s="79"/>
      <c r="D1150" s="79" t="s">
        <v>131</v>
      </c>
      <c r="E1150" s="79">
        <v>7</v>
      </c>
      <c r="F1150" s="79"/>
      <c r="G1150" s="79" t="s">
        <v>72</v>
      </c>
      <c r="H1150" s="79" t="s">
        <v>33</v>
      </c>
      <c r="I1150" s="79"/>
      <c r="J1150" s="79"/>
      <c r="K1150" s="79" t="s">
        <v>1029</v>
      </c>
      <c r="L1150" s="51">
        <v>15225</v>
      </c>
      <c r="M1150" s="51">
        <v>3045</v>
      </c>
      <c r="N1150" s="47">
        <v>2020.05</v>
      </c>
      <c r="O1150" s="79" t="s">
        <v>1105</v>
      </c>
      <c r="P1150" s="79" t="s">
        <v>75</v>
      </c>
      <c r="Q1150" s="79">
        <v>13269819378</v>
      </c>
      <c r="R1150" s="79" t="s">
        <v>76</v>
      </c>
      <c r="S1150" s="79" t="s">
        <v>77</v>
      </c>
      <c r="T1150" s="11"/>
    </row>
    <row r="1151" spans="1:20" s="14" customFormat="1" ht="24" hidden="1" customHeight="1">
      <c r="A1151" s="15"/>
      <c r="B1151" s="79" t="s">
        <v>1546</v>
      </c>
      <c r="C1151" s="79" t="s">
        <v>1569</v>
      </c>
      <c r="D1151" s="79" t="s">
        <v>161</v>
      </c>
      <c r="E1151" s="79">
        <v>28512</v>
      </c>
      <c r="F1151" s="79"/>
      <c r="G1151" s="79" t="s">
        <v>72</v>
      </c>
      <c r="H1151" s="79" t="s">
        <v>33</v>
      </c>
      <c r="I1151" s="79"/>
      <c r="J1151" s="79"/>
      <c r="K1151" s="79" t="s">
        <v>798</v>
      </c>
      <c r="L1151" s="51">
        <v>580332.76</v>
      </c>
      <c r="M1151" s="51">
        <v>0</v>
      </c>
      <c r="N1151" s="47">
        <v>2021.04</v>
      </c>
      <c r="O1151" s="79" t="s">
        <v>1105</v>
      </c>
      <c r="P1151" s="79" t="s">
        <v>75</v>
      </c>
      <c r="Q1151" s="79">
        <v>13269819378</v>
      </c>
      <c r="R1151" s="79" t="s">
        <v>76</v>
      </c>
      <c r="S1151" s="79" t="s">
        <v>77</v>
      </c>
      <c r="T1151" s="11"/>
    </row>
    <row r="1152" spans="1:20" s="14" customFormat="1" ht="24" hidden="1" customHeight="1">
      <c r="A1152" s="15"/>
      <c r="B1152" s="79" t="s">
        <v>1546</v>
      </c>
      <c r="C1152" s="79" t="s">
        <v>1570</v>
      </c>
      <c r="D1152" s="79" t="s">
        <v>464</v>
      </c>
      <c r="E1152" s="79">
        <v>3240</v>
      </c>
      <c r="F1152" s="79"/>
      <c r="G1152" s="79" t="s">
        <v>72</v>
      </c>
      <c r="H1152" s="79" t="s">
        <v>33</v>
      </c>
      <c r="I1152" s="79"/>
      <c r="J1152" s="79"/>
      <c r="K1152" s="79" t="s">
        <v>1571</v>
      </c>
      <c r="L1152" s="51">
        <v>158792.07999999999</v>
      </c>
      <c r="M1152" s="51">
        <v>0</v>
      </c>
      <c r="N1152" s="47">
        <v>2021.04</v>
      </c>
      <c r="O1152" s="79" t="s">
        <v>1105</v>
      </c>
      <c r="P1152" s="79" t="s">
        <v>75</v>
      </c>
      <c r="Q1152" s="79">
        <v>13269819378</v>
      </c>
      <c r="R1152" s="79" t="s">
        <v>76</v>
      </c>
      <c r="S1152" s="79" t="s">
        <v>77</v>
      </c>
      <c r="T1152" s="11"/>
    </row>
    <row r="1153" spans="1:20" s="14" customFormat="1" ht="24" hidden="1" customHeight="1">
      <c r="A1153" s="15"/>
      <c r="B1153" s="79" t="s">
        <v>1560</v>
      </c>
      <c r="C1153" s="79" t="s">
        <v>1572</v>
      </c>
      <c r="D1153" s="79" t="s">
        <v>31</v>
      </c>
      <c r="E1153" s="79">
        <v>400</v>
      </c>
      <c r="F1153" s="79"/>
      <c r="G1153" s="79" t="s">
        <v>72</v>
      </c>
      <c r="H1153" s="79" t="s">
        <v>33</v>
      </c>
      <c r="I1153" s="79"/>
      <c r="J1153" s="79"/>
      <c r="K1153" s="79" t="s">
        <v>1571</v>
      </c>
      <c r="L1153" s="51">
        <v>29702.98</v>
      </c>
      <c r="M1153" s="51">
        <v>0</v>
      </c>
      <c r="N1153" s="47">
        <v>2021.04</v>
      </c>
      <c r="O1153" s="79" t="s">
        <v>1105</v>
      </c>
      <c r="P1153" s="79" t="s">
        <v>75</v>
      </c>
      <c r="Q1153" s="79">
        <v>13269819378</v>
      </c>
      <c r="R1153" s="79" t="s">
        <v>76</v>
      </c>
      <c r="S1153" s="79" t="s">
        <v>77</v>
      </c>
      <c r="T1153" s="11"/>
    </row>
    <row r="1154" spans="1:20" s="14" customFormat="1" ht="24" hidden="1" customHeight="1">
      <c r="A1154" s="15"/>
      <c r="B1154" s="79" t="s">
        <v>1573</v>
      </c>
      <c r="C1154" s="79"/>
      <c r="D1154" s="79" t="s">
        <v>888</v>
      </c>
      <c r="E1154" s="79">
        <v>2075.8000000000002</v>
      </c>
      <c r="F1154" s="79"/>
      <c r="G1154" s="79" t="s">
        <v>72</v>
      </c>
      <c r="H1154" s="79" t="s">
        <v>33</v>
      </c>
      <c r="I1154" s="79"/>
      <c r="J1154" s="79"/>
      <c r="K1154" s="79" t="s">
        <v>1356</v>
      </c>
      <c r="L1154" s="51">
        <v>139756.82999999999</v>
      </c>
      <c r="M1154" s="51">
        <v>0</v>
      </c>
      <c r="N1154" s="47">
        <v>2020.07</v>
      </c>
      <c r="O1154" s="79" t="s">
        <v>74</v>
      </c>
      <c r="P1154" s="79" t="s">
        <v>75</v>
      </c>
      <c r="Q1154" s="79">
        <v>13269819378</v>
      </c>
      <c r="R1154" s="79" t="s">
        <v>76</v>
      </c>
      <c r="S1154" s="79" t="s">
        <v>77</v>
      </c>
      <c r="T1154" s="11"/>
    </row>
    <row r="1155" spans="1:20" s="14" customFormat="1" ht="24" hidden="1" customHeight="1">
      <c r="A1155" s="15"/>
      <c r="B1155" s="79" t="s">
        <v>1574</v>
      </c>
      <c r="C1155" s="79"/>
      <c r="D1155" s="79" t="s">
        <v>888</v>
      </c>
      <c r="E1155" s="79">
        <v>1075</v>
      </c>
      <c r="F1155" s="79"/>
      <c r="G1155" s="79" t="s">
        <v>72</v>
      </c>
      <c r="H1155" s="79" t="s">
        <v>33</v>
      </c>
      <c r="I1155" s="79"/>
      <c r="J1155" s="79"/>
      <c r="K1155" s="79" t="s">
        <v>1356</v>
      </c>
      <c r="L1155" s="51">
        <v>207549.5</v>
      </c>
      <c r="M1155" s="51">
        <v>0</v>
      </c>
      <c r="N1155" s="47">
        <v>2020.07</v>
      </c>
      <c r="O1155" s="79" t="s">
        <v>74</v>
      </c>
      <c r="P1155" s="79" t="s">
        <v>75</v>
      </c>
      <c r="Q1155" s="79">
        <v>13269819378</v>
      </c>
      <c r="R1155" s="79" t="s">
        <v>76</v>
      </c>
      <c r="S1155" s="79" t="s">
        <v>77</v>
      </c>
      <c r="T1155" s="11"/>
    </row>
    <row r="1156" spans="1:20" s="14" customFormat="1" ht="24" hidden="1" customHeight="1">
      <c r="A1156" s="15"/>
      <c r="B1156" s="79" t="s">
        <v>1575</v>
      </c>
      <c r="C1156" s="79" t="s">
        <v>1576</v>
      </c>
      <c r="D1156" s="79" t="s">
        <v>79</v>
      </c>
      <c r="E1156" s="79">
        <v>2</v>
      </c>
      <c r="F1156" s="79"/>
      <c r="G1156" s="79" t="s">
        <v>72</v>
      </c>
      <c r="H1156" s="79" t="s">
        <v>33</v>
      </c>
      <c r="I1156" s="79"/>
      <c r="J1156" s="79"/>
      <c r="K1156" s="79" t="s">
        <v>606</v>
      </c>
      <c r="L1156" s="51">
        <v>30693.07</v>
      </c>
      <c r="M1156" s="51">
        <v>0</v>
      </c>
      <c r="N1156" s="47">
        <v>2020.11</v>
      </c>
      <c r="O1156" s="79" t="s">
        <v>74</v>
      </c>
      <c r="P1156" s="79" t="s">
        <v>75</v>
      </c>
      <c r="Q1156" s="79">
        <v>13269819378</v>
      </c>
      <c r="R1156" s="79" t="s">
        <v>76</v>
      </c>
      <c r="S1156" s="79" t="s">
        <v>77</v>
      </c>
      <c r="T1156" s="11"/>
    </row>
    <row r="1157" spans="1:20" s="14" customFormat="1" ht="24" hidden="1" customHeight="1">
      <c r="A1157" s="15"/>
      <c r="B1157" s="79" t="s">
        <v>1577</v>
      </c>
      <c r="C1157" s="79" t="s">
        <v>1578</v>
      </c>
      <c r="D1157" s="79" t="s">
        <v>888</v>
      </c>
      <c r="E1157" s="79">
        <v>62.05</v>
      </c>
      <c r="F1157" s="79"/>
      <c r="G1157" s="79" t="s">
        <v>72</v>
      </c>
      <c r="H1157" s="79" t="s">
        <v>33</v>
      </c>
      <c r="I1157" s="79"/>
      <c r="J1157" s="79"/>
      <c r="K1157" s="79" t="s">
        <v>1356</v>
      </c>
      <c r="L1157" s="51">
        <v>8600.99</v>
      </c>
      <c r="M1157" s="51">
        <v>0</v>
      </c>
      <c r="N1157" s="47">
        <v>2021.07</v>
      </c>
      <c r="O1157" s="79" t="s">
        <v>74</v>
      </c>
      <c r="P1157" s="79" t="s">
        <v>75</v>
      </c>
      <c r="Q1157" s="79">
        <v>13269819378</v>
      </c>
      <c r="R1157" s="79" t="s">
        <v>76</v>
      </c>
      <c r="S1157" s="79" t="s">
        <v>77</v>
      </c>
      <c r="T1157" s="11"/>
    </row>
    <row r="1158" spans="1:20" s="14" customFormat="1" ht="24" hidden="1" customHeight="1">
      <c r="A1158" s="15"/>
      <c r="B1158" s="79" t="s">
        <v>1577</v>
      </c>
      <c r="C1158" s="79" t="s">
        <v>1579</v>
      </c>
      <c r="D1158" s="79" t="s">
        <v>888</v>
      </c>
      <c r="E1158" s="79">
        <v>83.3</v>
      </c>
      <c r="F1158" s="79"/>
      <c r="G1158" s="79" t="s">
        <v>72</v>
      </c>
      <c r="H1158" s="79" t="s">
        <v>33</v>
      </c>
      <c r="I1158" s="79"/>
      <c r="J1158" s="79"/>
      <c r="K1158" s="79" t="s">
        <v>1356</v>
      </c>
      <c r="L1158" s="51">
        <v>15835.25</v>
      </c>
      <c r="M1158" s="51">
        <v>0</v>
      </c>
      <c r="N1158" s="47">
        <v>2021.07</v>
      </c>
      <c r="O1158" s="79" t="s">
        <v>74</v>
      </c>
      <c r="P1158" s="79" t="s">
        <v>75</v>
      </c>
      <c r="Q1158" s="79">
        <v>13269819378</v>
      </c>
      <c r="R1158" s="79" t="s">
        <v>76</v>
      </c>
      <c r="S1158" s="79" t="s">
        <v>77</v>
      </c>
      <c r="T1158" s="11"/>
    </row>
    <row r="1159" spans="1:20" s="14" customFormat="1" ht="24" hidden="1" customHeight="1">
      <c r="A1159" s="15"/>
      <c r="B1159" s="79" t="s">
        <v>1577</v>
      </c>
      <c r="C1159" s="79" t="s">
        <v>1580</v>
      </c>
      <c r="D1159" s="79" t="s">
        <v>888</v>
      </c>
      <c r="E1159" s="79">
        <v>49.2</v>
      </c>
      <c r="F1159" s="79"/>
      <c r="G1159" s="79" t="s">
        <v>72</v>
      </c>
      <c r="H1159" s="79" t="s">
        <v>33</v>
      </c>
      <c r="I1159" s="79"/>
      <c r="J1159" s="79"/>
      <c r="K1159" s="79" t="s">
        <v>1356</v>
      </c>
      <c r="L1159" s="51">
        <v>9352.8700000000008</v>
      </c>
      <c r="M1159" s="51">
        <v>0</v>
      </c>
      <c r="N1159" s="47">
        <v>2021.07</v>
      </c>
      <c r="O1159" s="79" t="s">
        <v>74</v>
      </c>
      <c r="P1159" s="79" t="s">
        <v>75</v>
      </c>
      <c r="Q1159" s="79">
        <v>13269819378</v>
      </c>
      <c r="R1159" s="79" t="s">
        <v>76</v>
      </c>
      <c r="S1159" s="79" t="s">
        <v>77</v>
      </c>
      <c r="T1159" s="11"/>
    </row>
    <row r="1160" spans="1:20" s="14" customFormat="1" ht="24" hidden="1" customHeight="1">
      <c r="A1160" s="15"/>
      <c r="B1160" s="79" t="s">
        <v>1577</v>
      </c>
      <c r="C1160" s="79" t="s">
        <v>1579</v>
      </c>
      <c r="D1160" s="79" t="s">
        <v>888</v>
      </c>
      <c r="E1160" s="79">
        <v>83.3</v>
      </c>
      <c r="F1160" s="79"/>
      <c r="G1160" s="79" t="s">
        <v>72</v>
      </c>
      <c r="H1160" s="79" t="s">
        <v>33</v>
      </c>
      <c r="I1160" s="79"/>
      <c r="J1160" s="79"/>
      <c r="K1160" s="79" t="s">
        <v>1356</v>
      </c>
      <c r="L1160" s="51">
        <v>15835.25</v>
      </c>
      <c r="M1160" s="51">
        <v>0</v>
      </c>
      <c r="N1160" s="47">
        <v>2021.07</v>
      </c>
      <c r="O1160" s="79" t="s">
        <v>74</v>
      </c>
      <c r="P1160" s="79" t="s">
        <v>75</v>
      </c>
      <c r="Q1160" s="79">
        <v>13269819378</v>
      </c>
      <c r="R1160" s="79" t="s">
        <v>76</v>
      </c>
      <c r="S1160" s="79" t="s">
        <v>77</v>
      </c>
      <c r="T1160" s="11"/>
    </row>
    <row r="1161" spans="1:20" s="14" customFormat="1" ht="24" hidden="1" customHeight="1">
      <c r="A1161" s="15"/>
      <c r="B1161" s="79" t="s">
        <v>1577</v>
      </c>
      <c r="C1161" s="79" t="s">
        <v>1581</v>
      </c>
      <c r="D1161" s="79" t="s">
        <v>888</v>
      </c>
      <c r="E1161" s="79">
        <v>166</v>
      </c>
      <c r="F1161" s="79"/>
      <c r="G1161" s="79" t="s">
        <v>72</v>
      </c>
      <c r="H1161" s="79" t="s">
        <v>33</v>
      </c>
      <c r="I1161" s="79"/>
      <c r="J1161" s="79"/>
      <c r="K1161" s="79" t="s">
        <v>1356</v>
      </c>
      <c r="L1161" s="51">
        <v>23009.9</v>
      </c>
      <c r="M1161" s="51">
        <v>0</v>
      </c>
      <c r="N1161" s="47">
        <v>2021.07</v>
      </c>
      <c r="O1161" s="79" t="s">
        <v>74</v>
      </c>
      <c r="P1161" s="79" t="s">
        <v>75</v>
      </c>
      <c r="Q1161" s="79">
        <v>13269819378</v>
      </c>
      <c r="R1161" s="79" t="s">
        <v>76</v>
      </c>
      <c r="S1161" s="79" t="s">
        <v>77</v>
      </c>
      <c r="T1161" s="11"/>
    </row>
    <row r="1162" spans="1:20" s="14" customFormat="1" ht="24" hidden="1" customHeight="1">
      <c r="A1162" s="15"/>
      <c r="B1162" s="79" t="s">
        <v>1577</v>
      </c>
      <c r="C1162" s="79" t="s">
        <v>1582</v>
      </c>
      <c r="D1162" s="79" t="s">
        <v>888</v>
      </c>
      <c r="E1162" s="79">
        <v>51.6</v>
      </c>
      <c r="F1162" s="79"/>
      <c r="G1162" s="79" t="s">
        <v>72</v>
      </c>
      <c r="H1162" s="79" t="s">
        <v>33</v>
      </c>
      <c r="I1162" s="79"/>
      <c r="J1162" s="79"/>
      <c r="K1162" s="79" t="s">
        <v>1356</v>
      </c>
      <c r="L1162" s="51">
        <v>7152.48</v>
      </c>
      <c r="M1162" s="51">
        <v>0</v>
      </c>
      <c r="N1162" s="47">
        <v>2021.07</v>
      </c>
      <c r="O1162" s="79" t="s">
        <v>74</v>
      </c>
      <c r="P1162" s="79" t="s">
        <v>75</v>
      </c>
      <c r="Q1162" s="79">
        <v>13269819378</v>
      </c>
      <c r="R1162" s="79" t="s">
        <v>76</v>
      </c>
      <c r="S1162" s="79" t="s">
        <v>77</v>
      </c>
      <c r="T1162" s="11"/>
    </row>
    <row r="1163" spans="1:20" s="14" customFormat="1" ht="24" hidden="1" customHeight="1">
      <c r="A1163" s="15"/>
      <c r="B1163" s="79" t="s">
        <v>1577</v>
      </c>
      <c r="C1163" s="79" t="s">
        <v>1583</v>
      </c>
      <c r="D1163" s="79" t="s">
        <v>888</v>
      </c>
      <c r="E1163" s="79">
        <v>10.5</v>
      </c>
      <c r="F1163" s="79"/>
      <c r="G1163" s="79" t="s">
        <v>72</v>
      </c>
      <c r="H1163" s="79" t="s">
        <v>33</v>
      </c>
      <c r="I1163" s="79"/>
      <c r="J1163" s="79"/>
      <c r="K1163" s="79" t="s">
        <v>1356</v>
      </c>
      <c r="L1163" s="51">
        <v>987.62</v>
      </c>
      <c r="M1163" s="51">
        <v>0</v>
      </c>
      <c r="N1163" s="47">
        <v>2021.07</v>
      </c>
      <c r="O1163" s="79" t="s">
        <v>74</v>
      </c>
      <c r="P1163" s="79" t="s">
        <v>75</v>
      </c>
      <c r="Q1163" s="79">
        <v>13269819378</v>
      </c>
      <c r="R1163" s="79" t="s">
        <v>76</v>
      </c>
      <c r="S1163" s="79" t="s">
        <v>77</v>
      </c>
      <c r="T1163" s="11"/>
    </row>
    <row r="1164" spans="1:20" ht="24" hidden="1" customHeight="1">
      <c r="A1164" s="15"/>
      <c r="B1164" s="11" t="s">
        <v>1584</v>
      </c>
      <c r="C1164" s="11" t="s">
        <v>1525</v>
      </c>
      <c r="D1164" s="11" t="s">
        <v>31</v>
      </c>
      <c r="E1164" s="11">
        <v>807</v>
      </c>
      <c r="F1164" s="11"/>
      <c r="G1164" s="11" t="s">
        <v>32</v>
      </c>
      <c r="H1164" s="11" t="s">
        <v>33</v>
      </c>
      <c r="I1164" s="53" t="s">
        <v>34</v>
      </c>
      <c r="J1164" s="50" t="s">
        <v>34</v>
      </c>
      <c r="K1164" s="11" t="s">
        <v>1242</v>
      </c>
      <c r="L1164" s="12">
        <v>40350</v>
      </c>
      <c r="M1164" s="20">
        <v>0</v>
      </c>
      <c r="N1164" s="16">
        <v>43758</v>
      </c>
      <c r="O1164" s="53" t="s">
        <v>138</v>
      </c>
      <c r="P1164" s="53" t="s">
        <v>139</v>
      </c>
      <c r="Q1164" s="54">
        <v>15076764689</v>
      </c>
      <c r="R1164" s="53" t="s">
        <v>140</v>
      </c>
      <c r="S1164" s="11" t="s">
        <v>141</v>
      </c>
      <c r="T1164" s="54"/>
    </row>
    <row r="1165" spans="1:20" ht="24" hidden="1" customHeight="1">
      <c r="A1165" s="15"/>
      <c r="B1165" s="11" t="s">
        <v>1585</v>
      </c>
      <c r="C1165" s="11" t="s">
        <v>1525</v>
      </c>
      <c r="D1165" s="11" t="s">
        <v>31</v>
      </c>
      <c r="E1165" s="11">
        <v>62</v>
      </c>
      <c r="F1165" s="11"/>
      <c r="G1165" s="11" t="s">
        <v>32</v>
      </c>
      <c r="H1165" s="11" t="s">
        <v>33</v>
      </c>
      <c r="I1165" s="53" t="s">
        <v>34</v>
      </c>
      <c r="J1165" s="50" t="s">
        <v>34</v>
      </c>
      <c r="K1165" s="11" t="s">
        <v>1242</v>
      </c>
      <c r="L1165" s="12">
        <v>3410</v>
      </c>
      <c r="M1165" s="20">
        <v>0</v>
      </c>
      <c r="N1165" s="16">
        <v>43758</v>
      </c>
      <c r="O1165" s="53" t="s">
        <v>138</v>
      </c>
      <c r="P1165" s="53" t="s">
        <v>139</v>
      </c>
      <c r="Q1165" s="54">
        <v>15076764689</v>
      </c>
      <c r="R1165" s="53" t="s">
        <v>140</v>
      </c>
      <c r="S1165" s="11" t="s">
        <v>141</v>
      </c>
      <c r="T1165" s="54"/>
    </row>
    <row r="1166" spans="1:20" ht="24" hidden="1" customHeight="1">
      <c r="A1166" s="15"/>
      <c r="B1166" s="11" t="s">
        <v>1584</v>
      </c>
      <c r="C1166" s="11" t="s">
        <v>1525</v>
      </c>
      <c r="D1166" s="11" t="s">
        <v>31</v>
      </c>
      <c r="E1166" s="11">
        <v>1000</v>
      </c>
      <c r="F1166" s="11"/>
      <c r="G1166" s="11" t="s">
        <v>32</v>
      </c>
      <c r="H1166" s="11" t="s">
        <v>33</v>
      </c>
      <c r="I1166" s="53" t="s">
        <v>34</v>
      </c>
      <c r="J1166" s="50" t="s">
        <v>34</v>
      </c>
      <c r="K1166" s="11" t="s">
        <v>1242</v>
      </c>
      <c r="L1166" s="12">
        <v>50000</v>
      </c>
      <c r="M1166" s="20">
        <v>0</v>
      </c>
      <c r="N1166" s="16">
        <v>43789</v>
      </c>
      <c r="O1166" s="53" t="s">
        <v>138</v>
      </c>
      <c r="P1166" s="53" t="s">
        <v>139</v>
      </c>
      <c r="Q1166" s="54">
        <v>15076764689</v>
      </c>
      <c r="R1166" s="53" t="s">
        <v>140</v>
      </c>
      <c r="S1166" s="11" t="s">
        <v>141</v>
      </c>
      <c r="T1166" s="54"/>
    </row>
    <row r="1167" spans="1:20" ht="24" hidden="1" customHeight="1">
      <c r="A1167" s="15"/>
      <c r="B1167" s="11" t="s">
        <v>1585</v>
      </c>
      <c r="C1167" s="11" t="s">
        <v>1525</v>
      </c>
      <c r="D1167" s="11" t="s">
        <v>31</v>
      </c>
      <c r="E1167" s="11">
        <v>178</v>
      </c>
      <c r="F1167" s="11"/>
      <c r="G1167" s="11" t="s">
        <v>32</v>
      </c>
      <c r="H1167" s="11" t="s">
        <v>33</v>
      </c>
      <c r="I1167" s="53" t="s">
        <v>34</v>
      </c>
      <c r="J1167" s="50" t="s">
        <v>34</v>
      </c>
      <c r="K1167" s="11" t="s">
        <v>1242</v>
      </c>
      <c r="L1167" s="12">
        <v>9790</v>
      </c>
      <c r="M1167" s="20">
        <v>0</v>
      </c>
      <c r="N1167" s="16">
        <v>43789</v>
      </c>
      <c r="O1167" s="53" t="s">
        <v>138</v>
      </c>
      <c r="P1167" s="53" t="s">
        <v>139</v>
      </c>
      <c r="Q1167" s="54">
        <v>15076764689</v>
      </c>
      <c r="R1167" s="53" t="s">
        <v>140</v>
      </c>
      <c r="S1167" s="11" t="s">
        <v>141</v>
      </c>
      <c r="T1167" s="54"/>
    </row>
    <row r="1168" spans="1:20" ht="24" hidden="1" customHeight="1">
      <c r="A1168" s="15"/>
      <c r="B1168" s="11" t="s">
        <v>1586</v>
      </c>
      <c r="C1168" s="11" t="s">
        <v>1525</v>
      </c>
      <c r="D1168" s="11" t="s">
        <v>31</v>
      </c>
      <c r="E1168" s="11">
        <v>1100</v>
      </c>
      <c r="F1168" s="11"/>
      <c r="G1168" s="11" t="s">
        <v>32</v>
      </c>
      <c r="H1168" s="11" t="s">
        <v>33</v>
      </c>
      <c r="I1168" s="53" t="s">
        <v>34</v>
      </c>
      <c r="J1168" s="50" t="s">
        <v>34</v>
      </c>
      <c r="K1168" s="11" t="s">
        <v>1242</v>
      </c>
      <c r="L1168" s="12">
        <v>55000</v>
      </c>
      <c r="M1168" s="20">
        <v>0</v>
      </c>
      <c r="N1168" s="16">
        <v>43789</v>
      </c>
      <c r="O1168" s="53" t="s">
        <v>138</v>
      </c>
      <c r="P1168" s="53" t="s">
        <v>139</v>
      </c>
      <c r="Q1168" s="54">
        <v>15076764689</v>
      </c>
      <c r="R1168" s="53" t="s">
        <v>140</v>
      </c>
      <c r="S1168" s="11" t="s">
        <v>141</v>
      </c>
      <c r="T1168" s="54"/>
    </row>
    <row r="1169" spans="1:20" ht="24" hidden="1" customHeight="1">
      <c r="A1169" s="15"/>
      <c r="B1169" s="11" t="s">
        <v>1585</v>
      </c>
      <c r="C1169" s="11" t="s">
        <v>1525</v>
      </c>
      <c r="D1169" s="11" t="s">
        <v>31</v>
      </c>
      <c r="E1169" s="11">
        <v>118</v>
      </c>
      <c r="F1169" s="11"/>
      <c r="G1169" s="11" t="s">
        <v>32</v>
      </c>
      <c r="H1169" s="11" t="s">
        <v>33</v>
      </c>
      <c r="I1169" s="53" t="s">
        <v>34</v>
      </c>
      <c r="J1169" s="50" t="s">
        <v>34</v>
      </c>
      <c r="K1169" s="11" t="s">
        <v>1242</v>
      </c>
      <c r="L1169" s="12">
        <v>6490</v>
      </c>
      <c r="M1169" s="20">
        <v>0</v>
      </c>
      <c r="N1169" s="16">
        <v>43789</v>
      </c>
      <c r="O1169" s="53" t="s">
        <v>138</v>
      </c>
      <c r="P1169" s="53" t="s">
        <v>139</v>
      </c>
      <c r="Q1169" s="54">
        <v>15076764689</v>
      </c>
      <c r="R1169" s="53" t="s">
        <v>140</v>
      </c>
      <c r="S1169" s="11" t="s">
        <v>141</v>
      </c>
      <c r="T1169" s="54"/>
    </row>
    <row r="1170" spans="1:20" ht="24" hidden="1" customHeight="1">
      <c r="A1170" s="15"/>
      <c r="B1170" s="11" t="s">
        <v>1462</v>
      </c>
      <c r="C1170" s="83" t="s">
        <v>1587</v>
      </c>
      <c r="D1170" s="10" t="s">
        <v>31</v>
      </c>
      <c r="E1170" s="11">
        <v>4444</v>
      </c>
      <c r="F1170" s="11"/>
      <c r="G1170" s="11" t="s">
        <v>32</v>
      </c>
      <c r="H1170" s="11" t="s">
        <v>33</v>
      </c>
      <c r="I1170" s="53" t="s">
        <v>1588</v>
      </c>
      <c r="J1170" s="50" t="s">
        <v>34</v>
      </c>
      <c r="K1170" s="11" t="s">
        <v>1283</v>
      </c>
      <c r="L1170" s="20">
        <v>140800</v>
      </c>
      <c r="M1170" s="20">
        <v>0</v>
      </c>
      <c r="N1170" s="27">
        <v>43944</v>
      </c>
      <c r="O1170" s="53" t="s">
        <v>138</v>
      </c>
      <c r="P1170" s="53" t="s">
        <v>139</v>
      </c>
      <c r="Q1170" s="54">
        <v>15076764689</v>
      </c>
      <c r="R1170" s="53" t="s">
        <v>140</v>
      </c>
      <c r="S1170" s="11" t="s">
        <v>141</v>
      </c>
      <c r="T1170" s="54"/>
    </row>
    <row r="1171" spans="1:20" ht="24" hidden="1" customHeight="1">
      <c r="A1171" s="15"/>
      <c r="B1171" s="17" t="s">
        <v>1589</v>
      </c>
      <c r="C1171" s="17" t="s">
        <v>1590</v>
      </c>
      <c r="D1171" s="17" t="s">
        <v>31</v>
      </c>
      <c r="E1171" s="26">
        <v>500</v>
      </c>
      <c r="F1171" s="84"/>
      <c r="G1171" s="11" t="s">
        <v>32</v>
      </c>
      <c r="H1171" s="11" t="s">
        <v>33</v>
      </c>
      <c r="I1171" s="53" t="s">
        <v>34</v>
      </c>
      <c r="J1171" s="50" t="s">
        <v>34</v>
      </c>
      <c r="K1171" s="10" t="s">
        <v>798</v>
      </c>
      <c r="L1171" s="20">
        <v>42035.4</v>
      </c>
      <c r="M1171" s="51">
        <v>0</v>
      </c>
      <c r="N1171" s="17" t="s">
        <v>1591</v>
      </c>
      <c r="O1171" s="53" t="s">
        <v>138</v>
      </c>
      <c r="P1171" s="53" t="s">
        <v>139</v>
      </c>
      <c r="Q1171" s="54">
        <v>15076764689</v>
      </c>
      <c r="R1171" s="53" t="s">
        <v>140</v>
      </c>
      <c r="S1171" s="11" t="s">
        <v>141</v>
      </c>
      <c r="T1171" s="54"/>
    </row>
    <row r="1172" spans="1:20" ht="24" hidden="1" customHeight="1">
      <c r="A1172" s="15"/>
      <c r="B1172" s="17" t="s">
        <v>1560</v>
      </c>
      <c r="C1172" s="26" t="s">
        <v>1592</v>
      </c>
      <c r="D1172" s="17" t="s">
        <v>464</v>
      </c>
      <c r="E1172" s="26">
        <v>200</v>
      </c>
      <c r="F1172" s="84"/>
      <c r="G1172" s="11" t="s">
        <v>32</v>
      </c>
      <c r="H1172" s="11" t="s">
        <v>33</v>
      </c>
      <c r="I1172" s="53" t="s">
        <v>34</v>
      </c>
      <c r="J1172" s="50" t="s">
        <v>34</v>
      </c>
      <c r="K1172" s="10" t="s">
        <v>798</v>
      </c>
      <c r="L1172" s="12">
        <v>9900.99</v>
      </c>
      <c r="M1172" s="51">
        <v>0</v>
      </c>
      <c r="N1172" s="85">
        <v>44131</v>
      </c>
      <c r="O1172" s="53" t="s">
        <v>138</v>
      </c>
      <c r="P1172" s="53" t="s">
        <v>139</v>
      </c>
      <c r="Q1172" s="54">
        <v>15076764689</v>
      </c>
      <c r="R1172" s="53" t="s">
        <v>140</v>
      </c>
      <c r="S1172" s="11" t="s">
        <v>141</v>
      </c>
      <c r="T1172" s="54"/>
    </row>
    <row r="1173" spans="1:20" ht="24" hidden="1" customHeight="1">
      <c r="A1173" s="15"/>
      <c r="B1173" s="17" t="s">
        <v>1560</v>
      </c>
      <c r="C1173" s="26" t="s">
        <v>1592</v>
      </c>
      <c r="D1173" s="17" t="s">
        <v>464</v>
      </c>
      <c r="E1173" s="26">
        <v>400</v>
      </c>
      <c r="F1173" s="84"/>
      <c r="G1173" s="11" t="s">
        <v>32</v>
      </c>
      <c r="H1173" s="11" t="s">
        <v>33</v>
      </c>
      <c r="I1173" s="53" t="s">
        <v>34</v>
      </c>
      <c r="J1173" s="50" t="s">
        <v>34</v>
      </c>
      <c r="K1173" s="10" t="s">
        <v>798</v>
      </c>
      <c r="L1173" s="12">
        <v>19801.98</v>
      </c>
      <c r="M1173" s="51">
        <v>0</v>
      </c>
      <c r="N1173" s="85">
        <v>44131</v>
      </c>
      <c r="O1173" s="53" t="s">
        <v>138</v>
      </c>
      <c r="P1173" s="53" t="s">
        <v>139</v>
      </c>
      <c r="Q1173" s="54">
        <v>15076764689</v>
      </c>
      <c r="R1173" s="53" t="s">
        <v>140</v>
      </c>
      <c r="S1173" s="11" t="s">
        <v>141</v>
      </c>
      <c r="T1173" s="54"/>
    </row>
    <row r="1174" spans="1:20" ht="24" hidden="1" customHeight="1">
      <c r="A1174" s="15"/>
      <c r="B1174" s="17" t="s">
        <v>1593</v>
      </c>
      <c r="C1174" s="26" t="s">
        <v>1594</v>
      </c>
      <c r="D1174" s="17" t="s">
        <v>603</v>
      </c>
      <c r="E1174" s="26">
        <v>300</v>
      </c>
      <c r="F1174" s="84"/>
      <c r="G1174" s="11" t="s">
        <v>32</v>
      </c>
      <c r="H1174" s="11" t="s">
        <v>33</v>
      </c>
      <c r="I1174" s="53" t="s">
        <v>34</v>
      </c>
      <c r="J1174" s="50" t="s">
        <v>34</v>
      </c>
      <c r="K1174" s="10" t="s">
        <v>798</v>
      </c>
      <c r="L1174" s="12">
        <v>35821.78</v>
      </c>
      <c r="M1174" s="51">
        <v>0</v>
      </c>
      <c r="N1174" s="85">
        <v>44131</v>
      </c>
      <c r="O1174" s="53" t="s">
        <v>138</v>
      </c>
      <c r="P1174" s="53" t="s">
        <v>139</v>
      </c>
      <c r="Q1174" s="54">
        <v>15076764689</v>
      </c>
      <c r="R1174" s="53" t="s">
        <v>140</v>
      </c>
      <c r="S1174" s="11" t="s">
        <v>141</v>
      </c>
      <c r="T1174" s="54"/>
    </row>
    <row r="1175" spans="1:20" ht="24" hidden="1" customHeight="1">
      <c r="A1175" s="15"/>
      <c r="B1175" s="17" t="s">
        <v>1593</v>
      </c>
      <c r="C1175" s="26" t="s">
        <v>1594</v>
      </c>
      <c r="D1175" s="17" t="s">
        <v>603</v>
      </c>
      <c r="E1175" s="26">
        <v>600</v>
      </c>
      <c r="F1175" s="84"/>
      <c r="G1175" s="11" t="s">
        <v>32</v>
      </c>
      <c r="H1175" s="11" t="s">
        <v>33</v>
      </c>
      <c r="I1175" s="53" t="s">
        <v>34</v>
      </c>
      <c r="J1175" s="50" t="s">
        <v>34</v>
      </c>
      <c r="K1175" s="10" t="s">
        <v>798</v>
      </c>
      <c r="L1175" s="12">
        <v>71643.56</v>
      </c>
      <c r="M1175" s="51">
        <v>0</v>
      </c>
      <c r="N1175" s="85">
        <v>44131</v>
      </c>
      <c r="O1175" s="53" t="s">
        <v>138</v>
      </c>
      <c r="P1175" s="53" t="s">
        <v>139</v>
      </c>
      <c r="Q1175" s="54">
        <v>15076764689</v>
      </c>
      <c r="R1175" s="53" t="s">
        <v>140</v>
      </c>
      <c r="S1175" s="11" t="s">
        <v>141</v>
      </c>
      <c r="T1175" s="54"/>
    </row>
    <row r="1176" spans="1:20" ht="24" hidden="1" customHeight="1">
      <c r="A1176" s="15"/>
      <c r="B1176" s="17" t="s">
        <v>1595</v>
      </c>
      <c r="C1176" s="26" t="s">
        <v>1596</v>
      </c>
      <c r="D1176" s="17" t="s">
        <v>464</v>
      </c>
      <c r="E1176" s="26">
        <v>650</v>
      </c>
      <c r="F1176" s="84"/>
      <c r="G1176" s="11" t="s">
        <v>32</v>
      </c>
      <c r="H1176" s="11" t="s">
        <v>33</v>
      </c>
      <c r="I1176" s="53" t="s">
        <v>34</v>
      </c>
      <c r="J1176" s="50" t="s">
        <v>34</v>
      </c>
      <c r="K1176" s="10" t="s">
        <v>798</v>
      </c>
      <c r="L1176" s="12">
        <v>40222.769999999997</v>
      </c>
      <c r="M1176" s="51">
        <v>0</v>
      </c>
      <c r="N1176" s="85">
        <v>44131</v>
      </c>
      <c r="O1176" s="53" t="s">
        <v>138</v>
      </c>
      <c r="P1176" s="53" t="s">
        <v>139</v>
      </c>
      <c r="Q1176" s="54">
        <v>15076764689</v>
      </c>
      <c r="R1176" s="53" t="s">
        <v>140</v>
      </c>
      <c r="S1176" s="11" t="s">
        <v>141</v>
      </c>
      <c r="T1176" s="54"/>
    </row>
    <row r="1177" spans="1:20" ht="24" hidden="1" customHeight="1">
      <c r="A1177" s="15"/>
      <c r="B1177" s="17" t="s">
        <v>1595</v>
      </c>
      <c r="C1177" s="26" t="s">
        <v>1596</v>
      </c>
      <c r="D1177" s="17" t="s">
        <v>464</v>
      </c>
      <c r="E1177" s="26">
        <v>2000</v>
      </c>
      <c r="F1177" s="84"/>
      <c r="G1177" s="11" t="s">
        <v>32</v>
      </c>
      <c r="H1177" s="11" t="s">
        <v>33</v>
      </c>
      <c r="I1177" s="53" t="s">
        <v>34</v>
      </c>
      <c r="J1177" s="50" t="s">
        <v>34</v>
      </c>
      <c r="K1177" s="10" t="s">
        <v>798</v>
      </c>
      <c r="L1177" s="12">
        <v>123762.38</v>
      </c>
      <c r="M1177" s="51">
        <v>0</v>
      </c>
      <c r="N1177" s="85">
        <v>44131</v>
      </c>
      <c r="O1177" s="53" t="s">
        <v>138</v>
      </c>
      <c r="P1177" s="53" t="s">
        <v>139</v>
      </c>
      <c r="Q1177" s="54">
        <v>15076764689</v>
      </c>
      <c r="R1177" s="53" t="s">
        <v>140</v>
      </c>
      <c r="S1177" s="11" t="s">
        <v>141</v>
      </c>
      <c r="T1177" s="54"/>
    </row>
    <row r="1178" spans="1:20" ht="24" hidden="1" customHeight="1">
      <c r="A1178" s="15"/>
      <c r="B1178" s="17" t="s">
        <v>1595</v>
      </c>
      <c r="C1178" s="26" t="s">
        <v>1597</v>
      </c>
      <c r="D1178" s="17" t="s">
        <v>464</v>
      </c>
      <c r="E1178" s="26">
        <v>1005</v>
      </c>
      <c r="F1178" s="84"/>
      <c r="G1178" s="11" t="s">
        <v>32</v>
      </c>
      <c r="H1178" s="11" t="s">
        <v>33</v>
      </c>
      <c r="I1178" s="53" t="s">
        <v>34</v>
      </c>
      <c r="J1178" s="50" t="s">
        <v>34</v>
      </c>
      <c r="K1178" s="10" t="s">
        <v>1557</v>
      </c>
      <c r="L1178" s="12">
        <v>17787.61</v>
      </c>
      <c r="M1178" s="51">
        <v>0</v>
      </c>
      <c r="N1178" s="85" t="s">
        <v>1598</v>
      </c>
      <c r="O1178" s="53" t="s">
        <v>138</v>
      </c>
      <c r="P1178" s="53" t="s">
        <v>139</v>
      </c>
      <c r="Q1178" s="54">
        <v>15076764689</v>
      </c>
      <c r="R1178" s="53" t="s">
        <v>140</v>
      </c>
      <c r="S1178" s="11" t="s">
        <v>141</v>
      </c>
      <c r="T1178" s="54"/>
    </row>
    <row r="1179" spans="1:20" ht="24" hidden="1" customHeight="1">
      <c r="A1179" s="15"/>
      <c r="B1179" s="17" t="s">
        <v>1593</v>
      </c>
      <c r="C1179" s="26" t="s">
        <v>1594</v>
      </c>
      <c r="D1179" s="17" t="s">
        <v>603</v>
      </c>
      <c r="E1179" s="26">
        <v>60</v>
      </c>
      <c r="F1179" s="84"/>
      <c r="G1179" s="11" t="s">
        <v>32</v>
      </c>
      <c r="H1179" s="11" t="s">
        <v>33</v>
      </c>
      <c r="I1179" s="53" t="s">
        <v>34</v>
      </c>
      <c r="J1179" s="50" t="s">
        <v>34</v>
      </c>
      <c r="K1179" s="10" t="s">
        <v>1557</v>
      </c>
      <c r="L1179" s="12">
        <v>6403.54</v>
      </c>
      <c r="M1179" s="51">
        <v>0</v>
      </c>
      <c r="N1179" s="85" t="s">
        <v>1598</v>
      </c>
      <c r="O1179" s="53" t="s">
        <v>138</v>
      </c>
      <c r="P1179" s="53" t="s">
        <v>139</v>
      </c>
      <c r="Q1179" s="54">
        <v>15076764689</v>
      </c>
      <c r="R1179" s="53" t="s">
        <v>140</v>
      </c>
      <c r="S1179" s="11" t="s">
        <v>141</v>
      </c>
      <c r="T1179" s="54"/>
    </row>
    <row r="1180" spans="1:20" ht="24" hidden="1" customHeight="1">
      <c r="A1180" s="15"/>
      <c r="B1180" s="17" t="s">
        <v>1593</v>
      </c>
      <c r="C1180" s="26" t="s">
        <v>1594</v>
      </c>
      <c r="D1180" s="17" t="s">
        <v>603</v>
      </c>
      <c r="E1180" s="26">
        <v>280</v>
      </c>
      <c r="F1180" s="84"/>
      <c r="G1180" s="11" t="s">
        <v>32</v>
      </c>
      <c r="H1180" s="11" t="s">
        <v>33</v>
      </c>
      <c r="I1180" s="53" t="s">
        <v>34</v>
      </c>
      <c r="J1180" s="50" t="s">
        <v>34</v>
      </c>
      <c r="K1180" s="10" t="s">
        <v>1557</v>
      </c>
      <c r="L1180" s="12">
        <v>29883.19</v>
      </c>
      <c r="M1180" s="51">
        <v>0</v>
      </c>
      <c r="N1180" s="85" t="s">
        <v>1598</v>
      </c>
      <c r="O1180" s="53" t="s">
        <v>138</v>
      </c>
      <c r="P1180" s="53" t="s">
        <v>139</v>
      </c>
      <c r="Q1180" s="54">
        <v>15076764689</v>
      </c>
      <c r="R1180" s="53" t="s">
        <v>140</v>
      </c>
      <c r="S1180" s="11" t="s">
        <v>141</v>
      </c>
      <c r="T1180" s="54"/>
    </row>
    <row r="1181" spans="1:20" ht="24" hidden="1" customHeight="1">
      <c r="A1181" s="15"/>
      <c r="B1181" s="17" t="s">
        <v>1593</v>
      </c>
      <c r="C1181" s="26" t="s">
        <v>1594</v>
      </c>
      <c r="D1181" s="17" t="s">
        <v>603</v>
      </c>
      <c r="E1181" s="26">
        <v>44</v>
      </c>
      <c r="F1181" s="84"/>
      <c r="G1181" s="11" t="s">
        <v>32</v>
      </c>
      <c r="H1181" s="11" t="s">
        <v>33</v>
      </c>
      <c r="I1181" s="53" t="s">
        <v>34</v>
      </c>
      <c r="J1181" s="50" t="s">
        <v>34</v>
      </c>
      <c r="K1181" s="10" t="s">
        <v>1557</v>
      </c>
      <c r="L1181" s="12">
        <v>4695.93</v>
      </c>
      <c r="M1181" s="51">
        <v>0</v>
      </c>
      <c r="N1181" s="85" t="s">
        <v>1598</v>
      </c>
      <c r="O1181" s="53" t="s">
        <v>138</v>
      </c>
      <c r="P1181" s="53" t="s">
        <v>139</v>
      </c>
      <c r="Q1181" s="54">
        <v>15076764689</v>
      </c>
      <c r="R1181" s="53" t="s">
        <v>140</v>
      </c>
      <c r="S1181" s="11" t="s">
        <v>141</v>
      </c>
      <c r="T1181" s="54"/>
    </row>
    <row r="1182" spans="1:20" ht="24" hidden="1" customHeight="1">
      <c r="A1182" s="15"/>
      <c r="B1182" s="17" t="s">
        <v>1595</v>
      </c>
      <c r="C1182" s="26" t="s">
        <v>1599</v>
      </c>
      <c r="D1182" s="17" t="s">
        <v>464</v>
      </c>
      <c r="E1182" s="26">
        <v>350</v>
      </c>
      <c r="F1182" s="84"/>
      <c r="G1182" s="11" t="s">
        <v>32</v>
      </c>
      <c r="H1182" s="11" t="s">
        <v>33</v>
      </c>
      <c r="I1182" s="53" t="s">
        <v>34</v>
      </c>
      <c r="J1182" s="50" t="s">
        <v>34</v>
      </c>
      <c r="K1182" s="10" t="s">
        <v>1557</v>
      </c>
      <c r="L1182" s="12">
        <v>5977.88</v>
      </c>
      <c r="M1182" s="51">
        <v>0</v>
      </c>
      <c r="N1182" s="85">
        <v>44132</v>
      </c>
      <c r="O1182" s="53" t="s">
        <v>138</v>
      </c>
      <c r="P1182" s="53" t="s">
        <v>139</v>
      </c>
      <c r="Q1182" s="54">
        <v>15076764689</v>
      </c>
      <c r="R1182" s="53" t="s">
        <v>140</v>
      </c>
      <c r="S1182" s="11" t="s">
        <v>141</v>
      </c>
      <c r="T1182" s="54"/>
    </row>
    <row r="1183" spans="1:20" ht="24" hidden="1" customHeight="1">
      <c r="A1183" s="15"/>
      <c r="B1183" s="17" t="s">
        <v>1595</v>
      </c>
      <c r="C1183" s="26" t="s">
        <v>1599</v>
      </c>
      <c r="D1183" s="17" t="s">
        <v>464</v>
      </c>
      <c r="E1183" s="26">
        <v>600</v>
      </c>
      <c r="F1183" s="84"/>
      <c r="G1183" s="11" t="s">
        <v>32</v>
      </c>
      <c r="H1183" s="11" t="s">
        <v>33</v>
      </c>
      <c r="I1183" s="53" t="s">
        <v>34</v>
      </c>
      <c r="J1183" s="50" t="s">
        <v>34</v>
      </c>
      <c r="K1183" s="10" t="s">
        <v>1557</v>
      </c>
      <c r="L1183" s="12">
        <v>10247.790000000001</v>
      </c>
      <c r="M1183" s="51">
        <v>0</v>
      </c>
      <c r="N1183" s="85">
        <v>44132</v>
      </c>
      <c r="O1183" s="53" t="s">
        <v>138</v>
      </c>
      <c r="P1183" s="53" t="s">
        <v>139</v>
      </c>
      <c r="Q1183" s="54">
        <v>15076764689</v>
      </c>
      <c r="R1183" s="53" t="s">
        <v>140</v>
      </c>
      <c r="S1183" s="11" t="s">
        <v>141</v>
      </c>
      <c r="T1183" s="54"/>
    </row>
    <row r="1184" spans="1:20" ht="24" hidden="1" customHeight="1">
      <c r="A1184" s="15"/>
      <c r="B1184" s="17" t="s">
        <v>1595</v>
      </c>
      <c r="C1184" s="26" t="s">
        <v>1600</v>
      </c>
      <c r="D1184" s="17" t="s">
        <v>464</v>
      </c>
      <c r="E1184" s="26">
        <v>150</v>
      </c>
      <c r="F1184" s="84"/>
      <c r="G1184" s="11" t="s">
        <v>32</v>
      </c>
      <c r="H1184" s="11" t="s">
        <v>33</v>
      </c>
      <c r="I1184" s="53" t="s">
        <v>34</v>
      </c>
      <c r="J1184" s="50" t="s">
        <v>34</v>
      </c>
      <c r="K1184" s="10" t="s">
        <v>1557</v>
      </c>
      <c r="L1184" s="12">
        <v>7128.32</v>
      </c>
      <c r="M1184" s="51">
        <v>0</v>
      </c>
      <c r="N1184" s="85">
        <v>44132</v>
      </c>
      <c r="O1184" s="53" t="s">
        <v>138</v>
      </c>
      <c r="P1184" s="53" t="s">
        <v>139</v>
      </c>
      <c r="Q1184" s="54">
        <v>15076764689</v>
      </c>
      <c r="R1184" s="53" t="s">
        <v>140</v>
      </c>
      <c r="S1184" s="11" t="s">
        <v>141</v>
      </c>
      <c r="T1184" s="54"/>
    </row>
    <row r="1185" spans="1:20" ht="24" hidden="1" customHeight="1">
      <c r="A1185" s="15"/>
      <c r="B1185" s="17" t="s">
        <v>1595</v>
      </c>
      <c r="C1185" s="26" t="s">
        <v>1600</v>
      </c>
      <c r="D1185" s="17" t="s">
        <v>464</v>
      </c>
      <c r="E1185" s="26">
        <v>300</v>
      </c>
      <c r="F1185" s="84"/>
      <c r="G1185" s="11" t="s">
        <v>32</v>
      </c>
      <c r="H1185" s="11" t="s">
        <v>33</v>
      </c>
      <c r="I1185" s="53" t="s">
        <v>34</v>
      </c>
      <c r="J1185" s="50" t="s">
        <v>34</v>
      </c>
      <c r="K1185" s="10" t="s">
        <v>1557</v>
      </c>
      <c r="L1185" s="12">
        <v>14256.64</v>
      </c>
      <c r="M1185" s="51">
        <v>0</v>
      </c>
      <c r="N1185" s="85">
        <v>44132</v>
      </c>
      <c r="O1185" s="53" t="s">
        <v>138</v>
      </c>
      <c r="P1185" s="53" t="s">
        <v>139</v>
      </c>
      <c r="Q1185" s="54">
        <v>15076764689</v>
      </c>
      <c r="R1185" s="53" t="s">
        <v>140</v>
      </c>
      <c r="S1185" s="11" t="s">
        <v>141</v>
      </c>
      <c r="T1185" s="54"/>
    </row>
    <row r="1186" spans="1:20" ht="24" hidden="1" customHeight="1">
      <c r="A1186" s="15"/>
      <c r="B1186" s="17" t="s">
        <v>1593</v>
      </c>
      <c r="C1186" s="26" t="s">
        <v>1594</v>
      </c>
      <c r="D1186" s="17" t="s">
        <v>603</v>
      </c>
      <c r="E1186" s="26">
        <v>680</v>
      </c>
      <c r="F1186" s="84"/>
      <c r="G1186" s="11" t="s">
        <v>32</v>
      </c>
      <c r="H1186" s="11" t="s">
        <v>33</v>
      </c>
      <c r="I1186" s="53" t="s">
        <v>34</v>
      </c>
      <c r="J1186" s="50" t="s">
        <v>34</v>
      </c>
      <c r="K1186" s="10" t="s">
        <v>1557</v>
      </c>
      <c r="L1186" s="12">
        <v>74920.350000000006</v>
      </c>
      <c r="M1186" s="51">
        <v>0</v>
      </c>
      <c r="N1186" s="85">
        <v>44132</v>
      </c>
      <c r="O1186" s="53" t="s">
        <v>138</v>
      </c>
      <c r="P1186" s="53" t="s">
        <v>139</v>
      </c>
      <c r="Q1186" s="54">
        <v>15076764689</v>
      </c>
      <c r="R1186" s="53" t="s">
        <v>140</v>
      </c>
      <c r="S1186" s="11" t="s">
        <v>141</v>
      </c>
      <c r="T1186" s="54"/>
    </row>
    <row r="1187" spans="1:20" ht="24" hidden="1" customHeight="1">
      <c r="A1187" s="15"/>
      <c r="B1187" s="17" t="s">
        <v>1593</v>
      </c>
      <c r="C1187" s="26" t="s">
        <v>1594</v>
      </c>
      <c r="D1187" s="17" t="s">
        <v>603</v>
      </c>
      <c r="E1187" s="26">
        <v>260</v>
      </c>
      <c r="F1187" s="84"/>
      <c r="G1187" s="11" t="s">
        <v>32</v>
      </c>
      <c r="H1187" s="11" t="s">
        <v>33</v>
      </c>
      <c r="I1187" s="53" t="s">
        <v>34</v>
      </c>
      <c r="J1187" s="50" t="s">
        <v>34</v>
      </c>
      <c r="K1187" s="10" t="s">
        <v>1557</v>
      </c>
      <c r="L1187" s="12">
        <v>28646.02</v>
      </c>
      <c r="M1187" s="51">
        <v>0</v>
      </c>
      <c r="N1187" s="85">
        <v>44132</v>
      </c>
      <c r="O1187" s="53" t="s">
        <v>138</v>
      </c>
      <c r="P1187" s="53" t="s">
        <v>139</v>
      </c>
      <c r="Q1187" s="54">
        <v>15076764689</v>
      </c>
      <c r="R1187" s="53" t="s">
        <v>140</v>
      </c>
      <c r="S1187" s="11" t="s">
        <v>141</v>
      </c>
      <c r="T1187" s="54"/>
    </row>
    <row r="1188" spans="1:20" ht="24" hidden="1" customHeight="1">
      <c r="A1188" s="15"/>
      <c r="B1188" s="17" t="s">
        <v>1595</v>
      </c>
      <c r="C1188" s="26" t="s">
        <v>1597</v>
      </c>
      <c r="D1188" s="17" t="s">
        <v>464</v>
      </c>
      <c r="E1188" s="26">
        <v>400</v>
      </c>
      <c r="F1188" s="84"/>
      <c r="G1188" s="11" t="s">
        <v>32</v>
      </c>
      <c r="H1188" s="11" t="s">
        <v>33</v>
      </c>
      <c r="I1188" s="53" t="s">
        <v>34</v>
      </c>
      <c r="J1188" s="50" t="s">
        <v>34</v>
      </c>
      <c r="K1188" s="10" t="s">
        <v>1557</v>
      </c>
      <c r="L1188" s="12">
        <v>7964.6</v>
      </c>
      <c r="M1188" s="51">
        <v>0</v>
      </c>
      <c r="N1188" s="85" t="s">
        <v>1601</v>
      </c>
      <c r="O1188" s="53" t="s">
        <v>138</v>
      </c>
      <c r="P1188" s="53" t="s">
        <v>139</v>
      </c>
      <c r="Q1188" s="54">
        <v>15076764689</v>
      </c>
      <c r="R1188" s="53" t="s">
        <v>140</v>
      </c>
      <c r="S1188" s="11" t="s">
        <v>141</v>
      </c>
      <c r="T1188" s="54"/>
    </row>
    <row r="1189" spans="1:20" ht="24" hidden="1" customHeight="1">
      <c r="A1189" s="15"/>
      <c r="B1189" s="17" t="s">
        <v>1595</v>
      </c>
      <c r="C1189" s="26" t="s">
        <v>1596</v>
      </c>
      <c r="D1189" s="17" t="s">
        <v>464</v>
      </c>
      <c r="E1189" s="26">
        <v>700</v>
      </c>
      <c r="F1189" s="84"/>
      <c r="G1189" s="11" t="s">
        <v>32</v>
      </c>
      <c r="H1189" s="11" t="s">
        <v>33</v>
      </c>
      <c r="I1189" s="53" t="s">
        <v>34</v>
      </c>
      <c r="J1189" s="50" t="s">
        <v>34</v>
      </c>
      <c r="K1189" s="10" t="s">
        <v>1557</v>
      </c>
      <c r="L1189" s="12">
        <v>43362.83</v>
      </c>
      <c r="M1189" s="51">
        <v>0</v>
      </c>
      <c r="N1189" s="85" t="s">
        <v>1601</v>
      </c>
      <c r="O1189" s="53" t="s">
        <v>138</v>
      </c>
      <c r="P1189" s="53" t="s">
        <v>139</v>
      </c>
      <c r="Q1189" s="54">
        <v>15076764689</v>
      </c>
      <c r="R1189" s="53" t="s">
        <v>140</v>
      </c>
      <c r="S1189" s="11" t="s">
        <v>141</v>
      </c>
      <c r="T1189" s="54"/>
    </row>
    <row r="1190" spans="1:20" ht="24" hidden="1" customHeight="1">
      <c r="A1190" s="15"/>
      <c r="B1190" s="17" t="s">
        <v>1593</v>
      </c>
      <c r="C1190" s="26" t="s">
        <v>1594</v>
      </c>
      <c r="D1190" s="17" t="s">
        <v>603</v>
      </c>
      <c r="E1190" s="26">
        <v>300</v>
      </c>
      <c r="F1190" s="84"/>
      <c r="G1190" s="11" t="s">
        <v>32</v>
      </c>
      <c r="H1190" s="11" t="s">
        <v>33</v>
      </c>
      <c r="I1190" s="53" t="s">
        <v>34</v>
      </c>
      <c r="J1190" s="50" t="s">
        <v>34</v>
      </c>
      <c r="K1190" s="10" t="s">
        <v>1557</v>
      </c>
      <c r="L1190" s="12">
        <v>31858.41</v>
      </c>
      <c r="M1190" s="51">
        <v>0</v>
      </c>
      <c r="N1190" s="85" t="s">
        <v>1601</v>
      </c>
      <c r="O1190" s="53" t="s">
        <v>138</v>
      </c>
      <c r="P1190" s="53" t="s">
        <v>139</v>
      </c>
      <c r="Q1190" s="54">
        <v>15076764689</v>
      </c>
      <c r="R1190" s="53" t="s">
        <v>140</v>
      </c>
      <c r="S1190" s="11" t="s">
        <v>141</v>
      </c>
      <c r="T1190" s="54"/>
    </row>
    <row r="1191" spans="1:20" ht="24" hidden="1" customHeight="1">
      <c r="A1191" s="15"/>
      <c r="B1191" s="17" t="s">
        <v>1593</v>
      </c>
      <c r="C1191" s="26" t="s">
        <v>1594</v>
      </c>
      <c r="D1191" s="17" t="s">
        <v>603</v>
      </c>
      <c r="E1191" s="26">
        <v>120</v>
      </c>
      <c r="F1191" s="84"/>
      <c r="G1191" s="11" t="s">
        <v>32</v>
      </c>
      <c r="H1191" s="11" t="s">
        <v>33</v>
      </c>
      <c r="I1191" s="53" t="s">
        <v>34</v>
      </c>
      <c r="J1191" s="50" t="s">
        <v>34</v>
      </c>
      <c r="K1191" s="10" t="s">
        <v>1557</v>
      </c>
      <c r="L1191" s="12">
        <v>12743.36</v>
      </c>
      <c r="M1191" s="51">
        <v>0</v>
      </c>
      <c r="N1191" s="85" t="s">
        <v>1601</v>
      </c>
      <c r="O1191" s="53" t="s">
        <v>138</v>
      </c>
      <c r="P1191" s="53" t="s">
        <v>139</v>
      </c>
      <c r="Q1191" s="54">
        <v>15076764689</v>
      </c>
      <c r="R1191" s="53" t="s">
        <v>140</v>
      </c>
      <c r="S1191" s="11" t="s">
        <v>141</v>
      </c>
      <c r="T1191" s="54"/>
    </row>
    <row r="1192" spans="1:20" ht="24" hidden="1" customHeight="1">
      <c r="A1192" s="15"/>
      <c r="B1192" s="17" t="s">
        <v>1595</v>
      </c>
      <c r="C1192" s="26" t="s">
        <v>1597</v>
      </c>
      <c r="D1192" s="17" t="s">
        <v>464</v>
      </c>
      <c r="E1192" s="26">
        <v>200</v>
      </c>
      <c r="F1192" s="84"/>
      <c r="G1192" s="11" t="s">
        <v>32</v>
      </c>
      <c r="H1192" s="11" t="s">
        <v>33</v>
      </c>
      <c r="I1192" s="53" t="s">
        <v>34</v>
      </c>
      <c r="J1192" s="50" t="s">
        <v>34</v>
      </c>
      <c r="K1192" s="10" t="s">
        <v>1557</v>
      </c>
      <c r="L1192" s="12">
        <v>3982.3</v>
      </c>
      <c r="M1192" s="51">
        <v>0</v>
      </c>
      <c r="N1192" s="85" t="s">
        <v>1601</v>
      </c>
      <c r="O1192" s="53" t="s">
        <v>138</v>
      </c>
      <c r="P1192" s="53" t="s">
        <v>139</v>
      </c>
      <c r="Q1192" s="54">
        <v>15076764689</v>
      </c>
      <c r="R1192" s="53" t="s">
        <v>140</v>
      </c>
      <c r="S1192" s="11" t="s">
        <v>141</v>
      </c>
      <c r="T1192" s="54"/>
    </row>
    <row r="1193" spans="1:20" ht="24" hidden="1" customHeight="1">
      <c r="A1193" s="15"/>
      <c r="B1193" s="17" t="s">
        <v>1595</v>
      </c>
      <c r="C1193" s="26" t="s">
        <v>1597</v>
      </c>
      <c r="D1193" s="17" t="s">
        <v>464</v>
      </c>
      <c r="E1193" s="26">
        <v>180</v>
      </c>
      <c r="F1193" s="84"/>
      <c r="G1193" s="11" t="s">
        <v>32</v>
      </c>
      <c r="H1193" s="11" t="s">
        <v>33</v>
      </c>
      <c r="I1193" s="53" t="s">
        <v>34</v>
      </c>
      <c r="J1193" s="50" t="s">
        <v>34</v>
      </c>
      <c r="K1193" s="10" t="s">
        <v>1557</v>
      </c>
      <c r="L1193" s="12">
        <v>3584.07</v>
      </c>
      <c r="M1193" s="51">
        <v>0</v>
      </c>
      <c r="N1193" s="85" t="s">
        <v>1601</v>
      </c>
      <c r="O1193" s="53" t="s">
        <v>138</v>
      </c>
      <c r="P1193" s="53" t="s">
        <v>139</v>
      </c>
      <c r="Q1193" s="54">
        <v>15076764689</v>
      </c>
      <c r="R1193" s="53" t="s">
        <v>140</v>
      </c>
      <c r="S1193" s="11" t="s">
        <v>141</v>
      </c>
      <c r="T1193" s="54"/>
    </row>
    <row r="1194" spans="1:20" ht="24" hidden="1" customHeight="1">
      <c r="A1194" s="15"/>
      <c r="B1194" s="17" t="s">
        <v>1595</v>
      </c>
      <c r="C1194" s="26" t="s">
        <v>1597</v>
      </c>
      <c r="D1194" s="17" t="s">
        <v>464</v>
      </c>
      <c r="E1194" s="26">
        <v>20</v>
      </c>
      <c r="F1194" s="84"/>
      <c r="G1194" s="11" t="s">
        <v>32</v>
      </c>
      <c r="H1194" s="11" t="s">
        <v>33</v>
      </c>
      <c r="I1194" s="53" t="s">
        <v>34</v>
      </c>
      <c r="J1194" s="50" t="s">
        <v>34</v>
      </c>
      <c r="K1194" s="10" t="s">
        <v>1557</v>
      </c>
      <c r="L1194" s="12">
        <v>398.23</v>
      </c>
      <c r="M1194" s="51">
        <v>0</v>
      </c>
      <c r="N1194" s="85" t="s">
        <v>1601</v>
      </c>
      <c r="O1194" s="53" t="s">
        <v>138</v>
      </c>
      <c r="P1194" s="53" t="s">
        <v>139</v>
      </c>
      <c r="Q1194" s="54">
        <v>15076764689</v>
      </c>
      <c r="R1194" s="53" t="s">
        <v>140</v>
      </c>
      <c r="S1194" s="11" t="s">
        <v>141</v>
      </c>
      <c r="T1194" s="54"/>
    </row>
    <row r="1195" spans="1:20" ht="24" hidden="1" customHeight="1">
      <c r="A1195" s="15"/>
      <c r="B1195" s="17" t="s">
        <v>1595</v>
      </c>
      <c r="C1195" s="26" t="s">
        <v>1599</v>
      </c>
      <c r="D1195" s="17" t="s">
        <v>464</v>
      </c>
      <c r="E1195" s="26">
        <v>200</v>
      </c>
      <c r="F1195" s="84"/>
      <c r="G1195" s="11" t="s">
        <v>32</v>
      </c>
      <c r="H1195" s="11" t="s">
        <v>33</v>
      </c>
      <c r="I1195" s="53" t="s">
        <v>34</v>
      </c>
      <c r="J1195" s="50" t="s">
        <v>34</v>
      </c>
      <c r="K1195" s="10" t="s">
        <v>1557</v>
      </c>
      <c r="L1195" s="12">
        <v>3415.93</v>
      </c>
      <c r="M1195" s="51">
        <v>0</v>
      </c>
      <c r="N1195" s="85" t="s">
        <v>1602</v>
      </c>
      <c r="O1195" s="53" t="s">
        <v>138</v>
      </c>
      <c r="P1195" s="53" t="s">
        <v>139</v>
      </c>
      <c r="Q1195" s="54">
        <v>15076764689</v>
      </c>
      <c r="R1195" s="53" t="s">
        <v>140</v>
      </c>
      <c r="S1195" s="11" t="s">
        <v>141</v>
      </c>
      <c r="T1195" s="54"/>
    </row>
    <row r="1196" spans="1:20" ht="24" hidden="1" customHeight="1">
      <c r="A1196" s="15"/>
      <c r="B1196" s="17" t="s">
        <v>1595</v>
      </c>
      <c r="C1196" s="26" t="s">
        <v>1596</v>
      </c>
      <c r="D1196" s="17" t="s">
        <v>464</v>
      </c>
      <c r="E1196" s="26">
        <v>600</v>
      </c>
      <c r="F1196" s="84"/>
      <c r="G1196" s="11" t="s">
        <v>32</v>
      </c>
      <c r="H1196" s="11" t="s">
        <v>33</v>
      </c>
      <c r="I1196" s="53" t="s">
        <v>34</v>
      </c>
      <c r="J1196" s="50" t="s">
        <v>34</v>
      </c>
      <c r="K1196" s="10" t="s">
        <v>1557</v>
      </c>
      <c r="L1196" s="12">
        <v>37168.14</v>
      </c>
      <c r="M1196" s="51">
        <v>0</v>
      </c>
      <c r="N1196" s="85" t="s">
        <v>1602</v>
      </c>
      <c r="O1196" s="53" t="s">
        <v>138</v>
      </c>
      <c r="P1196" s="53" t="s">
        <v>139</v>
      </c>
      <c r="Q1196" s="54">
        <v>15076764689</v>
      </c>
      <c r="R1196" s="53" t="s">
        <v>140</v>
      </c>
      <c r="S1196" s="11" t="s">
        <v>141</v>
      </c>
      <c r="T1196" s="54"/>
    </row>
    <row r="1197" spans="1:20" ht="24" hidden="1" customHeight="1">
      <c r="A1197" s="15"/>
      <c r="B1197" s="17" t="s">
        <v>1560</v>
      </c>
      <c r="C1197" s="26" t="s">
        <v>1603</v>
      </c>
      <c r="D1197" s="17" t="s">
        <v>464</v>
      </c>
      <c r="E1197" s="26">
        <v>150</v>
      </c>
      <c r="F1197" s="84"/>
      <c r="G1197" s="11" t="s">
        <v>32</v>
      </c>
      <c r="H1197" s="11" t="s">
        <v>33</v>
      </c>
      <c r="I1197" s="53" t="s">
        <v>34</v>
      </c>
      <c r="J1197" s="50" t="s">
        <v>34</v>
      </c>
      <c r="K1197" s="10" t="s">
        <v>1557</v>
      </c>
      <c r="L1197" s="12">
        <v>6637.17</v>
      </c>
      <c r="M1197" s="51">
        <v>0</v>
      </c>
      <c r="N1197" s="85" t="s">
        <v>1602</v>
      </c>
      <c r="O1197" s="53" t="s">
        <v>138</v>
      </c>
      <c r="P1197" s="53" t="s">
        <v>139</v>
      </c>
      <c r="Q1197" s="54">
        <v>15076764689</v>
      </c>
      <c r="R1197" s="53" t="s">
        <v>140</v>
      </c>
      <c r="S1197" s="11" t="s">
        <v>141</v>
      </c>
      <c r="T1197" s="54"/>
    </row>
    <row r="1198" spans="1:20" ht="24" hidden="1" customHeight="1">
      <c r="A1198" s="15"/>
      <c r="B1198" s="17" t="s">
        <v>1604</v>
      </c>
      <c r="C1198" s="26" t="s">
        <v>1594</v>
      </c>
      <c r="D1198" s="17" t="s">
        <v>603</v>
      </c>
      <c r="E1198" s="26">
        <v>16</v>
      </c>
      <c r="F1198" s="84"/>
      <c r="G1198" s="11" t="s">
        <v>32</v>
      </c>
      <c r="H1198" s="11" t="s">
        <v>33</v>
      </c>
      <c r="I1198" s="53" t="s">
        <v>34</v>
      </c>
      <c r="J1198" s="50" t="s">
        <v>34</v>
      </c>
      <c r="K1198" s="10" t="s">
        <v>1557</v>
      </c>
      <c r="L1198" s="12">
        <v>1699.12</v>
      </c>
      <c r="M1198" s="51">
        <v>0</v>
      </c>
      <c r="N1198" s="85" t="s">
        <v>1602</v>
      </c>
      <c r="O1198" s="53" t="s">
        <v>138</v>
      </c>
      <c r="P1198" s="53" t="s">
        <v>139</v>
      </c>
      <c r="Q1198" s="54">
        <v>15076764689</v>
      </c>
      <c r="R1198" s="53" t="s">
        <v>140</v>
      </c>
      <c r="S1198" s="11" t="s">
        <v>141</v>
      </c>
      <c r="T1198" s="54"/>
    </row>
    <row r="1199" spans="1:20" ht="24" hidden="1" customHeight="1">
      <c r="A1199" s="15"/>
      <c r="B1199" s="26" t="s">
        <v>1605</v>
      </c>
      <c r="C1199" s="26" t="s">
        <v>1606</v>
      </c>
      <c r="D1199" s="26" t="s">
        <v>603</v>
      </c>
      <c r="E1199" s="26">
        <v>600</v>
      </c>
      <c r="F1199" s="84"/>
      <c r="G1199" s="11" t="s">
        <v>32</v>
      </c>
      <c r="H1199" s="11" t="s">
        <v>33</v>
      </c>
      <c r="I1199" s="53" t="s">
        <v>34</v>
      </c>
      <c r="J1199" s="50" t="s">
        <v>34</v>
      </c>
      <c r="K1199" s="86" t="s">
        <v>798</v>
      </c>
      <c r="L1199" s="12">
        <v>71644.25</v>
      </c>
      <c r="M1199" s="51">
        <v>0</v>
      </c>
      <c r="N1199" s="87">
        <v>44278</v>
      </c>
      <c r="O1199" s="53" t="s">
        <v>138</v>
      </c>
      <c r="P1199" s="53" t="s">
        <v>139</v>
      </c>
      <c r="Q1199" s="54">
        <v>15076764689</v>
      </c>
      <c r="R1199" s="53" t="s">
        <v>140</v>
      </c>
      <c r="S1199" s="11" t="s">
        <v>141</v>
      </c>
      <c r="T1199" s="54"/>
    </row>
    <row r="1200" spans="1:20" ht="24" hidden="1" customHeight="1">
      <c r="A1200" s="15"/>
      <c r="B1200" s="26" t="s">
        <v>1595</v>
      </c>
      <c r="C1200" s="26" t="s">
        <v>1607</v>
      </c>
      <c r="D1200" s="26" t="s">
        <v>464</v>
      </c>
      <c r="E1200" s="26">
        <v>1000</v>
      </c>
      <c r="F1200" s="84"/>
      <c r="G1200" s="11" t="s">
        <v>32</v>
      </c>
      <c r="H1200" s="11" t="s">
        <v>33</v>
      </c>
      <c r="I1200" s="53" t="s">
        <v>34</v>
      </c>
      <c r="J1200" s="50" t="s">
        <v>34</v>
      </c>
      <c r="K1200" s="86" t="s">
        <v>798</v>
      </c>
      <c r="L1200" s="12">
        <v>61884.959999999999</v>
      </c>
      <c r="M1200" s="51">
        <v>0</v>
      </c>
      <c r="N1200" s="87">
        <v>44278</v>
      </c>
      <c r="O1200" s="53" t="s">
        <v>138</v>
      </c>
      <c r="P1200" s="53" t="s">
        <v>139</v>
      </c>
      <c r="Q1200" s="54">
        <v>15076764689</v>
      </c>
      <c r="R1200" s="53" t="s">
        <v>140</v>
      </c>
      <c r="S1200" s="11" t="s">
        <v>141</v>
      </c>
      <c r="T1200" s="54"/>
    </row>
    <row r="1201" spans="1:20" ht="24" hidden="1" customHeight="1">
      <c r="A1201" s="15"/>
      <c r="B1201" s="26" t="s">
        <v>1608</v>
      </c>
      <c r="C1201" s="26" t="s">
        <v>1609</v>
      </c>
      <c r="D1201" s="26" t="s">
        <v>31</v>
      </c>
      <c r="E1201" s="26">
        <v>60</v>
      </c>
      <c r="F1201" s="84"/>
      <c r="G1201" s="11" t="s">
        <v>32</v>
      </c>
      <c r="H1201" s="11" t="s">
        <v>33</v>
      </c>
      <c r="I1201" s="53" t="s">
        <v>34</v>
      </c>
      <c r="J1201" s="50" t="s">
        <v>34</v>
      </c>
      <c r="K1201" s="86" t="s">
        <v>798</v>
      </c>
      <c r="L1201" s="12">
        <v>33185.839999999997</v>
      </c>
      <c r="M1201" s="51">
        <v>0</v>
      </c>
      <c r="N1201" s="87">
        <v>44250</v>
      </c>
      <c r="O1201" s="53" t="s">
        <v>138</v>
      </c>
      <c r="P1201" s="53" t="s">
        <v>139</v>
      </c>
      <c r="Q1201" s="54">
        <v>15076764689</v>
      </c>
      <c r="R1201" s="53" t="s">
        <v>140</v>
      </c>
      <c r="S1201" s="11" t="s">
        <v>141</v>
      </c>
      <c r="T1201" s="54"/>
    </row>
    <row r="1202" spans="1:20" ht="24" hidden="1" customHeight="1">
      <c r="A1202" s="15"/>
      <c r="B1202" s="17" t="s">
        <v>1560</v>
      </c>
      <c r="C1202" s="17" t="s">
        <v>1610</v>
      </c>
      <c r="D1202" s="17" t="s">
        <v>31</v>
      </c>
      <c r="E1202" s="26">
        <v>450</v>
      </c>
      <c r="F1202" s="88"/>
      <c r="G1202" s="11" t="s">
        <v>32</v>
      </c>
      <c r="H1202" s="11" t="s">
        <v>33</v>
      </c>
      <c r="I1202" s="53" t="s">
        <v>34</v>
      </c>
      <c r="J1202" s="50" t="s">
        <v>34</v>
      </c>
      <c r="K1202" s="10" t="s">
        <v>798</v>
      </c>
      <c r="L1202" s="20">
        <v>37831.86</v>
      </c>
      <c r="M1202" s="51">
        <v>0</v>
      </c>
      <c r="N1202" s="17" t="s">
        <v>1591</v>
      </c>
      <c r="O1202" s="53" t="s">
        <v>138</v>
      </c>
      <c r="P1202" s="53" t="s">
        <v>139</v>
      </c>
      <c r="Q1202" s="54">
        <v>15076764689</v>
      </c>
      <c r="R1202" s="53" t="s">
        <v>140</v>
      </c>
      <c r="S1202" s="11" t="s">
        <v>141</v>
      </c>
      <c r="T1202" s="54"/>
    </row>
    <row r="1203" spans="1:20" ht="24" hidden="1" customHeight="1">
      <c r="A1203" s="15"/>
      <c r="B1203" s="17" t="s">
        <v>1560</v>
      </c>
      <c r="C1203" s="17" t="s">
        <v>1611</v>
      </c>
      <c r="D1203" s="17" t="s">
        <v>31</v>
      </c>
      <c r="E1203" s="26">
        <v>300</v>
      </c>
      <c r="F1203" s="84"/>
      <c r="G1203" s="11" t="s">
        <v>32</v>
      </c>
      <c r="H1203" s="11" t="s">
        <v>33</v>
      </c>
      <c r="I1203" s="53" t="s">
        <v>34</v>
      </c>
      <c r="J1203" s="50" t="s">
        <v>34</v>
      </c>
      <c r="K1203" s="10" t="s">
        <v>798</v>
      </c>
      <c r="L1203" s="20">
        <v>19911.5</v>
      </c>
      <c r="M1203" s="51">
        <v>0</v>
      </c>
      <c r="N1203" s="17" t="s">
        <v>1591</v>
      </c>
      <c r="O1203" s="53" t="s">
        <v>138</v>
      </c>
      <c r="P1203" s="53" t="s">
        <v>139</v>
      </c>
      <c r="Q1203" s="54">
        <v>15076764689</v>
      </c>
      <c r="R1203" s="53" t="s">
        <v>140</v>
      </c>
      <c r="S1203" s="11" t="s">
        <v>141</v>
      </c>
      <c r="T1203" s="54"/>
    </row>
    <row r="1204" spans="1:20" ht="24" hidden="1" customHeight="1">
      <c r="A1204" s="15"/>
      <c r="B1204" s="17" t="s">
        <v>1550</v>
      </c>
      <c r="C1204" s="17" t="s">
        <v>1612</v>
      </c>
      <c r="D1204" s="17" t="s">
        <v>31</v>
      </c>
      <c r="E1204" s="26">
        <v>70</v>
      </c>
      <c r="F1204" s="84"/>
      <c r="G1204" s="11" t="s">
        <v>32</v>
      </c>
      <c r="H1204" s="11" t="s">
        <v>33</v>
      </c>
      <c r="I1204" s="53" t="s">
        <v>34</v>
      </c>
      <c r="J1204" s="50" t="s">
        <v>34</v>
      </c>
      <c r="K1204" s="10" t="s">
        <v>798</v>
      </c>
      <c r="L1204" s="20">
        <v>7433.63</v>
      </c>
      <c r="M1204" s="51">
        <v>0</v>
      </c>
      <c r="N1204" s="17" t="s">
        <v>1591</v>
      </c>
      <c r="O1204" s="53" t="s">
        <v>138</v>
      </c>
      <c r="P1204" s="53" t="s">
        <v>139</v>
      </c>
      <c r="Q1204" s="54">
        <v>15076764689</v>
      </c>
      <c r="R1204" s="53" t="s">
        <v>140</v>
      </c>
      <c r="S1204" s="11" t="s">
        <v>141</v>
      </c>
      <c r="T1204" s="54"/>
    </row>
    <row r="1205" spans="1:20" ht="24" hidden="1" customHeight="1">
      <c r="A1205" s="15"/>
      <c r="B1205" s="17" t="s">
        <v>1550</v>
      </c>
      <c r="C1205" s="17" t="s">
        <v>1613</v>
      </c>
      <c r="D1205" s="17" t="s">
        <v>31</v>
      </c>
      <c r="E1205" s="26">
        <v>75</v>
      </c>
      <c r="F1205" s="84"/>
      <c r="G1205" s="11" t="s">
        <v>32</v>
      </c>
      <c r="H1205" s="11" t="s">
        <v>33</v>
      </c>
      <c r="I1205" s="53" t="s">
        <v>34</v>
      </c>
      <c r="J1205" s="50" t="s">
        <v>34</v>
      </c>
      <c r="K1205" s="10" t="s">
        <v>798</v>
      </c>
      <c r="L1205" s="20">
        <v>12278.76</v>
      </c>
      <c r="M1205" s="51">
        <v>0</v>
      </c>
      <c r="N1205" s="17" t="s">
        <v>1591</v>
      </c>
      <c r="O1205" s="53" t="s">
        <v>138</v>
      </c>
      <c r="P1205" s="53" t="s">
        <v>139</v>
      </c>
      <c r="Q1205" s="54">
        <v>15076764689</v>
      </c>
      <c r="R1205" s="53" t="s">
        <v>140</v>
      </c>
      <c r="S1205" s="11" t="s">
        <v>141</v>
      </c>
      <c r="T1205" s="54"/>
    </row>
    <row r="1206" spans="1:20" ht="24" hidden="1" customHeight="1">
      <c r="A1206" s="15"/>
      <c r="B1206" s="17" t="s">
        <v>1589</v>
      </c>
      <c r="C1206" s="17" t="s">
        <v>1590</v>
      </c>
      <c r="D1206" s="17" t="s">
        <v>31</v>
      </c>
      <c r="E1206" s="26">
        <v>150</v>
      </c>
      <c r="F1206" s="84"/>
      <c r="G1206" s="11" t="s">
        <v>32</v>
      </c>
      <c r="H1206" s="11" t="s">
        <v>33</v>
      </c>
      <c r="I1206" s="53" t="s">
        <v>34</v>
      </c>
      <c r="J1206" s="50" t="s">
        <v>34</v>
      </c>
      <c r="K1206" s="10" t="s">
        <v>798</v>
      </c>
      <c r="L1206" s="20">
        <v>11603.1</v>
      </c>
      <c r="M1206" s="51">
        <v>0</v>
      </c>
      <c r="N1206" s="17" t="s">
        <v>1614</v>
      </c>
      <c r="O1206" s="53" t="s">
        <v>138</v>
      </c>
      <c r="P1206" s="53" t="s">
        <v>139</v>
      </c>
      <c r="Q1206" s="54">
        <v>15076764689</v>
      </c>
      <c r="R1206" s="53" t="s">
        <v>140</v>
      </c>
      <c r="S1206" s="11" t="s">
        <v>141</v>
      </c>
      <c r="T1206" s="54"/>
    </row>
    <row r="1207" spans="1:20" ht="24" hidden="1" customHeight="1">
      <c r="A1207" s="15"/>
      <c r="B1207" s="17" t="s">
        <v>1615</v>
      </c>
      <c r="C1207" s="17" t="s">
        <v>1616</v>
      </c>
      <c r="D1207" s="17" t="s">
        <v>31</v>
      </c>
      <c r="E1207" s="26">
        <v>115</v>
      </c>
      <c r="F1207" s="84"/>
      <c r="G1207" s="11" t="s">
        <v>32</v>
      </c>
      <c r="H1207" s="11" t="s">
        <v>33</v>
      </c>
      <c r="I1207" s="53" t="s">
        <v>34</v>
      </c>
      <c r="J1207" s="50" t="s">
        <v>34</v>
      </c>
      <c r="K1207" s="10" t="s">
        <v>798</v>
      </c>
      <c r="L1207" s="20">
        <v>55973.45</v>
      </c>
      <c r="M1207" s="51">
        <v>0</v>
      </c>
      <c r="N1207" s="17" t="s">
        <v>1591</v>
      </c>
      <c r="O1207" s="53" t="s">
        <v>138</v>
      </c>
      <c r="P1207" s="53" t="s">
        <v>139</v>
      </c>
      <c r="Q1207" s="54">
        <v>15076764689</v>
      </c>
      <c r="R1207" s="53" t="s">
        <v>140</v>
      </c>
      <c r="S1207" s="11" t="s">
        <v>141</v>
      </c>
      <c r="T1207" s="54"/>
    </row>
    <row r="1208" spans="1:20" s="14" customFormat="1" ht="24" hidden="1" customHeight="1">
      <c r="A1208" s="15" t="s">
        <v>1617</v>
      </c>
      <c r="B1208" s="13" t="s">
        <v>1618</v>
      </c>
      <c r="C1208" s="11"/>
      <c r="D1208" s="11"/>
      <c r="E1208" s="9"/>
      <c r="F1208" s="9"/>
      <c r="G1208" s="11"/>
      <c r="H1208" s="11"/>
      <c r="I1208" s="11"/>
      <c r="J1208" s="11"/>
      <c r="K1208" s="11"/>
      <c r="L1208" s="12"/>
      <c r="M1208" s="12"/>
      <c r="N1208" s="11"/>
      <c r="O1208" s="11"/>
      <c r="P1208" s="11"/>
      <c r="Q1208" s="11"/>
      <c r="R1208" s="11"/>
      <c r="S1208" s="11"/>
      <c r="T1208" s="11"/>
    </row>
    <row r="1209" spans="1:20" s="14" customFormat="1" ht="24" hidden="1" customHeight="1">
      <c r="A1209" s="15"/>
      <c r="B1209" s="11" t="s">
        <v>1619</v>
      </c>
      <c r="C1209" s="11" t="s">
        <v>1620</v>
      </c>
      <c r="D1209" s="11" t="s">
        <v>1477</v>
      </c>
      <c r="E1209" s="9">
        <v>10</v>
      </c>
      <c r="F1209" s="9"/>
      <c r="G1209" s="11" t="s">
        <v>32</v>
      </c>
      <c r="H1209" s="11" t="s">
        <v>33</v>
      </c>
      <c r="I1209" s="11"/>
      <c r="J1209" s="11"/>
      <c r="K1209" s="11" t="s">
        <v>1621</v>
      </c>
      <c r="L1209" s="12">
        <v>48672.57</v>
      </c>
      <c r="M1209" s="12">
        <v>48672.57</v>
      </c>
      <c r="N1209" s="11">
        <v>2019.6</v>
      </c>
      <c r="O1209" s="11" t="s">
        <v>43</v>
      </c>
      <c r="P1209" s="11"/>
      <c r="Q1209" s="11"/>
      <c r="R1209" s="11" t="s">
        <v>45</v>
      </c>
      <c r="S1209" s="11" t="s">
        <v>46</v>
      </c>
      <c r="T1209" s="11"/>
    </row>
    <row r="1210" spans="1:20" s="14" customFormat="1" ht="24" hidden="1" customHeight="1">
      <c r="A1210" s="15"/>
      <c r="B1210" s="11" t="s">
        <v>1622</v>
      </c>
      <c r="C1210" s="11" t="s">
        <v>1623</v>
      </c>
      <c r="D1210" s="11" t="s">
        <v>1477</v>
      </c>
      <c r="E1210" s="9">
        <v>4</v>
      </c>
      <c r="F1210" s="9"/>
      <c r="G1210" s="11" t="s">
        <v>32</v>
      </c>
      <c r="H1210" s="11" t="s">
        <v>33</v>
      </c>
      <c r="I1210" s="11"/>
      <c r="J1210" s="11" t="s">
        <v>515</v>
      </c>
      <c r="K1210" s="11"/>
      <c r="L1210" s="12">
        <v>7800</v>
      </c>
      <c r="M1210" s="12">
        <v>0</v>
      </c>
      <c r="N1210" s="24">
        <v>43647</v>
      </c>
      <c r="O1210" s="11" t="s">
        <v>516</v>
      </c>
      <c r="P1210" s="11" t="s">
        <v>517</v>
      </c>
      <c r="Q1210" s="11">
        <v>1391013944</v>
      </c>
      <c r="R1210" s="11" t="s">
        <v>518</v>
      </c>
      <c r="S1210" s="11" t="s">
        <v>68</v>
      </c>
      <c r="T1210" s="11" t="s">
        <v>1624</v>
      </c>
    </row>
    <row r="1211" spans="1:20" s="14" customFormat="1" ht="24" hidden="1" customHeight="1">
      <c r="A1211" s="15"/>
      <c r="B1211" s="11" t="s">
        <v>1622</v>
      </c>
      <c r="C1211" s="11" t="s">
        <v>1625</v>
      </c>
      <c r="D1211" s="11" t="s">
        <v>1477</v>
      </c>
      <c r="E1211" s="9">
        <v>10</v>
      </c>
      <c r="F1211" s="9"/>
      <c r="G1211" s="11" t="s">
        <v>32</v>
      </c>
      <c r="H1211" s="11" t="s">
        <v>33</v>
      </c>
      <c r="I1211" s="11"/>
      <c r="J1211" s="11" t="s">
        <v>515</v>
      </c>
      <c r="K1211" s="11"/>
      <c r="L1211" s="12">
        <v>23000</v>
      </c>
      <c r="M1211" s="12">
        <v>0</v>
      </c>
      <c r="N1211" s="24">
        <v>43647</v>
      </c>
      <c r="O1211" s="11" t="s">
        <v>516</v>
      </c>
      <c r="P1211" s="11" t="s">
        <v>517</v>
      </c>
      <c r="Q1211" s="11">
        <v>1391013944</v>
      </c>
      <c r="R1211" s="11" t="s">
        <v>518</v>
      </c>
      <c r="S1211" s="11" t="s">
        <v>68</v>
      </c>
      <c r="T1211" s="11" t="s">
        <v>1624</v>
      </c>
    </row>
    <row r="1212" spans="1:20" s="14" customFormat="1" ht="24" hidden="1" customHeight="1">
      <c r="A1212" s="15"/>
      <c r="B1212" s="11" t="s">
        <v>1622</v>
      </c>
      <c r="C1212" s="11" t="s">
        <v>1626</v>
      </c>
      <c r="D1212" s="11" t="s">
        <v>1477</v>
      </c>
      <c r="E1212" s="9">
        <v>15</v>
      </c>
      <c r="F1212" s="9"/>
      <c r="G1212" s="11" t="s">
        <v>32</v>
      </c>
      <c r="H1212" s="11" t="s">
        <v>33</v>
      </c>
      <c r="I1212" s="11"/>
      <c r="J1212" s="11" t="s">
        <v>515</v>
      </c>
      <c r="K1212" s="11"/>
      <c r="L1212" s="12">
        <v>48750</v>
      </c>
      <c r="M1212" s="12">
        <v>0</v>
      </c>
      <c r="N1212" s="24">
        <v>43647</v>
      </c>
      <c r="O1212" s="11" t="s">
        <v>516</v>
      </c>
      <c r="P1212" s="11" t="s">
        <v>517</v>
      </c>
      <c r="Q1212" s="11">
        <v>1391013944</v>
      </c>
      <c r="R1212" s="11" t="s">
        <v>518</v>
      </c>
      <c r="S1212" s="11" t="s">
        <v>68</v>
      </c>
      <c r="T1212" s="11" t="s">
        <v>1624</v>
      </c>
    </row>
    <row r="1213" spans="1:20" s="14" customFormat="1" ht="24" hidden="1" customHeight="1">
      <c r="A1213" s="15"/>
      <c r="B1213" s="11" t="s">
        <v>1622</v>
      </c>
      <c r="C1213" s="11" t="s">
        <v>1627</v>
      </c>
      <c r="D1213" s="11" t="s">
        <v>1477</v>
      </c>
      <c r="E1213" s="9">
        <v>10</v>
      </c>
      <c r="F1213" s="9"/>
      <c r="G1213" s="11" t="s">
        <v>32</v>
      </c>
      <c r="H1213" s="11" t="s">
        <v>33</v>
      </c>
      <c r="I1213" s="11"/>
      <c r="J1213" s="11" t="s">
        <v>515</v>
      </c>
      <c r="K1213" s="11"/>
      <c r="L1213" s="12">
        <v>38200</v>
      </c>
      <c r="M1213" s="12">
        <v>0</v>
      </c>
      <c r="N1213" s="24">
        <v>43647</v>
      </c>
      <c r="O1213" s="11" t="s">
        <v>516</v>
      </c>
      <c r="P1213" s="11" t="s">
        <v>517</v>
      </c>
      <c r="Q1213" s="11">
        <v>1391013944</v>
      </c>
      <c r="R1213" s="11" t="s">
        <v>518</v>
      </c>
      <c r="S1213" s="11" t="s">
        <v>68</v>
      </c>
      <c r="T1213" s="11" t="s">
        <v>1624</v>
      </c>
    </row>
    <row r="1214" spans="1:20" s="14" customFormat="1" ht="24" hidden="1" customHeight="1">
      <c r="A1214" s="15"/>
      <c r="B1214" s="11" t="s">
        <v>1628</v>
      </c>
      <c r="C1214" s="11" t="s">
        <v>1629</v>
      </c>
      <c r="D1214" s="11" t="s">
        <v>131</v>
      </c>
      <c r="E1214" s="9">
        <v>20</v>
      </c>
      <c r="F1214" s="9"/>
      <c r="G1214" s="11" t="s">
        <v>32</v>
      </c>
      <c r="H1214" s="11" t="s">
        <v>33</v>
      </c>
      <c r="I1214" s="11"/>
      <c r="J1214" s="11" t="s">
        <v>515</v>
      </c>
      <c r="K1214" s="11"/>
      <c r="L1214" s="12">
        <v>21600</v>
      </c>
      <c r="M1214" s="12">
        <v>0</v>
      </c>
      <c r="N1214" s="24">
        <v>43647</v>
      </c>
      <c r="O1214" s="11" t="s">
        <v>516</v>
      </c>
      <c r="P1214" s="11" t="s">
        <v>517</v>
      </c>
      <c r="Q1214" s="11">
        <v>1391013944</v>
      </c>
      <c r="R1214" s="11" t="s">
        <v>518</v>
      </c>
      <c r="S1214" s="11" t="s">
        <v>68</v>
      </c>
      <c r="T1214" s="11" t="s">
        <v>1624</v>
      </c>
    </row>
    <row r="1215" spans="1:20" s="14" customFormat="1" ht="24" hidden="1" customHeight="1">
      <c r="A1215" s="15"/>
      <c r="B1215" s="11" t="s">
        <v>1630</v>
      </c>
      <c r="C1215" s="11" t="s">
        <v>1631</v>
      </c>
      <c r="D1215" s="11" t="s">
        <v>1477</v>
      </c>
      <c r="E1215" s="9">
        <v>20</v>
      </c>
      <c r="F1215" s="9"/>
      <c r="G1215" s="11" t="s">
        <v>32</v>
      </c>
      <c r="H1215" s="11" t="s">
        <v>33</v>
      </c>
      <c r="I1215" s="11"/>
      <c r="J1215" s="11" t="s">
        <v>515</v>
      </c>
      <c r="K1215" s="11"/>
      <c r="L1215" s="12">
        <v>70000</v>
      </c>
      <c r="M1215" s="12">
        <v>0</v>
      </c>
      <c r="N1215" s="24">
        <v>43556</v>
      </c>
      <c r="O1215" s="11" t="s">
        <v>516</v>
      </c>
      <c r="P1215" s="11" t="s">
        <v>517</v>
      </c>
      <c r="Q1215" s="11">
        <v>1391013944</v>
      </c>
      <c r="R1215" s="11" t="s">
        <v>518</v>
      </c>
      <c r="S1215" s="11" t="s">
        <v>68</v>
      </c>
      <c r="T1215" s="11" t="s">
        <v>1624</v>
      </c>
    </row>
    <row r="1216" spans="1:20" s="14" customFormat="1" ht="24" hidden="1" customHeight="1">
      <c r="A1216" s="15"/>
      <c r="B1216" s="11" t="s">
        <v>1632</v>
      </c>
      <c r="C1216" s="11" t="s">
        <v>1633</v>
      </c>
      <c r="D1216" s="11" t="s">
        <v>1477</v>
      </c>
      <c r="E1216" s="9">
        <v>1</v>
      </c>
      <c r="F1216" s="78"/>
      <c r="G1216" s="11" t="s">
        <v>32</v>
      </c>
      <c r="H1216" s="11" t="s">
        <v>33</v>
      </c>
      <c r="I1216" s="60"/>
      <c r="J1216" s="60"/>
      <c r="K1216" s="60"/>
      <c r="L1216" s="12">
        <v>4900</v>
      </c>
      <c r="M1216" s="12">
        <v>980</v>
      </c>
      <c r="N1216" s="9">
        <v>2019.6</v>
      </c>
      <c r="O1216" s="11" t="s">
        <v>1215</v>
      </c>
      <c r="P1216" s="11" t="s">
        <v>249</v>
      </c>
      <c r="Q1216" s="11">
        <v>17731886959</v>
      </c>
      <c r="R1216" s="11" t="s">
        <v>1216</v>
      </c>
      <c r="S1216" s="11" t="s">
        <v>115</v>
      </c>
      <c r="T1216" s="60"/>
    </row>
    <row r="1217" spans="1:20" s="14" customFormat="1" ht="24" hidden="1" customHeight="1">
      <c r="A1217" s="15"/>
      <c r="B1217" s="11" t="s">
        <v>1632</v>
      </c>
      <c r="C1217" s="11" t="s">
        <v>1634</v>
      </c>
      <c r="D1217" s="11" t="s">
        <v>1477</v>
      </c>
      <c r="E1217" s="9">
        <v>36</v>
      </c>
      <c r="F1217" s="78"/>
      <c r="G1217" s="11" t="s">
        <v>32</v>
      </c>
      <c r="H1217" s="11" t="s">
        <v>33</v>
      </c>
      <c r="I1217" s="60"/>
      <c r="J1217" s="60"/>
      <c r="K1217" s="60"/>
      <c r="L1217" s="12">
        <v>215160</v>
      </c>
      <c r="M1217" s="12">
        <v>43032</v>
      </c>
      <c r="N1217" s="9" t="s">
        <v>1635</v>
      </c>
      <c r="O1217" s="11" t="s">
        <v>1215</v>
      </c>
      <c r="P1217" s="11" t="s">
        <v>249</v>
      </c>
      <c r="Q1217" s="11">
        <v>17731886959</v>
      </c>
      <c r="R1217" s="11" t="s">
        <v>1216</v>
      </c>
      <c r="S1217" s="11" t="s">
        <v>115</v>
      </c>
      <c r="T1217" s="60"/>
    </row>
    <row r="1218" spans="1:20" s="14" customFormat="1" ht="24" hidden="1" customHeight="1">
      <c r="A1218" s="15"/>
      <c r="B1218" s="11" t="s">
        <v>1636</v>
      </c>
      <c r="C1218" s="11" t="s">
        <v>1633</v>
      </c>
      <c r="D1218" s="11" t="s">
        <v>1477</v>
      </c>
      <c r="E1218" s="9">
        <v>4</v>
      </c>
      <c r="F1218" s="78"/>
      <c r="G1218" s="11" t="s">
        <v>32</v>
      </c>
      <c r="H1218" s="11" t="s">
        <v>33</v>
      </c>
      <c r="I1218" s="60"/>
      <c r="J1218" s="60"/>
      <c r="K1218" s="60"/>
      <c r="L1218" s="12">
        <v>48400</v>
      </c>
      <c r="M1218" s="12">
        <v>9680</v>
      </c>
      <c r="N1218" s="9">
        <v>2016.11</v>
      </c>
      <c r="O1218" s="11" t="s">
        <v>1215</v>
      </c>
      <c r="P1218" s="11" t="s">
        <v>249</v>
      </c>
      <c r="Q1218" s="11">
        <v>17731886959</v>
      </c>
      <c r="R1218" s="11" t="s">
        <v>1216</v>
      </c>
      <c r="S1218" s="11" t="s">
        <v>115</v>
      </c>
      <c r="T1218" s="60"/>
    </row>
    <row r="1219" spans="1:20" s="14" customFormat="1" ht="24" hidden="1" customHeight="1">
      <c r="A1219" s="15"/>
      <c r="B1219" s="11" t="s">
        <v>1637</v>
      </c>
      <c r="C1219" s="11" t="s">
        <v>1638</v>
      </c>
      <c r="D1219" s="11" t="s">
        <v>1477</v>
      </c>
      <c r="E1219" s="9">
        <v>3</v>
      </c>
      <c r="F1219" s="78"/>
      <c r="G1219" s="11" t="s">
        <v>32</v>
      </c>
      <c r="H1219" s="11" t="s">
        <v>33</v>
      </c>
      <c r="I1219" s="60" t="s">
        <v>179</v>
      </c>
      <c r="J1219" s="60" t="s">
        <v>1639</v>
      </c>
      <c r="K1219" s="60" t="s">
        <v>1639</v>
      </c>
      <c r="L1219" s="89">
        <v>13500</v>
      </c>
      <c r="M1219" s="89"/>
      <c r="N1219" s="60" t="s">
        <v>1640</v>
      </c>
      <c r="O1219" s="11" t="s">
        <v>583</v>
      </c>
      <c r="P1219" s="11" t="s">
        <v>113</v>
      </c>
      <c r="Q1219" s="11">
        <v>13810668661</v>
      </c>
      <c r="R1219" s="11" t="s">
        <v>114</v>
      </c>
      <c r="S1219" s="11" t="s">
        <v>115</v>
      </c>
      <c r="T1219" s="60"/>
    </row>
    <row r="1220" spans="1:20" s="14" customFormat="1" ht="24" hidden="1" customHeight="1">
      <c r="A1220" s="15"/>
      <c r="B1220" s="11" t="s">
        <v>1641</v>
      </c>
      <c r="C1220" s="11" t="s">
        <v>1642</v>
      </c>
      <c r="D1220" s="11" t="s">
        <v>1477</v>
      </c>
      <c r="E1220" s="9">
        <v>3</v>
      </c>
      <c r="F1220" s="9"/>
      <c r="G1220" s="11" t="s">
        <v>32</v>
      </c>
      <c r="H1220" s="11" t="s">
        <v>33</v>
      </c>
      <c r="I1220" s="60" t="s">
        <v>179</v>
      </c>
      <c r="J1220" s="60" t="s">
        <v>1639</v>
      </c>
      <c r="K1220" s="60" t="s">
        <v>1639</v>
      </c>
      <c r="L1220" s="89">
        <v>12000</v>
      </c>
      <c r="M1220" s="89"/>
      <c r="N1220" s="60" t="s">
        <v>1640</v>
      </c>
      <c r="O1220" s="11" t="s">
        <v>583</v>
      </c>
      <c r="P1220" s="11" t="s">
        <v>113</v>
      </c>
      <c r="Q1220" s="11">
        <v>13810668661</v>
      </c>
      <c r="R1220" s="11" t="s">
        <v>114</v>
      </c>
      <c r="S1220" s="11" t="s">
        <v>115</v>
      </c>
      <c r="T1220" s="60"/>
    </row>
    <row r="1221" spans="1:20" s="14" customFormat="1" ht="24" hidden="1" customHeight="1">
      <c r="A1221" s="15"/>
      <c r="B1221" s="11" t="s">
        <v>1643</v>
      </c>
      <c r="C1221" s="11" t="s">
        <v>1644</v>
      </c>
      <c r="D1221" s="11" t="s">
        <v>1477</v>
      </c>
      <c r="E1221" s="9">
        <v>30</v>
      </c>
      <c r="F1221" s="9"/>
      <c r="G1221" s="11" t="s">
        <v>32</v>
      </c>
      <c r="H1221" s="11" t="s">
        <v>33</v>
      </c>
      <c r="I1221" s="60" t="s">
        <v>179</v>
      </c>
      <c r="J1221" s="60" t="s">
        <v>1645</v>
      </c>
      <c r="K1221" s="60" t="s">
        <v>1645</v>
      </c>
      <c r="L1221" s="89">
        <v>135000</v>
      </c>
      <c r="M1221" s="89"/>
      <c r="N1221" s="60" t="s">
        <v>1646</v>
      </c>
      <c r="O1221" s="11" t="s">
        <v>583</v>
      </c>
      <c r="P1221" s="11" t="s">
        <v>113</v>
      </c>
      <c r="Q1221" s="11">
        <v>13810668661</v>
      </c>
      <c r="R1221" s="11" t="s">
        <v>114</v>
      </c>
      <c r="S1221" s="11" t="s">
        <v>115</v>
      </c>
      <c r="T1221" s="60"/>
    </row>
    <row r="1222" spans="1:20" s="14" customFormat="1" ht="24" hidden="1" customHeight="1">
      <c r="A1222" s="15"/>
      <c r="B1222" s="11" t="s">
        <v>1647</v>
      </c>
      <c r="C1222" s="11" t="s">
        <v>1648</v>
      </c>
      <c r="D1222" s="11" t="s">
        <v>1477</v>
      </c>
      <c r="E1222" s="9">
        <v>40</v>
      </c>
      <c r="F1222" s="9"/>
      <c r="G1222" s="11" t="s">
        <v>32</v>
      </c>
      <c r="H1222" s="11" t="s">
        <v>33</v>
      </c>
      <c r="I1222" s="60" t="s">
        <v>179</v>
      </c>
      <c r="J1222" s="60" t="s">
        <v>1649</v>
      </c>
      <c r="K1222" s="60" t="s">
        <v>1649</v>
      </c>
      <c r="L1222" s="89">
        <v>142000</v>
      </c>
      <c r="M1222" s="89"/>
      <c r="N1222" s="60" t="s">
        <v>1650</v>
      </c>
      <c r="O1222" s="11" t="s">
        <v>583</v>
      </c>
      <c r="P1222" s="11" t="s">
        <v>113</v>
      </c>
      <c r="Q1222" s="11">
        <v>13810668661</v>
      </c>
      <c r="R1222" s="11" t="s">
        <v>114</v>
      </c>
      <c r="S1222" s="11" t="s">
        <v>115</v>
      </c>
      <c r="T1222" s="60"/>
    </row>
    <row r="1223" spans="1:20" s="14" customFormat="1" ht="24" hidden="1" customHeight="1">
      <c r="A1223" s="15"/>
      <c r="B1223" s="11" t="s">
        <v>1651</v>
      </c>
      <c r="C1223" s="11">
        <v>350</v>
      </c>
      <c r="D1223" s="11" t="s">
        <v>1477</v>
      </c>
      <c r="E1223" s="9">
        <v>133</v>
      </c>
      <c r="F1223" s="9"/>
      <c r="G1223" s="11" t="s">
        <v>32</v>
      </c>
      <c r="H1223" s="11" t="s">
        <v>33</v>
      </c>
      <c r="I1223" s="11" t="s">
        <v>179</v>
      </c>
      <c r="J1223" s="11" t="s">
        <v>1652</v>
      </c>
      <c r="K1223" s="11" t="s">
        <v>1652</v>
      </c>
      <c r="L1223" s="12">
        <v>84020</v>
      </c>
      <c r="M1223" s="12"/>
      <c r="N1223" s="11" t="s">
        <v>1653</v>
      </c>
      <c r="O1223" s="11" t="s">
        <v>583</v>
      </c>
      <c r="P1223" s="11" t="s">
        <v>113</v>
      </c>
      <c r="Q1223" s="11">
        <v>13810668661</v>
      </c>
      <c r="R1223" s="11" t="s">
        <v>114</v>
      </c>
      <c r="S1223" s="11" t="s">
        <v>115</v>
      </c>
      <c r="T1223" s="11"/>
    </row>
    <row r="1224" spans="1:20" s="14" customFormat="1" ht="24" hidden="1" customHeight="1">
      <c r="A1224" s="15"/>
      <c r="B1224" s="11" t="s">
        <v>1654</v>
      </c>
      <c r="C1224" s="11" t="s">
        <v>1655</v>
      </c>
      <c r="D1224" s="11" t="s">
        <v>1477</v>
      </c>
      <c r="E1224" s="9">
        <v>1</v>
      </c>
      <c r="F1224" s="9"/>
      <c r="G1224" s="11" t="s">
        <v>32</v>
      </c>
      <c r="H1224" s="11" t="s">
        <v>33</v>
      </c>
      <c r="I1224" s="11" t="s">
        <v>179</v>
      </c>
      <c r="J1224" s="11" t="s">
        <v>1656</v>
      </c>
      <c r="K1224" s="11" t="s">
        <v>1656</v>
      </c>
      <c r="L1224" s="12">
        <v>750</v>
      </c>
      <c r="M1224" s="12"/>
      <c r="N1224" s="11" t="s">
        <v>1657</v>
      </c>
      <c r="O1224" s="11" t="s">
        <v>583</v>
      </c>
      <c r="P1224" s="11" t="s">
        <v>113</v>
      </c>
      <c r="Q1224" s="11">
        <v>13810668661</v>
      </c>
      <c r="R1224" s="11" t="s">
        <v>114</v>
      </c>
      <c r="S1224" s="11" t="s">
        <v>115</v>
      </c>
      <c r="T1224" s="11"/>
    </row>
    <row r="1225" spans="1:20" s="14" customFormat="1" ht="24" hidden="1" customHeight="1">
      <c r="A1225" s="15"/>
      <c r="B1225" s="11" t="s">
        <v>1658</v>
      </c>
      <c r="C1225" s="11" t="s">
        <v>1659</v>
      </c>
      <c r="D1225" s="11" t="s">
        <v>1477</v>
      </c>
      <c r="E1225" s="9">
        <v>9</v>
      </c>
      <c r="F1225" s="9"/>
      <c r="G1225" s="11" t="s">
        <v>32</v>
      </c>
      <c r="H1225" s="11" t="s">
        <v>33</v>
      </c>
      <c r="I1225" s="11" t="s">
        <v>179</v>
      </c>
      <c r="J1225" s="11" t="s">
        <v>1660</v>
      </c>
      <c r="K1225" s="11" t="s">
        <v>1660</v>
      </c>
      <c r="L1225" s="12">
        <v>16020</v>
      </c>
      <c r="M1225" s="12"/>
      <c r="N1225" s="11" t="s">
        <v>1661</v>
      </c>
      <c r="O1225" s="11" t="s">
        <v>583</v>
      </c>
      <c r="P1225" s="11" t="s">
        <v>113</v>
      </c>
      <c r="Q1225" s="11">
        <v>13810668661</v>
      </c>
      <c r="R1225" s="11" t="s">
        <v>114</v>
      </c>
      <c r="S1225" s="11" t="s">
        <v>115</v>
      </c>
      <c r="T1225" s="11"/>
    </row>
    <row r="1226" spans="1:20" s="14" customFormat="1" ht="24" hidden="1" customHeight="1">
      <c r="A1226" s="15"/>
      <c r="B1226" s="11" t="s">
        <v>1662</v>
      </c>
      <c r="C1226" s="11" t="s">
        <v>1663</v>
      </c>
      <c r="D1226" s="11" t="s">
        <v>1477</v>
      </c>
      <c r="E1226" s="9">
        <v>1</v>
      </c>
      <c r="F1226" s="9"/>
      <c r="G1226" s="11" t="s">
        <v>32</v>
      </c>
      <c r="H1226" s="11" t="s">
        <v>33</v>
      </c>
      <c r="I1226" s="11" t="s">
        <v>179</v>
      </c>
      <c r="J1226" s="11" t="s">
        <v>1656</v>
      </c>
      <c r="K1226" s="11" t="s">
        <v>1656</v>
      </c>
      <c r="L1226" s="12">
        <v>3275</v>
      </c>
      <c r="M1226" s="12"/>
      <c r="N1226" s="11" t="s">
        <v>1657</v>
      </c>
      <c r="O1226" s="11" t="s">
        <v>583</v>
      </c>
      <c r="P1226" s="11" t="s">
        <v>113</v>
      </c>
      <c r="Q1226" s="11">
        <v>13810668661</v>
      </c>
      <c r="R1226" s="11" t="s">
        <v>114</v>
      </c>
      <c r="S1226" s="11" t="s">
        <v>115</v>
      </c>
      <c r="T1226" s="11"/>
    </row>
    <row r="1227" spans="1:20" s="14" customFormat="1" ht="24" hidden="1" customHeight="1">
      <c r="A1227" s="15"/>
      <c r="B1227" s="11" t="s">
        <v>1664</v>
      </c>
      <c r="C1227" s="11" t="s">
        <v>1665</v>
      </c>
      <c r="D1227" s="11" t="s">
        <v>1477</v>
      </c>
      <c r="E1227" s="9">
        <v>10</v>
      </c>
      <c r="F1227" s="9"/>
      <c r="G1227" s="11" t="s">
        <v>32</v>
      </c>
      <c r="H1227" s="11" t="s">
        <v>33</v>
      </c>
      <c r="I1227" s="11" t="s">
        <v>179</v>
      </c>
      <c r="J1227" s="11" t="s">
        <v>1656</v>
      </c>
      <c r="K1227" s="11" t="s">
        <v>1656</v>
      </c>
      <c r="L1227" s="12">
        <v>29130</v>
      </c>
      <c r="M1227" s="12"/>
      <c r="N1227" s="11" t="s">
        <v>1666</v>
      </c>
      <c r="O1227" s="11" t="s">
        <v>583</v>
      </c>
      <c r="P1227" s="11" t="s">
        <v>113</v>
      </c>
      <c r="Q1227" s="11">
        <v>13810668661</v>
      </c>
      <c r="R1227" s="11" t="s">
        <v>114</v>
      </c>
      <c r="S1227" s="11" t="s">
        <v>115</v>
      </c>
      <c r="T1227" s="11"/>
    </row>
    <row r="1228" spans="1:20" s="14" customFormat="1" ht="24" hidden="1" customHeight="1">
      <c r="A1228" s="15"/>
      <c r="B1228" s="11" t="s">
        <v>1667</v>
      </c>
      <c r="C1228" s="11" t="s">
        <v>1668</v>
      </c>
      <c r="D1228" s="11" t="s">
        <v>1477</v>
      </c>
      <c r="E1228" s="9">
        <v>10</v>
      </c>
      <c r="F1228" s="9"/>
      <c r="G1228" s="11" t="s">
        <v>32</v>
      </c>
      <c r="H1228" s="11" t="s">
        <v>33</v>
      </c>
      <c r="I1228" s="11" t="s">
        <v>179</v>
      </c>
      <c r="J1228" s="11" t="s">
        <v>606</v>
      </c>
      <c r="K1228" s="11" t="s">
        <v>606</v>
      </c>
      <c r="L1228" s="12">
        <v>48000</v>
      </c>
      <c r="M1228" s="12"/>
      <c r="N1228" s="11" t="s">
        <v>1669</v>
      </c>
      <c r="O1228" s="11" t="s">
        <v>583</v>
      </c>
      <c r="P1228" s="11" t="s">
        <v>113</v>
      </c>
      <c r="Q1228" s="11">
        <v>13810668661</v>
      </c>
      <c r="R1228" s="11" t="s">
        <v>114</v>
      </c>
      <c r="S1228" s="11" t="s">
        <v>115</v>
      </c>
      <c r="T1228" s="11"/>
    </row>
    <row r="1229" spans="1:20" s="14" customFormat="1" ht="24" hidden="1" customHeight="1">
      <c r="A1229" s="15"/>
      <c r="B1229" s="11" t="s">
        <v>1670</v>
      </c>
      <c r="C1229" s="11"/>
      <c r="D1229" s="11" t="s">
        <v>1477</v>
      </c>
      <c r="E1229" s="9">
        <v>1</v>
      </c>
      <c r="F1229" s="9"/>
      <c r="G1229" s="11" t="s">
        <v>32</v>
      </c>
      <c r="H1229" s="11" t="s">
        <v>33</v>
      </c>
      <c r="I1229" s="11" t="s">
        <v>179</v>
      </c>
      <c r="J1229" s="11" t="s">
        <v>1671</v>
      </c>
      <c r="K1229" s="11" t="s">
        <v>1671</v>
      </c>
      <c r="L1229" s="12">
        <v>1535</v>
      </c>
      <c r="M1229" s="12"/>
      <c r="N1229" s="11" t="s">
        <v>1672</v>
      </c>
      <c r="O1229" s="11" t="s">
        <v>583</v>
      </c>
      <c r="P1229" s="11" t="s">
        <v>113</v>
      </c>
      <c r="Q1229" s="11">
        <v>13810668661</v>
      </c>
      <c r="R1229" s="11" t="s">
        <v>114</v>
      </c>
      <c r="S1229" s="11" t="s">
        <v>115</v>
      </c>
      <c r="T1229" s="11"/>
    </row>
    <row r="1230" spans="1:20" s="14" customFormat="1" ht="24" hidden="1" customHeight="1">
      <c r="A1230" s="15"/>
      <c r="B1230" s="11" t="s">
        <v>1673</v>
      </c>
      <c r="C1230" s="11" t="s">
        <v>1674</v>
      </c>
      <c r="D1230" s="11" t="s">
        <v>131</v>
      </c>
      <c r="E1230" s="9">
        <v>6</v>
      </c>
      <c r="F1230" s="9"/>
      <c r="G1230" s="11" t="s">
        <v>32</v>
      </c>
      <c r="H1230" s="11" t="s">
        <v>33</v>
      </c>
      <c r="I1230" s="11"/>
      <c r="J1230" s="11"/>
      <c r="K1230" s="11"/>
      <c r="L1230" s="12"/>
      <c r="M1230" s="12"/>
      <c r="N1230" s="11"/>
      <c r="O1230" s="11" t="s">
        <v>1675</v>
      </c>
      <c r="P1230" s="11" t="s">
        <v>1676</v>
      </c>
      <c r="Q1230" s="11">
        <v>13910969327</v>
      </c>
      <c r="R1230" s="11" t="s">
        <v>1677</v>
      </c>
      <c r="S1230" s="11" t="s">
        <v>93</v>
      </c>
      <c r="T1230" s="11"/>
    </row>
    <row r="1231" spans="1:20" s="14" customFormat="1" ht="24" hidden="1" customHeight="1">
      <c r="A1231" s="15"/>
      <c r="B1231" s="11" t="s">
        <v>1678</v>
      </c>
      <c r="C1231" s="11" t="s">
        <v>1679</v>
      </c>
      <c r="D1231" s="11" t="s">
        <v>131</v>
      </c>
      <c r="E1231" s="9">
        <v>21</v>
      </c>
      <c r="F1231" s="9"/>
      <c r="G1231" s="11" t="s">
        <v>32</v>
      </c>
      <c r="H1231" s="11" t="s">
        <v>33</v>
      </c>
      <c r="I1231" s="11"/>
      <c r="J1231" s="11"/>
      <c r="K1231" s="11"/>
      <c r="L1231" s="12"/>
      <c r="M1231" s="12"/>
      <c r="N1231" s="11"/>
      <c r="O1231" s="11" t="s">
        <v>1675</v>
      </c>
      <c r="P1231" s="11" t="s">
        <v>1676</v>
      </c>
      <c r="Q1231" s="11">
        <v>13910969327</v>
      </c>
      <c r="R1231" s="11" t="s">
        <v>1677</v>
      </c>
      <c r="S1231" s="11" t="s">
        <v>93</v>
      </c>
      <c r="T1231" s="11"/>
    </row>
    <row r="1232" spans="1:20" s="14" customFormat="1" ht="24" customHeight="1">
      <c r="A1232" s="15"/>
      <c r="B1232" s="11" t="s">
        <v>1680</v>
      </c>
      <c r="C1232" s="11" t="s">
        <v>1681</v>
      </c>
      <c r="D1232" s="11" t="s">
        <v>1477</v>
      </c>
      <c r="E1232" s="9">
        <v>1</v>
      </c>
      <c r="F1232" s="9"/>
      <c r="G1232" s="11" t="s">
        <v>32</v>
      </c>
      <c r="H1232" s="11" t="s">
        <v>41</v>
      </c>
      <c r="I1232" s="11"/>
      <c r="J1232" s="11"/>
      <c r="K1232" s="11"/>
      <c r="L1232" s="12">
        <v>4660</v>
      </c>
      <c r="M1232" s="12"/>
      <c r="N1232" s="11">
        <v>2016.1</v>
      </c>
      <c r="O1232" s="11" t="s">
        <v>1682</v>
      </c>
      <c r="P1232" s="11" t="s">
        <v>1332</v>
      </c>
      <c r="Q1232" s="11">
        <v>15175283605</v>
      </c>
      <c r="R1232" s="11" t="s">
        <v>1333</v>
      </c>
      <c r="S1232" s="11" t="s">
        <v>68</v>
      </c>
      <c r="T1232" s="11"/>
    </row>
    <row r="1233" spans="1:20" s="14" customFormat="1" ht="24" customHeight="1">
      <c r="A1233" s="15"/>
      <c r="B1233" s="11" t="s">
        <v>1683</v>
      </c>
      <c r="C1233" s="11" t="s">
        <v>1684</v>
      </c>
      <c r="D1233" s="11" t="s">
        <v>1477</v>
      </c>
      <c r="E1233" s="9">
        <v>3</v>
      </c>
      <c r="F1233" s="9"/>
      <c r="G1233" s="11" t="s">
        <v>87</v>
      </c>
      <c r="H1233" s="11" t="s">
        <v>41</v>
      </c>
      <c r="I1233" s="11"/>
      <c r="J1233" s="11"/>
      <c r="K1233" s="11"/>
      <c r="L1233" s="12">
        <v>5641.0256410256397</v>
      </c>
      <c r="M1233" s="12"/>
      <c r="N1233" s="11">
        <v>2017.04</v>
      </c>
      <c r="O1233" s="11" t="s">
        <v>1682</v>
      </c>
      <c r="P1233" s="11" t="s">
        <v>1332</v>
      </c>
      <c r="Q1233" s="11">
        <v>15175283605</v>
      </c>
      <c r="R1233" s="11" t="s">
        <v>1333</v>
      </c>
      <c r="S1233" s="11" t="s">
        <v>68</v>
      </c>
      <c r="T1233" s="11"/>
    </row>
    <row r="1234" spans="1:20" s="14" customFormat="1" ht="24" customHeight="1">
      <c r="A1234" s="15"/>
      <c r="B1234" s="11" t="s">
        <v>1685</v>
      </c>
      <c r="C1234" s="11" t="s">
        <v>1686</v>
      </c>
      <c r="D1234" s="11" t="s">
        <v>1477</v>
      </c>
      <c r="E1234" s="9">
        <v>6</v>
      </c>
      <c r="F1234" s="9"/>
      <c r="G1234" s="11" t="s">
        <v>32</v>
      </c>
      <c r="H1234" s="11" t="s">
        <v>41</v>
      </c>
      <c r="I1234" s="11"/>
      <c r="J1234" s="11"/>
      <c r="K1234" s="11"/>
      <c r="L1234" s="12">
        <v>5825.2427184465996</v>
      </c>
      <c r="M1234" s="12"/>
      <c r="N1234" s="11">
        <v>2018.11</v>
      </c>
      <c r="O1234" s="11" t="s">
        <v>1682</v>
      </c>
      <c r="P1234" s="11" t="s">
        <v>1332</v>
      </c>
      <c r="Q1234" s="11">
        <v>15175283605</v>
      </c>
      <c r="R1234" s="11" t="s">
        <v>1333</v>
      </c>
      <c r="S1234" s="11" t="s">
        <v>68</v>
      </c>
      <c r="T1234" s="11"/>
    </row>
    <row r="1235" spans="1:20" s="14" customFormat="1" ht="24" customHeight="1">
      <c r="A1235" s="15"/>
      <c r="B1235" s="11" t="s">
        <v>1687</v>
      </c>
      <c r="C1235" s="11" t="s">
        <v>1688</v>
      </c>
      <c r="D1235" s="11" t="s">
        <v>1477</v>
      </c>
      <c r="E1235" s="9">
        <v>29</v>
      </c>
      <c r="F1235" s="9"/>
      <c r="G1235" s="11" t="s">
        <v>32</v>
      </c>
      <c r="H1235" s="11" t="s">
        <v>41</v>
      </c>
      <c r="I1235" s="11"/>
      <c r="J1235" s="11"/>
      <c r="K1235" s="11"/>
      <c r="L1235" s="12">
        <v>635.9</v>
      </c>
      <c r="M1235" s="12"/>
      <c r="N1235" s="11">
        <v>2019.01</v>
      </c>
      <c r="O1235" s="11" t="s">
        <v>1682</v>
      </c>
      <c r="P1235" s="11" t="s">
        <v>1332</v>
      </c>
      <c r="Q1235" s="11">
        <v>15175283605</v>
      </c>
      <c r="R1235" s="11" t="s">
        <v>1333</v>
      </c>
      <c r="S1235" s="11" t="s">
        <v>68</v>
      </c>
      <c r="T1235" s="11"/>
    </row>
    <row r="1236" spans="1:20" s="14" customFormat="1" ht="24" customHeight="1">
      <c r="A1236" s="15"/>
      <c r="B1236" s="11" t="s">
        <v>1687</v>
      </c>
      <c r="C1236" s="11" t="s">
        <v>1689</v>
      </c>
      <c r="D1236" s="11" t="s">
        <v>1477</v>
      </c>
      <c r="E1236" s="9">
        <v>24</v>
      </c>
      <c r="F1236" s="9"/>
      <c r="G1236" s="11" t="s">
        <v>32</v>
      </c>
      <c r="H1236" s="11" t="s">
        <v>41</v>
      </c>
      <c r="I1236" s="11"/>
      <c r="J1236" s="11"/>
      <c r="K1236" s="11"/>
      <c r="L1236" s="12">
        <v>465.5</v>
      </c>
      <c r="M1236" s="12"/>
      <c r="N1236" s="11">
        <v>2018.12</v>
      </c>
      <c r="O1236" s="11" t="s">
        <v>1682</v>
      </c>
      <c r="P1236" s="11" t="s">
        <v>1332</v>
      </c>
      <c r="Q1236" s="11">
        <v>15175283605</v>
      </c>
      <c r="R1236" s="11" t="s">
        <v>1333</v>
      </c>
      <c r="S1236" s="11" t="s">
        <v>68</v>
      </c>
      <c r="T1236" s="11"/>
    </row>
    <row r="1237" spans="1:20" s="14" customFormat="1" ht="24" hidden="1" customHeight="1">
      <c r="A1237" s="15"/>
      <c r="B1237" s="11" t="s">
        <v>1690</v>
      </c>
      <c r="C1237" s="11" t="s">
        <v>1691</v>
      </c>
      <c r="D1237" s="11" t="s">
        <v>1477</v>
      </c>
      <c r="E1237" s="9">
        <v>2</v>
      </c>
      <c r="F1237" s="90" t="s">
        <v>34</v>
      </c>
      <c r="G1237" s="11" t="s">
        <v>32</v>
      </c>
      <c r="H1237" s="11" t="s">
        <v>33</v>
      </c>
      <c r="I1237" s="90" t="s">
        <v>34</v>
      </c>
      <c r="J1237" s="90" t="s">
        <v>34</v>
      </c>
      <c r="K1237" s="90" t="s">
        <v>34</v>
      </c>
      <c r="L1237" s="12">
        <v>2930</v>
      </c>
      <c r="M1237" s="12">
        <v>2930</v>
      </c>
      <c r="N1237" s="11" t="s">
        <v>1692</v>
      </c>
      <c r="O1237" s="11" t="s">
        <v>1693</v>
      </c>
      <c r="P1237" s="11" t="s">
        <v>1694</v>
      </c>
      <c r="Q1237" s="11">
        <v>18179866300</v>
      </c>
      <c r="R1237" s="11" t="s">
        <v>1695</v>
      </c>
      <c r="S1237" s="11" t="s">
        <v>141</v>
      </c>
      <c r="T1237" s="11"/>
    </row>
    <row r="1238" spans="1:20" s="14" customFormat="1" ht="24" hidden="1" customHeight="1">
      <c r="A1238" s="15"/>
      <c r="B1238" s="11" t="s">
        <v>1622</v>
      </c>
      <c r="C1238" s="11" t="s">
        <v>1696</v>
      </c>
      <c r="D1238" s="11" t="s">
        <v>1477</v>
      </c>
      <c r="E1238" s="9">
        <v>2</v>
      </c>
      <c r="F1238" s="90" t="s">
        <v>34</v>
      </c>
      <c r="G1238" s="11" t="s">
        <v>32</v>
      </c>
      <c r="H1238" s="11" t="s">
        <v>33</v>
      </c>
      <c r="I1238" s="90" t="s">
        <v>34</v>
      </c>
      <c r="J1238" s="90" t="s">
        <v>34</v>
      </c>
      <c r="K1238" s="90" t="s">
        <v>34</v>
      </c>
      <c r="L1238" s="12">
        <v>2850</v>
      </c>
      <c r="M1238" s="12">
        <v>2850</v>
      </c>
      <c r="N1238" s="11" t="s">
        <v>1697</v>
      </c>
      <c r="O1238" s="11" t="s">
        <v>1693</v>
      </c>
      <c r="P1238" s="11" t="s">
        <v>1694</v>
      </c>
      <c r="Q1238" s="11">
        <v>18179866300</v>
      </c>
      <c r="R1238" s="11" t="s">
        <v>1695</v>
      </c>
      <c r="S1238" s="11" t="s">
        <v>141</v>
      </c>
      <c r="T1238" s="11"/>
    </row>
    <row r="1239" spans="1:20" s="14" customFormat="1" ht="24" hidden="1" customHeight="1">
      <c r="A1239" s="15"/>
      <c r="B1239" s="11" t="s">
        <v>1622</v>
      </c>
      <c r="C1239" s="11" t="s">
        <v>1698</v>
      </c>
      <c r="D1239" s="11" t="s">
        <v>1477</v>
      </c>
      <c r="E1239" s="9">
        <v>2</v>
      </c>
      <c r="F1239" s="90" t="s">
        <v>34</v>
      </c>
      <c r="G1239" s="11" t="s">
        <v>32</v>
      </c>
      <c r="H1239" s="11" t="s">
        <v>33</v>
      </c>
      <c r="I1239" s="90" t="s">
        <v>34</v>
      </c>
      <c r="J1239" s="90" t="s">
        <v>34</v>
      </c>
      <c r="K1239" s="90" t="s">
        <v>34</v>
      </c>
      <c r="L1239" s="12">
        <v>1200</v>
      </c>
      <c r="M1239" s="12">
        <v>1200</v>
      </c>
      <c r="N1239" s="11" t="s">
        <v>1699</v>
      </c>
      <c r="O1239" s="11" t="s">
        <v>1693</v>
      </c>
      <c r="P1239" s="11" t="s">
        <v>1694</v>
      </c>
      <c r="Q1239" s="11">
        <v>18179866300</v>
      </c>
      <c r="R1239" s="11" t="s">
        <v>1695</v>
      </c>
      <c r="S1239" s="11" t="s">
        <v>141</v>
      </c>
      <c r="T1239" s="11"/>
    </row>
    <row r="1240" spans="1:20" s="14" customFormat="1" ht="24" hidden="1" customHeight="1">
      <c r="A1240" s="15"/>
      <c r="B1240" s="11" t="s">
        <v>1700</v>
      </c>
      <c r="C1240" s="11"/>
      <c r="D1240" s="11" t="s">
        <v>1701</v>
      </c>
      <c r="E1240" s="9">
        <v>1</v>
      </c>
      <c r="F1240" s="90" t="s">
        <v>34</v>
      </c>
      <c r="G1240" s="11" t="s">
        <v>32</v>
      </c>
      <c r="H1240" s="11" t="s">
        <v>33</v>
      </c>
      <c r="I1240" s="90" t="s">
        <v>34</v>
      </c>
      <c r="J1240" s="90" t="s">
        <v>34</v>
      </c>
      <c r="K1240" s="90" t="s">
        <v>34</v>
      </c>
      <c r="L1240" s="12">
        <v>600</v>
      </c>
      <c r="M1240" s="12">
        <v>600</v>
      </c>
      <c r="N1240" s="11" t="s">
        <v>1702</v>
      </c>
      <c r="O1240" s="11" t="s">
        <v>1693</v>
      </c>
      <c r="P1240" s="11" t="s">
        <v>1694</v>
      </c>
      <c r="Q1240" s="11">
        <v>18179866300</v>
      </c>
      <c r="R1240" s="11" t="s">
        <v>1695</v>
      </c>
      <c r="S1240" s="11" t="s">
        <v>141</v>
      </c>
      <c r="T1240" s="11"/>
    </row>
    <row r="1241" spans="1:20" s="14" customFormat="1" ht="24" hidden="1" customHeight="1">
      <c r="A1241" s="15"/>
      <c r="B1241" s="11" t="s">
        <v>1703</v>
      </c>
      <c r="C1241" s="11" t="s">
        <v>1704</v>
      </c>
      <c r="D1241" s="11" t="s">
        <v>131</v>
      </c>
      <c r="E1241" s="9">
        <v>2</v>
      </c>
      <c r="F1241" s="90" t="s">
        <v>34</v>
      </c>
      <c r="G1241" s="11" t="s">
        <v>32</v>
      </c>
      <c r="H1241" s="11" t="s">
        <v>33</v>
      </c>
      <c r="I1241" s="90" t="s">
        <v>34</v>
      </c>
      <c r="J1241" s="90" t="s">
        <v>34</v>
      </c>
      <c r="K1241" s="90" t="s">
        <v>34</v>
      </c>
      <c r="L1241" s="12">
        <v>1290</v>
      </c>
      <c r="M1241" s="12">
        <v>1290</v>
      </c>
      <c r="N1241" s="11" t="s">
        <v>1705</v>
      </c>
      <c r="O1241" s="11" t="s">
        <v>1693</v>
      </c>
      <c r="P1241" s="11" t="s">
        <v>1694</v>
      </c>
      <c r="Q1241" s="11">
        <v>18179866300</v>
      </c>
      <c r="R1241" s="11" t="s">
        <v>1695</v>
      </c>
      <c r="S1241" s="11" t="s">
        <v>141</v>
      </c>
      <c r="T1241" s="11"/>
    </row>
    <row r="1242" spans="1:20" s="14" customFormat="1" ht="24" hidden="1" customHeight="1">
      <c r="A1242" s="15"/>
      <c r="B1242" s="11" t="s">
        <v>1622</v>
      </c>
      <c r="C1242" s="11" t="s">
        <v>1706</v>
      </c>
      <c r="D1242" s="11" t="s">
        <v>1477</v>
      </c>
      <c r="E1242" s="9">
        <v>2</v>
      </c>
      <c r="F1242" s="90" t="s">
        <v>34</v>
      </c>
      <c r="G1242" s="11" t="s">
        <v>32</v>
      </c>
      <c r="H1242" s="11" t="s">
        <v>33</v>
      </c>
      <c r="I1242" s="90" t="s">
        <v>34</v>
      </c>
      <c r="J1242" s="90" t="s">
        <v>34</v>
      </c>
      <c r="K1242" s="90" t="s">
        <v>34</v>
      </c>
      <c r="L1242" s="12">
        <v>780</v>
      </c>
      <c r="M1242" s="12">
        <v>780</v>
      </c>
      <c r="N1242" s="11" t="s">
        <v>1707</v>
      </c>
      <c r="O1242" s="11" t="s">
        <v>1693</v>
      </c>
      <c r="P1242" s="11" t="s">
        <v>1694</v>
      </c>
      <c r="Q1242" s="11">
        <v>18179866300</v>
      </c>
      <c r="R1242" s="11" t="s">
        <v>1695</v>
      </c>
      <c r="S1242" s="11" t="s">
        <v>141</v>
      </c>
      <c r="T1242" s="11"/>
    </row>
    <row r="1243" spans="1:20" s="14" customFormat="1" ht="24" hidden="1" customHeight="1">
      <c r="A1243" s="15"/>
      <c r="B1243" s="11" t="s">
        <v>1708</v>
      </c>
      <c r="C1243" s="11" t="s">
        <v>1709</v>
      </c>
      <c r="D1243" s="11" t="s">
        <v>1477</v>
      </c>
      <c r="E1243" s="9">
        <v>1</v>
      </c>
      <c r="F1243" s="90" t="s">
        <v>34</v>
      </c>
      <c r="G1243" s="11" t="s">
        <v>32</v>
      </c>
      <c r="H1243" s="11" t="s">
        <v>33</v>
      </c>
      <c r="I1243" s="90" t="s">
        <v>34</v>
      </c>
      <c r="J1243" s="90" t="s">
        <v>34</v>
      </c>
      <c r="K1243" s="90" t="s">
        <v>34</v>
      </c>
      <c r="L1243" s="12">
        <v>3100</v>
      </c>
      <c r="M1243" s="12">
        <v>3100</v>
      </c>
      <c r="N1243" s="11" t="s">
        <v>1710</v>
      </c>
      <c r="O1243" s="11" t="s">
        <v>1693</v>
      </c>
      <c r="P1243" s="11" t="s">
        <v>1694</v>
      </c>
      <c r="Q1243" s="11">
        <v>18179866300</v>
      </c>
      <c r="R1243" s="11" t="s">
        <v>1695</v>
      </c>
      <c r="S1243" s="11" t="s">
        <v>141</v>
      </c>
      <c r="T1243" s="11"/>
    </row>
    <row r="1244" spans="1:20" s="14" customFormat="1" ht="24" hidden="1" customHeight="1">
      <c r="A1244" s="15"/>
      <c r="B1244" s="11" t="s">
        <v>1711</v>
      </c>
      <c r="C1244" s="11" t="s">
        <v>1712</v>
      </c>
      <c r="D1244" s="11" t="s">
        <v>1477</v>
      </c>
      <c r="E1244" s="9">
        <v>1</v>
      </c>
      <c r="F1244" s="90" t="s">
        <v>34</v>
      </c>
      <c r="G1244" s="11" t="s">
        <v>32</v>
      </c>
      <c r="H1244" s="11" t="s">
        <v>33</v>
      </c>
      <c r="I1244" s="90" t="s">
        <v>34</v>
      </c>
      <c r="J1244" s="90" t="s">
        <v>34</v>
      </c>
      <c r="K1244" s="90" t="s">
        <v>34</v>
      </c>
      <c r="L1244" s="12">
        <v>1750</v>
      </c>
      <c r="M1244" s="12">
        <v>1750</v>
      </c>
      <c r="N1244" s="11" t="s">
        <v>1713</v>
      </c>
      <c r="O1244" s="11" t="s">
        <v>1693</v>
      </c>
      <c r="P1244" s="11" t="s">
        <v>1694</v>
      </c>
      <c r="Q1244" s="11">
        <v>18179866300</v>
      </c>
      <c r="R1244" s="11" t="s">
        <v>1695</v>
      </c>
      <c r="S1244" s="11" t="s">
        <v>141</v>
      </c>
      <c r="T1244" s="11"/>
    </row>
    <row r="1245" spans="1:20" s="14" customFormat="1" ht="24" hidden="1" customHeight="1">
      <c r="A1245" s="15"/>
      <c r="B1245" s="11" t="s">
        <v>1714</v>
      </c>
      <c r="C1245" s="11" t="s">
        <v>1715</v>
      </c>
      <c r="D1245" s="11" t="s">
        <v>1477</v>
      </c>
      <c r="E1245" s="9">
        <v>1</v>
      </c>
      <c r="F1245" s="90" t="s">
        <v>34</v>
      </c>
      <c r="G1245" s="11" t="s">
        <v>32</v>
      </c>
      <c r="H1245" s="11" t="s">
        <v>33</v>
      </c>
      <c r="I1245" s="90" t="s">
        <v>34</v>
      </c>
      <c r="J1245" s="90" t="s">
        <v>34</v>
      </c>
      <c r="K1245" s="90" t="s">
        <v>34</v>
      </c>
      <c r="L1245" s="12">
        <v>3750</v>
      </c>
      <c r="M1245" s="12">
        <v>3750</v>
      </c>
      <c r="N1245" s="11" t="s">
        <v>1716</v>
      </c>
      <c r="O1245" s="11" t="s">
        <v>1693</v>
      </c>
      <c r="P1245" s="11" t="s">
        <v>1694</v>
      </c>
      <c r="Q1245" s="11">
        <v>18179866300</v>
      </c>
      <c r="R1245" s="11" t="s">
        <v>1695</v>
      </c>
      <c r="S1245" s="11" t="s">
        <v>141</v>
      </c>
      <c r="T1245" s="11"/>
    </row>
    <row r="1246" spans="1:20" s="14" customFormat="1" ht="24" hidden="1" customHeight="1">
      <c r="A1246" s="15"/>
      <c r="B1246" s="11" t="s">
        <v>1717</v>
      </c>
      <c r="C1246" s="11" t="s">
        <v>1718</v>
      </c>
      <c r="D1246" s="11" t="s">
        <v>131</v>
      </c>
      <c r="E1246" s="9">
        <v>2</v>
      </c>
      <c r="F1246" s="90" t="s">
        <v>34</v>
      </c>
      <c r="G1246" s="11" t="s">
        <v>32</v>
      </c>
      <c r="H1246" s="11" t="s">
        <v>33</v>
      </c>
      <c r="I1246" s="90" t="s">
        <v>34</v>
      </c>
      <c r="J1246" s="90" t="s">
        <v>34</v>
      </c>
      <c r="K1246" s="90" t="s">
        <v>34</v>
      </c>
      <c r="L1246" s="12">
        <v>290</v>
      </c>
      <c r="M1246" s="12">
        <v>290</v>
      </c>
      <c r="N1246" s="11" t="s">
        <v>1719</v>
      </c>
      <c r="O1246" s="11" t="s">
        <v>1693</v>
      </c>
      <c r="P1246" s="11" t="s">
        <v>1694</v>
      </c>
      <c r="Q1246" s="11">
        <v>18179866300</v>
      </c>
      <c r="R1246" s="11" t="s">
        <v>1695</v>
      </c>
      <c r="S1246" s="11" t="s">
        <v>141</v>
      </c>
      <c r="T1246" s="11"/>
    </row>
    <row r="1247" spans="1:20" s="14" customFormat="1" ht="24" hidden="1" customHeight="1">
      <c r="A1247" s="15"/>
      <c r="B1247" s="11" t="s">
        <v>1720</v>
      </c>
      <c r="C1247" s="11" t="s">
        <v>1721</v>
      </c>
      <c r="D1247" s="11" t="s">
        <v>1701</v>
      </c>
      <c r="E1247" s="9">
        <v>1</v>
      </c>
      <c r="F1247" s="90" t="s">
        <v>34</v>
      </c>
      <c r="G1247" s="11" t="s">
        <v>32</v>
      </c>
      <c r="H1247" s="11" t="s">
        <v>33</v>
      </c>
      <c r="I1247" s="90" t="s">
        <v>34</v>
      </c>
      <c r="J1247" s="90" t="s">
        <v>34</v>
      </c>
      <c r="K1247" s="90" t="s">
        <v>34</v>
      </c>
      <c r="L1247" s="12">
        <v>1520</v>
      </c>
      <c r="M1247" s="12">
        <v>1520</v>
      </c>
      <c r="N1247" s="11" t="s">
        <v>1722</v>
      </c>
      <c r="O1247" s="11" t="s">
        <v>1693</v>
      </c>
      <c r="P1247" s="11" t="s">
        <v>1694</v>
      </c>
      <c r="Q1247" s="11">
        <v>18179866300</v>
      </c>
      <c r="R1247" s="11" t="s">
        <v>1695</v>
      </c>
      <c r="S1247" s="11" t="s">
        <v>141</v>
      </c>
      <c r="T1247" s="11"/>
    </row>
    <row r="1248" spans="1:20" s="14" customFormat="1" ht="24" hidden="1" customHeight="1">
      <c r="A1248" s="15"/>
      <c r="B1248" s="11" t="s">
        <v>1723</v>
      </c>
      <c r="C1248" s="11"/>
      <c r="D1248" s="11" t="s">
        <v>1477</v>
      </c>
      <c r="E1248" s="9">
        <v>1</v>
      </c>
      <c r="F1248" s="90" t="s">
        <v>34</v>
      </c>
      <c r="G1248" s="11" t="s">
        <v>32</v>
      </c>
      <c r="H1248" s="11" t="s">
        <v>33</v>
      </c>
      <c r="I1248" s="90" t="s">
        <v>34</v>
      </c>
      <c r="J1248" s="90" t="s">
        <v>34</v>
      </c>
      <c r="K1248" s="90" t="s">
        <v>34</v>
      </c>
      <c r="L1248" s="12">
        <v>3200</v>
      </c>
      <c r="M1248" s="12">
        <v>3200</v>
      </c>
      <c r="N1248" s="11" t="s">
        <v>1724</v>
      </c>
      <c r="O1248" s="11" t="s">
        <v>1693</v>
      </c>
      <c r="P1248" s="11" t="s">
        <v>1694</v>
      </c>
      <c r="Q1248" s="11">
        <v>18179866300</v>
      </c>
      <c r="R1248" s="11" t="s">
        <v>1695</v>
      </c>
      <c r="S1248" s="11" t="s">
        <v>141</v>
      </c>
      <c r="T1248" s="11"/>
    </row>
    <row r="1249" spans="1:20" ht="14.25" hidden="1">
      <c r="A1249" s="1796" t="s">
        <v>1725</v>
      </c>
      <c r="B1249" s="1797"/>
      <c r="C1249" s="1797"/>
      <c r="D1249" s="1797"/>
      <c r="E1249" s="1797"/>
      <c r="F1249" s="1797"/>
      <c r="G1249" s="1797"/>
      <c r="H1249" s="1797"/>
      <c r="I1249" s="1797"/>
      <c r="J1249" s="1797"/>
      <c r="K1249" s="1797"/>
      <c r="L1249" s="1798"/>
      <c r="M1249" s="1798"/>
      <c r="N1249" s="1797"/>
      <c r="O1249" s="1797"/>
      <c r="P1249" s="1797"/>
      <c r="Q1249" s="1797"/>
      <c r="R1249" s="1797"/>
      <c r="S1249" s="1797"/>
      <c r="T1249" s="1797"/>
    </row>
    <row r="1250" spans="1:20" ht="14.25" hidden="1">
      <c r="A1250" s="1786" t="s">
        <v>1726</v>
      </c>
      <c r="B1250" s="1787"/>
      <c r="C1250" s="1787"/>
      <c r="D1250" s="1787"/>
      <c r="E1250" s="1787"/>
      <c r="F1250" s="1787"/>
      <c r="G1250" s="1787"/>
      <c r="H1250" s="1787"/>
      <c r="I1250" s="1787"/>
      <c r="J1250" s="91"/>
      <c r="K1250" s="91"/>
      <c r="L1250" s="92"/>
      <c r="M1250" s="93"/>
      <c r="N1250" s="94"/>
      <c r="O1250" s="94"/>
      <c r="P1250" s="94"/>
      <c r="Q1250" s="94"/>
      <c r="R1250" s="94"/>
      <c r="S1250" s="94"/>
      <c r="T1250" s="94"/>
    </row>
    <row r="1251" spans="1:20" ht="14.25" hidden="1">
      <c r="A1251" s="1788"/>
      <c r="B1251" s="1788"/>
      <c r="C1251" s="1788"/>
      <c r="D1251" s="1788"/>
      <c r="E1251" s="1789"/>
      <c r="F1251" s="1789"/>
      <c r="G1251" s="1788"/>
      <c r="H1251" s="1788"/>
      <c r="I1251" s="1788"/>
      <c r="J1251" s="91"/>
      <c r="K1251" s="91"/>
      <c r="L1251" s="92"/>
      <c r="M1251" s="93"/>
      <c r="N1251" s="94"/>
      <c r="O1251" s="94"/>
      <c r="P1251" s="94"/>
      <c r="Q1251" s="94"/>
      <c r="R1251" s="94"/>
      <c r="S1251" s="94"/>
      <c r="T1251" s="94"/>
    </row>
    <row r="1252" spans="1:20" ht="14.25" hidden="1">
      <c r="A1252" s="1790"/>
      <c r="B1252" s="1790"/>
      <c r="C1252" s="1790"/>
      <c r="D1252" s="1790"/>
      <c r="E1252" s="1790"/>
      <c r="F1252" s="1790"/>
      <c r="G1252" s="1790"/>
      <c r="H1252" s="1790"/>
      <c r="I1252" s="1790"/>
      <c r="J1252" s="94"/>
      <c r="K1252" s="94"/>
      <c r="L1252" s="93"/>
      <c r="M1252" s="93"/>
      <c r="N1252" s="94"/>
      <c r="O1252" s="94"/>
      <c r="P1252" s="94"/>
      <c r="Q1252" s="94"/>
      <c r="R1252" s="94"/>
      <c r="S1252" s="94"/>
      <c r="T1252" s="94"/>
    </row>
    <row r="1253" spans="1:20" ht="14.25" hidden="1">
      <c r="A1253" s="1790"/>
      <c r="B1253" s="1790"/>
      <c r="C1253" s="1790"/>
      <c r="D1253" s="1790"/>
      <c r="E1253" s="1790"/>
      <c r="F1253" s="1790"/>
      <c r="G1253" s="1790"/>
      <c r="H1253" s="1790"/>
      <c r="I1253" s="1790"/>
      <c r="J1253" s="94"/>
      <c r="K1253" s="94"/>
      <c r="L1253" s="93"/>
      <c r="M1253" s="93"/>
      <c r="N1253" s="94"/>
      <c r="O1253" s="94"/>
      <c r="P1253" s="94"/>
      <c r="Q1253" s="94"/>
      <c r="R1253" s="94"/>
      <c r="S1253" s="94"/>
      <c r="T1253" s="94"/>
    </row>
    <row r="1254" spans="1:20" ht="14.25" hidden="1">
      <c r="A1254" s="1790"/>
      <c r="B1254" s="1790"/>
      <c r="C1254" s="1790"/>
      <c r="D1254" s="1790"/>
      <c r="E1254" s="1790"/>
      <c r="F1254" s="1790"/>
      <c r="G1254" s="1790"/>
      <c r="H1254" s="1790"/>
      <c r="I1254" s="1790"/>
      <c r="J1254" s="94"/>
      <c r="K1254" s="94"/>
      <c r="L1254" s="93"/>
      <c r="M1254" s="93"/>
      <c r="N1254" s="94"/>
      <c r="O1254" s="94"/>
      <c r="P1254" s="94"/>
      <c r="Q1254" s="94"/>
      <c r="R1254" s="94"/>
      <c r="S1254" s="94"/>
      <c r="T1254" s="94"/>
    </row>
    <row r="1255" spans="1:20" ht="14.25" hidden="1">
      <c r="A1255" s="1790"/>
      <c r="B1255" s="1790"/>
      <c r="C1255" s="1790"/>
      <c r="D1255" s="1790"/>
      <c r="E1255" s="1790"/>
      <c r="F1255" s="1790"/>
      <c r="G1255" s="1790"/>
      <c r="H1255" s="1790"/>
      <c r="I1255" s="1790"/>
      <c r="J1255" s="94"/>
      <c r="K1255" s="94"/>
      <c r="L1255" s="93"/>
      <c r="M1255" s="93"/>
      <c r="N1255" s="94"/>
      <c r="O1255" s="94"/>
      <c r="P1255" s="94"/>
      <c r="Q1255" s="94"/>
      <c r="R1255" s="94"/>
      <c r="S1255" s="94"/>
      <c r="T1255" s="94"/>
    </row>
    <row r="1256" spans="1:20" ht="14.25" hidden="1">
      <c r="A1256" s="1790"/>
      <c r="B1256" s="1790"/>
      <c r="C1256" s="1790"/>
      <c r="D1256" s="1790"/>
      <c r="E1256" s="1790"/>
      <c r="F1256" s="1790"/>
      <c r="G1256" s="1790"/>
      <c r="H1256" s="1790"/>
      <c r="I1256" s="1790"/>
      <c r="J1256" s="94"/>
      <c r="K1256" s="94"/>
      <c r="L1256" s="93"/>
      <c r="M1256" s="93"/>
      <c r="N1256" s="94"/>
      <c r="O1256" s="94"/>
      <c r="P1256" s="94"/>
      <c r="Q1256" s="94"/>
      <c r="R1256" s="94"/>
      <c r="S1256" s="94"/>
      <c r="T1256" s="94"/>
    </row>
    <row r="1257" spans="1:20" ht="14.25" hidden="1">
      <c r="A1257" s="1790"/>
      <c r="B1257" s="1790"/>
      <c r="C1257" s="1790"/>
      <c r="D1257" s="1790"/>
      <c r="E1257" s="1790"/>
      <c r="F1257" s="1790"/>
      <c r="G1257" s="1790"/>
      <c r="H1257" s="1790"/>
      <c r="I1257" s="1790"/>
      <c r="J1257" s="94"/>
      <c r="K1257" s="94"/>
      <c r="L1257" s="93"/>
      <c r="M1257" s="93"/>
      <c r="N1257" s="94"/>
      <c r="O1257" s="94"/>
      <c r="P1257" s="94"/>
      <c r="Q1257" s="94"/>
      <c r="R1257" s="94"/>
      <c r="S1257" s="94"/>
      <c r="T1257" s="94"/>
    </row>
    <row r="1258" spans="1:20" ht="14.25" hidden="1">
      <c r="A1258" s="1790"/>
      <c r="B1258" s="1790"/>
      <c r="C1258" s="1790"/>
      <c r="D1258" s="1790"/>
      <c r="E1258" s="1790"/>
      <c r="F1258" s="1790"/>
      <c r="G1258" s="1790"/>
      <c r="H1258" s="1790"/>
      <c r="I1258" s="1790"/>
      <c r="J1258" s="94"/>
      <c r="K1258" s="94"/>
      <c r="L1258" s="93"/>
      <c r="M1258" s="93"/>
      <c r="N1258" s="94"/>
      <c r="O1258" s="94"/>
      <c r="P1258" s="94"/>
      <c r="Q1258" s="94"/>
      <c r="R1258" s="94"/>
      <c r="S1258" s="94"/>
      <c r="T1258" s="94"/>
    </row>
    <row r="1259" spans="1:20" ht="14.25" hidden="1">
      <c r="A1259" s="1790"/>
      <c r="B1259" s="1790"/>
      <c r="C1259" s="1790"/>
      <c r="D1259" s="1790"/>
      <c r="E1259" s="1790"/>
      <c r="F1259" s="1790"/>
      <c r="G1259" s="1790"/>
      <c r="H1259" s="1790"/>
      <c r="I1259" s="1790"/>
      <c r="J1259" s="94"/>
      <c r="K1259" s="94"/>
      <c r="L1259" s="93"/>
      <c r="M1259" s="93"/>
      <c r="N1259" s="94"/>
      <c r="O1259" s="94"/>
      <c r="P1259" s="94"/>
      <c r="Q1259" s="94"/>
      <c r="R1259" s="94"/>
      <c r="S1259" s="94"/>
      <c r="T1259" s="94"/>
    </row>
    <row r="1260" spans="1:20" ht="14.25" hidden="1">
      <c r="A1260" s="1790"/>
      <c r="B1260" s="1790"/>
      <c r="C1260" s="1790"/>
      <c r="D1260" s="1790"/>
      <c r="E1260" s="1790"/>
      <c r="F1260" s="1790"/>
      <c r="G1260" s="1790"/>
      <c r="H1260" s="1790"/>
      <c r="I1260" s="1790"/>
      <c r="J1260" s="94"/>
      <c r="K1260" s="94"/>
      <c r="L1260" s="93"/>
      <c r="M1260" s="93"/>
      <c r="N1260" s="94"/>
      <c r="O1260" s="94"/>
      <c r="P1260" s="94"/>
      <c r="Q1260" s="94"/>
      <c r="R1260" s="94"/>
      <c r="S1260" s="94"/>
      <c r="T1260" s="94"/>
    </row>
    <row r="1261" spans="1:20" ht="14.25" hidden="1">
      <c r="A1261" s="1790"/>
      <c r="B1261" s="1790"/>
      <c r="C1261" s="1790"/>
      <c r="D1261" s="1790"/>
      <c r="E1261" s="1790"/>
      <c r="F1261" s="1790"/>
      <c r="G1261" s="1790"/>
      <c r="H1261" s="1790"/>
      <c r="I1261" s="1790"/>
      <c r="J1261" s="94"/>
      <c r="K1261" s="94"/>
      <c r="L1261" s="93"/>
      <c r="M1261" s="93"/>
      <c r="N1261" s="94"/>
      <c r="O1261" s="94"/>
      <c r="P1261" s="94"/>
      <c r="Q1261" s="94"/>
      <c r="R1261" s="94"/>
      <c r="S1261" s="94"/>
      <c r="T1261" s="94"/>
    </row>
  </sheetData>
  <autoFilter ref="A5:T1261">
    <filterColumn colId="7">
      <filters>
        <filter val="闲置"/>
        <filter val="需要维修"/>
      </filters>
    </filterColumn>
  </autoFilter>
  <mergeCells count="22">
    <mergeCell ref="T150:T152"/>
    <mergeCell ref="T153:T155"/>
    <mergeCell ref="F825:F829"/>
    <mergeCell ref="A1249:T1249"/>
    <mergeCell ref="R4:R5"/>
    <mergeCell ref="S4:S5"/>
    <mergeCell ref="A1250:I1261"/>
    <mergeCell ref="N4:N5"/>
    <mergeCell ref="O4:O5"/>
    <mergeCell ref="P4:P5"/>
    <mergeCell ref="Q4:Q5"/>
    <mergeCell ref="A2:T2"/>
    <mergeCell ref="A3:T3"/>
    <mergeCell ref="A4:A5"/>
    <mergeCell ref="B4:B5"/>
    <mergeCell ref="C4:C5"/>
    <mergeCell ref="D4:D5"/>
    <mergeCell ref="E4:E5"/>
    <mergeCell ref="G4:G5"/>
    <mergeCell ref="H4:H5"/>
    <mergeCell ref="J4:J5"/>
    <mergeCell ref="T4:T5"/>
  </mergeCells>
  <phoneticPr fontId="1" type="noConversion"/>
  <dataValidations count="6">
    <dataValidation type="date" errorStyle="warning" allowBlank="1" showErrorMessage="1" promptTitle="提示" prompt="yyyy/mm/dd" sqref="N35 N49 N130 N832:N859 N904:N1010 N1024 N1075:N1093 N1:N8 N95:N117 N144:N268 N279:N323 N336:N338 N396:N579 N688:N781 N806:N808 N862:N864 N898:N902 N1026:N1048 N1208:N1261">
      <formula1>29221</formula1>
      <formula2>29221</formula2>
    </dataValidation>
    <dataValidation type="date" allowBlank="1" showInputMessage="1" showErrorMessage="1" errorTitle="请按正确格式录入" error="yyyy/mm/dd" sqref="N332:N335 N860:N861 N1011:N1023 N1066:N1073">
      <formula1>29221</formula1>
      <formula2>73415</formula2>
    </dataValidation>
    <dataValidation type="list" allowBlank="1" showInputMessage="1" showErrorMessage="1" sqref="G20:G34 G332:G335 G607:G683 G788:G804 G860:G861 G1011:G1023 G1066:G1073 G1131:G1163 G57:G94">
      <formula1>"良好,微损,损坏"</formula1>
    </dataValidation>
    <dataValidation type="list" allowBlank="1" showInputMessage="1" showErrorMessage="1" sqref="H20:H34 H57:H94 H607:H683 H788:H804 H860:H861 H1011:H1023 H1066:H1073 H1131:H1163 H332:H335">
      <formula1>"在用,闲置"</formula1>
    </dataValidation>
    <dataValidation type="list" errorStyle="warning" allowBlank="1" showErrorMessage="1" sqref="H35 H805:H859 H6:H19 H42:H56 H95:H117 H121:H331 H336:H606 H684:H787 H862:H864 H898:H914 H1024:H1065 H1074:H1093 H1164:H1248">
      <formula1>"在用,闲置"</formula1>
    </dataValidation>
    <dataValidation type="list" errorStyle="warning" allowBlank="1" showErrorMessage="1" sqref="G18:G19 G35 G49:G56 G805:G859 G6:G8 G95:G117 G121:G130 G132:G331 G336:G606 G684:G787 G862:G864 G898:G914 G1024:G1065 G1074:G1093 G1164:G1248">
      <formula1>"良好,微损,损坏"</formula1>
    </dataValidation>
  </dataValidations>
  <pageMargins left="0.7" right="0.7" top="0.75" bottom="0.75" header="0.3" footer="0.3"/>
  <pageSetup paperSize="9" orientation="portrait" horizontalDpi="200" verticalDpi="200" r:id="rId1"/>
</worksheet>
</file>

<file path=xl/worksheets/sheet10.xml><?xml version="1.0" encoding="utf-8"?>
<worksheet xmlns="http://schemas.openxmlformats.org/spreadsheetml/2006/main" xmlns:r="http://schemas.openxmlformats.org/officeDocument/2006/relationships">
  <sheetPr filterMode="1"/>
  <dimension ref="A1:AB1139"/>
  <sheetViews>
    <sheetView workbookViewId="0">
      <selection activeCell="K1126" sqref="K1126"/>
    </sheetView>
  </sheetViews>
  <sheetFormatPr defaultColWidth="9" defaultRowHeight="13.5"/>
  <cols>
    <col min="1" max="1" width="5.5" style="768" customWidth="1"/>
    <col min="2" max="2" width="17.5" style="768" customWidth="1"/>
    <col min="3" max="3" width="17.625" style="768" customWidth="1"/>
    <col min="4" max="4" width="6.125" style="768" customWidth="1"/>
    <col min="5" max="5" width="8.125" style="768" customWidth="1"/>
    <col min="6" max="6" width="9.5" style="768" bestFit="1" customWidth="1"/>
    <col min="7" max="8" width="9" style="768"/>
    <col min="9" max="9" width="8.625" style="768" customWidth="1"/>
    <col min="10" max="10" width="12.875" style="768" customWidth="1"/>
    <col min="11" max="11" width="17.625" style="768" customWidth="1"/>
    <col min="12" max="12" width="11.875" style="768" customWidth="1"/>
    <col min="13" max="13" width="10.625" style="768" customWidth="1"/>
    <col min="14" max="14" width="11" style="768" customWidth="1"/>
    <col min="15" max="15" width="23.75" style="768" customWidth="1"/>
    <col min="16" max="16" width="9.75" style="768" customWidth="1"/>
    <col min="17" max="17" width="15" style="1012" customWidth="1"/>
    <col min="18" max="18" width="23.25" style="768" customWidth="1"/>
    <col min="19" max="19" width="9" style="768" customWidth="1"/>
    <col min="20" max="20" width="19.75" style="768" customWidth="1"/>
    <col min="21" max="21" width="14" style="768" customWidth="1"/>
    <col min="22" max="22" width="13.625" style="768" customWidth="1"/>
    <col min="23" max="23" width="9" style="768"/>
    <col min="24" max="24" width="12.5" style="768" customWidth="1"/>
    <col min="25" max="25" width="12.75" style="768" customWidth="1"/>
    <col min="26" max="16384" width="9" style="768"/>
  </cols>
  <sheetData>
    <row r="1" spans="1:22" ht="25.5">
      <c r="A1" s="2003" t="s">
        <v>6860</v>
      </c>
      <c r="B1" s="2003"/>
      <c r="C1" s="2003"/>
      <c r="D1" s="2003"/>
      <c r="E1" s="2003"/>
      <c r="F1" s="2003"/>
      <c r="G1" s="2003"/>
      <c r="H1" s="2003"/>
      <c r="I1" s="2003"/>
      <c r="J1" s="2004"/>
      <c r="K1" s="2004"/>
      <c r="L1" s="2004"/>
      <c r="M1" s="2003"/>
      <c r="N1" s="2003"/>
      <c r="O1" s="2003"/>
      <c r="P1" s="2003"/>
      <c r="Q1" s="2003"/>
      <c r="R1" s="2003"/>
      <c r="S1" s="2003"/>
      <c r="T1" s="767"/>
      <c r="U1" s="767"/>
    </row>
    <row r="2" spans="1:22" ht="24">
      <c r="A2" s="769" t="s">
        <v>2</v>
      </c>
      <c r="B2" s="769" t="s">
        <v>3</v>
      </c>
      <c r="C2" s="769" t="s">
        <v>4</v>
      </c>
      <c r="D2" s="769" t="s">
        <v>5</v>
      </c>
      <c r="E2" s="769" t="s">
        <v>1729</v>
      </c>
      <c r="F2" s="769" t="s">
        <v>4658</v>
      </c>
      <c r="G2" s="769" t="s">
        <v>8</v>
      </c>
      <c r="H2" s="769" t="s">
        <v>9</v>
      </c>
      <c r="I2" s="769" t="s">
        <v>4659</v>
      </c>
      <c r="J2" s="769" t="s">
        <v>11</v>
      </c>
      <c r="K2" s="769" t="s">
        <v>4660</v>
      </c>
      <c r="L2" s="769" t="s">
        <v>4661</v>
      </c>
      <c r="M2" s="769" t="s">
        <v>4662</v>
      </c>
      <c r="N2" s="769" t="s">
        <v>15</v>
      </c>
      <c r="O2" s="769" t="s">
        <v>16</v>
      </c>
      <c r="P2" s="769" t="s">
        <v>17</v>
      </c>
      <c r="Q2" s="770" t="s">
        <v>18</v>
      </c>
      <c r="R2" s="769" t="s">
        <v>19</v>
      </c>
      <c r="S2" s="769" t="s">
        <v>20</v>
      </c>
      <c r="T2" s="769" t="s">
        <v>21</v>
      </c>
      <c r="U2" s="771"/>
    </row>
    <row r="3" spans="1:22" ht="24" hidden="1" customHeight="1">
      <c r="A3" s="772" t="s">
        <v>26</v>
      </c>
      <c r="B3" s="772" t="s">
        <v>27</v>
      </c>
      <c r="C3" s="772"/>
      <c r="D3" s="772"/>
      <c r="E3" s="772"/>
      <c r="F3" s="772"/>
      <c r="G3" s="772"/>
      <c r="H3" s="772"/>
      <c r="I3" s="772"/>
      <c r="J3" s="772"/>
      <c r="K3" s="772"/>
      <c r="L3" s="772"/>
      <c r="M3" s="772"/>
      <c r="N3" s="772"/>
      <c r="O3" s="772"/>
      <c r="P3" s="772"/>
      <c r="Q3" s="773"/>
      <c r="R3" s="772"/>
      <c r="S3" s="772"/>
      <c r="T3" s="769"/>
      <c r="U3" s="774"/>
    </row>
    <row r="4" spans="1:22" ht="24" hidden="1" customHeight="1">
      <c r="A4" s="769">
        <v>1</v>
      </c>
      <c r="B4" s="769" t="s">
        <v>28</v>
      </c>
      <c r="C4" s="772"/>
      <c r="D4" s="772"/>
      <c r="E4" s="772"/>
      <c r="F4" s="772"/>
      <c r="G4" s="772"/>
      <c r="H4" s="772"/>
      <c r="I4" s="772"/>
      <c r="J4" s="772"/>
      <c r="K4" s="772"/>
      <c r="L4" s="772"/>
      <c r="M4" s="772"/>
      <c r="N4" s="772"/>
      <c r="O4" s="772"/>
      <c r="P4" s="772"/>
      <c r="Q4" s="773"/>
      <c r="R4" s="772"/>
      <c r="S4" s="772"/>
      <c r="T4" s="769"/>
      <c r="U4" s="774"/>
    </row>
    <row r="5" spans="1:22" ht="24" hidden="1" customHeight="1">
      <c r="A5" s="769">
        <v>2</v>
      </c>
      <c r="B5" s="769" t="s">
        <v>84</v>
      </c>
      <c r="C5" s="769"/>
      <c r="D5" s="769"/>
      <c r="E5" s="769"/>
      <c r="F5" s="769"/>
      <c r="G5" s="769"/>
      <c r="H5" s="775"/>
      <c r="I5" s="769"/>
      <c r="J5" s="769"/>
      <c r="K5" s="776"/>
      <c r="L5" s="777"/>
      <c r="M5" s="777"/>
      <c r="N5" s="772"/>
      <c r="O5" s="769"/>
      <c r="P5" s="776"/>
      <c r="Q5" s="770"/>
      <c r="R5" s="769"/>
      <c r="S5" s="778"/>
      <c r="T5" s="769"/>
      <c r="U5" s="774"/>
    </row>
    <row r="6" spans="1:22" ht="24" customHeight="1">
      <c r="A6" s="779"/>
      <c r="B6" s="769" t="s">
        <v>4663</v>
      </c>
      <c r="C6" s="769" t="s">
        <v>4664</v>
      </c>
      <c r="D6" s="769" t="s">
        <v>2084</v>
      </c>
      <c r="E6" s="769">
        <v>14.734999999999999</v>
      </c>
      <c r="F6" s="769">
        <v>14.734999999999999</v>
      </c>
      <c r="G6" s="769" t="s">
        <v>32</v>
      </c>
      <c r="H6" s="769" t="s">
        <v>41</v>
      </c>
      <c r="I6" s="769" t="s">
        <v>6861</v>
      </c>
      <c r="J6" s="769" t="s">
        <v>4666</v>
      </c>
      <c r="K6" s="769" t="s">
        <v>4667</v>
      </c>
      <c r="L6" s="769">
        <v>86936.5</v>
      </c>
      <c r="M6" s="769">
        <v>26080.95</v>
      </c>
      <c r="N6" s="769">
        <v>2012.03</v>
      </c>
      <c r="O6" s="769" t="s">
        <v>4668</v>
      </c>
      <c r="P6" s="769" t="s">
        <v>4669</v>
      </c>
      <c r="Q6" s="770">
        <v>15835489945</v>
      </c>
      <c r="R6" s="769" t="s">
        <v>4666</v>
      </c>
      <c r="S6" s="780" t="s">
        <v>4670</v>
      </c>
      <c r="T6" s="769"/>
      <c r="U6" s="781"/>
      <c r="V6" s="1566"/>
    </row>
    <row r="7" spans="1:22" ht="24" customHeight="1">
      <c r="A7" s="779"/>
      <c r="B7" s="769" t="s">
        <v>4663</v>
      </c>
      <c r="C7" s="769" t="s">
        <v>4671</v>
      </c>
      <c r="D7" s="769" t="s">
        <v>2084</v>
      </c>
      <c r="E7" s="769">
        <v>16.268000000000001</v>
      </c>
      <c r="F7" s="769">
        <v>16.268000000000001</v>
      </c>
      <c r="G7" s="769" t="s">
        <v>32</v>
      </c>
      <c r="H7" s="769" t="s">
        <v>41</v>
      </c>
      <c r="I7" s="769" t="s">
        <v>6861</v>
      </c>
      <c r="J7" s="769" t="s">
        <v>4666</v>
      </c>
      <c r="K7" s="769" t="s">
        <v>4667</v>
      </c>
      <c r="L7" s="769">
        <v>95981.2</v>
      </c>
      <c r="M7" s="769">
        <v>28794.36</v>
      </c>
      <c r="N7" s="769">
        <v>2012.03</v>
      </c>
      <c r="O7" s="769" t="s">
        <v>4668</v>
      </c>
      <c r="P7" s="769" t="s">
        <v>4669</v>
      </c>
      <c r="Q7" s="770">
        <v>15835489945</v>
      </c>
      <c r="R7" s="769" t="s">
        <v>4666</v>
      </c>
      <c r="S7" s="780" t="s">
        <v>4670</v>
      </c>
      <c r="T7" s="769"/>
      <c r="U7" s="781"/>
      <c r="V7" s="1566"/>
    </row>
    <row r="8" spans="1:22" ht="24" customHeight="1">
      <c r="A8" s="779"/>
      <c r="B8" s="769" t="s">
        <v>4663</v>
      </c>
      <c r="C8" s="769" t="s">
        <v>4672</v>
      </c>
      <c r="D8" s="769" t="s">
        <v>2084</v>
      </c>
      <c r="E8" s="769">
        <v>15.849</v>
      </c>
      <c r="F8" s="769">
        <v>15.849</v>
      </c>
      <c r="G8" s="769" t="s">
        <v>32</v>
      </c>
      <c r="H8" s="769" t="s">
        <v>41</v>
      </c>
      <c r="I8" s="769" t="s">
        <v>6861</v>
      </c>
      <c r="J8" s="769" t="s">
        <v>4666</v>
      </c>
      <c r="K8" s="769" t="s">
        <v>4667</v>
      </c>
      <c r="L8" s="769">
        <v>93509.1</v>
      </c>
      <c r="M8" s="769">
        <v>28052.73</v>
      </c>
      <c r="N8" s="769">
        <v>2012.03</v>
      </c>
      <c r="O8" s="769" t="s">
        <v>4668</v>
      </c>
      <c r="P8" s="769" t="s">
        <v>4669</v>
      </c>
      <c r="Q8" s="770">
        <v>15835489945</v>
      </c>
      <c r="R8" s="769" t="s">
        <v>4666</v>
      </c>
      <c r="S8" s="780" t="s">
        <v>4670</v>
      </c>
      <c r="T8" s="769"/>
      <c r="U8" s="781"/>
      <c r="V8" s="1566"/>
    </row>
    <row r="9" spans="1:22" ht="24" customHeight="1">
      <c r="A9" s="779"/>
      <c r="B9" s="769" t="s">
        <v>4673</v>
      </c>
      <c r="C9" s="769" t="s">
        <v>6862</v>
      </c>
      <c r="D9" s="769" t="s">
        <v>2084</v>
      </c>
      <c r="E9" s="769">
        <v>1</v>
      </c>
      <c r="F9" s="769">
        <v>6.4640000000000004</v>
      </c>
      <c r="G9" s="769" t="s">
        <v>32</v>
      </c>
      <c r="H9" s="769" t="s">
        <v>41</v>
      </c>
      <c r="I9" s="769" t="s">
        <v>34</v>
      </c>
      <c r="J9" s="769" t="s">
        <v>4666</v>
      </c>
      <c r="K9" s="769" t="s">
        <v>4667</v>
      </c>
      <c r="L9" s="769">
        <v>40076.800000000003</v>
      </c>
      <c r="M9" s="769">
        <v>12023.04</v>
      </c>
      <c r="N9" s="769">
        <v>2012.03</v>
      </c>
      <c r="O9" s="769" t="s">
        <v>4674</v>
      </c>
      <c r="P9" s="769" t="s">
        <v>4669</v>
      </c>
      <c r="Q9" s="770">
        <v>15835489945</v>
      </c>
      <c r="R9" s="769" t="s">
        <v>4666</v>
      </c>
      <c r="S9" s="780" t="s">
        <v>4670</v>
      </c>
      <c r="T9" s="769"/>
      <c r="U9" s="781"/>
      <c r="V9" s="1566"/>
    </row>
    <row r="10" spans="1:22" ht="24" hidden="1" customHeight="1">
      <c r="A10" s="769">
        <v>3</v>
      </c>
      <c r="B10" s="769" t="s">
        <v>134</v>
      </c>
      <c r="C10" s="769"/>
      <c r="D10" s="769"/>
      <c r="E10" s="769"/>
      <c r="F10" s="769"/>
      <c r="G10" s="769"/>
      <c r="H10" s="769"/>
      <c r="I10" s="769"/>
      <c r="J10" s="769"/>
      <c r="K10" s="776"/>
      <c r="L10" s="777"/>
      <c r="M10" s="777"/>
      <c r="N10" s="772"/>
      <c r="O10" s="769"/>
      <c r="P10" s="776"/>
      <c r="Q10" s="770"/>
      <c r="R10" s="769"/>
      <c r="S10" s="778"/>
      <c r="T10" s="769"/>
      <c r="U10" s="774"/>
    </row>
    <row r="11" spans="1:22" ht="24" hidden="1" customHeight="1">
      <c r="A11" s="769">
        <v>4</v>
      </c>
      <c r="B11" s="769" t="s">
        <v>353</v>
      </c>
      <c r="C11" s="769"/>
      <c r="D11" s="769"/>
      <c r="E11" s="769"/>
      <c r="F11" s="769"/>
      <c r="G11" s="769"/>
      <c r="H11" s="769"/>
      <c r="I11" s="769"/>
      <c r="J11" s="769"/>
      <c r="K11" s="776"/>
      <c r="L11" s="777"/>
      <c r="M11" s="777"/>
      <c r="N11" s="772"/>
      <c r="O11" s="769"/>
      <c r="P11" s="776"/>
      <c r="Q11" s="770"/>
      <c r="R11" s="769"/>
      <c r="S11" s="778"/>
      <c r="T11" s="769"/>
      <c r="U11" s="774"/>
    </row>
    <row r="12" spans="1:22" ht="24" hidden="1" customHeight="1">
      <c r="A12" s="769">
        <v>5</v>
      </c>
      <c r="B12" s="769" t="s">
        <v>510</v>
      </c>
      <c r="C12" s="769"/>
      <c r="D12" s="769"/>
      <c r="E12" s="769"/>
      <c r="F12" s="769"/>
      <c r="G12" s="769"/>
      <c r="H12" s="769"/>
      <c r="I12" s="769"/>
      <c r="J12" s="769"/>
      <c r="K12" s="776"/>
      <c r="L12" s="777"/>
      <c r="M12" s="777"/>
      <c r="N12" s="772"/>
      <c r="O12" s="769"/>
      <c r="P12" s="776"/>
      <c r="Q12" s="770"/>
      <c r="R12" s="769"/>
      <c r="S12" s="778"/>
      <c r="T12" s="769"/>
      <c r="U12" s="774"/>
    </row>
    <row r="13" spans="1:22" ht="24" customHeight="1">
      <c r="A13" s="779"/>
      <c r="B13" s="769" t="s">
        <v>6863</v>
      </c>
      <c r="C13" s="769" t="s">
        <v>4675</v>
      </c>
      <c r="D13" s="769" t="s">
        <v>79</v>
      </c>
      <c r="E13" s="769">
        <v>1</v>
      </c>
      <c r="F13" s="769" t="s">
        <v>34</v>
      </c>
      <c r="G13" s="769" t="s">
        <v>3560</v>
      </c>
      <c r="H13" s="769" t="s">
        <v>41</v>
      </c>
      <c r="I13" s="769" t="s">
        <v>6861</v>
      </c>
      <c r="J13" s="769" t="s">
        <v>34</v>
      </c>
      <c r="K13" s="776" t="s">
        <v>34</v>
      </c>
      <c r="L13" s="777">
        <v>3782450</v>
      </c>
      <c r="M13" s="777">
        <v>3782450</v>
      </c>
      <c r="N13" s="769">
        <v>2009.06</v>
      </c>
      <c r="O13" s="769" t="s">
        <v>4676</v>
      </c>
      <c r="P13" s="776" t="s">
        <v>4677</v>
      </c>
      <c r="Q13" s="770">
        <v>13643450564</v>
      </c>
      <c r="R13" s="769" t="s">
        <v>4678</v>
      </c>
      <c r="S13" s="780" t="s">
        <v>4670</v>
      </c>
      <c r="T13" s="769"/>
      <c r="U13" s="774"/>
    </row>
    <row r="14" spans="1:22" ht="24" customHeight="1">
      <c r="A14" s="779"/>
      <c r="B14" s="769" t="s">
        <v>4679</v>
      </c>
      <c r="C14" s="769" t="s">
        <v>4680</v>
      </c>
      <c r="D14" s="769" t="s">
        <v>79</v>
      </c>
      <c r="E14" s="769">
        <v>1</v>
      </c>
      <c r="F14" s="769" t="s">
        <v>34</v>
      </c>
      <c r="G14" s="769" t="s">
        <v>3560</v>
      </c>
      <c r="H14" s="769" t="s">
        <v>41</v>
      </c>
      <c r="I14" s="769" t="s">
        <v>6861</v>
      </c>
      <c r="J14" s="769" t="s">
        <v>34</v>
      </c>
      <c r="K14" s="776" t="s">
        <v>34</v>
      </c>
      <c r="L14" s="777">
        <v>4646520</v>
      </c>
      <c r="M14" s="777">
        <v>4646520</v>
      </c>
      <c r="N14" s="769">
        <v>2009.06</v>
      </c>
      <c r="O14" s="769" t="s">
        <v>4676</v>
      </c>
      <c r="P14" s="776" t="s">
        <v>4677</v>
      </c>
      <c r="Q14" s="770">
        <v>13643450564</v>
      </c>
      <c r="R14" s="769" t="s">
        <v>4678</v>
      </c>
      <c r="S14" s="780" t="s">
        <v>4670</v>
      </c>
      <c r="T14" s="769"/>
      <c r="U14" s="774"/>
    </row>
    <row r="15" spans="1:22" ht="24" customHeight="1">
      <c r="A15" s="779"/>
      <c r="B15" s="769" t="s">
        <v>4679</v>
      </c>
      <c r="C15" s="769" t="s">
        <v>4681</v>
      </c>
      <c r="D15" s="769" t="s">
        <v>79</v>
      </c>
      <c r="E15" s="769">
        <v>1</v>
      </c>
      <c r="F15" s="769" t="s">
        <v>34</v>
      </c>
      <c r="G15" s="769" t="s">
        <v>3560</v>
      </c>
      <c r="H15" s="769" t="s">
        <v>41</v>
      </c>
      <c r="I15" s="769" t="s">
        <v>6861</v>
      </c>
      <c r="J15" s="769" t="s">
        <v>34</v>
      </c>
      <c r="K15" s="776" t="s">
        <v>34</v>
      </c>
      <c r="L15" s="777">
        <v>3316000</v>
      </c>
      <c r="M15" s="777">
        <v>3316000</v>
      </c>
      <c r="N15" s="769">
        <v>2010.08</v>
      </c>
      <c r="O15" s="769" t="s">
        <v>4676</v>
      </c>
      <c r="P15" s="776" t="s">
        <v>4677</v>
      </c>
      <c r="Q15" s="770">
        <v>13643450564</v>
      </c>
      <c r="R15" s="769" t="s">
        <v>4678</v>
      </c>
      <c r="S15" s="780" t="s">
        <v>4670</v>
      </c>
      <c r="T15" s="769"/>
      <c r="U15" s="774"/>
    </row>
    <row r="16" spans="1:22" ht="24" customHeight="1">
      <c r="A16" s="782"/>
      <c r="B16" s="360" t="s">
        <v>1546</v>
      </c>
      <c r="C16" s="360"/>
      <c r="D16" s="360" t="s">
        <v>3475</v>
      </c>
      <c r="E16" s="1567">
        <v>148</v>
      </c>
      <c r="F16" s="783" t="s">
        <v>34</v>
      </c>
      <c r="G16" s="783" t="s">
        <v>32</v>
      </c>
      <c r="H16" s="783" t="s">
        <v>6864</v>
      </c>
      <c r="I16" s="782" t="s">
        <v>34</v>
      </c>
      <c r="J16" s="784" t="s">
        <v>4682</v>
      </c>
      <c r="K16" s="783" t="s">
        <v>4683</v>
      </c>
      <c r="L16" s="785">
        <v>214796.46</v>
      </c>
      <c r="M16" s="786">
        <v>0</v>
      </c>
      <c r="N16" s="769">
        <v>2020.01</v>
      </c>
      <c r="O16" s="787" t="s">
        <v>6865</v>
      </c>
      <c r="P16" s="782" t="s">
        <v>4684</v>
      </c>
      <c r="Q16" s="788">
        <v>15034117366</v>
      </c>
      <c r="R16" s="789" t="s">
        <v>4682</v>
      </c>
      <c r="S16" s="789" t="s">
        <v>4670</v>
      </c>
      <c r="T16" s="769"/>
      <c r="U16" s="774"/>
    </row>
    <row r="17" spans="1:22" ht="24" hidden="1" customHeight="1">
      <c r="A17" s="779"/>
      <c r="B17" s="789" t="s">
        <v>1546</v>
      </c>
      <c r="C17" s="360" t="s">
        <v>4685</v>
      </c>
      <c r="D17" s="360" t="s">
        <v>3701</v>
      </c>
      <c r="E17" s="790">
        <v>1646.0176991000001</v>
      </c>
      <c r="F17" s="783" t="s">
        <v>34</v>
      </c>
      <c r="G17" s="783" t="s">
        <v>32</v>
      </c>
      <c r="H17" s="791" t="s">
        <v>33</v>
      </c>
      <c r="I17" s="782" t="s">
        <v>34</v>
      </c>
      <c r="J17" s="783" t="s">
        <v>34</v>
      </c>
      <c r="K17" s="783" t="s">
        <v>4686</v>
      </c>
      <c r="L17" s="294">
        <v>76796.600000000006</v>
      </c>
      <c r="M17" s="792">
        <v>0</v>
      </c>
      <c r="N17" s="793">
        <v>2020.06</v>
      </c>
      <c r="O17" s="783" t="s">
        <v>6866</v>
      </c>
      <c r="P17" s="794" t="s">
        <v>6867</v>
      </c>
      <c r="Q17" s="795">
        <v>13485329413</v>
      </c>
      <c r="R17" s="796" t="s">
        <v>4688</v>
      </c>
      <c r="S17" s="797" t="s">
        <v>4670</v>
      </c>
      <c r="T17" s="769"/>
      <c r="U17" s="798"/>
      <c r="V17" s="799"/>
    </row>
    <row r="18" spans="1:22" ht="24" hidden="1" customHeight="1">
      <c r="A18" s="779"/>
      <c r="B18" s="789" t="s">
        <v>1605</v>
      </c>
      <c r="C18" s="360" t="s">
        <v>4689</v>
      </c>
      <c r="D18" s="360" t="s">
        <v>603</v>
      </c>
      <c r="E18" s="790">
        <v>41.592920354</v>
      </c>
      <c r="F18" s="783" t="s">
        <v>34</v>
      </c>
      <c r="G18" s="783" t="s">
        <v>32</v>
      </c>
      <c r="H18" s="791" t="s">
        <v>33</v>
      </c>
      <c r="I18" s="782" t="s">
        <v>34</v>
      </c>
      <c r="J18" s="783" t="s">
        <v>34</v>
      </c>
      <c r="K18" s="783" t="s">
        <v>4686</v>
      </c>
      <c r="L18" s="294">
        <v>187417.7</v>
      </c>
      <c r="M18" s="792">
        <v>0</v>
      </c>
      <c r="N18" s="793">
        <v>2020.06</v>
      </c>
      <c r="O18" s="783" t="s">
        <v>4690</v>
      </c>
      <c r="P18" s="794" t="s">
        <v>6867</v>
      </c>
      <c r="Q18" s="795">
        <v>13485329413</v>
      </c>
      <c r="R18" s="796" t="s">
        <v>4688</v>
      </c>
      <c r="S18" s="797" t="s">
        <v>4670</v>
      </c>
      <c r="T18" s="769"/>
      <c r="U18" s="798"/>
      <c r="V18" s="799"/>
    </row>
    <row r="19" spans="1:22" ht="24" hidden="1" customHeight="1">
      <c r="A19" s="779"/>
      <c r="B19" s="789" t="s">
        <v>1546</v>
      </c>
      <c r="C19" s="360" t="s">
        <v>4685</v>
      </c>
      <c r="D19" s="360" t="s">
        <v>3701</v>
      </c>
      <c r="E19" s="790">
        <v>1646.0176991000001</v>
      </c>
      <c r="F19" s="783" t="s">
        <v>34</v>
      </c>
      <c r="G19" s="783" t="s">
        <v>32</v>
      </c>
      <c r="H19" s="791" t="s">
        <v>33</v>
      </c>
      <c r="I19" s="782" t="s">
        <v>34</v>
      </c>
      <c r="J19" s="783" t="s">
        <v>34</v>
      </c>
      <c r="K19" s="783" t="s">
        <v>4686</v>
      </c>
      <c r="L19" s="294">
        <v>162460.29999999999</v>
      </c>
      <c r="M19" s="792">
        <v>0</v>
      </c>
      <c r="N19" s="793">
        <v>2020.09</v>
      </c>
      <c r="O19" s="783" t="s">
        <v>4690</v>
      </c>
      <c r="P19" s="794" t="s">
        <v>6867</v>
      </c>
      <c r="Q19" s="795">
        <v>13485329413</v>
      </c>
      <c r="R19" s="796" t="s">
        <v>4688</v>
      </c>
      <c r="S19" s="797" t="s">
        <v>4670</v>
      </c>
      <c r="T19" s="769"/>
      <c r="U19" s="798"/>
      <c r="V19" s="799"/>
    </row>
    <row r="20" spans="1:22" ht="24" hidden="1" customHeight="1">
      <c r="A20" s="779"/>
      <c r="B20" s="789" t="s">
        <v>1605</v>
      </c>
      <c r="C20" s="360" t="s">
        <v>4689</v>
      </c>
      <c r="D20" s="360" t="s">
        <v>603</v>
      </c>
      <c r="E20" s="790">
        <v>41.592920354</v>
      </c>
      <c r="F20" s="783" t="s">
        <v>34</v>
      </c>
      <c r="G20" s="783" t="s">
        <v>32</v>
      </c>
      <c r="H20" s="791" t="s">
        <v>33</v>
      </c>
      <c r="I20" s="782" t="s">
        <v>34</v>
      </c>
      <c r="J20" s="783" t="s">
        <v>34</v>
      </c>
      <c r="K20" s="783" t="s">
        <v>4686</v>
      </c>
      <c r="L20" s="294">
        <v>644440.73</v>
      </c>
      <c r="M20" s="792">
        <v>0</v>
      </c>
      <c r="N20" s="793">
        <v>2020.09</v>
      </c>
      <c r="O20" s="783" t="s">
        <v>4690</v>
      </c>
      <c r="P20" s="794" t="s">
        <v>6867</v>
      </c>
      <c r="Q20" s="795">
        <v>13485329413</v>
      </c>
      <c r="R20" s="796" t="s">
        <v>4688</v>
      </c>
      <c r="S20" s="797" t="s">
        <v>4670</v>
      </c>
      <c r="T20" s="769"/>
      <c r="U20" s="798"/>
      <c r="V20" s="799"/>
    </row>
    <row r="21" spans="1:22" ht="24" hidden="1" customHeight="1">
      <c r="A21" s="779"/>
      <c r="B21" s="789" t="s">
        <v>1546</v>
      </c>
      <c r="C21" s="360" t="s">
        <v>4685</v>
      </c>
      <c r="D21" s="360" t="s">
        <v>3701</v>
      </c>
      <c r="E21" s="360">
        <v>254.64500000000001</v>
      </c>
      <c r="F21" s="783" t="s">
        <v>34</v>
      </c>
      <c r="G21" s="783" t="s">
        <v>32</v>
      </c>
      <c r="H21" s="791" t="s">
        <v>33</v>
      </c>
      <c r="I21" s="782" t="s">
        <v>34</v>
      </c>
      <c r="J21" s="783" t="s">
        <v>34</v>
      </c>
      <c r="K21" s="783" t="s">
        <v>4686</v>
      </c>
      <c r="L21" s="294">
        <v>419150.2</v>
      </c>
      <c r="M21" s="792">
        <v>0</v>
      </c>
      <c r="N21" s="793">
        <v>2020.11</v>
      </c>
      <c r="O21" s="783" t="s">
        <v>4690</v>
      </c>
      <c r="P21" s="794" t="s">
        <v>6867</v>
      </c>
      <c r="Q21" s="795">
        <v>13485329413</v>
      </c>
      <c r="R21" s="796" t="s">
        <v>4688</v>
      </c>
      <c r="S21" s="797" t="s">
        <v>4670</v>
      </c>
      <c r="T21" s="769"/>
      <c r="U21" s="798"/>
      <c r="V21" s="799"/>
    </row>
    <row r="22" spans="1:22" ht="24" hidden="1" customHeight="1">
      <c r="A22" s="779"/>
      <c r="B22" s="789" t="s">
        <v>1546</v>
      </c>
      <c r="C22" s="360" t="s">
        <v>4685</v>
      </c>
      <c r="D22" s="360" t="s">
        <v>3701</v>
      </c>
      <c r="E22" s="790">
        <v>46.655999999999999</v>
      </c>
      <c r="F22" s="793" t="s">
        <v>34</v>
      </c>
      <c r="G22" s="793" t="s">
        <v>32</v>
      </c>
      <c r="H22" s="800" t="s">
        <v>33</v>
      </c>
      <c r="I22" s="801" t="s">
        <v>34</v>
      </c>
      <c r="J22" s="793" t="s">
        <v>34</v>
      </c>
      <c r="K22" s="793" t="s">
        <v>4686</v>
      </c>
      <c r="L22" s="294">
        <v>291150.44247800001</v>
      </c>
      <c r="M22" s="792">
        <v>0</v>
      </c>
      <c r="N22" s="793">
        <v>2021.01</v>
      </c>
      <c r="O22" s="793" t="s">
        <v>4690</v>
      </c>
      <c r="P22" s="794" t="s">
        <v>6867</v>
      </c>
      <c r="Q22" s="795">
        <v>13485329413</v>
      </c>
      <c r="R22" s="796" t="s">
        <v>4688</v>
      </c>
      <c r="S22" s="796" t="s">
        <v>4670</v>
      </c>
      <c r="T22" s="769"/>
      <c r="U22" s="798"/>
      <c r="V22" s="799"/>
    </row>
    <row r="23" spans="1:22" ht="24" hidden="1" customHeight="1">
      <c r="A23" s="779"/>
      <c r="B23" s="789" t="s">
        <v>1605</v>
      </c>
      <c r="C23" s="360" t="s">
        <v>4689</v>
      </c>
      <c r="D23" s="360" t="s">
        <v>603</v>
      </c>
      <c r="E23" s="790">
        <v>4506</v>
      </c>
      <c r="F23" s="793" t="s">
        <v>34</v>
      </c>
      <c r="G23" s="793" t="s">
        <v>32</v>
      </c>
      <c r="H23" s="800" t="s">
        <v>33</v>
      </c>
      <c r="I23" s="801" t="s">
        <v>34</v>
      </c>
      <c r="J23" s="793" t="s">
        <v>34</v>
      </c>
      <c r="K23" s="793" t="s">
        <v>4686</v>
      </c>
      <c r="L23" s="294">
        <v>138265.48672439999</v>
      </c>
      <c r="M23" s="792">
        <v>0</v>
      </c>
      <c r="N23" s="793">
        <v>2021.01</v>
      </c>
      <c r="O23" s="793" t="s">
        <v>4690</v>
      </c>
      <c r="P23" s="794" t="s">
        <v>6867</v>
      </c>
      <c r="Q23" s="795">
        <v>13485329413</v>
      </c>
      <c r="R23" s="796" t="s">
        <v>4688</v>
      </c>
      <c r="S23" s="796" t="s">
        <v>4670</v>
      </c>
      <c r="T23" s="769"/>
      <c r="U23" s="798"/>
      <c r="V23" s="799"/>
    </row>
    <row r="24" spans="1:22" ht="24" hidden="1" customHeight="1">
      <c r="A24" s="779"/>
      <c r="B24" s="789" t="s">
        <v>1546</v>
      </c>
      <c r="C24" s="789" t="s">
        <v>4691</v>
      </c>
      <c r="D24" s="360" t="s">
        <v>3701</v>
      </c>
      <c r="E24" s="360">
        <v>306.8</v>
      </c>
      <c r="F24" s="793" t="s">
        <v>34</v>
      </c>
      <c r="G24" s="793" t="s">
        <v>32</v>
      </c>
      <c r="H24" s="800" t="s">
        <v>33</v>
      </c>
      <c r="I24" s="801" t="s">
        <v>34</v>
      </c>
      <c r="J24" s="793" t="s">
        <v>34</v>
      </c>
      <c r="K24" s="793"/>
      <c r="L24" s="294">
        <v>325311.67</v>
      </c>
      <c r="M24" s="792">
        <v>0</v>
      </c>
      <c r="N24" s="793">
        <v>2021.03</v>
      </c>
      <c r="O24" s="793" t="s">
        <v>4690</v>
      </c>
      <c r="P24" s="794" t="s">
        <v>6867</v>
      </c>
      <c r="Q24" s="795">
        <v>13485329413</v>
      </c>
      <c r="R24" s="796" t="s">
        <v>4688</v>
      </c>
      <c r="S24" s="796" t="s">
        <v>4670</v>
      </c>
      <c r="T24" s="793" t="s">
        <v>4692</v>
      </c>
      <c r="U24" s="802"/>
      <c r="V24" s="799"/>
    </row>
    <row r="25" spans="1:22" ht="24" hidden="1" customHeight="1">
      <c r="A25" s="779"/>
      <c r="B25" s="789" t="s">
        <v>1546</v>
      </c>
      <c r="C25" s="789" t="s">
        <v>4693</v>
      </c>
      <c r="D25" s="360" t="s">
        <v>3701</v>
      </c>
      <c r="E25" s="360">
        <v>209.17</v>
      </c>
      <c r="F25" s="793" t="s">
        <v>34</v>
      </c>
      <c r="G25" s="793" t="s">
        <v>32</v>
      </c>
      <c r="H25" s="800" t="s">
        <v>33</v>
      </c>
      <c r="I25" s="801" t="s">
        <v>34</v>
      </c>
      <c r="J25" s="793" t="s">
        <v>34</v>
      </c>
      <c r="K25" s="793"/>
      <c r="L25" s="294">
        <v>221790.21</v>
      </c>
      <c r="M25" s="792">
        <v>0</v>
      </c>
      <c r="N25" s="793">
        <v>2021.03</v>
      </c>
      <c r="O25" s="793" t="s">
        <v>4690</v>
      </c>
      <c r="P25" s="794" t="s">
        <v>6868</v>
      </c>
      <c r="Q25" s="795">
        <v>13485329413</v>
      </c>
      <c r="R25" s="796" t="s">
        <v>4688</v>
      </c>
      <c r="S25" s="796" t="s">
        <v>4670</v>
      </c>
      <c r="T25" s="793" t="s">
        <v>4692</v>
      </c>
      <c r="U25" s="802"/>
      <c r="V25" s="799"/>
    </row>
    <row r="26" spans="1:22" ht="24" hidden="1" customHeight="1">
      <c r="A26" s="779"/>
      <c r="B26" s="789" t="s">
        <v>1546</v>
      </c>
      <c r="C26" s="789" t="s">
        <v>4694</v>
      </c>
      <c r="D26" s="360" t="s">
        <v>3701</v>
      </c>
      <c r="E26" s="360">
        <v>156.49</v>
      </c>
      <c r="F26" s="793" t="s">
        <v>34</v>
      </c>
      <c r="G26" s="793" t="s">
        <v>32</v>
      </c>
      <c r="H26" s="800" t="s">
        <v>33</v>
      </c>
      <c r="I26" s="801" t="s">
        <v>34</v>
      </c>
      <c r="J26" s="793" t="s">
        <v>34</v>
      </c>
      <c r="K26" s="793"/>
      <c r="L26" s="294">
        <v>138276.03</v>
      </c>
      <c r="M26" s="792">
        <v>0</v>
      </c>
      <c r="N26" s="793">
        <v>2021.03</v>
      </c>
      <c r="O26" s="793" t="s">
        <v>4690</v>
      </c>
      <c r="P26" s="794" t="s">
        <v>6868</v>
      </c>
      <c r="Q26" s="795">
        <v>13485329413</v>
      </c>
      <c r="R26" s="796" t="s">
        <v>4688</v>
      </c>
      <c r="S26" s="796" t="s">
        <v>4670</v>
      </c>
      <c r="T26" s="793" t="s">
        <v>4692</v>
      </c>
      <c r="U26" s="802"/>
      <c r="V26" s="799"/>
    </row>
    <row r="27" spans="1:22" ht="24" hidden="1" customHeight="1">
      <c r="A27" s="779"/>
      <c r="B27" s="789" t="s">
        <v>1546</v>
      </c>
      <c r="C27" s="789" t="s">
        <v>4695</v>
      </c>
      <c r="D27" s="360" t="s">
        <v>3701</v>
      </c>
      <c r="E27" s="360">
        <v>7.2</v>
      </c>
      <c r="F27" s="793" t="s">
        <v>34</v>
      </c>
      <c r="G27" s="793" t="s">
        <v>32</v>
      </c>
      <c r="H27" s="800" t="s">
        <v>33</v>
      </c>
      <c r="I27" s="801" t="s">
        <v>34</v>
      </c>
      <c r="J27" s="793" t="s">
        <v>34</v>
      </c>
      <c r="K27" s="793"/>
      <c r="L27" s="294">
        <v>5089.66</v>
      </c>
      <c r="M27" s="792">
        <v>0</v>
      </c>
      <c r="N27" s="793">
        <v>2021.03</v>
      </c>
      <c r="O27" s="793" t="s">
        <v>4690</v>
      </c>
      <c r="P27" s="794" t="s">
        <v>4687</v>
      </c>
      <c r="Q27" s="795">
        <v>13485329413</v>
      </c>
      <c r="R27" s="796" t="s">
        <v>4688</v>
      </c>
      <c r="S27" s="796" t="s">
        <v>4670</v>
      </c>
      <c r="T27" s="793" t="s">
        <v>4692</v>
      </c>
      <c r="U27" s="802"/>
      <c r="V27" s="799"/>
    </row>
    <row r="28" spans="1:22" ht="24" hidden="1" customHeight="1">
      <c r="A28" s="779"/>
      <c r="B28" s="792" t="s">
        <v>1605</v>
      </c>
      <c r="C28" s="1283" t="s">
        <v>4689</v>
      </c>
      <c r="D28" s="1283" t="s">
        <v>603</v>
      </c>
      <c r="E28" s="804">
        <v>5270</v>
      </c>
      <c r="F28" s="793" t="s">
        <v>34</v>
      </c>
      <c r="G28" s="793" t="s">
        <v>32</v>
      </c>
      <c r="H28" s="800" t="s">
        <v>33</v>
      </c>
      <c r="I28" s="801" t="s">
        <v>34</v>
      </c>
      <c r="J28" s="793" t="s">
        <v>34</v>
      </c>
      <c r="K28" s="793" t="s">
        <v>4686</v>
      </c>
      <c r="L28" s="294">
        <v>228522.12389380499</v>
      </c>
      <c r="M28" s="792">
        <v>0</v>
      </c>
      <c r="N28" s="793">
        <v>2021.09</v>
      </c>
      <c r="O28" s="793" t="s">
        <v>4690</v>
      </c>
      <c r="P28" s="805" t="s">
        <v>4687</v>
      </c>
      <c r="Q28" s="792">
        <v>13485329413</v>
      </c>
      <c r="R28" s="792" t="s">
        <v>4688</v>
      </c>
      <c r="S28" s="792" t="s">
        <v>4670</v>
      </c>
      <c r="T28" s="769"/>
      <c r="U28" s="802"/>
      <c r="V28" s="799"/>
    </row>
    <row r="29" spans="1:22" ht="24" hidden="1" customHeight="1">
      <c r="A29" s="779"/>
      <c r="B29" s="793" t="s">
        <v>1605</v>
      </c>
      <c r="C29" s="793" t="s">
        <v>4696</v>
      </c>
      <c r="D29" s="801" t="s">
        <v>1369</v>
      </c>
      <c r="E29" s="806">
        <v>5977.78</v>
      </c>
      <c r="F29" s="793" t="s">
        <v>34</v>
      </c>
      <c r="G29" s="793" t="s">
        <v>32</v>
      </c>
      <c r="H29" s="800" t="s">
        <v>33</v>
      </c>
      <c r="I29" s="801" t="s">
        <v>34</v>
      </c>
      <c r="J29" s="801" t="s">
        <v>34</v>
      </c>
      <c r="K29" s="793" t="s">
        <v>4697</v>
      </c>
      <c r="L29" s="793">
        <v>158702.12</v>
      </c>
      <c r="M29" s="792">
        <v>0</v>
      </c>
      <c r="N29" s="793">
        <v>2020.12</v>
      </c>
      <c r="O29" s="793" t="s">
        <v>4698</v>
      </c>
      <c r="P29" s="801" t="s">
        <v>4699</v>
      </c>
      <c r="Q29" s="807">
        <v>18605163234</v>
      </c>
      <c r="R29" s="793" t="s">
        <v>4700</v>
      </c>
      <c r="S29" s="1283" t="s">
        <v>4670</v>
      </c>
      <c r="T29" s="1283"/>
      <c r="U29" s="802"/>
      <c r="V29" s="799"/>
    </row>
    <row r="30" spans="1:22" ht="24" hidden="1" customHeight="1">
      <c r="A30" s="779"/>
      <c r="B30" s="783" t="s">
        <v>1605</v>
      </c>
      <c r="C30" s="783" t="s">
        <v>4696</v>
      </c>
      <c r="D30" s="782" t="s">
        <v>1369</v>
      </c>
      <c r="E30" s="785">
        <v>6212.2</v>
      </c>
      <c r="F30" s="783" t="s">
        <v>34</v>
      </c>
      <c r="G30" s="783" t="s">
        <v>32</v>
      </c>
      <c r="H30" s="791" t="s">
        <v>33</v>
      </c>
      <c r="I30" s="782" t="s">
        <v>34</v>
      </c>
      <c r="J30" s="782" t="s">
        <v>34</v>
      </c>
      <c r="K30" s="783" t="s">
        <v>4697</v>
      </c>
      <c r="L30" s="783">
        <v>214403.36</v>
      </c>
      <c r="M30" s="792">
        <v>0</v>
      </c>
      <c r="N30" s="783">
        <v>2020.12</v>
      </c>
      <c r="O30" s="783" t="s">
        <v>4698</v>
      </c>
      <c r="P30" s="782" t="s">
        <v>4699</v>
      </c>
      <c r="Q30" s="808">
        <v>18605163234</v>
      </c>
      <c r="R30" s="783" t="s">
        <v>4700</v>
      </c>
      <c r="S30" s="1283" t="s">
        <v>4670</v>
      </c>
      <c r="T30" s="769"/>
      <c r="U30" s="767"/>
    </row>
    <row r="31" spans="1:22" s="101" customFormat="1" ht="24" hidden="1" customHeight="1">
      <c r="A31" s="801"/>
      <c r="B31" s="793" t="s">
        <v>1546</v>
      </c>
      <c r="C31" s="793" t="s">
        <v>4701</v>
      </c>
      <c r="D31" s="801" t="s">
        <v>6869</v>
      </c>
      <c r="E31" s="806">
        <v>240.85079999999999</v>
      </c>
      <c r="F31" s="793" t="s">
        <v>4702</v>
      </c>
      <c r="G31" s="793" t="s">
        <v>32</v>
      </c>
      <c r="H31" s="800" t="s">
        <v>33</v>
      </c>
      <c r="I31" s="801" t="s">
        <v>4702</v>
      </c>
      <c r="J31" s="801" t="s">
        <v>6870</v>
      </c>
      <c r="K31" s="793" t="s">
        <v>4697</v>
      </c>
      <c r="L31" s="793">
        <v>383656.14</v>
      </c>
      <c r="M31" s="792">
        <v>0</v>
      </c>
      <c r="N31" s="793">
        <v>2021.03</v>
      </c>
      <c r="O31" s="793" t="s">
        <v>4698</v>
      </c>
      <c r="P31" s="801" t="s">
        <v>4699</v>
      </c>
      <c r="Q31" s="808">
        <v>18605163234</v>
      </c>
      <c r="R31" s="793" t="s">
        <v>4700</v>
      </c>
      <c r="S31" s="1283" t="s">
        <v>4670</v>
      </c>
      <c r="T31" s="1283"/>
      <c r="U31" s="767"/>
      <c r="V31" s="768"/>
    </row>
    <row r="32" spans="1:22" s="101" customFormat="1" ht="24" hidden="1" customHeight="1">
      <c r="A32" s="801"/>
      <c r="B32" s="793" t="s">
        <v>1605</v>
      </c>
      <c r="C32" s="793" t="s">
        <v>4703</v>
      </c>
      <c r="D32" s="801" t="s">
        <v>1369</v>
      </c>
      <c r="E32" s="806">
        <v>8439.23</v>
      </c>
      <c r="F32" s="793" t="s">
        <v>6871</v>
      </c>
      <c r="G32" s="793" t="s">
        <v>32</v>
      </c>
      <c r="H32" s="800" t="s">
        <v>33</v>
      </c>
      <c r="I32" s="801" t="s">
        <v>4702</v>
      </c>
      <c r="J32" s="801" t="s">
        <v>6870</v>
      </c>
      <c r="K32" s="793" t="s">
        <v>4697</v>
      </c>
      <c r="L32" s="793">
        <v>291265.46000000002</v>
      </c>
      <c r="M32" s="792">
        <v>0</v>
      </c>
      <c r="N32" s="793">
        <v>2021.03</v>
      </c>
      <c r="O32" s="793" t="s">
        <v>4698</v>
      </c>
      <c r="P32" s="801" t="s">
        <v>4699</v>
      </c>
      <c r="Q32" s="808">
        <v>18605163234</v>
      </c>
      <c r="R32" s="793" t="s">
        <v>4700</v>
      </c>
      <c r="S32" s="1283" t="s">
        <v>4670</v>
      </c>
      <c r="T32" s="1283"/>
      <c r="U32" s="767"/>
      <c r="V32" s="768"/>
    </row>
    <row r="33" spans="1:22" s="101" customFormat="1" ht="24" hidden="1" customHeight="1">
      <c r="A33" s="801"/>
      <c r="B33" s="793" t="s">
        <v>1546</v>
      </c>
      <c r="C33" s="793" t="s">
        <v>4701</v>
      </c>
      <c r="D33" s="801" t="s">
        <v>3475</v>
      </c>
      <c r="E33" s="806">
        <v>561.38</v>
      </c>
      <c r="F33" s="793" t="s">
        <v>6871</v>
      </c>
      <c r="G33" s="793" t="s">
        <v>32</v>
      </c>
      <c r="H33" s="800" t="s">
        <v>33</v>
      </c>
      <c r="I33" s="801" t="s">
        <v>6871</v>
      </c>
      <c r="J33" s="801" t="s">
        <v>4702</v>
      </c>
      <c r="K33" s="793" t="s">
        <v>4704</v>
      </c>
      <c r="L33" s="793">
        <v>834618.04</v>
      </c>
      <c r="M33" s="792">
        <v>0</v>
      </c>
      <c r="N33" s="793">
        <v>2022.03</v>
      </c>
      <c r="O33" s="793" t="s">
        <v>4698</v>
      </c>
      <c r="P33" s="801" t="s">
        <v>4699</v>
      </c>
      <c r="Q33" s="808">
        <v>18605163235</v>
      </c>
      <c r="R33" s="793" t="s">
        <v>4700</v>
      </c>
      <c r="S33" s="1283" t="s">
        <v>4670</v>
      </c>
      <c r="T33" s="1283"/>
      <c r="U33" s="767"/>
      <c r="V33" s="768"/>
    </row>
    <row r="34" spans="1:22" s="101" customFormat="1" ht="24" hidden="1" customHeight="1">
      <c r="A34" s="801"/>
      <c r="B34" s="793" t="s">
        <v>1605</v>
      </c>
      <c r="C34" s="793" t="s">
        <v>6872</v>
      </c>
      <c r="D34" s="801" t="s">
        <v>1369</v>
      </c>
      <c r="E34" s="806">
        <v>12424.41</v>
      </c>
      <c r="F34" s="793" t="s">
        <v>4702</v>
      </c>
      <c r="G34" s="793" t="s">
        <v>32</v>
      </c>
      <c r="H34" s="800" t="s">
        <v>33</v>
      </c>
      <c r="I34" s="801" t="s">
        <v>4702</v>
      </c>
      <c r="J34" s="801" t="s">
        <v>6870</v>
      </c>
      <c r="K34" s="793" t="s">
        <v>4704</v>
      </c>
      <c r="L34" s="793">
        <v>351841.68</v>
      </c>
      <c r="M34" s="792">
        <v>0</v>
      </c>
      <c r="N34" s="793">
        <v>2023.03</v>
      </c>
      <c r="O34" s="793" t="s">
        <v>4698</v>
      </c>
      <c r="P34" s="801" t="s">
        <v>4699</v>
      </c>
      <c r="Q34" s="808">
        <v>18605163236</v>
      </c>
      <c r="R34" s="793" t="s">
        <v>4700</v>
      </c>
      <c r="S34" s="1283" t="s">
        <v>4670</v>
      </c>
      <c r="T34" s="1283"/>
      <c r="U34" s="767"/>
      <c r="V34" s="768"/>
    </row>
    <row r="35" spans="1:22" s="101" customFormat="1" ht="24" hidden="1" customHeight="1">
      <c r="A35" s="801"/>
      <c r="B35" s="793" t="s">
        <v>1605</v>
      </c>
      <c r="C35" s="793" t="s">
        <v>4705</v>
      </c>
      <c r="D35" s="801" t="s">
        <v>1369</v>
      </c>
      <c r="E35" s="806">
        <v>33288.400000000001</v>
      </c>
      <c r="F35" s="793" t="s">
        <v>6871</v>
      </c>
      <c r="G35" s="793" t="s">
        <v>32</v>
      </c>
      <c r="H35" s="800" t="s">
        <v>33</v>
      </c>
      <c r="I35" s="801" t="s">
        <v>4702</v>
      </c>
      <c r="J35" s="801" t="s">
        <v>6870</v>
      </c>
      <c r="K35" s="793" t="s">
        <v>4704</v>
      </c>
      <c r="L35" s="793">
        <v>1031045.47</v>
      </c>
      <c r="M35" s="792">
        <v>0</v>
      </c>
      <c r="N35" s="793">
        <v>2024.03</v>
      </c>
      <c r="O35" s="793" t="s">
        <v>4698</v>
      </c>
      <c r="P35" s="801" t="s">
        <v>4699</v>
      </c>
      <c r="Q35" s="808">
        <v>18605163237</v>
      </c>
      <c r="R35" s="793" t="s">
        <v>4700</v>
      </c>
      <c r="S35" s="1283" t="s">
        <v>4670</v>
      </c>
      <c r="T35" s="1283"/>
      <c r="U35" s="767"/>
      <c r="V35" s="768"/>
    </row>
    <row r="36" spans="1:22" s="101" customFormat="1" ht="24" hidden="1" customHeight="1">
      <c r="A36" s="801"/>
      <c r="B36" s="360" t="s">
        <v>1546</v>
      </c>
      <c r="C36" s="360" t="s">
        <v>4701</v>
      </c>
      <c r="D36" s="801" t="s">
        <v>1369</v>
      </c>
      <c r="E36" s="806">
        <v>1159.7</v>
      </c>
      <c r="F36" s="793" t="s">
        <v>6871</v>
      </c>
      <c r="G36" s="793" t="s">
        <v>32</v>
      </c>
      <c r="H36" s="800" t="s">
        <v>33</v>
      </c>
      <c r="I36" s="801" t="s">
        <v>6871</v>
      </c>
      <c r="J36" s="801" t="s">
        <v>4702</v>
      </c>
      <c r="K36" s="793" t="s">
        <v>4704</v>
      </c>
      <c r="L36" s="793">
        <v>1724155.75</v>
      </c>
      <c r="M36" s="793">
        <v>0</v>
      </c>
      <c r="N36" s="793">
        <v>2021.04</v>
      </c>
      <c r="O36" s="793" t="s">
        <v>4698</v>
      </c>
      <c r="P36" s="801" t="s">
        <v>4699</v>
      </c>
      <c r="Q36" s="808">
        <v>18605163271</v>
      </c>
      <c r="R36" s="793" t="s">
        <v>4700</v>
      </c>
      <c r="S36" s="1283" t="s">
        <v>4670</v>
      </c>
      <c r="T36" s="360"/>
      <c r="U36" s="767"/>
      <c r="V36" s="768"/>
    </row>
    <row r="37" spans="1:22" s="101" customFormat="1" ht="24" hidden="1" customHeight="1">
      <c r="A37" s="801"/>
      <c r="B37" s="360" t="s">
        <v>1605</v>
      </c>
      <c r="C37" s="360" t="s">
        <v>4706</v>
      </c>
      <c r="D37" s="801" t="s">
        <v>1369</v>
      </c>
      <c r="E37" s="806">
        <v>33589.449999999997</v>
      </c>
      <c r="F37" s="793" t="s">
        <v>4702</v>
      </c>
      <c r="G37" s="793" t="s">
        <v>32</v>
      </c>
      <c r="H37" s="800" t="s">
        <v>33</v>
      </c>
      <c r="I37" s="801" t="s">
        <v>6871</v>
      </c>
      <c r="J37" s="801" t="s">
        <v>4702</v>
      </c>
      <c r="K37" s="793" t="s">
        <v>4704</v>
      </c>
      <c r="L37" s="793">
        <v>1040381.21</v>
      </c>
      <c r="M37" s="793">
        <v>0</v>
      </c>
      <c r="N37" s="793">
        <v>2021.04</v>
      </c>
      <c r="O37" s="793" t="s">
        <v>4698</v>
      </c>
      <c r="P37" s="801" t="s">
        <v>4699</v>
      </c>
      <c r="Q37" s="808">
        <v>18605163272</v>
      </c>
      <c r="R37" s="793" t="s">
        <v>4700</v>
      </c>
      <c r="S37" s="1283" t="s">
        <v>4670</v>
      </c>
      <c r="T37" s="1283"/>
      <c r="U37" s="767"/>
      <c r="V37" s="768"/>
    </row>
    <row r="38" spans="1:22" s="101" customFormat="1" ht="24" hidden="1" customHeight="1">
      <c r="A38" s="801"/>
      <c r="B38" s="360" t="s">
        <v>1605</v>
      </c>
      <c r="C38" s="360" t="s">
        <v>4706</v>
      </c>
      <c r="D38" s="801" t="s">
        <v>1369</v>
      </c>
      <c r="E38" s="806">
        <v>3933.28</v>
      </c>
      <c r="F38" s="793" t="s">
        <v>4702</v>
      </c>
      <c r="G38" s="793" t="s">
        <v>32</v>
      </c>
      <c r="H38" s="800" t="s">
        <v>33</v>
      </c>
      <c r="I38" s="801" t="s">
        <v>6870</v>
      </c>
      <c r="J38" s="801" t="s">
        <v>4702</v>
      </c>
      <c r="K38" s="793" t="s">
        <v>4704</v>
      </c>
      <c r="L38" s="793">
        <v>111384.97</v>
      </c>
      <c r="M38" s="793">
        <v>0</v>
      </c>
      <c r="N38" s="793">
        <v>2021.04</v>
      </c>
      <c r="O38" s="793" t="s">
        <v>4698</v>
      </c>
      <c r="P38" s="801" t="s">
        <v>4699</v>
      </c>
      <c r="Q38" s="808">
        <v>18605163273</v>
      </c>
      <c r="R38" s="793" t="s">
        <v>4700</v>
      </c>
      <c r="S38" s="1283" t="s">
        <v>4670</v>
      </c>
      <c r="T38" s="1283"/>
      <c r="U38" s="767"/>
      <c r="V38" s="768"/>
    </row>
    <row r="39" spans="1:22" s="101" customFormat="1" ht="24" hidden="1" customHeight="1">
      <c r="A39" s="801"/>
      <c r="B39" s="360" t="s">
        <v>1605</v>
      </c>
      <c r="C39" s="360" t="s">
        <v>4706</v>
      </c>
      <c r="D39" s="801" t="s">
        <v>1369</v>
      </c>
      <c r="E39" s="806">
        <v>8439.23</v>
      </c>
      <c r="F39" s="793" t="s">
        <v>6871</v>
      </c>
      <c r="G39" s="793" t="s">
        <v>32</v>
      </c>
      <c r="H39" s="800" t="s">
        <v>33</v>
      </c>
      <c r="I39" s="801" t="s">
        <v>4702</v>
      </c>
      <c r="J39" s="801" t="s">
        <v>6870</v>
      </c>
      <c r="K39" s="793" t="s">
        <v>4704</v>
      </c>
      <c r="L39" s="793">
        <v>261392.07</v>
      </c>
      <c r="M39" s="793">
        <v>0</v>
      </c>
      <c r="N39" s="793">
        <v>2021.05</v>
      </c>
      <c r="O39" s="793" t="s">
        <v>4698</v>
      </c>
      <c r="P39" s="801" t="s">
        <v>4699</v>
      </c>
      <c r="Q39" s="808">
        <v>18605163272</v>
      </c>
      <c r="R39" s="793" t="s">
        <v>4700</v>
      </c>
      <c r="S39" s="1283" t="s">
        <v>4670</v>
      </c>
      <c r="T39" s="1283"/>
      <c r="U39" s="767"/>
      <c r="V39" s="768"/>
    </row>
    <row r="40" spans="1:22" s="101" customFormat="1" ht="24" hidden="1" customHeight="1">
      <c r="A40" s="801"/>
      <c r="B40" s="360" t="s">
        <v>1546</v>
      </c>
      <c r="C40" s="360" t="s">
        <v>4701</v>
      </c>
      <c r="D40" s="801" t="s">
        <v>3701</v>
      </c>
      <c r="E40" s="806">
        <v>35</v>
      </c>
      <c r="F40" s="793" t="s">
        <v>6871</v>
      </c>
      <c r="G40" s="793" t="s">
        <v>32</v>
      </c>
      <c r="H40" s="800" t="s">
        <v>33</v>
      </c>
      <c r="I40" s="801" t="s">
        <v>4702</v>
      </c>
      <c r="J40" s="801" t="s">
        <v>4702</v>
      </c>
      <c r="K40" s="793" t="s">
        <v>4697</v>
      </c>
      <c r="L40" s="793">
        <v>55752.21</v>
      </c>
      <c r="M40" s="792">
        <v>0</v>
      </c>
      <c r="N40" s="793">
        <v>2021.06</v>
      </c>
      <c r="O40" s="793" t="s">
        <v>4698</v>
      </c>
      <c r="P40" s="801" t="s">
        <v>4699</v>
      </c>
      <c r="Q40" s="808">
        <v>18605163234</v>
      </c>
      <c r="R40" s="793" t="s">
        <v>4700</v>
      </c>
      <c r="S40" s="1283" t="s">
        <v>4670</v>
      </c>
      <c r="T40" s="1283"/>
      <c r="U40" s="767"/>
      <c r="V40" s="768"/>
    </row>
    <row r="41" spans="1:22" s="101" customFormat="1" ht="24" hidden="1" customHeight="1">
      <c r="A41" s="801"/>
      <c r="B41" s="360" t="s">
        <v>1605</v>
      </c>
      <c r="C41" s="360" t="s">
        <v>4706</v>
      </c>
      <c r="D41" s="801" t="s">
        <v>1369</v>
      </c>
      <c r="E41" s="806">
        <v>4219.6099999999997</v>
      </c>
      <c r="F41" s="793" t="s">
        <v>6871</v>
      </c>
      <c r="G41" s="793" t="s">
        <v>32</v>
      </c>
      <c r="H41" s="800" t="s">
        <v>33</v>
      </c>
      <c r="I41" s="801" t="s">
        <v>6871</v>
      </c>
      <c r="J41" s="801" t="s">
        <v>4702</v>
      </c>
      <c r="K41" s="793" t="s">
        <v>4704</v>
      </c>
      <c r="L41" s="793">
        <v>130695.88</v>
      </c>
      <c r="M41" s="792">
        <v>0</v>
      </c>
      <c r="N41" s="793">
        <v>2021.06</v>
      </c>
      <c r="O41" s="793" t="s">
        <v>4698</v>
      </c>
      <c r="P41" s="801" t="s">
        <v>4699</v>
      </c>
      <c r="Q41" s="808">
        <v>18605163234</v>
      </c>
      <c r="R41" s="793" t="s">
        <v>4700</v>
      </c>
      <c r="S41" s="1283" t="s">
        <v>4670</v>
      </c>
      <c r="T41" s="1283"/>
      <c r="U41" s="767"/>
      <c r="V41" s="768"/>
    </row>
    <row r="42" spans="1:22" s="101" customFormat="1" ht="24" hidden="1" customHeight="1">
      <c r="A42" s="801"/>
      <c r="B42" s="360" t="s">
        <v>1560</v>
      </c>
      <c r="C42" s="360" t="s">
        <v>4707</v>
      </c>
      <c r="D42" s="801" t="s">
        <v>31</v>
      </c>
      <c r="E42" s="806">
        <v>1720</v>
      </c>
      <c r="F42" s="793" t="s">
        <v>4702</v>
      </c>
      <c r="G42" s="793" t="s">
        <v>32</v>
      </c>
      <c r="H42" s="800" t="s">
        <v>33</v>
      </c>
      <c r="I42" s="801" t="s">
        <v>4702</v>
      </c>
      <c r="J42" s="801" t="s">
        <v>4702</v>
      </c>
      <c r="K42" s="793" t="s">
        <v>4704</v>
      </c>
      <c r="L42" s="793">
        <v>149168.14000000001</v>
      </c>
      <c r="M42" s="792">
        <v>0</v>
      </c>
      <c r="N42" s="793">
        <v>2021.06</v>
      </c>
      <c r="O42" s="793" t="s">
        <v>4698</v>
      </c>
      <c r="P42" s="801" t="s">
        <v>4699</v>
      </c>
      <c r="Q42" s="808">
        <v>18605163234</v>
      </c>
      <c r="R42" s="793" t="s">
        <v>4700</v>
      </c>
      <c r="S42" s="1283" t="s">
        <v>4670</v>
      </c>
      <c r="T42" s="1283"/>
      <c r="U42" s="767"/>
      <c r="V42" s="768"/>
    </row>
    <row r="43" spans="1:22" s="101" customFormat="1" ht="24" hidden="1" customHeight="1">
      <c r="A43" s="801"/>
      <c r="B43" s="360" t="s">
        <v>1546</v>
      </c>
      <c r="C43" s="360" t="s">
        <v>4701</v>
      </c>
      <c r="D43" s="801" t="s">
        <v>3701</v>
      </c>
      <c r="E43" s="806">
        <f>196.04-84.7</f>
        <v>111.33999999999999</v>
      </c>
      <c r="F43" s="793" t="s">
        <v>34</v>
      </c>
      <c r="G43" s="793" t="s">
        <v>32</v>
      </c>
      <c r="H43" s="800" t="s">
        <v>33</v>
      </c>
      <c r="I43" s="801" t="s">
        <v>34</v>
      </c>
      <c r="J43" s="801" t="s">
        <v>34</v>
      </c>
      <c r="K43" s="793" t="s">
        <v>4704</v>
      </c>
      <c r="L43" s="793">
        <f>228494.68+62963.02</f>
        <v>291457.7</v>
      </c>
      <c r="M43" s="792">
        <v>0</v>
      </c>
      <c r="N43" s="793">
        <v>2021.07</v>
      </c>
      <c r="O43" s="793" t="s">
        <v>4698</v>
      </c>
      <c r="P43" s="801" t="s">
        <v>4699</v>
      </c>
      <c r="Q43" s="807">
        <v>18605163234</v>
      </c>
      <c r="R43" s="793" t="s">
        <v>4700</v>
      </c>
      <c r="S43" s="1283" t="s">
        <v>4670</v>
      </c>
      <c r="T43" s="1283"/>
      <c r="U43" s="767"/>
      <c r="V43" s="768"/>
    </row>
    <row r="44" spans="1:22" s="101" customFormat="1" ht="24" hidden="1" customHeight="1">
      <c r="A44" s="801"/>
      <c r="B44" s="360" t="s">
        <v>1546</v>
      </c>
      <c r="C44" s="360" t="s">
        <v>4701</v>
      </c>
      <c r="D44" s="801" t="s">
        <v>3701</v>
      </c>
      <c r="E44" s="806">
        <v>40.799999999999997</v>
      </c>
      <c r="F44" s="793" t="s">
        <v>34</v>
      </c>
      <c r="G44" s="793" t="s">
        <v>32</v>
      </c>
      <c r="H44" s="800" t="s">
        <v>33</v>
      </c>
      <c r="I44" s="801" t="s">
        <v>34</v>
      </c>
      <c r="J44" s="801" t="s">
        <v>34</v>
      </c>
      <c r="K44" s="793" t="s">
        <v>4697</v>
      </c>
      <c r="L44" s="793">
        <v>64991.15</v>
      </c>
      <c r="M44" s="792">
        <v>0</v>
      </c>
      <c r="N44" s="809" t="s">
        <v>4708</v>
      </c>
      <c r="O44" s="793" t="s">
        <v>4709</v>
      </c>
      <c r="P44" s="801" t="s">
        <v>4699</v>
      </c>
      <c r="Q44" s="807">
        <v>18605163234</v>
      </c>
      <c r="R44" s="793" t="s">
        <v>4700</v>
      </c>
      <c r="S44" s="1283" t="s">
        <v>4670</v>
      </c>
      <c r="T44" s="1283"/>
      <c r="U44" s="767"/>
      <c r="V44" s="768"/>
    </row>
    <row r="45" spans="1:22" s="101" customFormat="1" ht="24" hidden="1" customHeight="1">
      <c r="A45" s="801"/>
      <c r="B45" s="360" t="s">
        <v>4710</v>
      </c>
      <c r="C45" s="360" t="s">
        <v>4711</v>
      </c>
      <c r="D45" s="801" t="s">
        <v>603</v>
      </c>
      <c r="E45" s="806">
        <v>882</v>
      </c>
      <c r="F45" s="793" t="s">
        <v>34</v>
      </c>
      <c r="G45" s="793" t="s">
        <v>32</v>
      </c>
      <c r="H45" s="800" t="s">
        <v>33</v>
      </c>
      <c r="I45" s="801" t="s">
        <v>34</v>
      </c>
      <c r="J45" s="801" t="s">
        <v>34</v>
      </c>
      <c r="K45" s="793" t="s">
        <v>4712</v>
      </c>
      <c r="L45" s="793">
        <v>115518.59</v>
      </c>
      <c r="M45" s="792">
        <v>0</v>
      </c>
      <c r="N45" s="809" t="s">
        <v>4708</v>
      </c>
      <c r="O45" s="793" t="s">
        <v>4698</v>
      </c>
      <c r="P45" s="801" t="s">
        <v>4699</v>
      </c>
      <c r="Q45" s="807">
        <v>18605163234</v>
      </c>
      <c r="R45" s="793" t="s">
        <v>4700</v>
      </c>
      <c r="S45" s="1283" t="s">
        <v>4670</v>
      </c>
      <c r="T45" s="1283"/>
      <c r="U45" s="767"/>
      <c r="V45" s="768"/>
    </row>
    <row r="46" spans="1:22" s="101" customFormat="1" ht="24" hidden="1" customHeight="1">
      <c r="A46" s="801"/>
      <c r="B46" s="360" t="s">
        <v>1560</v>
      </c>
      <c r="C46" s="360" t="s">
        <v>4713</v>
      </c>
      <c r="D46" s="360" t="s">
        <v>3701</v>
      </c>
      <c r="E46" s="360">
        <v>6.4</v>
      </c>
      <c r="F46" s="793" t="s">
        <v>34</v>
      </c>
      <c r="G46" s="360" t="s">
        <v>32</v>
      </c>
      <c r="H46" s="360" t="s">
        <v>33</v>
      </c>
      <c r="I46" s="360" t="s">
        <v>34</v>
      </c>
      <c r="J46" s="360" t="s">
        <v>4714</v>
      </c>
      <c r="K46" s="360" t="s">
        <v>4715</v>
      </c>
      <c r="L46" s="810">
        <v>11893.81</v>
      </c>
      <c r="M46" s="653">
        <v>0</v>
      </c>
      <c r="N46" s="793">
        <v>2020.12</v>
      </c>
      <c r="O46" s="360" t="s">
        <v>4716</v>
      </c>
      <c r="P46" s="360" t="s">
        <v>4717</v>
      </c>
      <c r="Q46" s="811">
        <v>13306050175</v>
      </c>
      <c r="R46" s="360" t="s">
        <v>4718</v>
      </c>
      <c r="S46" s="360" t="s">
        <v>4670</v>
      </c>
      <c r="T46" s="1283"/>
      <c r="U46" s="767"/>
      <c r="V46" s="768"/>
    </row>
    <row r="47" spans="1:22" s="813" customFormat="1" ht="24" hidden="1" customHeight="1">
      <c r="A47" s="801"/>
      <c r="B47" s="360" t="s">
        <v>1593</v>
      </c>
      <c r="C47" s="360" t="s">
        <v>4719</v>
      </c>
      <c r="D47" s="360" t="s">
        <v>888</v>
      </c>
      <c r="E47" s="360">
        <v>9500</v>
      </c>
      <c r="F47" s="793" t="s">
        <v>34</v>
      </c>
      <c r="G47" s="360" t="s">
        <v>32</v>
      </c>
      <c r="H47" s="360" t="s">
        <v>33</v>
      </c>
      <c r="I47" s="360" t="s">
        <v>34</v>
      </c>
      <c r="J47" s="360" t="s">
        <v>4714</v>
      </c>
      <c r="K47" s="360" t="s">
        <v>4715</v>
      </c>
      <c r="L47" s="810">
        <v>327876.11</v>
      </c>
      <c r="M47" s="653">
        <v>0</v>
      </c>
      <c r="N47" s="793">
        <v>2020.12</v>
      </c>
      <c r="O47" s="360" t="s">
        <v>4720</v>
      </c>
      <c r="P47" s="360" t="s">
        <v>4717</v>
      </c>
      <c r="Q47" s="811">
        <v>13306050175</v>
      </c>
      <c r="R47" s="360" t="s">
        <v>4718</v>
      </c>
      <c r="S47" s="360" t="s">
        <v>4670</v>
      </c>
      <c r="T47" s="1283"/>
      <c r="U47" s="812"/>
    </row>
    <row r="48" spans="1:22" s="813" customFormat="1" ht="24" hidden="1" customHeight="1">
      <c r="A48" s="801"/>
      <c r="B48" s="360" t="s">
        <v>1546</v>
      </c>
      <c r="C48" s="360" t="s">
        <v>4721</v>
      </c>
      <c r="D48" s="360" t="s">
        <v>3701</v>
      </c>
      <c r="E48" s="360">
        <v>91.504000000000005</v>
      </c>
      <c r="F48" s="793" t="s">
        <v>34</v>
      </c>
      <c r="G48" s="360" t="s">
        <v>32</v>
      </c>
      <c r="H48" s="360" t="s">
        <v>33</v>
      </c>
      <c r="I48" s="360" t="s">
        <v>34</v>
      </c>
      <c r="J48" s="360" t="s">
        <v>4714</v>
      </c>
      <c r="K48" s="360" t="s">
        <v>4715</v>
      </c>
      <c r="L48" s="810">
        <v>161953.98000000001</v>
      </c>
      <c r="M48" s="653">
        <v>0</v>
      </c>
      <c r="N48" s="793">
        <v>2020.12</v>
      </c>
      <c r="O48" s="360" t="s">
        <v>4720</v>
      </c>
      <c r="P48" s="360" t="s">
        <v>4717</v>
      </c>
      <c r="Q48" s="811">
        <v>13306050175</v>
      </c>
      <c r="R48" s="360" t="s">
        <v>4718</v>
      </c>
      <c r="S48" s="360" t="s">
        <v>4670</v>
      </c>
      <c r="T48" s="1283"/>
      <c r="U48" s="812"/>
    </row>
    <row r="49" spans="1:21" s="813" customFormat="1" ht="24" hidden="1" customHeight="1">
      <c r="A49" s="801"/>
      <c r="B49" s="360" t="s">
        <v>1546</v>
      </c>
      <c r="C49" s="360" t="s">
        <v>4722</v>
      </c>
      <c r="D49" s="360" t="s">
        <v>3701</v>
      </c>
      <c r="E49" s="360">
        <v>1800</v>
      </c>
      <c r="F49" s="793" t="s">
        <v>34</v>
      </c>
      <c r="G49" s="360" t="s">
        <v>32</v>
      </c>
      <c r="H49" s="360" t="s">
        <v>33</v>
      </c>
      <c r="I49" s="360" t="s">
        <v>34</v>
      </c>
      <c r="J49" s="360" t="s">
        <v>4714</v>
      </c>
      <c r="K49" s="360" t="s">
        <v>4715</v>
      </c>
      <c r="L49" s="810">
        <v>166019.41</v>
      </c>
      <c r="M49" s="653">
        <v>0</v>
      </c>
      <c r="N49" s="793">
        <v>2021.09</v>
      </c>
      <c r="O49" s="360" t="s">
        <v>4720</v>
      </c>
      <c r="P49" s="360" t="s">
        <v>4717</v>
      </c>
      <c r="Q49" s="360">
        <v>13306050175</v>
      </c>
      <c r="R49" s="360" t="s">
        <v>4718</v>
      </c>
      <c r="S49" s="360" t="s">
        <v>4670</v>
      </c>
      <c r="T49" s="1283"/>
      <c r="U49" s="812"/>
    </row>
    <row r="50" spans="1:21" s="813" customFormat="1" ht="24" hidden="1" customHeight="1">
      <c r="A50" s="801"/>
      <c r="B50" s="360" t="s">
        <v>4723</v>
      </c>
      <c r="C50" s="360" t="s">
        <v>4724</v>
      </c>
      <c r="D50" s="360" t="s">
        <v>888</v>
      </c>
      <c r="E50" s="360">
        <v>35</v>
      </c>
      <c r="F50" s="793" t="s">
        <v>4665</v>
      </c>
      <c r="G50" s="360" t="s">
        <v>32</v>
      </c>
      <c r="H50" s="360" t="s">
        <v>33</v>
      </c>
      <c r="I50" s="360" t="s">
        <v>4665</v>
      </c>
      <c r="J50" s="360" t="s">
        <v>4714</v>
      </c>
      <c r="K50" s="360" t="s">
        <v>4715</v>
      </c>
      <c r="L50" s="810">
        <v>144247.57</v>
      </c>
      <c r="M50" s="653">
        <v>0</v>
      </c>
      <c r="N50" s="793">
        <v>2021.09</v>
      </c>
      <c r="O50" s="360" t="s">
        <v>4720</v>
      </c>
      <c r="P50" s="360" t="s">
        <v>4717</v>
      </c>
      <c r="Q50" s="360">
        <v>13306050175</v>
      </c>
      <c r="R50" s="360" t="s">
        <v>4718</v>
      </c>
      <c r="S50" s="360" t="s">
        <v>4670</v>
      </c>
      <c r="T50" s="1283"/>
      <c r="U50" s="812"/>
    </row>
    <row r="51" spans="1:21" s="813" customFormat="1" ht="24" hidden="1" customHeight="1">
      <c r="A51" s="801"/>
      <c r="B51" s="814" t="s">
        <v>1546</v>
      </c>
      <c r="C51" s="814" t="s">
        <v>4725</v>
      </c>
      <c r="D51" s="815" t="s">
        <v>3701</v>
      </c>
      <c r="E51" s="816">
        <v>16</v>
      </c>
      <c r="F51" s="816"/>
      <c r="G51" s="817" t="s">
        <v>32</v>
      </c>
      <c r="H51" s="817" t="s">
        <v>33</v>
      </c>
      <c r="I51" s="818" t="s">
        <v>4665</v>
      </c>
      <c r="J51" s="819" t="s">
        <v>4665</v>
      </c>
      <c r="K51" s="819" t="s">
        <v>4697</v>
      </c>
      <c r="L51" s="816">
        <v>32000</v>
      </c>
      <c r="M51" s="816">
        <v>0</v>
      </c>
      <c r="N51" s="819">
        <v>2021.12</v>
      </c>
      <c r="O51" s="817" t="s">
        <v>4726</v>
      </c>
      <c r="P51" s="817" t="s">
        <v>4727</v>
      </c>
      <c r="Q51" s="360">
        <v>18033772730</v>
      </c>
      <c r="R51" s="820" t="s">
        <v>4728</v>
      </c>
      <c r="S51" s="792" t="s">
        <v>4729</v>
      </c>
      <c r="T51" s="1283"/>
      <c r="U51" s="812"/>
    </row>
    <row r="52" spans="1:21" s="813" customFormat="1" ht="24" hidden="1" customHeight="1">
      <c r="A52" s="801"/>
      <c r="B52" s="814" t="s">
        <v>1546</v>
      </c>
      <c r="C52" s="814" t="s">
        <v>4730</v>
      </c>
      <c r="D52" s="815" t="s">
        <v>3701</v>
      </c>
      <c r="E52" s="816">
        <v>8.5</v>
      </c>
      <c r="F52" s="816"/>
      <c r="G52" s="817" t="s">
        <v>32</v>
      </c>
      <c r="H52" s="817" t="s">
        <v>33</v>
      </c>
      <c r="I52" s="818" t="s">
        <v>4665</v>
      </c>
      <c r="J52" s="819" t="s">
        <v>4665</v>
      </c>
      <c r="K52" s="819" t="s">
        <v>4697</v>
      </c>
      <c r="L52" s="816">
        <v>17150.439999999999</v>
      </c>
      <c r="M52" s="816">
        <v>0</v>
      </c>
      <c r="N52" s="819">
        <v>2021.12</v>
      </c>
      <c r="O52" s="817" t="s">
        <v>4726</v>
      </c>
      <c r="P52" s="817" t="s">
        <v>4727</v>
      </c>
      <c r="Q52" s="360">
        <v>18033772730</v>
      </c>
      <c r="R52" s="820" t="s">
        <v>4728</v>
      </c>
      <c r="S52" s="792" t="s">
        <v>4729</v>
      </c>
      <c r="T52" s="1283"/>
      <c r="U52" s="812"/>
    </row>
    <row r="53" spans="1:21" s="813" customFormat="1" ht="24" hidden="1" customHeight="1">
      <c r="A53" s="801"/>
      <c r="B53" s="814" t="s">
        <v>1546</v>
      </c>
      <c r="C53" s="814" t="s">
        <v>4731</v>
      </c>
      <c r="D53" s="815" t="s">
        <v>3701</v>
      </c>
      <c r="E53" s="816">
        <v>2.5</v>
      </c>
      <c r="F53" s="816"/>
      <c r="G53" s="817" t="s">
        <v>32</v>
      </c>
      <c r="H53" s="817" t="s">
        <v>33</v>
      </c>
      <c r="I53" s="818" t="s">
        <v>4665</v>
      </c>
      <c r="J53" s="819" t="s">
        <v>4665</v>
      </c>
      <c r="K53" s="819" t="s">
        <v>4697</v>
      </c>
      <c r="L53" s="816">
        <v>4933.63</v>
      </c>
      <c r="M53" s="816">
        <v>0</v>
      </c>
      <c r="N53" s="819">
        <v>2021.12</v>
      </c>
      <c r="O53" s="817" t="s">
        <v>4726</v>
      </c>
      <c r="P53" s="817" t="s">
        <v>4727</v>
      </c>
      <c r="Q53" s="360">
        <v>18033772730</v>
      </c>
      <c r="R53" s="820" t="s">
        <v>4728</v>
      </c>
      <c r="S53" s="792" t="s">
        <v>4729</v>
      </c>
      <c r="T53" s="1283"/>
      <c r="U53" s="812"/>
    </row>
    <row r="54" spans="1:21" s="813" customFormat="1" ht="24" hidden="1" customHeight="1">
      <c r="A54" s="801"/>
      <c r="B54" s="814" t="s">
        <v>4732</v>
      </c>
      <c r="C54" s="814" t="s">
        <v>4733</v>
      </c>
      <c r="D54" s="815" t="s">
        <v>888</v>
      </c>
      <c r="E54" s="816">
        <v>1993</v>
      </c>
      <c r="F54" s="816"/>
      <c r="G54" s="817" t="s">
        <v>32</v>
      </c>
      <c r="H54" s="817" t="s">
        <v>33</v>
      </c>
      <c r="I54" s="818" t="s">
        <v>4665</v>
      </c>
      <c r="J54" s="819" t="s">
        <v>4665</v>
      </c>
      <c r="K54" s="819" t="s">
        <v>4697</v>
      </c>
      <c r="L54" s="816">
        <v>63493.81</v>
      </c>
      <c r="M54" s="816">
        <v>0</v>
      </c>
      <c r="N54" s="819">
        <v>2021.12</v>
      </c>
      <c r="O54" s="817" t="s">
        <v>4726</v>
      </c>
      <c r="P54" s="817" t="s">
        <v>4727</v>
      </c>
      <c r="Q54" s="360">
        <v>18033772730</v>
      </c>
      <c r="R54" s="820" t="s">
        <v>4728</v>
      </c>
      <c r="S54" s="792" t="s">
        <v>4729</v>
      </c>
      <c r="T54" s="1283"/>
      <c r="U54" s="812"/>
    </row>
    <row r="55" spans="1:21" s="813" customFormat="1" ht="24" hidden="1" customHeight="1">
      <c r="A55" s="801"/>
      <c r="B55" s="814" t="s">
        <v>4732</v>
      </c>
      <c r="C55" s="814" t="s">
        <v>4734</v>
      </c>
      <c r="D55" s="815" t="s">
        <v>888</v>
      </c>
      <c r="E55" s="816">
        <v>1265</v>
      </c>
      <c r="F55" s="816"/>
      <c r="G55" s="817" t="s">
        <v>32</v>
      </c>
      <c r="H55" s="817" t="s">
        <v>33</v>
      </c>
      <c r="I55" s="818" t="s">
        <v>4665</v>
      </c>
      <c r="J55" s="819" t="s">
        <v>4665</v>
      </c>
      <c r="K55" s="819" t="s">
        <v>4697</v>
      </c>
      <c r="L55" s="816">
        <v>41420.35</v>
      </c>
      <c r="M55" s="816">
        <v>0</v>
      </c>
      <c r="N55" s="819">
        <v>2021.12</v>
      </c>
      <c r="O55" s="817" t="s">
        <v>4726</v>
      </c>
      <c r="P55" s="817" t="s">
        <v>4727</v>
      </c>
      <c r="Q55" s="360">
        <v>18033772730</v>
      </c>
      <c r="R55" s="820" t="s">
        <v>4728</v>
      </c>
      <c r="S55" s="792" t="s">
        <v>4729</v>
      </c>
      <c r="T55" s="1283"/>
      <c r="U55" s="812"/>
    </row>
    <row r="56" spans="1:21" s="813" customFormat="1" ht="24" hidden="1" customHeight="1">
      <c r="A56" s="801"/>
      <c r="B56" s="814" t="s">
        <v>1546</v>
      </c>
      <c r="C56" s="814" t="s">
        <v>4735</v>
      </c>
      <c r="D56" s="815" t="s">
        <v>3475</v>
      </c>
      <c r="E56" s="816">
        <v>669.63</v>
      </c>
      <c r="F56" s="816"/>
      <c r="G56" s="817" t="s">
        <v>32</v>
      </c>
      <c r="H56" s="817" t="s">
        <v>33</v>
      </c>
      <c r="I56" s="818" t="s">
        <v>4665</v>
      </c>
      <c r="J56" s="819" t="s">
        <v>4665</v>
      </c>
      <c r="K56" s="819" t="s">
        <v>4736</v>
      </c>
      <c r="L56" s="816">
        <v>1339260</v>
      </c>
      <c r="M56" s="816">
        <v>0</v>
      </c>
      <c r="N56" s="819">
        <v>2021.12</v>
      </c>
      <c r="O56" s="817" t="s">
        <v>4726</v>
      </c>
      <c r="P56" s="817" t="s">
        <v>4727</v>
      </c>
      <c r="Q56" s="360">
        <v>18033772730</v>
      </c>
      <c r="R56" s="820" t="s">
        <v>4728</v>
      </c>
      <c r="S56" s="792" t="s">
        <v>4729</v>
      </c>
      <c r="T56" s="1283"/>
      <c r="U56" s="812"/>
    </row>
    <row r="57" spans="1:21" s="813" customFormat="1" ht="24" hidden="1" customHeight="1">
      <c r="A57" s="801"/>
      <c r="B57" s="814" t="s">
        <v>4732</v>
      </c>
      <c r="C57" s="814" t="s">
        <v>4737</v>
      </c>
      <c r="D57" s="815" t="s">
        <v>1193</v>
      </c>
      <c r="E57" s="816">
        <v>29280</v>
      </c>
      <c r="F57" s="816"/>
      <c r="G57" s="817" t="s">
        <v>32</v>
      </c>
      <c r="H57" s="817" t="s">
        <v>33</v>
      </c>
      <c r="I57" s="818" t="s">
        <v>4665</v>
      </c>
      <c r="J57" s="819" t="s">
        <v>4665</v>
      </c>
      <c r="K57" s="819" t="s">
        <v>4736</v>
      </c>
      <c r="L57" s="816">
        <v>932814.14</v>
      </c>
      <c r="M57" s="816">
        <v>0</v>
      </c>
      <c r="N57" s="819">
        <v>2021.12</v>
      </c>
      <c r="O57" s="817" t="s">
        <v>4726</v>
      </c>
      <c r="P57" s="817" t="s">
        <v>4727</v>
      </c>
      <c r="Q57" s="360">
        <v>18033772730</v>
      </c>
      <c r="R57" s="820" t="s">
        <v>4728</v>
      </c>
      <c r="S57" s="792" t="s">
        <v>4729</v>
      </c>
      <c r="T57" s="1283"/>
      <c r="U57" s="812"/>
    </row>
    <row r="58" spans="1:21" s="813" customFormat="1" ht="24" hidden="1" customHeight="1">
      <c r="A58" s="801"/>
      <c r="B58" s="814" t="s">
        <v>4732</v>
      </c>
      <c r="C58" s="814" t="s">
        <v>4738</v>
      </c>
      <c r="D58" s="815" t="s">
        <v>1193</v>
      </c>
      <c r="E58" s="816">
        <v>8990</v>
      </c>
      <c r="F58" s="816"/>
      <c r="G58" s="817" t="s">
        <v>32</v>
      </c>
      <c r="H58" s="817" t="s">
        <v>33</v>
      </c>
      <c r="I58" s="818" t="s">
        <v>4665</v>
      </c>
      <c r="J58" s="819" t="s">
        <v>4665</v>
      </c>
      <c r="K58" s="819" t="s">
        <v>4736</v>
      </c>
      <c r="L58" s="816">
        <v>286407.08</v>
      </c>
      <c r="M58" s="816">
        <v>0</v>
      </c>
      <c r="N58" s="819">
        <v>2021.12</v>
      </c>
      <c r="O58" s="817" t="s">
        <v>4726</v>
      </c>
      <c r="P58" s="817" t="s">
        <v>4727</v>
      </c>
      <c r="Q58" s="360">
        <v>18033772730</v>
      </c>
      <c r="R58" s="820" t="s">
        <v>4728</v>
      </c>
      <c r="S58" s="792" t="s">
        <v>4729</v>
      </c>
      <c r="T58" s="1283"/>
      <c r="U58" s="812"/>
    </row>
    <row r="59" spans="1:21" s="813" customFormat="1" ht="24" hidden="1" customHeight="1">
      <c r="A59" s="801"/>
      <c r="B59" s="1568" t="s">
        <v>1546</v>
      </c>
      <c r="C59" s="821" t="s">
        <v>4735</v>
      </c>
      <c r="D59" s="1569" t="s">
        <v>3475</v>
      </c>
      <c r="E59" s="1568">
        <v>39.86</v>
      </c>
      <c r="F59" s="816"/>
      <c r="G59" s="1570" t="s">
        <v>32</v>
      </c>
      <c r="H59" s="1570" t="s">
        <v>33</v>
      </c>
      <c r="I59" s="1569"/>
      <c r="J59" s="1568"/>
      <c r="K59" s="821" t="s">
        <v>4736</v>
      </c>
      <c r="L59" s="1571">
        <v>79720</v>
      </c>
      <c r="M59" s="1571">
        <v>0</v>
      </c>
      <c r="N59" s="1568">
        <v>2022.03</v>
      </c>
      <c r="O59" s="1570" t="s">
        <v>4739</v>
      </c>
      <c r="P59" s="1570" t="s">
        <v>4740</v>
      </c>
      <c r="Q59" s="360">
        <v>18033772730</v>
      </c>
      <c r="R59" s="1572" t="s">
        <v>4728</v>
      </c>
      <c r="S59" s="792" t="s">
        <v>4729</v>
      </c>
      <c r="T59" s="1283"/>
      <c r="U59" s="812"/>
    </row>
    <row r="60" spans="1:21" s="813" customFormat="1" ht="24" hidden="1" customHeight="1">
      <c r="A60" s="801"/>
      <c r="B60" s="1568" t="s">
        <v>4732</v>
      </c>
      <c r="C60" s="821" t="s">
        <v>4738</v>
      </c>
      <c r="D60" s="1569" t="s">
        <v>1193</v>
      </c>
      <c r="E60" s="1571">
        <v>801.95</v>
      </c>
      <c r="F60" s="816"/>
      <c r="G60" s="1570" t="s">
        <v>32</v>
      </c>
      <c r="H60" s="1570" t="s">
        <v>33</v>
      </c>
      <c r="I60" s="1569"/>
      <c r="J60" s="1568"/>
      <c r="K60" s="821" t="s">
        <v>4736</v>
      </c>
      <c r="L60" s="1571">
        <v>25548.85</v>
      </c>
      <c r="M60" s="1571">
        <v>0</v>
      </c>
      <c r="N60" s="1568">
        <v>2022.03</v>
      </c>
      <c r="O60" s="1570" t="s">
        <v>4739</v>
      </c>
      <c r="P60" s="1570" t="s">
        <v>4740</v>
      </c>
      <c r="Q60" s="360">
        <v>18033772730</v>
      </c>
      <c r="R60" s="1572" t="s">
        <v>4728</v>
      </c>
      <c r="S60" s="792" t="s">
        <v>4729</v>
      </c>
      <c r="T60" s="1283"/>
      <c r="U60" s="812"/>
    </row>
    <row r="61" spans="1:21" s="813" customFormat="1" ht="24" hidden="1" customHeight="1">
      <c r="A61" s="801"/>
      <c r="B61" s="819" t="s">
        <v>1546</v>
      </c>
      <c r="C61" s="819" t="s">
        <v>4741</v>
      </c>
      <c r="D61" s="818" t="s">
        <v>3701</v>
      </c>
      <c r="E61" s="819">
        <v>25.84</v>
      </c>
      <c r="F61" s="819"/>
      <c r="G61" s="817" t="s">
        <v>32</v>
      </c>
      <c r="H61" s="817" t="s">
        <v>33</v>
      </c>
      <c r="I61" s="818" t="s">
        <v>4665</v>
      </c>
      <c r="J61" s="819" t="s">
        <v>4665</v>
      </c>
      <c r="K61" s="819"/>
      <c r="L61" s="819">
        <v>26754.736000000001</v>
      </c>
      <c r="M61" s="792">
        <v>0</v>
      </c>
      <c r="N61" s="819">
        <v>2021.12</v>
      </c>
      <c r="O61" s="789" t="s">
        <v>6873</v>
      </c>
      <c r="P61" s="360" t="s">
        <v>6874</v>
      </c>
      <c r="Q61" s="789">
        <v>18335831522</v>
      </c>
      <c r="R61" s="789" t="s">
        <v>6875</v>
      </c>
      <c r="S61" s="792" t="s">
        <v>4729</v>
      </c>
      <c r="T61" s="792"/>
      <c r="U61" s="812"/>
    </row>
    <row r="62" spans="1:21" s="813" customFormat="1" ht="24" hidden="1" customHeight="1">
      <c r="A62" s="801"/>
      <c r="B62" s="814" t="s">
        <v>1595</v>
      </c>
      <c r="C62" s="814" t="s">
        <v>4742</v>
      </c>
      <c r="D62" s="815" t="s">
        <v>3701</v>
      </c>
      <c r="E62" s="819">
        <v>18.303999999999998</v>
      </c>
      <c r="F62" s="816"/>
      <c r="G62" s="817" t="s">
        <v>32</v>
      </c>
      <c r="H62" s="817" t="s">
        <v>33</v>
      </c>
      <c r="I62" s="818" t="s">
        <v>4665</v>
      </c>
      <c r="J62" s="819" t="s">
        <v>4665</v>
      </c>
      <c r="K62" s="819"/>
      <c r="L62" s="816">
        <v>16327.900159999999</v>
      </c>
      <c r="M62" s="816">
        <v>8163.9500799999996</v>
      </c>
      <c r="N62" s="819">
        <v>2021.12</v>
      </c>
      <c r="O62" s="789" t="s">
        <v>6873</v>
      </c>
      <c r="P62" s="360" t="s">
        <v>6874</v>
      </c>
      <c r="Q62" s="789">
        <v>18335831522</v>
      </c>
      <c r="R62" s="789" t="s">
        <v>6875</v>
      </c>
      <c r="S62" s="792" t="s">
        <v>4729</v>
      </c>
      <c r="T62" s="792"/>
      <c r="U62" s="812"/>
    </row>
    <row r="63" spans="1:21" s="813" customFormat="1" ht="24" hidden="1" customHeight="1">
      <c r="A63" s="801"/>
      <c r="B63" s="814" t="s">
        <v>1595</v>
      </c>
      <c r="C63" s="814" t="s">
        <v>4743</v>
      </c>
      <c r="D63" s="815" t="s">
        <v>3701</v>
      </c>
      <c r="E63" s="819">
        <v>60.402999999999999</v>
      </c>
      <c r="F63" s="816"/>
      <c r="G63" s="817" t="s">
        <v>32</v>
      </c>
      <c r="H63" s="817" t="s">
        <v>33</v>
      </c>
      <c r="I63" s="818" t="s">
        <v>4665</v>
      </c>
      <c r="J63" s="819" t="s">
        <v>4665</v>
      </c>
      <c r="K63" s="819"/>
      <c r="L63" s="816">
        <v>53881.892119999997</v>
      </c>
      <c r="M63" s="816">
        <v>26940.946059999998</v>
      </c>
      <c r="N63" s="819">
        <v>2021.12</v>
      </c>
      <c r="O63" s="789" t="s">
        <v>6873</v>
      </c>
      <c r="P63" s="360" t="s">
        <v>6874</v>
      </c>
      <c r="Q63" s="789">
        <v>18335831522</v>
      </c>
      <c r="R63" s="789" t="s">
        <v>6875</v>
      </c>
      <c r="S63" s="792" t="s">
        <v>4729</v>
      </c>
      <c r="T63" s="792"/>
      <c r="U63" s="812"/>
    </row>
    <row r="64" spans="1:21" s="813" customFormat="1" ht="24" hidden="1" customHeight="1">
      <c r="A64" s="801"/>
      <c r="B64" s="814" t="s">
        <v>1593</v>
      </c>
      <c r="C64" s="814" t="s">
        <v>4706</v>
      </c>
      <c r="D64" s="815" t="s">
        <v>888</v>
      </c>
      <c r="E64" s="819">
        <v>1729.71</v>
      </c>
      <c r="F64" s="816"/>
      <c r="G64" s="817" t="s">
        <v>32</v>
      </c>
      <c r="H64" s="817" t="s">
        <v>33</v>
      </c>
      <c r="I64" s="818" t="s">
        <v>4665</v>
      </c>
      <c r="J64" s="819" t="s">
        <v>4665</v>
      </c>
      <c r="K64" s="819"/>
      <c r="L64" s="816">
        <v>26793.207900000001</v>
      </c>
      <c r="M64" s="816">
        <v>13396.603950000001</v>
      </c>
      <c r="N64" s="819">
        <v>2021.12</v>
      </c>
      <c r="O64" s="789" t="s">
        <v>6873</v>
      </c>
      <c r="P64" s="360" t="s">
        <v>6874</v>
      </c>
      <c r="Q64" s="789">
        <v>18335831522</v>
      </c>
      <c r="R64" s="789" t="s">
        <v>6875</v>
      </c>
      <c r="S64" s="792" t="s">
        <v>4729</v>
      </c>
      <c r="T64" s="792"/>
      <c r="U64" s="812"/>
    </row>
    <row r="65" spans="1:21" s="813" customFormat="1" ht="24" hidden="1" customHeight="1">
      <c r="A65" s="801"/>
      <c r="B65" s="814" t="s">
        <v>1593</v>
      </c>
      <c r="C65" s="814" t="s">
        <v>4744</v>
      </c>
      <c r="D65" s="815" t="s">
        <v>888</v>
      </c>
      <c r="E65" s="819">
        <v>321.49</v>
      </c>
      <c r="F65" s="816"/>
      <c r="G65" s="817" t="s">
        <v>32</v>
      </c>
      <c r="H65" s="817" t="s">
        <v>33</v>
      </c>
      <c r="I65" s="818" t="s">
        <v>4665</v>
      </c>
      <c r="J65" s="819" t="s">
        <v>4665</v>
      </c>
      <c r="K65" s="819"/>
      <c r="L65" s="816">
        <v>4979.8801000000003</v>
      </c>
      <c r="M65" s="816">
        <v>2489.9400500000002</v>
      </c>
      <c r="N65" s="819">
        <v>2021.12</v>
      </c>
      <c r="O65" s="789" t="s">
        <v>6873</v>
      </c>
      <c r="P65" s="360" t="s">
        <v>6874</v>
      </c>
      <c r="Q65" s="789">
        <v>18335831522</v>
      </c>
      <c r="R65" s="789" t="s">
        <v>6875</v>
      </c>
      <c r="S65" s="792" t="s">
        <v>4729</v>
      </c>
      <c r="T65" s="792"/>
      <c r="U65" s="812"/>
    </row>
    <row r="66" spans="1:21" s="813" customFormat="1" ht="24" hidden="1" customHeight="1">
      <c r="A66" s="801"/>
      <c r="B66" s="814" t="s">
        <v>4745</v>
      </c>
      <c r="C66" s="814" t="s">
        <v>4746</v>
      </c>
      <c r="D66" s="815" t="s">
        <v>31</v>
      </c>
      <c r="E66" s="819">
        <v>10</v>
      </c>
      <c r="F66" s="816" t="s">
        <v>34</v>
      </c>
      <c r="G66" s="817" t="s">
        <v>32</v>
      </c>
      <c r="H66" s="817" t="s">
        <v>33</v>
      </c>
      <c r="I66" s="818" t="s">
        <v>4665</v>
      </c>
      <c r="J66" s="819" t="s">
        <v>4665</v>
      </c>
      <c r="K66" s="819" t="s">
        <v>34</v>
      </c>
      <c r="L66" s="816">
        <v>776.73267326732673</v>
      </c>
      <c r="M66" s="816">
        <v>675.75742574257424</v>
      </c>
      <c r="N66" s="819" t="s">
        <v>4747</v>
      </c>
      <c r="O66" s="789" t="s">
        <v>6876</v>
      </c>
      <c r="P66" s="360" t="s">
        <v>6877</v>
      </c>
      <c r="Q66" s="789">
        <v>1375488066</v>
      </c>
      <c r="R66" s="789" t="s">
        <v>6878</v>
      </c>
      <c r="S66" s="792" t="s">
        <v>6879</v>
      </c>
      <c r="T66" s="792"/>
      <c r="U66" s="812"/>
    </row>
    <row r="67" spans="1:21" s="813" customFormat="1" ht="24" hidden="1" customHeight="1">
      <c r="A67" s="801"/>
      <c r="B67" s="814" t="s">
        <v>4745</v>
      </c>
      <c r="C67" s="814" t="s">
        <v>4748</v>
      </c>
      <c r="D67" s="815" t="s">
        <v>31</v>
      </c>
      <c r="E67" s="819">
        <v>270</v>
      </c>
      <c r="F67" s="816" t="s">
        <v>34</v>
      </c>
      <c r="G67" s="817" t="s">
        <v>32</v>
      </c>
      <c r="H67" s="817" t="s">
        <v>33</v>
      </c>
      <c r="I67" s="818" t="s">
        <v>6880</v>
      </c>
      <c r="J67" s="819" t="s">
        <v>6880</v>
      </c>
      <c r="K67" s="819" t="s">
        <v>34</v>
      </c>
      <c r="L67" s="816">
        <v>19659.20792079208</v>
      </c>
      <c r="M67" s="816">
        <v>17103.51089108911</v>
      </c>
      <c r="N67" s="819" t="s">
        <v>6881</v>
      </c>
      <c r="O67" s="789" t="s">
        <v>6876</v>
      </c>
      <c r="P67" s="360" t="s">
        <v>6877</v>
      </c>
      <c r="Q67" s="789">
        <v>1375488066</v>
      </c>
      <c r="R67" s="789" t="s">
        <v>6878</v>
      </c>
      <c r="S67" s="792" t="s">
        <v>6879</v>
      </c>
      <c r="T67" s="792"/>
      <c r="U67" s="812"/>
    </row>
    <row r="68" spans="1:21" s="813" customFormat="1" ht="24" hidden="1" customHeight="1">
      <c r="A68" s="801"/>
      <c r="B68" s="814" t="s">
        <v>4745</v>
      </c>
      <c r="C68" s="814" t="s">
        <v>4749</v>
      </c>
      <c r="D68" s="815" t="s">
        <v>31</v>
      </c>
      <c r="E68" s="819">
        <v>246</v>
      </c>
      <c r="F68" s="816" t="s">
        <v>34</v>
      </c>
      <c r="G68" s="817" t="s">
        <v>32</v>
      </c>
      <c r="H68" s="817" t="s">
        <v>33</v>
      </c>
      <c r="I68" s="818" t="s">
        <v>6880</v>
      </c>
      <c r="J68" s="819" t="s">
        <v>6880</v>
      </c>
      <c r="K68" s="819" t="s">
        <v>34</v>
      </c>
      <c r="L68" s="816">
        <v>10748.495049504951</v>
      </c>
      <c r="M68" s="816">
        <v>9351.1906930693076</v>
      </c>
      <c r="N68" s="819" t="s">
        <v>6881</v>
      </c>
      <c r="O68" s="789" t="s">
        <v>6876</v>
      </c>
      <c r="P68" s="360" t="s">
        <v>6877</v>
      </c>
      <c r="Q68" s="789">
        <v>1375488066</v>
      </c>
      <c r="R68" s="789" t="s">
        <v>6878</v>
      </c>
      <c r="S68" s="792" t="s">
        <v>6879</v>
      </c>
      <c r="T68" s="792"/>
      <c r="U68" s="812"/>
    </row>
    <row r="69" spans="1:21" s="813" customFormat="1" ht="24" hidden="1" customHeight="1">
      <c r="A69" s="801"/>
      <c r="B69" s="814" t="s">
        <v>1546</v>
      </c>
      <c r="C69" s="814" t="s">
        <v>4750</v>
      </c>
      <c r="D69" s="815" t="s">
        <v>3701</v>
      </c>
      <c r="E69" s="819">
        <v>1.8688</v>
      </c>
      <c r="F69" s="816" t="s">
        <v>34</v>
      </c>
      <c r="G69" s="817" t="s">
        <v>32</v>
      </c>
      <c r="H69" s="817" t="s">
        <v>33</v>
      </c>
      <c r="I69" s="818" t="s">
        <v>6880</v>
      </c>
      <c r="J69" s="819" t="s">
        <v>6880</v>
      </c>
      <c r="K69" s="819" t="s">
        <v>34</v>
      </c>
      <c r="L69" s="816">
        <v>1084.8982016</v>
      </c>
      <c r="M69" s="816">
        <v>0</v>
      </c>
      <c r="N69" s="819" t="s">
        <v>4751</v>
      </c>
      <c r="O69" s="789" t="s">
        <v>6876</v>
      </c>
      <c r="P69" s="360" t="s">
        <v>6877</v>
      </c>
      <c r="Q69" s="789">
        <v>1375488066</v>
      </c>
      <c r="R69" s="789" t="s">
        <v>6878</v>
      </c>
      <c r="S69" s="792" t="s">
        <v>6879</v>
      </c>
      <c r="T69" s="792"/>
      <c r="U69" s="812"/>
    </row>
    <row r="70" spans="1:21" s="813" customFormat="1" ht="24" hidden="1" customHeight="1">
      <c r="A70" s="801"/>
      <c r="B70" s="814" t="s">
        <v>1546</v>
      </c>
      <c r="C70" s="814" t="s">
        <v>4752</v>
      </c>
      <c r="D70" s="815" t="s">
        <v>3701</v>
      </c>
      <c r="E70" s="819">
        <v>8.76</v>
      </c>
      <c r="F70" s="816" t="s">
        <v>34</v>
      </c>
      <c r="G70" s="817" t="s">
        <v>32</v>
      </c>
      <c r="H70" s="817" t="s">
        <v>33</v>
      </c>
      <c r="I70" s="818" t="s">
        <v>6880</v>
      </c>
      <c r="J70" s="819" t="s">
        <v>6880</v>
      </c>
      <c r="K70" s="819" t="s">
        <v>34</v>
      </c>
      <c r="L70" s="816">
        <v>5085.4603200000001</v>
      </c>
      <c r="M70" s="816">
        <v>0</v>
      </c>
      <c r="N70" s="819" t="s">
        <v>4751</v>
      </c>
      <c r="O70" s="789" t="s">
        <v>6876</v>
      </c>
      <c r="P70" s="360" t="s">
        <v>6877</v>
      </c>
      <c r="Q70" s="789">
        <v>1375488066</v>
      </c>
      <c r="R70" s="789" t="s">
        <v>6878</v>
      </c>
      <c r="S70" s="792" t="s">
        <v>6879</v>
      </c>
      <c r="T70" s="792"/>
      <c r="U70" s="812"/>
    </row>
    <row r="71" spans="1:21" s="813" customFormat="1" ht="24" hidden="1" customHeight="1">
      <c r="A71" s="801"/>
      <c r="B71" s="814" t="s">
        <v>1546</v>
      </c>
      <c r="C71" s="814" t="s">
        <v>4753</v>
      </c>
      <c r="D71" s="815" t="s">
        <v>3701</v>
      </c>
      <c r="E71" s="819">
        <v>5.9328000000000003</v>
      </c>
      <c r="F71" s="816" t="s">
        <v>34</v>
      </c>
      <c r="G71" s="817" t="s">
        <v>32</v>
      </c>
      <c r="H71" s="817" t="s">
        <v>33</v>
      </c>
      <c r="I71" s="818" t="s">
        <v>6880</v>
      </c>
      <c r="J71" s="819" t="s">
        <v>6880</v>
      </c>
      <c r="K71" s="819" t="s">
        <v>34</v>
      </c>
      <c r="L71" s="816">
        <v>4305.2253119999996</v>
      </c>
      <c r="M71" s="816">
        <v>0</v>
      </c>
      <c r="N71" s="819" t="s">
        <v>4751</v>
      </c>
      <c r="O71" s="789" t="s">
        <v>6876</v>
      </c>
      <c r="P71" s="360" t="s">
        <v>6877</v>
      </c>
      <c r="Q71" s="789">
        <v>1375488066</v>
      </c>
      <c r="R71" s="789" t="s">
        <v>6878</v>
      </c>
      <c r="S71" s="792" t="s">
        <v>6879</v>
      </c>
      <c r="T71" s="792"/>
      <c r="U71" s="812"/>
    </row>
    <row r="72" spans="1:21" s="813" customFormat="1" ht="24" hidden="1" customHeight="1">
      <c r="A72" s="801"/>
      <c r="B72" s="814" t="s">
        <v>1546</v>
      </c>
      <c r="C72" s="814" t="s">
        <v>4754</v>
      </c>
      <c r="D72" s="815" t="s">
        <v>3701</v>
      </c>
      <c r="E72" s="819">
        <v>1.552</v>
      </c>
      <c r="F72" s="816" t="s">
        <v>34</v>
      </c>
      <c r="G72" s="817" t="s">
        <v>32</v>
      </c>
      <c r="H72" s="817" t="s">
        <v>33</v>
      </c>
      <c r="I72" s="818" t="s">
        <v>6880</v>
      </c>
      <c r="J72" s="819" t="s">
        <v>6880</v>
      </c>
      <c r="K72" s="819" t="s">
        <v>34</v>
      </c>
      <c r="L72" s="816">
        <v>1126.23208</v>
      </c>
      <c r="M72" s="816">
        <v>0</v>
      </c>
      <c r="N72" s="819" t="s">
        <v>4751</v>
      </c>
      <c r="O72" s="789" t="s">
        <v>6876</v>
      </c>
      <c r="P72" s="360" t="s">
        <v>6877</v>
      </c>
      <c r="Q72" s="789">
        <v>1375488066</v>
      </c>
      <c r="R72" s="789" t="s">
        <v>6878</v>
      </c>
      <c r="S72" s="792" t="s">
        <v>6879</v>
      </c>
      <c r="T72" s="792"/>
      <c r="U72" s="812"/>
    </row>
    <row r="73" spans="1:21" s="813" customFormat="1" ht="24" hidden="1" customHeight="1">
      <c r="A73" s="801"/>
      <c r="B73" s="814" t="s">
        <v>1546</v>
      </c>
      <c r="C73" s="814" t="s">
        <v>4755</v>
      </c>
      <c r="D73" s="815" t="s">
        <v>3701</v>
      </c>
      <c r="E73" s="819">
        <v>33.136000000000003</v>
      </c>
      <c r="F73" s="816" t="s">
        <v>6882</v>
      </c>
      <c r="G73" s="817" t="s">
        <v>32</v>
      </c>
      <c r="H73" s="817" t="s">
        <v>33</v>
      </c>
      <c r="I73" s="818" t="s">
        <v>6880</v>
      </c>
      <c r="J73" s="819" t="s">
        <v>6880</v>
      </c>
      <c r="K73" s="819" t="s">
        <v>34</v>
      </c>
      <c r="L73" s="816">
        <v>28854.762527999999</v>
      </c>
      <c r="M73" s="816">
        <v>0</v>
      </c>
      <c r="N73" s="819" t="s">
        <v>4751</v>
      </c>
      <c r="O73" s="789" t="s">
        <v>6876</v>
      </c>
      <c r="P73" s="360" t="s">
        <v>6877</v>
      </c>
      <c r="Q73" s="789">
        <v>1375488066</v>
      </c>
      <c r="R73" s="789" t="s">
        <v>6878</v>
      </c>
      <c r="S73" s="792" t="s">
        <v>6879</v>
      </c>
      <c r="T73" s="792"/>
      <c r="U73" s="812"/>
    </row>
    <row r="74" spans="1:21" s="813" customFormat="1" ht="24" hidden="1" customHeight="1">
      <c r="A74" s="801"/>
      <c r="B74" s="814" t="s">
        <v>1546</v>
      </c>
      <c r="C74" s="814" t="s">
        <v>4756</v>
      </c>
      <c r="D74" s="815" t="s">
        <v>3701</v>
      </c>
      <c r="E74" s="819">
        <v>2.61</v>
      </c>
      <c r="F74" s="816" t="s">
        <v>34</v>
      </c>
      <c r="G74" s="817" t="s">
        <v>32</v>
      </c>
      <c r="H74" s="817" t="s">
        <v>33</v>
      </c>
      <c r="I74" s="818" t="s">
        <v>6880</v>
      </c>
      <c r="J74" s="819" t="s">
        <v>6880</v>
      </c>
      <c r="K74" s="819" t="s">
        <v>34</v>
      </c>
      <c r="L74" s="816">
        <v>2272.78278</v>
      </c>
      <c r="M74" s="816">
        <v>0</v>
      </c>
      <c r="N74" s="819" t="s">
        <v>4751</v>
      </c>
      <c r="O74" s="789" t="s">
        <v>6876</v>
      </c>
      <c r="P74" s="360" t="s">
        <v>6877</v>
      </c>
      <c r="Q74" s="789">
        <v>1375488066</v>
      </c>
      <c r="R74" s="789" t="s">
        <v>6878</v>
      </c>
      <c r="S74" s="792" t="s">
        <v>6879</v>
      </c>
      <c r="T74" s="792"/>
      <c r="U74" s="812"/>
    </row>
    <row r="75" spans="1:21" s="813" customFormat="1" ht="24" hidden="1" customHeight="1">
      <c r="A75" s="801"/>
      <c r="B75" s="814" t="s">
        <v>1546</v>
      </c>
      <c r="C75" s="814" t="s">
        <v>4757</v>
      </c>
      <c r="D75" s="815" t="s">
        <v>3701</v>
      </c>
      <c r="E75" s="819">
        <v>1.2</v>
      </c>
      <c r="F75" s="816" t="s">
        <v>34</v>
      </c>
      <c r="G75" s="817" t="s">
        <v>32</v>
      </c>
      <c r="H75" s="817" t="s">
        <v>33</v>
      </c>
      <c r="I75" s="818" t="s">
        <v>6880</v>
      </c>
      <c r="J75" s="819" t="s">
        <v>6880</v>
      </c>
      <c r="K75" s="819" t="s">
        <v>34</v>
      </c>
      <c r="L75" s="816">
        <v>870.798</v>
      </c>
      <c r="M75" s="816">
        <v>0</v>
      </c>
      <c r="N75" s="819" t="s">
        <v>4751</v>
      </c>
      <c r="O75" s="789" t="s">
        <v>6876</v>
      </c>
      <c r="P75" s="360" t="s">
        <v>6877</v>
      </c>
      <c r="Q75" s="789">
        <v>1375488066</v>
      </c>
      <c r="R75" s="789" t="s">
        <v>6878</v>
      </c>
      <c r="S75" s="792" t="s">
        <v>6879</v>
      </c>
      <c r="T75" s="792"/>
      <c r="U75" s="812"/>
    </row>
    <row r="76" spans="1:21" s="813" customFormat="1" ht="24" hidden="1" customHeight="1">
      <c r="A76" s="801"/>
      <c r="B76" s="814" t="s">
        <v>1546</v>
      </c>
      <c r="C76" s="814" t="s">
        <v>4756</v>
      </c>
      <c r="D76" s="815" t="s">
        <v>3701</v>
      </c>
      <c r="E76" s="819">
        <v>56.908999999999999</v>
      </c>
      <c r="F76" s="816" t="s">
        <v>34</v>
      </c>
      <c r="G76" s="817" t="s">
        <v>32</v>
      </c>
      <c r="H76" s="817" t="s">
        <v>33</v>
      </c>
      <c r="I76" s="818" t="s">
        <v>6880</v>
      </c>
      <c r="J76" s="819" t="s">
        <v>6880</v>
      </c>
      <c r="K76" s="819" t="s">
        <v>34</v>
      </c>
      <c r="L76" s="816">
        <v>108278.185840708</v>
      </c>
      <c r="M76" s="816">
        <v>0</v>
      </c>
      <c r="N76" s="819" t="s">
        <v>4758</v>
      </c>
      <c r="O76" s="789" t="s">
        <v>6876</v>
      </c>
      <c r="P76" s="360" t="s">
        <v>6877</v>
      </c>
      <c r="Q76" s="789">
        <v>1375488066</v>
      </c>
      <c r="R76" s="789" t="s">
        <v>6878</v>
      </c>
      <c r="S76" s="792" t="s">
        <v>6879</v>
      </c>
      <c r="T76" s="792"/>
      <c r="U76" s="812"/>
    </row>
    <row r="77" spans="1:21" s="813" customFormat="1" ht="24" hidden="1" customHeight="1">
      <c r="A77" s="801"/>
      <c r="B77" s="814" t="s">
        <v>1546</v>
      </c>
      <c r="C77" s="814" t="s">
        <v>4759</v>
      </c>
      <c r="D77" s="815" t="s">
        <v>3701</v>
      </c>
      <c r="E77" s="819">
        <v>302.60199999999998</v>
      </c>
      <c r="F77" s="816" t="s">
        <v>34</v>
      </c>
      <c r="G77" s="817" t="s">
        <v>32</v>
      </c>
      <c r="H77" s="817" t="s">
        <v>33</v>
      </c>
      <c r="I77" s="818" t="s">
        <v>6880</v>
      </c>
      <c r="J77" s="819" t="s">
        <v>6880</v>
      </c>
      <c r="K77" s="819" t="s">
        <v>34</v>
      </c>
      <c r="L77" s="816">
        <v>575747.15</v>
      </c>
      <c r="M77" s="816">
        <v>0</v>
      </c>
      <c r="N77" s="819" t="s">
        <v>6883</v>
      </c>
      <c r="O77" s="789" t="s">
        <v>6876</v>
      </c>
      <c r="P77" s="360" t="s">
        <v>6877</v>
      </c>
      <c r="Q77" s="789">
        <v>1375488066</v>
      </c>
      <c r="R77" s="789" t="s">
        <v>6878</v>
      </c>
      <c r="S77" s="792" t="s">
        <v>6879</v>
      </c>
      <c r="T77" s="792"/>
      <c r="U77" s="812"/>
    </row>
    <row r="78" spans="1:21" s="813" customFormat="1" ht="24" hidden="1" customHeight="1">
      <c r="A78" s="801"/>
      <c r="B78" s="814" t="s">
        <v>1546</v>
      </c>
      <c r="C78" s="814" t="s">
        <v>4760</v>
      </c>
      <c r="D78" s="815" t="s">
        <v>3701</v>
      </c>
      <c r="E78" s="819">
        <v>118.81</v>
      </c>
      <c r="F78" s="816" t="s">
        <v>34</v>
      </c>
      <c r="G78" s="817" t="s">
        <v>32</v>
      </c>
      <c r="H78" s="817" t="s">
        <v>33</v>
      </c>
      <c r="I78" s="818" t="s">
        <v>6880</v>
      </c>
      <c r="J78" s="819" t="s">
        <v>6880</v>
      </c>
      <c r="K78" s="819" t="s">
        <v>34</v>
      </c>
      <c r="L78" s="816">
        <v>226054.42</v>
      </c>
      <c r="M78" s="816">
        <v>0</v>
      </c>
      <c r="N78" s="819" t="s">
        <v>6883</v>
      </c>
      <c r="O78" s="789" t="s">
        <v>6876</v>
      </c>
      <c r="P78" s="360" t="s">
        <v>6877</v>
      </c>
      <c r="Q78" s="789">
        <v>1375488066</v>
      </c>
      <c r="R78" s="789" t="s">
        <v>6878</v>
      </c>
      <c r="S78" s="792" t="s">
        <v>6879</v>
      </c>
      <c r="T78" s="792"/>
      <c r="U78" s="812"/>
    </row>
    <row r="79" spans="1:21" s="813" customFormat="1" ht="24" hidden="1" customHeight="1">
      <c r="A79" s="801"/>
      <c r="B79" s="814" t="s">
        <v>1593</v>
      </c>
      <c r="C79" s="814" t="s">
        <v>4737</v>
      </c>
      <c r="D79" s="815" t="s">
        <v>888</v>
      </c>
      <c r="E79" s="819">
        <v>14534.226000000001</v>
      </c>
      <c r="F79" s="816" t="s">
        <v>34</v>
      </c>
      <c r="G79" s="817" t="s">
        <v>32</v>
      </c>
      <c r="H79" s="817" t="s">
        <v>33</v>
      </c>
      <c r="I79" s="818" t="s">
        <v>6880</v>
      </c>
      <c r="J79" s="819" t="s">
        <v>6880</v>
      </c>
      <c r="K79" s="819" t="s">
        <v>34</v>
      </c>
      <c r="L79" s="816">
        <v>527348.02</v>
      </c>
      <c r="M79" s="816">
        <v>0</v>
      </c>
      <c r="N79" s="819" t="s">
        <v>6883</v>
      </c>
      <c r="O79" s="789" t="s">
        <v>6876</v>
      </c>
      <c r="P79" s="360" t="s">
        <v>6877</v>
      </c>
      <c r="Q79" s="789">
        <v>1375488066</v>
      </c>
      <c r="R79" s="789" t="s">
        <v>6878</v>
      </c>
      <c r="S79" s="792" t="s">
        <v>6879</v>
      </c>
      <c r="T79" s="792"/>
      <c r="U79" s="812"/>
    </row>
    <row r="80" spans="1:21" s="813" customFormat="1" ht="24" hidden="1" customHeight="1">
      <c r="A80" s="801"/>
      <c r="B80" s="814" t="s">
        <v>1593</v>
      </c>
      <c r="C80" s="814" t="s">
        <v>4761</v>
      </c>
      <c r="D80" s="815" t="s">
        <v>888</v>
      </c>
      <c r="E80" s="819">
        <v>3497.74</v>
      </c>
      <c r="F80" s="816" t="s">
        <v>34</v>
      </c>
      <c r="G80" s="817" t="s">
        <v>32</v>
      </c>
      <c r="H80" s="817" t="s">
        <v>33</v>
      </c>
      <c r="I80" s="818" t="s">
        <v>6880</v>
      </c>
      <c r="J80" s="819" t="s">
        <v>6880</v>
      </c>
      <c r="K80" s="819" t="s">
        <v>34</v>
      </c>
      <c r="L80" s="816">
        <v>126909.15</v>
      </c>
      <c r="M80" s="816">
        <v>0</v>
      </c>
      <c r="N80" s="819" t="s">
        <v>6883</v>
      </c>
      <c r="O80" s="789" t="s">
        <v>6876</v>
      </c>
      <c r="P80" s="360" t="s">
        <v>6877</v>
      </c>
      <c r="Q80" s="789">
        <v>1375488066</v>
      </c>
      <c r="R80" s="789" t="s">
        <v>6878</v>
      </c>
      <c r="S80" s="792" t="s">
        <v>6879</v>
      </c>
      <c r="T80" s="792"/>
      <c r="U80" s="812"/>
    </row>
    <row r="81" spans="1:28" s="813" customFormat="1" ht="24" hidden="1" customHeight="1">
      <c r="A81" s="801"/>
      <c r="B81" s="814" t="s">
        <v>1605</v>
      </c>
      <c r="C81" s="814" t="s">
        <v>4689</v>
      </c>
      <c r="D81" s="815" t="s">
        <v>4762</v>
      </c>
      <c r="E81" s="819">
        <v>979.553</v>
      </c>
      <c r="F81" s="816" t="s">
        <v>34</v>
      </c>
      <c r="G81" s="817" t="s">
        <v>32</v>
      </c>
      <c r="H81" s="817" t="s">
        <v>33</v>
      </c>
      <c r="I81" s="818" t="s">
        <v>6880</v>
      </c>
      <c r="J81" s="819" t="s">
        <v>6880</v>
      </c>
      <c r="K81" s="819" t="s">
        <v>34</v>
      </c>
      <c r="L81" s="816">
        <v>35541.303539822999</v>
      </c>
      <c r="M81" s="816">
        <v>0</v>
      </c>
      <c r="N81" s="819" t="s">
        <v>4758</v>
      </c>
      <c r="O81" s="789" t="s">
        <v>6876</v>
      </c>
      <c r="P81" s="360" t="s">
        <v>6877</v>
      </c>
      <c r="Q81" s="789">
        <v>1375488066</v>
      </c>
      <c r="R81" s="789" t="s">
        <v>6878</v>
      </c>
      <c r="S81" s="792" t="s">
        <v>6879</v>
      </c>
      <c r="T81" s="792"/>
      <c r="U81" s="812"/>
    </row>
    <row r="82" spans="1:28" s="813" customFormat="1" ht="24" hidden="1" customHeight="1">
      <c r="A82" s="801"/>
      <c r="B82" s="814" t="s">
        <v>1605</v>
      </c>
      <c r="C82" s="814" t="s">
        <v>4761</v>
      </c>
      <c r="D82" s="815" t="s">
        <v>4762</v>
      </c>
      <c r="E82" s="819">
        <v>357.21600000000001</v>
      </c>
      <c r="F82" s="816" t="s">
        <v>34</v>
      </c>
      <c r="G82" s="817" t="s">
        <v>32</v>
      </c>
      <c r="H82" s="817" t="s">
        <v>33</v>
      </c>
      <c r="I82" s="818" t="s">
        <v>6880</v>
      </c>
      <c r="J82" s="819" t="s">
        <v>6880</v>
      </c>
      <c r="K82" s="819" t="s">
        <v>34</v>
      </c>
      <c r="L82" s="816">
        <v>12960.9345132743</v>
      </c>
      <c r="M82" s="816">
        <v>0</v>
      </c>
      <c r="N82" s="819" t="s">
        <v>4758</v>
      </c>
      <c r="O82" s="789" t="s">
        <v>6876</v>
      </c>
      <c r="P82" s="360" t="s">
        <v>6877</v>
      </c>
      <c r="Q82" s="789">
        <v>1375488066</v>
      </c>
      <c r="R82" s="789" t="s">
        <v>6878</v>
      </c>
      <c r="S82" s="792" t="s">
        <v>6879</v>
      </c>
      <c r="T82" s="792"/>
      <c r="U82" s="812"/>
    </row>
    <row r="83" spans="1:28" ht="24" hidden="1" customHeight="1">
      <c r="A83" s="822" t="s">
        <v>511</v>
      </c>
      <c r="B83" s="769" t="s">
        <v>512</v>
      </c>
      <c r="C83" s="769"/>
      <c r="D83" s="769"/>
      <c r="E83" s="823"/>
      <c r="F83" s="769"/>
      <c r="G83" s="769"/>
      <c r="H83" s="769"/>
      <c r="I83" s="769"/>
      <c r="J83" s="769"/>
      <c r="K83" s="776"/>
      <c r="L83" s="777"/>
      <c r="M83" s="294"/>
      <c r="N83" s="772"/>
      <c r="O83" s="769"/>
      <c r="P83" s="793"/>
      <c r="Q83" s="770"/>
      <c r="R83" s="769"/>
      <c r="S83" s="778"/>
      <c r="T83" s="769"/>
      <c r="U83" s="798"/>
    </row>
    <row r="84" spans="1:28" ht="24" hidden="1" customHeight="1">
      <c r="A84" s="769">
        <v>1</v>
      </c>
      <c r="B84" s="769" t="s">
        <v>513</v>
      </c>
      <c r="C84" s="769" t="s">
        <v>2586</v>
      </c>
      <c r="D84" s="769"/>
      <c r="E84" s="769"/>
      <c r="F84" s="769"/>
      <c r="G84" s="769"/>
      <c r="H84" s="769"/>
      <c r="I84" s="769"/>
      <c r="J84" s="769"/>
      <c r="K84" s="776"/>
      <c r="L84" s="777"/>
      <c r="M84" s="294"/>
      <c r="N84" s="772"/>
      <c r="O84" s="769"/>
      <c r="P84" s="793"/>
      <c r="Q84" s="770"/>
      <c r="R84" s="769"/>
      <c r="S84" s="778"/>
      <c r="T84" s="769"/>
      <c r="U84" s="798"/>
    </row>
    <row r="85" spans="1:28" s="831" customFormat="1" ht="24" customHeight="1">
      <c r="A85" s="769"/>
      <c r="B85" s="824" t="s">
        <v>4763</v>
      </c>
      <c r="C85" s="824" t="s">
        <v>4764</v>
      </c>
      <c r="D85" s="769" t="s">
        <v>4456</v>
      </c>
      <c r="E85" s="825">
        <v>17</v>
      </c>
      <c r="F85" s="769" t="s">
        <v>34</v>
      </c>
      <c r="G85" s="826" t="s">
        <v>3560</v>
      </c>
      <c r="H85" s="826" t="s">
        <v>41</v>
      </c>
      <c r="I85" s="827" t="s">
        <v>34</v>
      </c>
      <c r="J85" s="828" t="s">
        <v>4678</v>
      </c>
      <c r="K85" s="828" t="s">
        <v>4678</v>
      </c>
      <c r="L85" s="829">
        <v>64943</v>
      </c>
      <c r="M85" s="294">
        <v>64943</v>
      </c>
      <c r="N85" s="769">
        <v>2012.09</v>
      </c>
      <c r="O85" s="769" t="s">
        <v>4676</v>
      </c>
      <c r="P85" s="793" t="s">
        <v>4677</v>
      </c>
      <c r="Q85" s="770">
        <v>13643450564</v>
      </c>
      <c r="R85" s="828" t="s">
        <v>4678</v>
      </c>
      <c r="S85" s="830" t="s">
        <v>4670</v>
      </c>
      <c r="T85" s="769"/>
      <c r="U85" s="798"/>
    </row>
    <row r="86" spans="1:28" s="831" customFormat="1" ht="24" customHeight="1">
      <c r="A86" s="769"/>
      <c r="B86" s="824" t="s">
        <v>4763</v>
      </c>
      <c r="C86" s="824" t="s">
        <v>4765</v>
      </c>
      <c r="D86" s="769" t="s">
        <v>4456</v>
      </c>
      <c r="E86" s="825">
        <v>15</v>
      </c>
      <c r="F86" s="769" t="s">
        <v>34</v>
      </c>
      <c r="G86" s="826" t="s">
        <v>3560</v>
      </c>
      <c r="H86" s="826" t="s">
        <v>41</v>
      </c>
      <c r="I86" s="827" t="s">
        <v>34</v>
      </c>
      <c r="J86" s="828" t="s">
        <v>4678</v>
      </c>
      <c r="K86" s="828" t="s">
        <v>4678</v>
      </c>
      <c r="L86" s="829">
        <v>155057</v>
      </c>
      <c r="M86" s="294">
        <v>155057</v>
      </c>
      <c r="N86" s="769">
        <v>2012.09</v>
      </c>
      <c r="O86" s="769" t="s">
        <v>4676</v>
      </c>
      <c r="P86" s="793" t="s">
        <v>4677</v>
      </c>
      <c r="Q86" s="770">
        <v>13643450564</v>
      </c>
      <c r="R86" s="828" t="s">
        <v>4678</v>
      </c>
      <c r="S86" s="830" t="s">
        <v>4670</v>
      </c>
      <c r="T86" s="769"/>
      <c r="U86" s="798"/>
    </row>
    <row r="87" spans="1:28" s="831" customFormat="1" ht="24" customHeight="1">
      <c r="A87" s="769"/>
      <c r="B87" s="832" t="s">
        <v>4766</v>
      </c>
      <c r="C87" s="832" t="s">
        <v>34</v>
      </c>
      <c r="D87" s="833" t="s">
        <v>62</v>
      </c>
      <c r="E87" s="834">
        <v>19.11</v>
      </c>
      <c r="F87" s="833" t="s">
        <v>34</v>
      </c>
      <c r="G87" s="826" t="s">
        <v>3560</v>
      </c>
      <c r="H87" s="826" t="s">
        <v>41</v>
      </c>
      <c r="I87" s="835" t="s">
        <v>34</v>
      </c>
      <c r="J87" s="828" t="s">
        <v>4678</v>
      </c>
      <c r="K87" s="828" t="s">
        <v>4678</v>
      </c>
      <c r="L87" s="836">
        <v>101300</v>
      </c>
      <c r="M87" s="294">
        <v>101300</v>
      </c>
      <c r="N87" s="833">
        <v>2012.09</v>
      </c>
      <c r="O87" s="833" t="s">
        <v>4676</v>
      </c>
      <c r="P87" s="793" t="s">
        <v>4677</v>
      </c>
      <c r="Q87" s="837">
        <v>13643450564</v>
      </c>
      <c r="R87" s="828" t="s">
        <v>4678</v>
      </c>
      <c r="S87" s="830" t="s">
        <v>4670</v>
      </c>
      <c r="T87" s="769"/>
      <c r="U87" s="798"/>
    </row>
    <row r="88" spans="1:28" ht="24" hidden="1" customHeight="1">
      <c r="A88" s="769"/>
      <c r="B88" s="832" t="s">
        <v>6884</v>
      </c>
      <c r="C88" s="832" t="s">
        <v>4767</v>
      </c>
      <c r="D88" s="832" t="s">
        <v>2084</v>
      </c>
      <c r="E88" s="833">
        <v>73.430999999999997</v>
      </c>
      <c r="F88" s="832">
        <v>73.430999999999997</v>
      </c>
      <c r="G88" s="832" t="s">
        <v>32</v>
      </c>
      <c r="H88" s="833" t="s">
        <v>33</v>
      </c>
      <c r="I88" s="832" t="s">
        <v>34</v>
      </c>
      <c r="J88" s="832" t="s">
        <v>4714</v>
      </c>
      <c r="K88" s="833" t="s">
        <v>4768</v>
      </c>
      <c r="L88" s="832">
        <v>250185.26</v>
      </c>
      <c r="M88" s="832">
        <v>132175.79999999999</v>
      </c>
      <c r="N88" s="833">
        <v>2020.05</v>
      </c>
      <c r="O88" s="832" t="s">
        <v>4720</v>
      </c>
      <c r="P88" s="793" t="s">
        <v>4717</v>
      </c>
      <c r="Q88" s="837">
        <v>13306050175</v>
      </c>
      <c r="R88" s="832" t="s">
        <v>4718</v>
      </c>
      <c r="S88" s="838" t="s">
        <v>4670</v>
      </c>
      <c r="T88" s="769"/>
      <c r="U88" s="798"/>
    </row>
    <row r="89" spans="1:28" ht="24" customHeight="1">
      <c r="A89" s="769"/>
      <c r="B89" s="839" t="s">
        <v>526</v>
      </c>
      <c r="C89" s="839" t="s">
        <v>4769</v>
      </c>
      <c r="D89" s="840" t="s">
        <v>464</v>
      </c>
      <c r="E89" s="841">
        <v>170</v>
      </c>
      <c r="F89" s="842" t="s">
        <v>34</v>
      </c>
      <c r="G89" s="842" t="s">
        <v>32</v>
      </c>
      <c r="H89" s="842" t="s">
        <v>6885</v>
      </c>
      <c r="I89" s="842" t="s">
        <v>6880</v>
      </c>
      <c r="J89" s="842" t="s">
        <v>4770</v>
      </c>
      <c r="K89" s="843" t="s">
        <v>4771</v>
      </c>
      <c r="L89" s="844">
        <v>58861.89</v>
      </c>
      <c r="M89" s="844">
        <v>44146.42</v>
      </c>
      <c r="N89" s="845">
        <v>2020.12</v>
      </c>
      <c r="O89" s="842" t="s">
        <v>6886</v>
      </c>
      <c r="P89" s="793" t="s">
        <v>6887</v>
      </c>
      <c r="Q89" s="846">
        <v>18636810791</v>
      </c>
      <c r="R89" s="842" t="s">
        <v>4772</v>
      </c>
      <c r="S89" s="838" t="s">
        <v>4670</v>
      </c>
      <c r="T89" s="769"/>
      <c r="U89" s="798"/>
    </row>
    <row r="90" spans="1:28" ht="24" customHeight="1">
      <c r="A90" s="779"/>
      <c r="B90" s="769" t="s">
        <v>526</v>
      </c>
      <c r="C90" s="769" t="s">
        <v>4773</v>
      </c>
      <c r="D90" s="769" t="s">
        <v>464</v>
      </c>
      <c r="E90" s="769">
        <v>494.6</v>
      </c>
      <c r="F90" s="769" t="s">
        <v>34</v>
      </c>
      <c r="G90" s="769" t="s">
        <v>32</v>
      </c>
      <c r="H90" s="769" t="s">
        <v>41</v>
      </c>
      <c r="I90" s="769" t="s">
        <v>34</v>
      </c>
      <c r="J90" s="769" t="s">
        <v>6888</v>
      </c>
      <c r="K90" s="769" t="s">
        <v>4774</v>
      </c>
      <c r="L90" s="360">
        <v>125181.95</v>
      </c>
      <c r="M90" s="294">
        <v>62590.97</v>
      </c>
      <c r="N90" s="769">
        <v>2019.09</v>
      </c>
      <c r="O90" s="769" t="s">
        <v>4775</v>
      </c>
      <c r="P90" s="793" t="s">
        <v>4776</v>
      </c>
      <c r="Q90" s="770">
        <v>18335831522</v>
      </c>
      <c r="R90" s="769" t="s">
        <v>4777</v>
      </c>
      <c r="S90" s="780" t="s">
        <v>4670</v>
      </c>
      <c r="T90" s="769"/>
      <c r="U90" s="798"/>
    </row>
    <row r="91" spans="1:28" ht="24" hidden="1" customHeight="1">
      <c r="A91" s="360"/>
      <c r="B91" s="793" t="s">
        <v>526</v>
      </c>
      <c r="C91" s="793" t="s">
        <v>1856</v>
      </c>
      <c r="D91" s="793" t="s">
        <v>464</v>
      </c>
      <c r="E91" s="793">
        <v>283</v>
      </c>
      <c r="F91" s="793" t="s">
        <v>34</v>
      </c>
      <c r="G91" s="793" t="s">
        <v>32</v>
      </c>
      <c r="H91" s="793" t="s">
        <v>33</v>
      </c>
      <c r="I91" s="793" t="s">
        <v>34</v>
      </c>
      <c r="J91" s="793" t="s">
        <v>34</v>
      </c>
      <c r="K91" s="793" t="s">
        <v>34</v>
      </c>
      <c r="L91" s="793">
        <v>35813.269999999997</v>
      </c>
      <c r="M91" s="793">
        <v>21487.96</v>
      </c>
      <c r="N91" s="793">
        <v>2021.08</v>
      </c>
      <c r="O91" s="793" t="s">
        <v>4698</v>
      </c>
      <c r="P91" s="793" t="s">
        <v>4699</v>
      </c>
      <c r="Q91" s="793">
        <v>18605163234</v>
      </c>
      <c r="R91" s="793" t="s">
        <v>4700</v>
      </c>
      <c r="S91" s="793" t="s">
        <v>4670</v>
      </c>
      <c r="T91" s="793"/>
      <c r="U91" s="798"/>
    </row>
    <row r="92" spans="1:28" ht="24" hidden="1" customHeight="1">
      <c r="A92" s="360"/>
      <c r="B92" s="360" t="s">
        <v>526</v>
      </c>
      <c r="C92" s="360" t="s">
        <v>4778</v>
      </c>
      <c r="D92" s="360" t="s">
        <v>62</v>
      </c>
      <c r="E92" s="360">
        <v>7.38</v>
      </c>
      <c r="F92" s="360" t="s">
        <v>34</v>
      </c>
      <c r="G92" s="360" t="s">
        <v>32</v>
      </c>
      <c r="H92" s="360" t="s">
        <v>33</v>
      </c>
      <c r="I92" s="360" t="s">
        <v>34</v>
      </c>
      <c r="J92" s="360" t="s">
        <v>34</v>
      </c>
      <c r="K92" s="360" t="s">
        <v>4779</v>
      </c>
      <c r="L92" s="360">
        <v>36377.522123893803</v>
      </c>
      <c r="M92" s="360">
        <v>30187.320954661402</v>
      </c>
      <c r="N92" s="360">
        <v>2021.12</v>
      </c>
      <c r="O92" s="360" t="s">
        <v>4780</v>
      </c>
      <c r="P92" s="360" t="s">
        <v>6889</v>
      </c>
      <c r="Q92" s="360">
        <v>15635397648</v>
      </c>
      <c r="R92" s="360" t="s">
        <v>4781</v>
      </c>
      <c r="S92" s="360" t="s">
        <v>4670</v>
      </c>
      <c r="T92" s="793"/>
      <c r="U92" s="798"/>
    </row>
    <row r="93" spans="1:28" ht="24" hidden="1" customHeight="1">
      <c r="A93" s="360"/>
      <c r="B93" s="360" t="s">
        <v>526</v>
      </c>
      <c r="C93" s="360" t="s">
        <v>4782</v>
      </c>
      <c r="D93" s="360" t="s">
        <v>62</v>
      </c>
      <c r="E93" s="360">
        <v>7.38</v>
      </c>
      <c r="F93" s="360" t="s">
        <v>34</v>
      </c>
      <c r="G93" s="360" t="s">
        <v>32</v>
      </c>
      <c r="H93" s="360" t="s">
        <v>33</v>
      </c>
      <c r="I93" s="360" t="s">
        <v>34</v>
      </c>
      <c r="J93" s="360" t="s">
        <v>34</v>
      </c>
      <c r="K93" s="360" t="s">
        <v>4779</v>
      </c>
      <c r="L93" s="360">
        <v>36377.522123893803</v>
      </c>
      <c r="M93" s="360">
        <v>30187.320954661402</v>
      </c>
      <c r="N93" s="360">
        <v>2021.12</v>
      </c>
      <c r="O93" s="360" t="s">
        <v>4780</v>
      </c>
      <c r="P93" s="360" t="s">
        <v>6889</v>
      </c>
      <c r="Q93" s="360">
        <v>15635397648</v>
      </c>
      <c r="R93" s="360" t="s">
        <v>4781</v>
      </c>
      <c r="S93" s="360" t="s">
        <v>4670</v>
      </c>
      <c r="T93" s="793"/>
      <c r="U93" s="798"/>
      <c r="V93" s="847"/>
      <c r="W93" s="847"/>
      <c r="X93" s="847"/>
      <c r="Y93" s="847"/>
      <c r="Z93" s="847"/>
      <c r="AA93" s="847"/>
      <c r="AB93" s="847"/>
    </row>
    <row r="94" spans="1:28" ht="24" hidden="1" customHeight="1">
      <c r="A94" s="360"/>
      <c r="B94" s="360" t="s">
        <v>526</v>
      </c>
      <c r="C94" s="360" t="s">
        <v>4783</v>
      </c>
      <c r="D94" s="360" t="s">
        <v>62</v>
      </c>
      <c r="E94" s="360">
        <v>5.5380000000000003</v>
      </c>
      <c r="F94" s="360" t="s">
        <v>34</v>
      </c>
      <c r="G94" s="360" t="s">
        <v>32</v>
      </c>
      <c r="H94" s="360" t="s">
        <v>33</v>
      </c>
      <c r="I94" s="360" t="s">
        <v>34</v>
      </c>
      <c r="J94" s="360" t="s">
        <v>34</v>
      </c>
      <c r="K94" s="360" t="s">
        <v>4779</v>
      </c>
      <c r="L94" s="360">
        <v>27297.929203539799</v>
      </c>
      <c r="M94" s="360">
        <v>22652.761984676799</v>
      </c>
      <c r="N94" s="360">
        <v>2021.12</v>
      </c>
      <c r="O94" s="360" t="s">
        <v>4780</v>
      </c>
      <c r="P94" s="360" t="s">
        <v>6889</v>
      </c>
      <c r="Q94" s="360">
        <v>15635397648</v>
      </c>
      <c r="R94" s="360" t="s">
        <v>4781</v>
      </c>
      <c r="S94" s="360" t="s">
        <v>4670</v>
      </c>
      <c r="T94" s="793"/>
      <c r="U94" s="798"/>
      <c r="V94" s="847"/>
      <c r="W94" s="847"/>
      <c r="X94" s="847"/>
      <c r="Y94" s="847"/>
      <c r="Z94" s="847"/>
      <c r="AA94" s="847"/>
      <c r="AB94" s="847"/>
    </row>
    <row r="95" spans="1:28" ht="24" hidden="1" customHeight="1">
      <c r="A95" s="360"/>
      <c r="B95" s="360" t="s">
        <v>593</v>
      </c>
      <c r="C95" s="360" t="s">
        <v>4784</v>
      </c>
      <c r="D95" s="360" t="s">
        <v>62</v>
      </c>
      <c r="E95" s="360">
        <v>4.0199999999999996</v>
      </c>
      <c r="F95" s="360" t="s">
        <v>34</v>
      </c>
      <c r="G95" s="360" t="s">
        <v>32</v>
      </c>
      <c r="H95" s="360" t="s">
        <v>33</v>
      </c>
      <c r="I95" s="360" t="s">
        <v>34</v>
      </c>
      <c r="J95" s="360" t="s">
        <v>34</v>
      </c>
      <c r="K95" s="360" t="s">
        <v>4779</v>
      </c>
      <c r="L95" s="360">
        <v>20349.026548672598</v>
      </c>
      <c r="M95" s="360">
        <v>16886.323192865999</v>
      </c>
      <c r="N95" s="360">
        <v>2021.12</v>
      </c>
      <c r="O95" s="360" t="s">
        <v>4780</v>
      </c>
      <c r="P95" s="360" t="s">
        <v>6889</v>
      </c>
      <c r="Q95" s="360">
        <v>15635397648</v>
      </c>
      <c r="R95" s="360" t="s">
        <v>4781</v>
      </c>
      <c r="S95" s="360" t="s">
        <v>4670</v>
      </c>
      <c r="T95" s="793"/>
      <c r="U95" s="798"/>
      <c r="V95" s="847"/>
      <c r="W95" s="847"/>
      <c r="X95" s="847"/>
      <c r="Y95" s="847"/>
      <c r="Z95" s="847"/>
      <c r="AA95" s="847"/>
      <c r="AB95" s="847"/>
    </row>
    <row r="96" spans="1:28" ht="24" hidden="1" customHeight="1">
      <c r="A96" s="360"/>
      <c r="B96" s="793" t="s">
        <v>4785</v>
      </c>
      <c r="C96" s="793" t="s">
        <v>3992</v>
      </c>
      <c r="D96" s="793" t="s">
        <v>888</v>
      </c>
      <c r="E96" s="793">
        <v>20955.12</v>
      </c>
      <c r="F96" s="793" t="s">
        <v>34</v>
      </c>
      <c r="G96" s="793" t="s">
        <v>32</v>
      </c>
      <c r="H96" s="793" t="s">
        <v>33</v>
      </c>
      <c r="I96" s="793" t="s">
        <v>34</v>
      </c>
      <c r="J96" s="793" t="s">
        <v>34</v>
      </c>
      <c r="K96" s="793" t="s">
        <v>4786</v>
      </c>
      <c r="L96" s="793">
        <v>1019939.46</v>
      </c>
      <c r="M96" s="793">
        <v>509969.72</v>
      </c>
      <c r="N96" s="793">
        <v>2021.09</v>
      </c>
      <c r="O96" s="793" t="s">
        <v>4698</v>
      </c>
      <c r="P96" s="793" t="s">
        <v>4699</v>
      </c>
      <c r="Q96" s="793">
        <v>18605163234</v>
      </c>
      <c r="R96" s="793" t="s">
        <v>4700</v>
      </c>
      <c r="S96" s="793" t="s">
        <v>4670</v>
      </c>
      <c r="T96" s="793"/>
      <c r="U96" s="798"/>
      <c r="V96" s="847"/>
      <c r="W96" s="847"/>
      <c r="X96" s="847"/>
      <c r="Y96" s="848"/>
      <c r="Z96" s="847"/>
      <c r="AA96" s="847"/>
      <c r="AB96" s="847"/>
    </row>
    <row r="97" spans="1:28" ht="24" hidden="1" customHeight="1">
      <c r="A97" s="769"/>
      <c r="B97" s="849" t="s">
        <v>6890</v>
      </c>
      <c r="C97" s="360" t="s">
        <v>4787</v>
      </c>
      <c r="D97" s="360" t="s">
        <v>2084</v>
      </c>
      <c r="E97" s="360"/>
      <c r="F97" s="360">
        <v>14.728999999999999</v>
      </c>
      <c r="G97" s="360" t="s">
        <v>32</v>
      </c>
      <c r="H97" s="360" t="s">
        <v>33</v>
      </c>
      <c r="I97" s="360" t="s">
        <v>34</v>
      </c>
      <c r="J97" s="360" t="s">
        <v>34</v>
      </c>
      <c r="K97" s="360" t="s">
        <v>4788</v>
      </c>
      <c r="L97" s="844">
        <v>69082.92</v>
      </c>
      <c r="M97" s="360">
        <v>34541.46</v>
      </c>
      <c r="N97" s="360">
        <v>2021.03</v>
      </c>
      <c r="O97" s="360" t="s">
        <v>6891</v>
      </c>
      <c r="P97" s="793" t="s">
        <v>4789</v>
      </c>
      <c r="Q97" s="811">
        <v>13834686587</v>
      </c>
      <c r="R97" s="360" t="s">
        <v>4790</v>
      </c>
      <c r="S97" s="838" t="s">
        <v>4670</v>
      </c>
      <c r="T97" s="769"/>
      <c r="U97" s="798"/>
      <c r="V97" s="847"/>
      <c r="W97" s="847"/>
      <c r="X97" s="847"/>
      <c r="Y97" s="847"/>
      <c r="Z97" s="847"/>
      <c r="AA97" s="847"/>
      <c r="AB97" s="847"/>
    </row>
    <row r="98" spans="1:28" ht="24" hidden="1" customHeight="1">
      <c r="A98" s="769"/>
      <c r="B98" s="360" t="s">
        <v>514</v>
      </c>
      <c r="C98" s="360" t="s">
        <v>4787</v>
      </c>
      <c r="D98" s="360" t="s">
        <v>2084</v>
      </c>
      <c r="E98" s="360"/>
      <c r="F98" s="360">
        <v>3.7679999999999998</v>
      </c>
      <c r="G98" s="360" t="s">
        <v>32</v>
      </c>
      <c r="H98" s="360" t="s">
        <v>33</v>
      </c>
      <c r="I98" s="360" t="s">
        <v>34</v>
      </c>
      <c r="J98" s="360" t="s">
        <v>34</v>
      </c>
      <c r="K98" s="360" t="s">
        <v>4788</v>
      </c>
      <c r="L98" s="844">
        <v>19673.628318584098</v>
      </c>
      <c r="M98" s="360">
        <v>9836.82</v>
      </c>
      <c r="N98" s="360">
        <v>2021.05</v>
      </c>
      <c r="O98" s="360" t="s">
        <v>6891</v>
      </c>
      <c r="P98" s="360" t="s">
        <v>4789</v>
      </c>
      <c r="Q98" s="811">
        <v>13834686587</v>
      </c>
      <c r="R98" s="360" t="s">
        <v>4790</v>
      </c>
      <c r="S98" s="360" t="s">
        <v>6892</v>
      </c>
      <c r="T98" s="769"/>
      <c r="U98" s="798"/>
      <c r="V98" s="847"/>
      <c r="W98" s="847"/>
      <c r="X98" s="847"/>
      <c r="Y98" s="847"/>
      <c r="Z98" s="847"/>
      <c r="AA98" s="847"/>
      <c r="AB98" s="847"/>
    </row>
    <row r="99" spans="1:28" ht="24" hidden="1" customHeight="1">
      <c r="A99" s="769"/>
      <c r="B99" s="360" t="s">
        <v>6893</v>
      </c>
      <c r="C99" s="792" t="s">
        <v>6894</v>
      </c>
      <c r="D99" s="360" t="s">
        <v>6895</v>
      </c>
      <c r="E99" s="360"/>
      <c r="F99" s="360">
        <v>3.7679999999999998</v>
      </c>
      <c r="G99" s="360" t="s">
        <v>32</v>
      </c>
      <c r="H99" s="360" t="s">
        <v>33</v>
      </c>
      <c r="I99" s="360" t="s">
        <v>34</v>
      </c>
      <c r="J99" s="360" t="s">
        <v>34</v>
      </c>
      <c r="K99" s="360" t="s">
        <v>6896</v>
      </c>
      <c r="L99" s="360">
        <v>19673.63</v>
      </c>
      <c r="M99" s="360">
        <v>17509.53</v>
      </c>
      <c r="N99" s="360">
        <v>2021.09</v>
      </c>
      <c r="O99" s="360" t="s">
        <v>4791</v>
      </c>
      <c r="P99" s="360" t="s">
        <v>4789</v>
      </c>
      <c r="Q99" s="360">
        <v>13834686587</v>
      </c>
      <c r="R99" s="360" t="s">
        <v>4790</v>
      </c>
      <c r="S99" s="360" t="s">
        <v>6892</v>
      </c>
      <c r="T99" s="769"/>
      <c r="U99" s="798"/>
      <c r="V99" s="847"/>
      <c r="W99" s="847"/>
      <c r="X99" s="847"/>
      <c r="Y99" s="847"/>
      <c r="Z99" s="847"/>
      <c r="AA99" s="847"/>
      <c r="AB99" s="847"/>
    </row>
    <row r="100" spans="1:28" ht="24" hidden="1" customHeight="1">
      <c r="A100" s="769"/>
      <c r="B100" s="360" t="s">
        <v>6897</v>
      </c>
      <c r="C100" s="792" t="s">
        <v>6898</v>
      </c>
      <c r="D100" s="360" t="s">
        <v>6899</v>
      </c>
      <c r="E100" s="360">
        <v>10</v>
      </c>
      <c r="F100" s="360" t="s">
        <v>34</v>
      </c>
      <c r="G100" s="360" t="s">
        <v>32</v>
      </c>
      <c r="H100" s="817" t="s">
        <v>33</v>
      </c>
      <c r="I100" s="360" t="s">
        <v>179</v>
      </c>
      <c r="J100" s="360" t="s">
        <v>179</v>
      </c>
      <c r="K100" s="360" t="s">
        <v>6900</v>
      </c>
      <c r="L100" s="360">
        <v>1210.0999999999999</v>
      </c>
      <c r="M100" s="360">
        <v>1210.0999999999999</v>
      </c>
      <c r="N100" s="360" t="s">
        <v>2941</v>
      </c>
      <c r="O100" s="360" t="s">
        <v>4792</v>
      </c>
      <c r="P100" s="360" t="s">
        <v>4793</v>
      </c>
      <c r="Q100" s="360">
        <v>13485329413</v>
      </c>
      <c r="R100" s="360" t="s">
        <v>4688</v>
      </c>
      <c r="S100" s="360" t="s">
        <v>6892</v>
      </c>
      <c r="T100" s="769" t="s">
        <v>6901</v>
      </c>
      <c r="U100" s="798"/>
      <c r="V100" s="847"/>
      <c r="W100" s="847"/>
      <c r="X100" s="847"/>
      <c r="Y100" s="847"/>
      <c r="Z100" s="847"/>
      <c r="AA100" s="847"/>
      <c r="AB100" s="847"/>
    </row>
    <row r="101" spans="1:28" ht="24" hidden="1" customHeight="1">
      <c r="A101" s="769"/>
      <c r="B101" s="360" t="s">
        <v>6902</v>
      </c>
      <c r="C101" s="792" t="s">
        <v>6903</v>
      </c>
      <c r="D101" s="360" t="s">
        <v>6899</v>
      </c>
      <c r="E101" s="360">
        <v>207</v>
      </c>
      <c r="F101" s="360" t="s">
        <v>34</v>
      </c>
      <c r="G101" s="360" t="s">
        <v>32</v>
      </c>
      <c r="H101" s="360" t="s">
        <v>6904</v>
      </c>
      <c r="I101" s="360" t="s">
        <v>179</v>
      </c>
      <c r="J101" s="360" t="s">
        <v>179</v>
      </c>
      <c r="K101" s="360" t="s">
        <v>6900</v>
      </c>
      <c r="L101" s="360">
        <v>31782.78</v>
      </c>
      <c r="M101" s="360">
        <v>31782.78</v>
      </c>
      <c r="N101" s="360" t="s">
        <v>2941</v>
      </c>
      <c r="O101" s="360" t="s">
        <v>4792</v>
      </c>
      <c r="P101" s="360" t="s">
        <v>4793</v>
      </c>
      <c r="Q101" s="360">
        <v>13485329413</v>
      </c>
      <c r="R101" s="360" t="s">
        <v>4688</v>
      </c>
      <c r="S101" s="360" t="s">
        <v>6892</v>
      </c>
      <c r="T101" s="769" t="s">
        <v>6901</v>
      </c>
      <c r="U101" s="798"/>
      <c r="V101" s="847"/>
      <c r="W101" s="847"/>
      <c r="X101" s="847"/>
      <c r="Y101" s="847"/>
      <c r="Z101" s="847"/>
      <c r="AA101" s="847"/>
      <c r="AB101" s="847"/>
    </row>
    <row r="102" spans="1:28" ht="24" hidden="1" customHeight="1">
      <c r="A102" s="769"/>
      <c r="B102" s="360" t="s">
        <v>6905</v>
      </c>
      <c r="C102" s="792" t="s">
        <v>6906</v>
      </c>
      <c r="D102" s="360" t="s">
        <v>6899</v>
      </c>
      <c r="E102" s="360">
        <v>19</v>
      </c>
      <c r="F102" s="360" t="s">
        <v>34</v>
      </c>
      <c r="G102" s="360" t="s">
        <v>32</v>
      </c>
      <c r="H102" s="817" t="s">
        <v>33</v>
      </c>
      <c r="I102" s="360" t="s">
        <v>179</v>
      </c>
      <c r="J102" s="360" t="s">
        <v>179</v>
      </c>
      <c r="K102" s="360" t="s">
        <v>6900</v>
      </c>
      <c r="L102" s="360">
        <v>6061.48</v>
      </c>
      <c r="M102" s="360">
        <v>6061.48</v>
      </c>
      <c r="N102" s="360" t="s">
        <v>2941</v>
      </c>
      <c r="O102" s="360" t="s">
        <v>4792</v>
      </c>
      <c r="P102" s="360" t="s">
        <v>4793</v>
      </c>
      <c r="Q102" s="360">
        <v>13485329413</v>
      </c>
      <c r="R102" s="360" t="s">
        <v>4688</v>
      </c>
      <c r="S102" s="360" t="s">
        <v>6892</v>
      </c>
      <c r="T102" s="769" t="s">
        <v>6901</v>
      </c>
      <c r="U102" s="798"/>
      <c r="V102" s="847"/>
      <c r="W102" s="847"/>
      <c r="X102" s="847"/>
      <c r="Y102" s="847"/>
      <c r="Z102" s="847"/>
      <c r="AA102" s="847"/>
      <c r="AB102" s="847"/>
    </row>
    <row r="103" spans="1:28" ht="24" hidden="1" customHeight="1">
      <c r="A103" s="769"/>
      <c r="B103" s="360" t="s">
        <v>6907</v>
      </c>
      <c r="C103" s="792" t="s">
        <v>6908</v>
      </c>
      <c r="D103" s="360" t="s">
        <v>6909</v>
      </c>
      <c r="E103" s="360">
        <v>420</v>
      </c>
      <c r="F103" s="360" t="s">
        <v>34</v>
      </c>
      <c r="G103" s="360" t="s">
        <v>32</v>
      </c>
      <c r="H103" s="817" t="s">
        <v>33</v>
      </c>
      <c r="I103" s="360" t="s">
        <v>179</v>
      </c>
      <c r="J103" s="360" t="s">
        <v>179</v>
      </c>
      <c r="K103" s="360" t="s">
        <v>6900</v>
      </c>
      <c r="L103" s="360">
        <v>7434</v>
      </c>
      <c r="M103" s="360">
        <v>7434</v>
      </c>
      <c r="N103" s="360" t="s">
        <v>2941</v>
      </c>
      <c r="O103" s="360" t="s">
        <v>4792</v>
      </c>
      <c r="P103" s="360" t="s">
        <v>4793</v>
      </c>
      <c r="Q103" s="360">
        <v>13485329413</v>
      </c>
      <c r="R103" s="360" t="s">
        <v>4688</v>
      </c>
      <c r="S103" s="360" t="s">
        <v>6892</v>
      </c>
      <c r="T103" s="769" t="s">
        <v>6901</v>
      </c>
      <c r="U103" s="798"/>
      <c r="V103" s="847"/>
      <c r="W103" s="847"/>
      <c r="X103" s="847"/>
      <c r="Y103" s="847"/>
      <c r="Z103" s="847"/>
      <c r="AA103" s="847"/>
      <c r="AB103" s="847"/>
    </row>
    <row r="104" spans="1:28" ht="24" hidden="1" customHeight="1">
      <c r="A104" s="769"/>
      <c r="B104" s="360" t="s">
        <v>6910</v>
      </c>
      <c r="C104" s="792" t="s">
        <v>6911</v>
      </c>
      <c r="D104" s="360" t="s">
        <v>6912</v>
      </c>
      <c r="E104" s="360">
        <v>734.4</v>
      </c>
      <c r="F104" s="360" t="s">
        <v>34</v>
      </c>
      <c r="G104" s="360" t="s">
        <v>32</v>
      </c>
      <c r="H104" s="360" t="s">
        <v>6904</v>
      </c>
      <c r="I104" s="360" t="s">
        <v>179</v>
      </c>
      <c r="J104" s="360" t="s">
        <v>179</v>
      </c>
      <c r="K104" s="360" t="s">
        <v>6900</v>
      </c>
      <c r="L104" s="360">
        <v>16993.400000000001</v>
      </c>
      <c r="M104" s="360">
        <v>16993.400000000001</v>
      </c>
      <c r="N104" s="360" t="s">
        <v>2941</v>
      </c>
      <c r="O104" s="360" t="s">
        <v>4792</v>
      </c>
      <c r="P104" s="360" t="s">
        <v>4793</v>
      </c>
      <c r="Q104" s="360">
        <v>13485329413</v>
      </c>
      <c r="R104" s="360" t="s">
        <v>4688</v>
      </c>
      <c r="S104" s="360" t="s">
        <v>6892</v>
      </c>
      <c r="T104" s="769" t="s">
        <v>6901</v>
      </c>
      <c r="U104" s="798"/>
      <c r="V104" s="847"/>
      <c r="W104" s="847"/>
      <c r="X104" s="847"/>
      <c r="Y104" s="847"/>
      <c r="Z104" s="847"/>
      <c r="AA104" s="847"/>
      <c r="AB104" s="847"/>
    </row>
    <row r="105" spans="1:28" ht="24" hidden="1" customHeight="1">
      <c r="A105" s="769"/>
      <c r="B105" s="360" t="s">
        <v>6913</v>
      </c>
      <c r="C105" s="792" t="s">
        <v>6914</v>
      </c>
      <c r="D105" s="360" t="s">
        <v>6909</v>
      </c>
      <c r="E105" s="360">
        <v>1232</v>
      </c>
      <c r="F105" s="360" t="s">
        <v>34</v>
      </c>
      <c r="G105" s="360" t="s">
        <v>32</v>
      </c>
      <c r="H105" s="817" t="s">
        <v>33</v>
      </c>
      <c r="I105" s="360" t="s">
        <v>179</v>
      </c>
      <c r="J105" s="360" t="s">
        <v>179</v>
      </c>
      <c r="K105" s="360" t="s">
        <v>6900</v>
      </c>
      <c r="L105" s="360">
        <v>2180.64</v>
      </c>
      <c r="M105" s="360">
        <v>2180.64</v>
      </c>
      <c r="N105" s="360" t="s">
        <v>2941</v>
      </c>
      <c r="O105" s="360" t="s">
        <v>4792</v>
      </c>
      <c r="P105" s="360" t="s">
        <v>4793</v>
      </c>
      <c r="Q105" s="360">
        <v>13485329413</v>
      </c>
      <c r="R105" s="360" t="s">
        <v>4688</v>
      </c>
      <c r="S105" s="360" t="s">
        <v>6892</v>
      </c>
      <c r="T105" s="769" t="s">
        <v>6901</v>
      </c>
      <c r="U105" s="798"/>
      <c r="V105" s="847"/>
      <c r="W105" s="847"/>
      <c r="X105" s="847"/>
      <c r="Y105" s="847"/>
      <c r="Z105" s="847"/>
      <c r="AA105" s="847"/>
      <c r="AB105" s="847"/>
    </row>
    <row r="106" spans="1:28" ht="24" hidden="1" customHeight="1">
      <c r="A106" s="769"/>
      <c r="B106" s="360" t="s">
        <v>6915</v>
      </c>
      <c r="C106" s="792" t="s">
        <v>6916</v>
      </c>
      <c r="D106" s="360" t="s">
        <v>6909</v>
      </c>
      <c r="E106" s="360">
        <v>500</v>
      </c>
      <c r="F106" s="360" t="s">
        <v>34</v>
      </c>
      <c r="G106" s="360" t="s">
        <v>32</v>
      </c>
      <c r="H106" s="817" t="s">
        <v>33</v>
      </c>
      <c r="I106" s="360" t="s">
        <v>179</v>
      </c>
      <c r="J106" s="360" t="s">
        <v>179</v>
      </c>
      <c r="K106" s="360" t="s">
        <v>6900</v>
      </c>
      <c r="L106" s="360">
        <v>3275</v>
      </c>
      <c r="M106" s="360">
        <v>3275</v>
      </c>
      <c r="N106" s="360" t="s">
        <v>2941</v>
      </c>
      <c r="O106" s="360" t="s">
        <v>4792</v>
      </c>
      <c r="P106" s="360" t="s">
        <v>4793</v>
      </c>
      <c r="Q106" s="360">
        <v>13485329413</v>
      </c>
      <c r="R106" s="360" t="s">
        <v>4688</v>
      </c>
      <c r="S106" s="360" t="s">
        <v>6892</v>
      </c>
      <c r="T106" s="769" t="s">
        <v>6901</v>
      </c>
      <c r="U106" s="798"/>
      <c r="V106" s="847"/>
      <c r="W106" s="847"/>
      <c r="X106" s="847"/>
      <c r="Y106" s="847"/>
      <c r="Z106" s="847"/>
      <c r="AA106" s="847"/>
      <c r="AB106" s="847"/>
    </row>
    <row r="107" spans="1:28" ht="24" hidden="1" customHeight="1">
      <c r="A107" s="769"/>
      <c r="B107" s="360" t="s">
        <v>6915</v>
      </c>
      <c r="C107" s="792" t="s">
        <v>6917</v>
      </c>
      <c r="D107" s="360" t="s">
        <v>6918</v>
      </c>
      <c r="E107" s="360">
        <v>82</v>
      </c>
      <c r="F107" s="360" t="s">
        <v>34</v>
      </c>
      <c r="G107" s="360" t="s">
        <v>32</v>
      </c>
      <c r="H107" s="817" t="s">
        <v>33</v>
      </c>
      <c r="I107" s="360" t="s">
        <v>179</v>
      </c>
      <c r="J107" s="360" t="s">
        <v>179</v>
      </c>
      <c r="K107" s="360" t="s">
        <v>6919</v>
      </c>
      <c r="L107" s="360">
        <v>537.1</v>
      </c>
      <c r="M107" s="360">
        <v>537.1</v>
      </c>
      <c r="N107" s="360" t="s">
        <v>2941</v>
      </c>
      <c r="O107" s="360" t="s">
        <v>4792</v>
      </c>
      <c r="P107" s="360" t="s">
        <v>4793</v>
      </c>
      <c r="Q107" s="360">
        <v>13485329413</v>
      </c>
      <c r="R107" s="360" t="s">
        <v>4688</v>
      </c>
      <c r="S107" s="360" t="s">
        <v>6879</v>
      </c>
      <c r="T107" s="769" t="s">
        <v>6920</v>
      </c>
      <c r="U107" s="798"/>
      <c r="V107" s="847"/>
      <c r="W107" s="847"/>
      <c r="X107" s="847"/>
      <c r="Y107" s="847"/>
      <c r="Z107" s="847"/>
      <c r="AA107" s="847"/>
      <c r="AB107" s="847"/>
    </row>
    <row r="108" spans="1:28" ht="24" hidden="1" customHeight="1">
      <c r="A108" s="769"/>
      <c r="B108" s="360" t="s">
        <v>6921</v>
      </c>
      <c r="C108" s="792" t="s">
        <v>6922</v>
      </c>
      <c r="D108" s="360" t="s">
        <v>6918</v>
      </c>
      <c r="E108" s="360">
        <v>215</v>
      </c>
      <c r="F108" s="360" t="s">
        <v>34</v>
      </c>
      <c r="G108" s="360" t="s">
        <v>32</v>
      </c>
      <c r="H108" s="817" t="s">
        <v>33</v>
      </c>
      <c r="I108" s="360" t="s">
        <v>179</v>
      </c>
      <c r="J108" s="360" t="s">
        <v>179</v>
      </c>
      <c r="K108" s="360" t="s">
        <v>6919</v>
      </c>
      <c r="L108" s="360">
        <v>1408.25</v>
      </c>
      <c r="M108" s="360">
        <v>1408.25</v>
      </c>
      <c r="N108" s="360" t="s">
        <v>2941</v>
      </c>
      <c r="O108" s="360" t="s">
        <v>4792</v>
      </c>
      <c r="P108" s="360" t="s">
        <v>4793</v>
      </c>
      <c r="Q108" s="360">
        <v>13485329413</v>
      </c>
      <c r="R108" s="360" t="s">
        <v>4688</v>
      </c>
      <c r="S108" s="360" t="s">
        <v>6879</v>
      </c>
      <c r="T108" s="769" t="s">
        <v>6920</v>
      </c>
      <c r="U108" s="798"/>
      <c r="V108" s="847"/>
      <c r="W108" s="847"/>
      <c r="X108" s="847"/>
      <c r="Y108" s="847"/>
      <c r="Z108" s="847"/>
      <c r="AA108" s="847"/>
      <c r="AB108" s="847"/>
    </row>
    <row r="109" spans="1:28" ht="24" hidden="1" customHeight="1">
      <c r="A109" s="769"/>
      <c r="B109" s="360" t="s">
        <v>6923</v>
      </c>
      <c r="C109" s="792">
        <v>20</v>
      </c>
      <c r="D109" s="360" t="s">
        <v>6918</v>
      </c>
      <c r="E109" s="360">
        <v>380</v>
      </c>
      <c r="F109" s="360" t="s">
        <v>34</v>
      </c>
      <c r="G109" s="360" t="s">
        <v>32</v>
      </c>
      <c r="H109" s="817" t="s">
        <v>33</v>
      </c>
      <c r="I109" s="360" t="s">
        <v>179</v>
      </c>
      <c r="J109" s="360" t="s">
        <v>179</v>
      </c>
      <c r="K109" s="360" t="s">
        <v>6919</v>
      </c>
      <c r="L109" s="360">
        <v>5533.98</v>
      </c>
      <c r="M109" s="360">
        <v>5533.98</v>
      </c>
      <c r="N109" s="360" t="s">
        <v>2941</v>
      </c>
      <c r="O109" s="360" t="s">
        <v>4792</v>
      </c>
      <c r="P109" s="360" t="s">
        <v>4793</v>
      </c>
      <c r="Q109" s="360">
        <v>13485329413</v>
      </c>
      <c r="R109" s="360" t="s">
        <v>4688</v>
      </c>
      <c r="S109" s="360" t="s">
        <v>6879</v>
      </c>
      <c r="T109" s="769" t="s">
        <v>6920</v>
      </c>
      <c r="U109" s="798"/>
      <c r="V109" s="847"/>
      <c r="W109" s="847"/>
      <c r="X109" s="847"/>
      <c r="Y109" s="847"/>
      <c r="Z109" s="847"/>
      <c r="AA109" s="847"/>
      <c r="AB109" s="847"/>
    </row>
    <row r="110" spans="1:28" ht="24" hidden="1" customHeight="1">
      <c r="A110" s="769"/>
      <c r="B110" s="360" t="s">
        <v>6924</v>
      </c>
      <c r="C110" s="792" t="s">
        <v>6925</v>
      </c>
      <c r="D110" s="360" t="s">
        <v>6926</v>
      </c>
      <c r="E110" s="360">
        <v>1</v>
      </c>
      <c r="F110" s="360" t="s">
        <v>34</v>
      </c>
      <c r="G110" s="360" t="s">
        <v>32</v>
      </c>
      <c r="H110" s="360" t="s">
        <v>6927</v>
      </c>
      <c r="I110" s="360" t="s">
        <v>179</v>
      </c>
      <c r="J110" s="360" t="s">
        <v>179</v>
      </c>
      <c r="K110" s="360" t="s">
        <v>6928</v>
      </c>
      <c r="L110" s="360">
        <v>25000</v>
      </c>
      <c r="M110" s="360">
        <v>11550</v>
      </c>
      <c r="N110" s="360" t="s">
        <v>4794</v>
      </c>
      <c r="O110" s="360" t="s">
        <v>4795</v>
      </c>
      <c r="P110" s="360" t="s">
        <v>6929</v>
      </c>
      <c r="Q110" s="360">
        <v>15635397648</v>
      </c>
      <c r="R110" s="360" t="s">
        <v>4796</v>
      </c>
      <c r="S110" s="360" t="s">
        <v>6879</v>
      </c>
      <c r="T110" s="769" t="s">
        <v>6920</v>
      </c>
      <c r="U110" s="798"/>
      <c r="V110" s="847"/>
      <c r="W110" s="847"/>
      <c r="X110" s="847"/>
      <c r="Y110" s="847"/>
      <c r="Z110" s="847"/>
      <c r="AA110" s="847"/>
      <c r="AB110" s="847"/>
    </row>
    <row r="111" spans="1:28" ht="24" hidden="1" customHeight="1">
      <c r="A111" s="769">
        <v>2</v>
      </c>
      <c r="B111" s="832" t="s">
        <v>890</v>
      </c>
      <c r="C111" s="832"/>
      <c r="D111" s="833"/>
      <c r="E111" s="834"/>
      <c r="F111" s="850"/>
      <c r="G111" s="826"/>
      <c r="H111" s="826"/>
      <c r="I111" s="851"/>
      <c r="J111" s="828"/>
      <c r="K111" s="828"/>
      <c r="L111" s="836"/>
      <c r="M111" s="294"/>
      <c r="N111" s="833"/>
      <c r="O111" s="850"/>
      <c r="P111" s="793"/>
      <c r="Q111" s="852"/>
      <c r="R111" s="828"/>
      <c r="S111" s="853"/>
      <c r="T111" s="769"/>
      <c r="U111" s="798"/>
      <c r="V111" s="847"/>
      <c r="W111" s="847"/>
      <c r="X111" s="847"/>
      <c r="Y111" s="847"/>
      <c r="Z111" s="847"/>
      <c r="AA111" s="847"/>
      <c r="AB111" s="847"/>
    </row>
    <row r="112" spans="1:28" ht="24" hidden="1" customHeight="1">
      <c r="A112" s="769">
        <v>3</v>
      </c>
      <c r="B112" s="769" t="s">
        <v>981</v>
      </c>
      <c r="C112" s="769"/>
      <c r="D112" s="769"/>
      <c r="E112" s="769"/>
      <c r="F112" s="769"/>
      <c r="G112" s="769"/>
      <c r="H112" s="769"/>
      <c r="I112" s="769"/>
      <c r="J112" s="769"/>
      <c r="K112" s="776"/>
      <c r="L112" s="777"/>
      <c r="M112" s="294"/>
      <c r="N112" s="772"/>
      <c r="O112" s="769"/>
      <c r="P112" s="793"/>
      <c r="Q112" s="770"/>
      <c r="R112" s="769"/>
      <c r="S112" s="778"/>
      <c r="T112" s="769"/>
      <c r="U112" s="798"/>
      <c r="V112" s="847"/>
      <c r="W112" s="847"/>
      <c r="X112" s="847"/>
      <c r="Y112" s="847"/>
      <c r="Z112" s="847"/>
      <c r="AA112" s="847"/>
      <c r="AB112" s="847"/>
    </row>
    <row r="113" spans="1:28" ht="24" hidden="1" customHeight="1">
      <c r="A113" s="769">
        <v>4</v>
      </c>
      <c r="B113" s="769" t="s">
        <v>982</v>
      </c>
      <c r="C113" s="769"/>
      <c r="D113" s="769"/>
      <c r="E113" s="769"/>
      <c r="F113" s="769"/>
      <c r="G113" s="769"/>
      <c r="H113" s="769"/>
      <c r="I113" s="769"/>
      <c r="J113" s="769"/>
      <c r="K113" s="776"/>
      <c r="L113" s="777"/>
      <c r="M113" s="294"/>
      <c r="N113" s="772"/>
      <c r="O113" s="769"/>
      <c r="P113" s="793"/>
      <c r="Q113" s="770"/>
      <c r="R113" s="769"/>
      <c r="S113" s="778"/>
      <c r="T113" s="769"/>
      <c r="U113" s="798"/>
      <c r="V113" s="847"/>
      <c r="W113" s="847"/>
      <c r="X113" s="847"/>
      <c r="Y113" s="847"/>
      <c r="Z113" s="847"/>
      <c r="AA113" s="847"/>
      <c r="AB113" s="847"/>
    </row>
    <row r="114" spans="1:28" ht="24" hidden="1" customHeight="1">
      <c r="A114" s="822" t="s">
        <v>1006</v>
      </c>
      <c r="B114" s="769" t="s">
        <v>1007</v>
      </c>
      <c r="C114" s="769"/>
      <c r="D114" s="769"/>
      <c r="E114" s="769"/>
      <c r="F114" s="769"/>
      <c r="G114" s="769"/>
      <c r="H114" s="769"/>
      <c r="I114" s="769"/>
      <c r="J114" s="769"/>
      <c r="K114" s="776"/>
      <c r="L114" s="777"/>
      <c r="M114" s="294"/>
      <c r="N114" s="772"/>
      <c r="O114" s="769"/>
      <c r="P114" s="793"/>
      <c r="Q114" s="770"/>
      <c r="R114" s="769"/>
      <c r="S114" s="778"/>
      <c r="T114" s="769"/>
      <c r="U114" s="798"/>
      <c r="V114" s="847"/>
      <c r="W114" s="847"/>
      <c r="X114" s="847"/>
      <c r="Y114" s="847"/>
      <c r="Z114" s="847"/>
      <c r="AA114" s="847"/>
      <c r="AB114" s="847"/>
    </row>
    <row r="115" spans="1:28" ht="24" hidden="1" customHeight="1">
      <c r="A115" s="769">
        <v>1</v>
      </c>
      <c r="B115" s="769" t="s">
        <v>6930</v>
      </c>
      <c r="C115" s="769"/>
      <c r="D115" s="769"/>
      <c r="E115" s="769"/>
      <c r="F115" s="769"/>
      <c r="G115" s="769"/>
      <c r="H115" s="769"/>
      <c r="I115" s="769"/>
      <c r="J115" s="769"/>
      <c r="K115" s="776"/>
      <c r="L115" s="777"/>
      <c r="M115" s="294"/>
      <c r="N115" s="772"/>
      <c r="O115" s="769"/>
      <c r="P115" s="793"/>
      <c r="Q115" s="770"/>
      <c r="R115" s="769"/>
      <c r="S115" s="778"/>
      <c r="T115" s="769"/>
      <c r="U115" s="798"/>
      <c r="V115" s="847"/>
      <c r="W115" s="847"/>
      <c r="X115" s="847"/>
      <c r="Y115" s="847"/>
      <c r="Z115" s="847"/>
      <c r="AA115" s="847"/>
      <c r="AB115" s="847"/>
    </row>
    <row r="116" spans="1:28" ht="24" hidden="1" customHeight="1">
      <c r="A116" s="769"/>
      <c r="B116" s="769" t="s">
        <v>6931</v>
      </c>
      <c r="C116" s="769" t="s">
        <v>4797</v>
      </c>
      <c r="D116" s="769" t="s">
        <v>2323</v>
      </c>
      <c r="E116" s="769">
        <v>170</v>
      </c>
      <c r="F116" s="769">
        <v>170</v>
      </c>
      <c r="G116" s="769" t="s">
        <v>32</v>
      </c>
      <c r="H116" s="769" t="s">
        <v>33</v>
      </c>
      <c r="I116" s="769" t="s">
        <v>34</v>
      </c>
      <c r="J116" s="769" t="s">
        <v>34</v>
      </c>
      <c r="K116" s="769" t="s">
        <v>4798</v>
      </c>
      <c r="L116" s="810">
        <v>645398.230088496</v>
      </c>
      <c r="M116" s="810">
        <v>258986.72148400301</v>
      </c>
      <c r="N116" s="845">
        <v>2020.04</v>
      </c>
      <c r="O116" s="769" t="s">
        <v>4799</v>
      </c>
      <c r="P116" s="793" t="s">
        <v>6932</v>
      </c>
      <c r="Q116" s="360">
        <v>13008762258</v>
      </c>
      <c r="R116" s="769" t="s">
        <v>4800</v>
      </c>
      <c r="S116" s="780" t="s">
        <v>4670</v>
      </c>
      <c r="T116" s="769"/>
      <c r="U116" s="798"/>
      <c r="V116" s="847"/>
      <c r="W116" s="847"/>
      <c r="X116" s="847"/>
      <c r="Y116" s="847"/>
      <c r="Z116" s="847"/>
      <c r="AA116" s="847"/>
      <c r="AB116" s="847"/>
    </row>
    <row r="117" spans="1:28" ht="24" hidden="1" customHeight="1">
      <c r="A117" s="769"/>
      <c r="B117" s="769" t="s">
        <v>4355</v>
      </c>
      <c r="C117" s="769" t="s">
        <v>4801</v>
      </c>
      <c r="D117" s="769" t="s">
        <v>131</v>
      </c>
      <c r="E117" s="769">
        <v>20000</v>
      </c>
      <c r="F117" s="769"/>
      <c r="G117" s="769" t="s">
        <v>32</v>
      </c>
      <c r="H117" s="769" t="s">
        <v>33</v>
      </c>
      <c r="I117" s="769" t="s">
        <v>34</v>
      </c>
      <c r="J117" s="769" t="s">
        <v>34</v>
      </c>
      <c r="K117" s="769" t="s">
        <v>4798</v>
      </c>
      <c r="L117" s="810">
        <v>132743.36283185799</v>
      </c>
      <c r="M117" s="810">
        <v>53267.529462218401</v>
      </c>
      <c r="N117" s="845">
        <v>2020.04</v>
      </c>
      <c r="O117" s="769" t="s">
        <v>4799</v>
      </c>
      <c r="P117" s="793" t="s">
        <v>6932</v>
      </c>
      <c r="Q117" s="360">
        <v>13008762258</v>
      </c>
      <c r="R117" s="769" t="s">
        <v>4800</v>
      </c>
      <c r="S117" s="780" t="s">
        <v>4670</v>
      </c>
      <c r="T117" s="769"/>
      <c r="U117" s="798"/>
      <c r="V117" s="847"/>
      <c r="W117" s="847"/>
      <c r="X117" s="847"/>
      <c r="Y117" s="847"/>
      <c r="Z117" s="847"/>
      <c r="AA117" s="847"/>
      <c r="AB117" s="847"/>
    </row>
    <row r="118" spans="1:28" ht="24" hidden="1" customHeight="1">
      <c r="A118" s="769"/>
      <c r="B118" s="769" t="s">
        <v>1037</v>
      </c>
      <c r="C118" s="769" t="s">
        <v>4801</v>
      </c>
      <c r="D118" s="769" t="s">
        <v>131</v>
      </c>
      <c r="E118" s="769">
        <v>8000</v>
      </c>
      <c r="F118" s="769"/>
      <c r="G118" s="769" t="s">
        <v>32</v>
      </c>
      <c r="H118" s="769" t="s">
        <v>33</v>
      </c>
      <c r="I118" s="769" t="s">
        <v>34</v>
      </c>
      <c r="J118" s="769" t="s">
        <v>34</v>
      </c>
      <c r="K118" s="769" t="s">
        <v>4798</v>
      </c>
      <c r="L118" s="810">
        <v>56353.982300885</v>
      </c>
      <c r="M118" s="810">
        <v>22613.842014976399</v>
      </c>
      <c r="N118" s="845">
        <v>2020.04</v>
      </c>
      <c r="O118" s="769" t="s">
        <v>4799</v>
      </c>
      <c r="P118" s="793" t="s">
        <v>6932</v>
      </c>
      <c r="Q118" s="360">
        <v>13008762258</v>
      </c>
      <c r="R118" s="769" t="s">
        <v>4800</v>
      </c>
      <c r="S118" s="780" t="s">
        <v>4670</v>
      </c>
      <c r="T118" s="769"/>
      <c r="U118" s="798"/>
      <c r="V118" s="847"/>
      <c r="W118" s="847"/>
      <c r="X118" s="847"/>
      <c r="Y118" s="847"/>
      <c r="Z118" s="847"/>
      <c r="AA118" s="847"/>
      <c r="AB118" s="847"/>
    </row>
    <row r="119" spans="1:28" ht="24" hidden="1" customHeight="1">
      <c r="A119" s="769"/>
      <c r="B119" s="769" t="s">
        <v>4802</v>
      </c>
      <c r="C119" s="769" t="s">
        <v>4801</v>
      </c>
      <c r="D119" s="769" t="s">
        <v>131</v>
      </c>
      <c r="E119" s="769">
        <v>5000</v>
      </c>
      <c r="F119" s="769"/>
      <c r="G119" s="769" t="s">
        <v>32</v>
      </c>
      <c r="H119" s="769" t="s">
        <v>33</v>
      </c>
      <c r="I119" s="769" t="s">
        <v>34</v>
      </c>
      <c r="J119" s="769" t="s">
        <v>34</v>
      </c>
      <c r="K119" s="769" t="s">
        <v>4798</v>
      </c>
      <c r="L119" s="810">
        <v>35221.238938053102</v>
      </c>
      <c r="M119" s="810">
        <v>14133.65125936</v>
      </c>
      <c r="N119" s="845">
        <v>2020.04</v>
      </c>
      <c r="O119" s="769" t="s">
        <v>4799</v>
      </c>
      <c r="P119" s="793" t="s">
        <v>6932</v>
      </c>
      <c r="Q119" s="360">
        <v>13008762258</v>
      </c>
      <c r="R119" s="769" t="s">
        <v>4800</v>
      </c>
      <c r="S119" s="780" t="s">
        <v>4670</v>
      </c>
      <c r="T119" s="769"/>
      <c r="U119" s="798"/>
      <c r="V119" s="847"/>
      <c r="W119" s="847"/>
      <c r="X119" s="847"/>
      <c r="Y119" s="847"/>
      <c r="Z119" s="847"/>
      <c r="AA119" s="847"/>
      <c r="AB119" s="847"/>
    </row>
    <row r="120" spans="1:28" ht="24" hidden="1" customHeight="1">
      <c r="A120" s="769"/>
      <c r="B120" s="854" t="s">
        <v>4803</v>
      </c>
      <c r="C120" s="854" t="s">
        <v>4804</v>
      </c>
      <c r="D120" s="855" t="s">
        <v>131</v>
      </c>
      <c r="E120" s="854">
        <v>25000</v>
      </c>
      <c r="F120" s="360" t="s">
        <v>6880</v>
      </c>
      <c r="G120" s="360" t="s">
        <v>6933</v>
      </c>
      <c r="H120" s="360" t="s">
        <v>6927</v>
      </c>
      <c r="I120" s="360" t="s">
        <v>6880</v>
      </c>
      <c r="J120" s="360" t="s">
        <v>4805</v>
      </c>
      <c r="K120" s="360" t="s">
        <v>4806</v>
      </c>
      <c r="L120" s="856">
        <v>162500</v>
      </c>
      <c r="M120" s="856">
        <v>132031.25</v>
      </c>
      <c r="N120" s="360">
        <v>2021.09</v>
      </c>
      <c r="O120" s="360" t="s">
        <v>4807</v>
      </c>
      <c r="P120" s="793" t="s">
        <v>6932</v>
      </c>
      <c r="Q120" s="360">
        <v>13008762258</v>
      </c>
      <c r="R120" s="360" t="s">
        <v>4808</v>
      </c>
      <c r="S120" s="360" t="s">
        <v>4670</v>
      </c>
      <c r="T120" s="769"/>
      <c r="U120" s="798"/>
      <c r="V120" s="847"/>
      <c r="W120" s="847"/>
      <c r="X120" s="847"/>
      <c r="Y120" s="847"/>
      <c r="Z120" s="847"/>
      <c r="AA120" s="847"/>
      <c r="AB120" s="847"/>
    </row>
    <row r="121" spans="1:28" ht="24" hidden="1" customHeight="1">
      <c r="A121" s="769"/>
      <c r="B121" s="854" t="s">
        <v>4809</v>
      </c>
      <c r="C121" s="854" t="s">
        <v>4804</v>
      </c>
      <c r="D121" s="855" t="s">
        <v>131</v>
      </c>
      <c r="E121" s="854">
        <v>3000</v>
      </c>
      <c r="F121" s="360" t="s">
        <v>34</v>
      </c>
      <c r="G121" s="360" t="s">
        <v>6933</v>
      </c>
      <c r="H121" s="360" t="s">
        <v>6927</v>
      </c>
      <c r="I121" s="360" t="s">
        <v>6880</v>
      </c>
      <c r="J121" s="360" t="s">
        <v>4805</v>
      </c>
      <c r="K121" s="360" t="s">
        <v>4806</v>
      </c>
      <c r="L121" s="856">
        <v>21000</v>
      </c>
      <c r="M121" s="856">
        <v>17062.5</v>
      </c>
      <c r="N121" s="360">
        <v>2021.09</v>
      </c>
      <c r="O121" s="360" t="s">
        <v>4807</v>
      </c>
      <c r="P121" s="793" t="s">
        <v>6932</v>
      </c>
      <c r="Q121" s="360">
        <v>13008762258</v>
      </c>
      <c r="R121" s="360" t="s">
        <v>4808</v>
      </c>
      <c r="S121" s="360" t="s">
        <v>4670</v>
      </c>
      <c r="T121" s="769"/>
      <c r="U121" s="798"/>
      <c r="V121" s="847"/>
      <c r="W121" s="847"/>
      <c r="X121" s="847"/>
      <c r="Y121" s="847"/>
      <c r="Z121" s="847"/>
      <c r="AA121" s="847"/>
      <c r="AB121" s="847"/>
    </row>
    <row r="122" spans="1:28" ht="24" hidden="1" customHeight="1">
      <c r="A122" s="769"/>
      <c r="B122" s="854" t="s">
        <v>4810</v>
      </c>
      <c r="C122" s="854" t="s">
        <v>4804</v>
      </c>
      <c r="D122" s="855" t="s">
        <v>131</v>
      </c>
      <c r="E122" s="854">
        <v>7000</v>
      </c>
      <c r="F122" s="360" t="s">
        <v>34</v>
      </c>
      <c r="G122" s="360" t="s">
        <v>6933</v>
      </c>
      <c r="H122" s="360" t="s">
        <v>6927</v>
      </c>
      <c r="I122" s="360" t="s">
        <v>6880</v>
      </c>
      <c r="J122" s="360" t="s">
        <v>4805</v>
      </c>
      <c r="K122" s="360" t="s">
        <v>4806</v>
      </c>
      <c r="L122" s="856">
        <v>49000</v>
      </c>
      <c r="M122" s="856">
        <v>39812.5</v>
      </c>
      <c r="N122" s="360">
        <v>2021.09</v>
      </c>
      <c r="O122" s="360" t="s">
        <v>4807</v>
      </c>
      <c r="P122" s="793" t="s">
        <v>6932</v>
      </c>
      <c r="Q122" s="360">
        <v>13008762258</v>
      </c>
      <c r="R122" s="360" t="s">
        <v>4808</v>
      </c>
      <c r="S122" s="360" t="s">
        <v>4670</v>
      </c>
      <c r="T122" s="769"/>
      <c r="U122" s="798"/>
      <c r="V122" s="847"/>
      <c r="W122" s="847"/>
      <c r="X122" s="847"/>
      <c r="Y122" s="847"/>
      <c r="Z122" s="847"/>
      <c r="AA122" s="847"/>
      <c r="AB122" s="847"/>
    </row>
    <row r="123" spans="1:28" ht="24" hidden="1" customHeight="1">
      <c r="A123" s="769"/>
      <c r="B123" s="854" t="s">
        <v>842</v>
      </c>
      <c r="C123" s="854" t="s">
        <v>4811</v>
      </c>
      <c r="D123" s="855" t="s">
        <v>131</v>
      </c>
      <c r="E123" s="854">
        <v>10400</v>
      </c>
      <c r="F123" s="360" t="s">
        <v>34</v>
      </c>
      <c r="G123" s="360" t="s">
        <v>6933</v>
      </c>
      <c r="H123" s="360" t="s">
        <v>6927</v>
      </c>
      <c r="I123" s="360" t="s">
        <v>6880</v>
      </c>
      <c r="J123" s="360" t="s">
        <v>4805</v>
      </c>
      <c r="K123" s="360" t="s">
        <v>4806</v>
      </c>
      <c r="L123" s="856">
        <v>239200</v>
      </c>
      <c r="M123" s="856">
        <v>194350</v>
      </c>
      <c r="N123" s="360">
        <v>2021.09</v>
      </c>
      <c r="O123" s="360" t="s">
        <v>4807</v>
      </c>
      <c r="P123" s="793" t="s">
        <v>6932</v>
      </c>
      <c r="Q123" s="360">
        <v>13008762258</v>
      </c>
      <c r="R123" s="360" t="s">
        <v>4808</v>
      </c>
      <c r="S123" s="360" t="s">
        <v>4670</v>
      </c>
      <c r="T123" s="769"/>
      <c r="U123" s="798"/>
      <c r="V123" s="847"/>
      <c r="W123" s="847"/>
      <c r="X123" s="847"/>
      <c r="Y123" s="847"/>
      <c r="Z123" s="847"/>
      <c r="AA123" s="847"/>
      <c r="AB123" s="847"/>
    </row>
    <row r="124" spans="1:28" ht="24" customHeight="1">
      <c r="A124" s="779"/>
      <c r="B124" s="769" t="s">
        <v>4812</v>
      </c>
      <c r="C124" s="769" t="s">
        <v>4813</v>
      </c>
      <c r="D124" s="769" t="s">
        <v>79</v>
      </c>
      <c r="E124" s="769">
        <v>67</v>
      </c>
      <c r="F124" s="769" t="s">
        <v>34</v>
      </c>
      <c r="G124" s="769" t="s">
        <v>32</v>
      </c>
      <c r="H124" s="769" t="s">
        <v>6885</v>
      </c>
      <c r="I124" s="769" t="s">
        <v>6880</v>
      </c>
      <c r="J124" s="769" t="s">
        <v>4814</v>
      </c>
      <c r="K124" s="776" t="s">
        <v>34</v>
      </c>
      <c r="L124" s="810">
        <v>16215.1858407079</v>
      </c>
      <c r="M124" s="294">
        <v>8107.5814159292404</v>
      </c>
      <c r="N124" s="1573">
        <v>2019.09</v>
      </c>
      <c r="O124" s="769" t="s">
        <v>6934</v>
      </c>
      <c r="P124" s="793" t="s">
        <v>4776</v>
      </c>
      <c r="Q124" s="770">
        <v>15835489945</v>
      </c>
      <c r="R124" s="769" t="s">
        <v>4777</v>
      </c>
      <c r="S124" s="780" t="s">
        <v>4670</v>
      </c>
      <c r="T124" s="769"/>
      <c r="U124" s="798"/>
      <c r="V124" s="847"/>
      <c r="W124" s="847"/>
      <c r="X124" s="847"/>
      <c r="Y124" s="847"/>
      <c r="Z124" s="847"/>
      <c r="AA124" s="847"/>
      <c r="AB124" s="847"/>
    </row>
    <row r="125" spans="1:28" ht="24" customHeight="1">
      <c r="A125" s="779"/>
      <c r="B125" s="769" t="s">
        <v>4815</v>
      </c>
      <c r="C125" s="769" t="s">
        <v>4816</v>
      </c>
      <c r="D125" s="769" t="s">
        <v>79</v>
      </c>
      <c r="E125" s="769">
        <v>1020</v>
      </c>
      <c r="F125" s="769" t="s">
        <v>34</v>
      </c>
      <c r="G125" s="769" t="s">
        <v>32</v>
      </c>
      <c r="H125" s="769" t="s">
        <v>6885</v>
      </c>
      <c r="I125" s="769" t="s">
        <v>6880</v>
      </c>
      <c r="J125" s="769" t="s">
        <v>4814</v>
      </c>
      <c r="K125" s="776" t="s">
        <v>34</v>
      </c>
      <c r="L125" s="810">
        <v>313221.23893805302</v>
      </c>
      <c r="M125" s="294">
        <v>156610.61946902599</v>
      </c>
      <c r="N125" s="1573">
        <v>2019.09</v>
      </c>
      <c r="O125" s="769" t="s">
        <v>6934</v>
      </c>
      <c r="P125" s="793" t="s">
        <v>4776</v>
      </c>
      <c r="Q125" s="770">
        <v>15835489945</v>
      </c>
      <c r="R125" s="769" t="s">
        <v>4777</v>
      </c>
      <c r="S125" s="780" t="s">
        <v>4670</v>
      </c>
      <c r="T125" s="769"/>
      <c r="U125" s="798"/>
      <c r="V125" s="847"/>
      <c r="W125" s="847"/>
      <c r="X125" s="847"/>
      <c r="Y125" s="847"/>
      <c r="Z125" s="847"/>
      <c r="AA125" s="847"/>
      <c r="AB125" s="847"/>
    </row>
    <row r="126" spans="1:28" ht="24" customHeight="1">
      <c r="A126" s="779"/>
      <c r="B126" s="769" t="s">
        <v>4817</v>
      </c>
      <c r="C126" s="769" t="s">
        <v>4818</v>
      </c>
      <c r="D126" s="769" t="s">
        <v>79</v>
      </c>
      <c r="E126" s="769">
        <v>116</v>
      </c>
      <c r="F126" s="769" t="s">
        <v>34</v>
      </c>
      <c r="G126" s="769" t="s">
        <v>32</v>
      </c>
      <c r="H126" s="769" t="s">
        <v>6885</v>
      </c>
      <c r="I126" s="769" t="s">
        <v>6880</v>
      </c>
      <c r="J126" s="769" t="s">
        <v>4814</v>
      </c>
      <c r="K126" s="776" t="s">
        <v>6880</v>
      </c>
      <c r="L126" s="810">
        <v>74014.159292035401</v>
      </c>
      <c r="M126" s="294">
        <v>37007.079646017701</v>
      </c>
      <c r="N126" s="1573">
        <v>2019.09</v>
      </c>
      <c r="O126" s="769" t="s">
        <v>4775</v>
      </c>
      <c r="P126" s="793" t="s">
        <v>4776</v>
      </c>
      <c r="Q126" s="770">
        <v>15835489945</v>
      </c>
      <c r="R126" s="769" t="s">
        <v>4777</v>
      </c>
      <c r="S126" s="780" t="s">
        <v>4670</v>
      </c>
      <c r="T126" s="769"/>
      <c r="U126" s="798"/>
      <c r="V126" s="847"/>
      <c r="W126" s="847"/>
      <c r="X126" s="847"/>
      <c r="Y126" s="847"/>
      <c r="Z126" s="847"/>
      <c r="AA126" s="847"/>
      <c r="AB126" s="847"/>
    </row>
    <row r="127" spans="1:28" ht="24" customHeight="1">
      <c r="A127" s="779"/>
      <c r="B127" s="769" t="s">
        <v>4819</v>
      </c>
      <c r="C127" s="769" t="s">
        <v>4820</v>
      </c>
      <c r="D127" s="769" t="s">
        <v>31</v>
      </c>
      <c r="E127" s="769">
        <v>2836</v>
      </c>
      <c r="F127" s="769" t="s">
        <v>34</v>
      </c>
      <c r="G127" s="769" t="s">
        <v>32</v>
      </c>
      <c r="H127" s="769" t="s">
        <v>6885</v>
      </c>
      <c r="I127" s="769" t="s">
        <v>6880</v>
      </c>
      <c r="J127" s="769" t="s">
        <v>34</v>
      </c>
      <c r="K127" s="769" t="s">
        <v>4774</v>
      </c>
      <c r="L127" s="360">
        <v>100389.38</v>
      </c>
      <c r="M127" s="294">
        <v>50194.690265486803</v>
      </c>
      <c r="N127" s="769">
        <v>2019.09</v>
      </c>
      <c r="O127" s="769" t="s">
        <v>6934</v>
      </c>
      <c r="P127" s="793" t="s">
        <v>4776</v>
      </c>
      <c r="Q127" s="770">
        <v>18335831522</v>
      </c>
      <c r="R127" s="769" t="s">
        <v>4777</v>
      </c>
      <c r="S127" s="780" t="s">
        <v>4670</v>
      </c>
      <c r="T127" s="769"/>
      <c r="U127" s="798"/>
      <c r="V127" s="847"/>
      <c r="W127" s="847"/>
      <c r="X127" s="847"/>
      <c r="Y127" s="847"/>
      <c r="Z127" s="847"/>
      <c r="AA127" s="847"/>
      <c r="AB127" s="847"/>
    </row>
    <row r="128" spans="1:28" ht="24" hidden="1" customHeight="1">
      <c r="A128" s="779"/>
      <c r="B128" s="360" t="s">
        <v>514</v>
      </c>
      <c r="C128" s="360" t="s">
        <v>4821</v>
      </c>
      <c r="D128" s="360" t="s">
        <v>31</v>
      </c>
      <c r="E128" s="360">
        <v>2</v>
      </c>
      <c r="F128" s="360"/>
      <c r="G128" s="817" t="s">
        <v>32</v>
      </c>
      <c r="H128" s="817" t="s">
        <v>33</v>
      </c>
      <c r="I128" s="360" t="s">
        <v>6880</v>
      </c>
      <c r="J128" s="360" t="s">
        <v>6880</v>
      </c>
      <c r="K128" s="360" t="s">
        <v>6880</v>
      </c>
      <c r="L128" s="816">
        <v>6796.12</v>
      </c>
      <c r="M128" s="816">
        <v>6512.9483333333328</v>
      </c>
      <c r="N128" s="819">
        <v>2021.12</v>
      </c>
      <c r="O128" s="789" t="s">
        <v>6935</v>
      </c>
      <c r="P128" s="360" t="s">
        <v>6936</v>
      </c>
      <c r="Q128" s="789">
        <v>18335831522</v>
      </c>
      <c r="R128" s="789" t="s">
        <v>6937</v>
      </c>
      <c r="S128" s="789" t="s">
        <v>6938</v>
      </c>
      <c r="T128" s="789"/>
      <c r="U128" s="798"/>
      <c r="V128" s="847"/>
      <c r="W128" s="847"/>
      <c r="X128" s="847"/>
      <c r="Y128" s="847"/>
      <c r="Z128" s="847"/>
      <c r="AA128" s="847"/>
      <c r="AB128" s="847"/>
    </row>
    <row r="129" spans="1:28" ht="24" hidden="1" customHeight="1">
      <c r="A129" s="779"/>
      <c r="B129" s="360" t="s">
        <v>514</v>
      </c>
      <c r="C129" s="360" t="s">
        <v>4822</v>
      </c>
      <c r="D129" s="360" t="s">
        <v>31</v>
      </c>
      <c r="E129" s="360">
        <v>1</v>
      </c>
      <c r="F129" s="360"/>
      <c r="G129" s="817" t="s">
        <v>32</v>
      </c>
      <c r="H129" s="817" t="s">
        <v>33</v>
      </c>
      <c r="I129" s="360" t="s">
        <v>6880</v>
      </c>
      <c r="J129" s="360" t="s">
        <v>6880</v>
      </c>
      <c r="K129" s="360" t="s">
        <v>6880</v>
      </c>
      <c r="L129" s="816">
        <v>3398.06</v>
      </c>
      <c r="M129" s="816">
        <v>3256.4741666666664</v>
      </c>
      <c r="N129" s="819">
        <v>2021.12</v>
      </c>
      <c r="O129" s="789" t="s">
        <v>6935</v>
      </c>
      <c r="P129" s="360" t="s">
        <v>6936</v>
      </c>
      <c r="Q129" s="789">
        <v>18335831522</v>
      </c>
      <c r="R129" s="789" t="s">
        <v>6937</v>
      </c>
      <c r="S129" s="789" t="s">
        <v>6938</v>
      </c>
      <c r="T129" s="789"/>
      <c r="U129" s="798"/>
      <c r="V129" s="847"/>
      <c r="W129" s="847"/>
      <c r="X129" s="847"/>
      <c r="Y129" s="847"/>
      <c r="Z129" s="847"/>
      <c r="AA129" s="847"/>
      <c r="AB129" s="847"/>
    </row>
    <row r="130" spans="1:28" ht="24" hidden="1" customHeight="1">
      <c r="A130" s="779"/>
      <c r="B130" s="360" t="s">
        <v>514</v>
      </c>
      <c r="C130" s="360" t="s">
        <v>4823</v>
      </c>
      <c r="D130" s="360" t="s">
        <v>31</v>
      </c>
      <c r="E130" s="360">
        <v>1</v>
      </c>
      <c r="F130" s="360"/>
      <c r="G130" s="817" t="s">
        <v>32</v>
      </c>
      <c r="H130" s="817" t="s">
        <v>33</v>
      </c>
      <c r="I130" s="360" t="s">
        <v>6880</v>
      </c>
      <c r="J130" s="360" t="s">
        <v>6880</v>
      </c>
      <c r="K130" s="360" t="s">
        <v>6880</v>
      </c>
      <c r="L130" s="816">
        <v>3398.06</v>
      </c>
      <c r="M130" s="816">
        <v>3256.4741666666664</v>
      </c>
      <c r="N130" s="819">
        <v>2021.12</v>
      </c>
      <c r="O130" s="789" t="s">
        <v>6935</v>
      </c>
      <c r="P130" s="360" t="s">
        <v>6936</v>
      </c>
      <c r="Q130" s="789">
        <v>18335831522</v>
      </c>
      <c r="R130" s="789" t="s">
        <v>6937</v>
      </c>
      <c r="S130" s="789" t="s">
        <v>6938</v>
      </c>
      <c r="T130" s="789"/>
      <c r="U130" s="798"/>
      <c r="V130" s="847"/>
      <c r="W130" s="847"/>
      <c r="X130" s="847"/>
      <c r="Y130" s="847"/>
      <c r="Z130" s="847"/>
      <c r="AA130" s="847"/>
      <c r="AB130" s="847"/>
    </row>
    <row r="131" spans="1:28" ht="24" hidden="1" customHeight="1">
      <c r="A131" s="779"/>
      <c r="B131" s="360" t="s">
        <v>514</v>
      </c>
      <c r="C131" s="360" t="s">
        <v>4824</v>
      </c>
      <c r="D131" s="360" t="s">
        <v>31</v>
      </c>
      <c r="E131" s="360">
        <v>2</v>
      </c>
      <c r="F131" s="360"/>
      <c r="G131" s="817" t="s">
        <v>32</v>
      </c>
      <c r="H131" s="817" t="s">
        <v>33</v>
      </c>
      <c r="I131" s="360" t="s">
        <v>6880</v>
      </c>
      <c r="J131" s="360" t="s">
        <v>6880</v>
      </c>
      <c r="K131" s="360" t="s">
        <v>6880</v>
      </c>
      <c r="L131" s="816">
        <v>6796.12</v>
      </c>
      <c r="M131" s="816">
        <v>6512.9483333333328</v>
      </c>
      <c r="N131" s="819">
        <v>2021.12</v>
      </c>
      <c r="O131" s="789" t="s">
        <v>6935</v>
      </c>
      <c r="P131" s="360" t="s">
        <v>6936</v>
      </c>
      <c r="Q131" s="789">
        <v>18335831522</v>
      </c>
      <c r="R131" s="789" t="s">
        <v>6937</v>
      </c>
      <c r="S131" s="789" t="s">
        <v>6938</v>
      </c>
      <c r="T131" s="789"/>
      <c r="U131" s="798"/>
      <c r="V131" s="847"/>
      <c r="W131" s="847"/>
      <c r="X131" s="847"/>
      <c r="Y131" s="847"/>
      <c r="Z131" s="847"/>
      <c r="AA131" s="847"/>
      <c r="AB131" s="847"/>
    </row>
    <row r="132" spans="1:28" ht="24" hidden="1" customHeight="1">
      <c r="A132" s="779"/>
      <c r="B132" s="360" t="s">
        <v>514</v>
      </c>
      <c r="C132" s="360" t="s">
        <v>4825</v>
      </c>
      <c r="D132" s="360" t="s">
        <v>31</v>
      </c>
      <c r="E132" s="360">
        <v>2</v>
      </c>
      <c r="F132" s="360"/>
      <c r="G132" s="817" t="s">
        <v>32</v>
      </c>
      <c r="H132" s="817" t="s">
        <v>33</v>
      </c>
      <c r="I132" s="360" t="s">
        <v>6880</v>
      </c>
      <c r="J132" s="360" t="s">
        <v>6880</v>
      </c>
      <c r="K132" s="360" t="s">
        <v>6880</v>
      </c>
      <c r="L132" s="816">
        <v>6796.12</v>
      </c>
      <c r="M132" s="816">
        <v>6512.9483333333328</v>
      </c>
      <c r="N132" s="819">
        <v>2021.12</v>
      </c>
      <c r="O132" s="789" t="s">
        <v>6935</v>
      </c>
      <c r="P132" s="360" t="s">
        <v>6936</v>
      </c>
      <c r="Q132" s="789">
        <v>18335831522</v>
      </c>
      <c r="R132" s="789" t="s">
        <v>6937</v>
      </c>
      <c r="S132" s="789" t="s">
        <v>6938</v>
      </c>
      <c r="T132" s="789"/>
      <c r="U132" s="798"/>
      <c r="V132" s="847"/>
      <c r="W132" s="847"/>
      <c r="X132" s="847"/>
      <c r="Y132" s="847"/>
      <c r="Z132" s="847"/>
      <c r="AA132" s="847"/>
      <c r="AB132" s="847"/>
    </row>
    <row r="133" spans="1:28" ht="24" hidden="1" customHeight="1">
      <c r="A133" s="779"/>
      <c r="B133" s="360" t="s">
        <v>514</v>
      </c>
      <c r="C133" s="360" t="s">
        <v>4826</v>
      </c>
      <c r="D133" s="360" t="s">
        <v>31</v>
      </c>
      <c r="E133" s="360">
        <v>1</v>
      </c>
      <c r="F133" s="360"/>
      <c r="G133" s="817" t="s">
        <v>32</v>
      </c>
      <c r="H133" s="817" t="s">
        <v>33</v>
      </c>
      <c r="I133" s="360" t="s">
        <v>6880</v>
      </c>
      <c r="J133" s="360" t="s">
        <v>6880</v>
      </c>
      <c r="K133" s="360" t="s">
        <v>6880</v>
      </c>
      <c r="L133" s="816">
        <v>3398.06</v>
      </c>
      <c r="M133" s="816">
        <v>3256.4741666666664</v>
      </c>
      <c r="N133" s="819">
        <v>2021.12</v>
      </c>
      <c r="O133" s="789" t="s">
        <v>6935</v>
      </c>
      <c r="P133" s="360" t="s">
        <v>6936</v>
      </c>
      <c r="Q133" s="789">
        <v>18335831522</v>
      </c>
      <c r="R133" s="789" t="s">
        <v>6937</v>
      </c>
      <c r="S133" s="789" t="s">
        <v>6938</v>
      </c>
      <c r="T133" s="789"/>
      <c r="U133" s="798"/>
      <c r="V133" s="847"/>
      <c r="W133" s="847"/>
      <c r="X133" s="847"/>
      <c r="Y133" s="847"/>
      <c r="Z133" s="847"/>
      <c r="AA133" s="847"/>
      <c r="AB133" s="847"/>
    </row>
    <row r="134" spans="1:28" ht="24" hidden="1" customHeight="1">
      <c r="A134" s="779"/>
      <c r="B134" s="360" t="s">
        <v>514</v>
      </c>
      <c r="C134" s="360" t="s">
        <v>4827</v>
      </c>
      <c r="D134" s="360" t="s">
        <v>31</v>
      </c>
      <c r="E134" s="360">
        <v>1</v>
      </c>
      <c r="F134" s="360"/>
      <c r="G134" s="817" t="s">
        <v>32</v>
      </c>
      <c r="H134" s="817" t="s">
        <v>33</v>
      </c>
      <c r="I134" s="360" t="s">
        <v>6880</v>
      </c>
      <c r="J134" s="360" t="s">
        <v>6880</v>
      </c>
      <c r="K134" s="360" t="s">
        <v>6880</v>
      </c>
      <c r="L134" s="816">
        <v>3398.06</v>
      </c>
      <c r="M134" s="816">
        <v>3256.4741666666664</v>
      </c>
      <c r="N134" s="819">
        <v>2021.12</v>
      </c>
      <c r="O134" s="789" t="s">
        <v>6935</v>
      </c>
      <c r="P134" s="360" t="s">
        <v>6936</v>
      </c>
      <c r="Q134" s="789">
        <v>18335831522</v>
      </c>
      <c r="R134" s="789" t="s">
        <v>6937</v>
      </c>
      <c r="S134" s="789" t="s">
        <v>6938</v>
      </c>
      <c r="T134" s="789"/>
      <c r="U134" s="798"/>
      <c r="V134" s="847"/>
      <c r="W134" s="847"/>
      <c r="X134" s="847"/>
      <c r="Y134" s="847"/>
      <c r="Z134" s="847"/>
      <c r="AA134" s="847"/>
      <c r="AB134" s="847"/>
    </row>
    <row r="135" spans="1:28" ht="24" hidden="1" customHeight="1">
      <c r="A135" s="779"/>
      <c r="B135" s="360" t="s">
        <v>4828</v>
      </c>
      <c r="C135" s="360" t="s">
        <v>1342</v>
      </c>
      <c r="D135" s="360" t="s">
        <v>2834</v>
      </c>
      <c r="E135" s="360">
        <v>65</v>
      </c>
      <c r="F135" s="793" t="s">
        <v>34</v>
      </c>
      <c r="G135" s="360" t="s">
        <v>32</v>
      </c>
      <c r="H135" s="360" t="s">
        <v>33</v>
      </c>
      <c r="I135" s="360" t="s">
        <v>34</v>
      </c>
      <c r="J135" s="360" t="s">
        <v>4714</v>
      </c>
      <c r="K135" s="360" t="s">
        <v>4715</v>
      </c>
      <c r="L135" s="810">
        <v>28761.06</v>
      </c>
      <c r="M135" s="810">
        <v>2876.11</v>
      </c>
      <c r="N135" s="769">
        <v>2020.12</v>
      </c>
      <c r="O135" s="360" t="s">
        <v>4720</v>
      </c>
      <c r="P135" s="360" t="s">
        <v>4717</v>
      </c>
      <c r="Q135" s="811">
        <v>13306050175</v>
      </c>
      <c r="R135" s="360" t="s">
        <v>4718</v>
      </c>
      <c r="S135" s="360" t="s">
        <v>4670</v>
      </c>
      <c r="T135" s="769"/>
      <c r="U135" s="798"/>
      <c r="V135" s="847"/>
      <c r="W135" s="847"/>
      <c r="X135" s="847"/>
      <c r="Y135" s="847"/>
      <c r="Z135" s="847"/>
      <c r="AA135" s="847"/>
      <c r="AB135" s="847"/>
    </row>
    <row r="136" spans="1:28" ht="24" hidden="1" customHeight="1">
      <c r="A136" s="779"/>
      <c r="B136" s="360" t="s">
        <v>4829</v>
      </c>
      <c r="C136" s="360" t="s">
        <v>3510</v>
      </c>
      <c r="D136" s="360" t="s">
        <v>464</v>
      </c>
      <c r="E136" s="360">
        <v>400</v>
      </c>
      <c r="F136" s="793" t="s">
        <v>34</v>
      </c>
      <c r="G136" s="360" t="s">
        <v>32</v>
      </c>
      <c r="H136" s="360" t="s">
        <v>33</v>
      </c>
      <c r="I136" s="360" t="s">
        <v>34</v>
      </c>
      <c r="J136" s="360" t="s">
        <v>4714</v>
      </c>
      <c r="K136" s="360" t="s">
        <v>4715</v>
      </c>
      <c r="L136" s="810">
        <v>2123.89</v>
      </c>
      <c r="M136" s="810">
        <v>212.39</v>
      </c>
      <c r="N136" s="769">
        <v>2020.12</v>
      </c>
      <c r="O136" s="360" t="s">
        <v>4720</v>
      </c>
      <c r="P136" s="360" t="s">
        <v>4717</v>
      </c>
      <c r="Q136" s="811">
        <v>13306050175</v>
      </c>
      <c r="R136" s="360" t="s">
        <v>4718</v>
      </c>
      <c r="S136" s="360" t="s">
        <v>4670</v>
      </c>
      <c r="T136" s="769"/>
      <c r="U136" s="798"/>
      <c r="V136" s="847"/>
      <c r="W136" s="847"/>
      <c r="X136" s="847"/>
      <c r="Y136" s="847"/>
      <c r="Z136" s="847"/>
      <c r="AA136" s="847"/>
      <c r="AB136" s="847"/>
    </row>
    <row r="137" spans="1:28" ht="24" hidden="1" customHeight="1">
      <c r="A137" s="779"/>
      <c r="B137" s="360" t="s">
        <v>4830</v>
      </c>
      <c r="C137" s="360" t="s">
        <v>4831</v>
      </c>
      <c r="D137" s="360" t="s">
        <v>464</v>
      </c>
      <c r="E137" s="360">
        <v>400</v>
      </c>
      <c r="F137" s="793" t="s">
        <v>34</v>
      </c>
      <c r="G137" s="360" t="s">
        <v>32</v>
      </c>
      <c r="H137" s="360" t="s">
        <v>33</v>
      </c>
      <c r="I137" s="360" t="s">
        <v>34</v>
      </c>
      <c r="J137" s="360" t="s">
        <v>4714</v>
      </c>
      <c r="K137" s="360" t="s">
        <v>4715</v>
      </c>
      <c r="L137" s="810">
        <v>1769.91</v>
      </c>
      <c r="M137" s="810">
        <v>176.99</v>
      </c>
      <c r="N137" s="769">
        <v>2020.12</v>
      </c>
      <c r="O137" s="360" t="s">
        <v>4720</v>
      </c>
      <c r="P137" s="360" t="s">
        <v>4717</v>
      </c>
      <c r="Q137" s="811">
        <v>13306050175</v>
      </c>
      <c r="R137" s="360" t="s">
        <v>4718</v>
      </c>
      <c r="S137" s="360" t="s">
        <v>4670</v>
      </c>
      <c r="T137" s="769"/>
      <c r="U137" s="798"/>
      <c r="V137" s="847"/>
      <c r="W137" s="847"/>
      <c r="X137" s="847"/>
      <c r="Y137" s="847"/>
      <c r="Z137" s="847"/>
      <c r="AA137" s="847"/>
      <c r="AB137" s="847"/>
    </row>
    <row r="138" spans="1:28" ht="24" hidden="1" customHeight="1">
      <c r="A138" s="779"/>
      <c r="B138" s="360" t="s">
        <v>4832</v>
      </c>
      <c r="C138" s="360"/>
      <c r="D138" s="360" t="s">
        <v>131</v>
      </c>
      <c r="E138" s="360">
        <v>800</v>
      </c>
      <c r="F138" s="793" t="s">
        <v>34</v>
      </c>
      <c r="G138" s="360" t="s">
        <v>6933</v>
      </c>
      <c r="H138" s="360" t="s">
        <v>6927</v>
      </c>
      <c r="I138" s="360" t="s">
        <v>6880</v>
      </c>
      <c r="J138" s="360" t="s">
        <v>4714</v>
      </c>
      <c r="K138" s="360" t="s">
        <v>4715</v>
      </c>
      <c r="L138" s="810">
        <v>1415.93</v>
      </c>
      <c r="M138" s="810">
        <v>141.59</v>
      </c>
      <c r="N138" s="769">
        <v>2020.12</v>
      </c>
      <c r="O138" s="360" t="s">
        <v>4720</v>
      </c>
      <c r="P138" s="360" t="s">
        <v>4717</v>
      </c>
      <c r="Q138" s="811">
        <v>13306050175</v>
      </c>
      <c r="R138" s="360" t="s">
        <v>4718</v>
      </c>
      <c r="S138" s="360" t="s">
        <v>4670</v>
      </c>
      <c r="T138" s="769"/>
      <c r="U138" s="798"/>
      <c r="V138" s="847"/>
      <c r="W138" s="847"/>
      <c r="X138" s="847"/>
      <c r="Y138" s="847"/>
      <c r="Z138" s="847"/>
      <c r="AA138" s="847"/>
      <c r="AB138" s="847"/>
    </row>
    <row r="139" spans="1:28" ht="24" hidden="1" customHeight="1">
      <c r="A139" s="779"/>
      <c r="B139" s="360" t="s">
        <v>4833</v>
      </c>
      <c r="C139" s="360" t="s">
        <v>4834</v>
      </c>
      <c r="D139" s="360" t="s">
        <v>62</v>
      </c>
      <c r="E139" s="793">
        <v>318.08</v>
      </c>
      <c r="F139" s="793" t="s">
        <v>34</v>
      </c>
      <c r="G139" s="360" t="s">
        <v>6933</v>
      </c>
      <c r="H139" s="360" t="s">
        <v>6927</v>
      </c>
      <c r="I139" s="360"/>
      <c r="J139" s="360"/>
      <c r="K139" s="360" t="s">
        <v>4835</v>
      </c>
      <c r="L139" s="810">
        <v>0</v>
      </c>
      <c r="M139" s="810">
        <v>0</v>
      </c>
      <c r="N139" s="769" t="s">
        <v>6939</v>
      </c>
      <c r="O139" s="360" t="s">
        <v>4739</v>
      </c>
      <c r="P139" s="360" t="s">
        <v>4740</v>
      </c>
      <c r="Q139" s="360">
        <v>18033772730</v>
      </c>
      <c r="R139" s="360" t="s">
        <v>4728</v>
      </c>
      <c r="S139" s="360" t="s">
        <v>4836</v>
      </c>
      <c r="T139" s="769" t="s">
        <v>6940</v>
      </c>
      <c r="U139" s="798"/>
      <c r="V139" s="847"/>
      <c r="W139" s="847"/>
      <c r="X139" s="847"/>
      <c r="Y139" s="847"/>
      <c r="Z139" s="847"/>
      <c r="AA139" s="847"/>
      <c r="AB139" s="847"/>
    </row>
    <row r="140" spans="1:28" ht="24" hidden="1" customHeight="1">
      <c r="A140" s="779"/>
      <c r="B140" s="360" t="s">
        <v>4355</v>
      </c>
      <c r="C140" s="360" t="s">
        <v>4837</v>
      </c>
      <c r="D140" s="360" t="s">
        <v>131</v>
      </c>
      <c r="E140" s="793">
        <v>300</v>
      </c>
      <c r="F140" s="793" t="s">
        <v>34</v>
      </c>
      <c r="G140" s="360" t="s">
        <v>6933</v>
      </c>
      <c r="H140" s="360" t="s">
        <v>6927</v>
      </c>
      <c r="I140" s="360"/>
      <c r="J140" s="360"/>
      <c r="K140" s="360" t="s">
        <v>4838</v>
      </c>
      <c r="L140" s="810">
        <v>1574.26</v>
      </c>
      <c r="M140" s="810">
        <v>605.46</v>
      </c>
      <c r="N140" s="769" t="s">
        <v>4839</v>
      </c>
      <c r="O140" s="360" t="s">
        <v>4739</v>
      </c>
      <c r="P140" s="360" t="s">
        <v>4740</v>
      </c>
      <c r="Q140" s="360">
        <v>18033772730</v>
      </c>
      <c r="R140" s="360" t="s">
        <v>4728</v>
      </c>
      <c r="S140" s="360" t="s">
        <v>4836</v>
      </c>
      <c r="T140" s="769"/>
      <c r="U140" s="798"/>
      <c r="V140" s="847"/>
      <c r="W140" s="847"/>
      <c r="X140" s="847"/>
      <c r="Y140" s="847"/>
      <c r="Z140" s="847"/>
      <c r="AA140" s="847"/>
      <c r="AB140" s="847"/>
    </row>
    <row r="141" spans="1:28" ht="24" hidden="1" customHeight="1">
      <c r="A141" s="779"/>
      <c r="B141" s="360" t="s">
        <v>4840</v>
      </c>
      <c r="C141" s="360" t="s">
        <v>4837</v>
      </c>
      <c r="D141" s="360" t="s">
        <v>131</v>
      </c>
      <c r="E141" s="793">
        <v>300</v>
      </c>
      <c r="F141" s="793" t="s">
        <v>34</v>
      </c>
      <c r="G141" s="360" t="s">
        <v>6933</v>
      </c>
      <c r="H141" s="360" t="s">
        <v>6927</v>
      </c>
      <c r="I141" s="360"/>
      <c r="J141" s="360"/>
      <c r="K141" s="360" t="s">
        <v>4838</v>
      </c>
      <c r="L141" s="810">
        <v>1693.07</v>
      </c>
      <c r="M141" s="810">
        <v>651.15</v>
      </c>
      <c r="N141" s="769" t="s">
        <v>4839</v>
      </c>
      <c r="O141" s="360" t="s">
        <v>4739</v>
      </c>
      <c r="P141" s="360" t="s">
        <v>4740</v>
      </c>
      <c r="Q141" s="360">
        <v>18033772730</v>
      </c>
      <c r="R141" s="360" t="s">
        <v>4728</v>
      </c>
      <c r="S141" s="360" t="s">
        <v>4836</v>
      </c>
      <c r="T141" s="769"/>
      <c r="U141" s="798"/>
      <c r="V141" s="847"/>
      <c r="W141" s="847"/>
      <c r="X141" s="847"/>
      <c r="Y141" s="847"/>
      <c r="Z141" s="847"/>
      <c r="AA141" s="847"/>
      <c r="AB141" s="847"/>
    </row>
    <row r="142" spans="1:28" ht="24" hidden="1" customHeight="1">
      <c r="A142" s="779"/>
      <c r="B142" s="360" t="s">
        <v>4809</v>
      </c>
      <c r="C142" s="360" t="s">
        <v>4837</v>
      </c>
      <c r="D142" s="360" t="s">
        <v>131</v>
      </c>
      <c r="E142" s="793">
        <v>1000</v>
      </c>
      <c r="F142" s="793" t="s">
        <v>34</v>
      </c>
      <c r="G142" s="360" t="s">
        <v>6933</v>
      </c>
      <c r="H142" s="360" t="s">
        <v>6927</v>
      </c>
      <c r="I142" s="360"/>
      <c r="J142" s="360"/>
      <c r="K142" s="360" t="s">
        <v>4838</v>
      </c>
      <c r="L142" s="810">
        <v>5643.56</v>
      </c>
      <c r="M142" s="810">
        <v>2170.6</v>
      </c>
      <c r="N142" s="769" t="s">
        <v>4839</v>
      </c>
      <c r="O142" s="360" t="s">
        <v>4739</v>
      </c>
      <c r="P142" s="360" t="s">
        <v>4740</v>
      </c>
      <c r="Q142" s="360">
        <v>18033772730</v>
      </c>
      <c r="R142" s="360" t="s">
        <v>4728</v>
      </c>
      <c r="S142" s="360" t="s">
        <v>4836</v>
      </c>
      <c r="T142" s="769"/>
      <c r="U142" s="798"/>
      <c r="V142" s="847"/>
      <c r="W142" s="847"/>
      <c r="X142" s="847"/>
      <c r="Y142" s="847"/>
      <c r="Z142" s="847"/>
      <c r="AA142" s="847"/>
      <c r="AB142" s="847"/>
    </row>
    <row r="143" spans="1:28" ht="24" hidden="1" customHeight="1">
      <c r="A143" s="769">
        <v>2</v>
      </c>
      <c r="B143" s="769" t="s">
        <v>6941</v>
      </c>
      <c r="C143" s="769"/>
      <c r="D143" s="769"/>
      <c r="E143" s="769"/>
      <c r="F143" s="769"/>
      <c r="G143" s="769"/>
      <c r="H143" s="769"/>
      <c r="I143" s="769"/>
      <c r="J143" s="769"/>
      <c r="K143" s="776"/>
      <c r="L143" s="857"/>
      <c r="M143" s="294"/>
      <c r="N143" s="360"/>
      <c r="O143" s="769"/>
      <c r="P143" s="793"/>
      <c r="Q143" s="770"/>
      <c r="R143" s="769"/>
      <c r="S143" s="778"/>
      <c r="T143" s="769"/>
      <c r="U143" s="798"/>
      <c r="V143" s="847"/>
      <c r="W143" s="847"/>
      <c r="X143" s="847"/>
      <c r="Y143" s="847"/>
      <c r="Z143" s="847"/>
      <c r="AA143" s="847"/>
      <c r="AB143" s="847"/>
    </row>
    <row r="144" spans="1:28" ht="24" hidden="1" customHeight="1">
      <c r="A144" s="769">
        <v>3</v>
      </c>
      <c r="B144" s="769" t="s">
        <v>1043</v>
      </c>
      <c r="C144" s="769"/>
      <c r="D144" s="769"/>
      <c r="E144" s="769"/>
      <c r="F144" s="769"/>
      <c r="G144" s="769"/>
      <c r="H144" s="769"/>
      <c r="I144" s="769"/>
      <c r="J144" s="769"/>
      <c r="K144" s="776"/>
      <c r="L144" s="857"/>
      <c r="M144" s="294"/>
      <c r="N144" s="360"/>
      <c r="O144" s="769"/>
      <c r="P144" s="793"/>
      <c r="Q144" s="770"/>
      <c r="R144" s="769"/>
      <c r="S144" s="778"/>
      <c r="T144" s="769"/>
      <c r="U144" s="798"/>
      <c r="V144" s="847"/>
      <c r="W144" s="847"/>
      <c r="X144" s="847"/>
      <c r="Y144" s="847"/>
      <c r="Z144" s="847"/>
      <c r="AA144" s="847"/>
      <c r="AB144" s="847"/>
    </row>
    <row r="145" spans="1:28" ht="24" hidden="1" customHeight="1">
      <c r="A145" s="769">
        <v>4</v>
      </c>
      <c r="B145" s="769" t="s">
        <v>1044</v>
      </c>
      <c r="C145" s="769"/>
      <c r="D145" s="769"/>
      <c r="E145" s="769"/>
      <c r="F145" s="769"/>
      <c r="G145" s="769"/>
      <c r="H145" s="769"/>
      <c r="I145" s="769"/>
      <c r="J145" s="769"/>
      <c r="K145" s="776"/>
      <c r="L145" s="857"/>
      <c r="M145" s="294"/>
      <c r="N145" s="360"/>
      <c r="O145" s="769"/>
      <c r="P145" s="793"/>
      <c r="Q145" s="770"/>
      <c r="R145" s="769"/>
      <c r="S145" s="778"/>
      <c r="T145" s="769"/>
      <c r="U145" s="774"/>
      <c r="V145" s="847"/>
      <c r="W145" s="847"/>
      <c r="X145" s="847"/>
      <c r="Y145" s="847"/>
      <c r="Z145" s="847"/>
      <c r="AA145" s="847"/>
      <c r="AB145" s="847"/>
    </row>
    <row r="146" spans="1:28" ht="24" hidden="1" customHeight="1">
      <c r="A146" s="769"/>
      <c r="B146" s="360" t="s">
        <v>4841</v>
      </c>
      <c r="C146" s="360" t="s">
        <v>4842</v>
      </c>
      <c r="D146" s="360" t="s">
        <v>464</v>
      </c>
      <c r="E146" s="792">
        <v>582</v>
      </c>
      <c r="F146" s="793" t="s">
        <v>34</v>
      </c>
      <c r="G146" s="793" t="s">
        <v>32</v>
      </c>
      <c r="H146" s="793" t="s">
        <v>33</v>
      </c>
      <c r="I146" s="793" t="s">
        <v>34</v>
      </c>
      <c r="J146" s="793" t="s">
        <v>34</v>
      </c>
      <c r="K146" s="793" t="s">
        <v>4843</v>
      </c>
      <c r="L146" s="857">
        <v>20370</v>
      </c>
      <c r="M146" s="792">
        <v>10185</v>
      </c>
      <c r="N146" s="809" t="s">
        <v>6942</v>
      </c>
      <c r="O146" s="793" t="s">
        <v>4698</v>
      </c>
      <c r="P146" s="793" t="s">
        <v>4699</v>
      </c>
      <c r="Q146" s="793">
        <v>18605163234</v>
      </c>
      <c r="R146" s="793" t="s">
        <v>6943</v>
      </c>
      <c r="S146" s="793" t="s">
        <v>4670</v>
      </c>
      <c r="T146" s="769"/>
      <c r="U146" s="774"/>
      <c r="V146" s="847"/>
      <c r="W146" s="847"/>
      <c r="X146" s="847"/>
      <c r="Y146" s="847"/>
      <c r="Z146" s="847"/>
      <c r="AA146" s="847"/>
      <c r="AB146" s="847"/>
    </row>
    <row r="147" spans="1:28" ht="24" hidden="1" customHeight="1">
      <c r="A147" s="769"/>
      <c r="B147" s="360" t="s">
        <v>4841</v>
      </c>
      <c r="C147" s="360" t="s">
        <v>4842</v>
      </c>
      <c r="D147" s="360" t="s">
        <v>464</v>
      </c>
      <c r="E147" s="792">
        <v>130</v>
      </c>
      <c r="F147" s="793" t="s">
        <v>34</v>
      </c>
      <c r="G147" s="793" t="s">
        <v>32</v>
      </c>
      <c r="H147" s="793" t="s">
        <v>33</v>
      </c>
      <c r="I147" s="793" t="s">
        <v>34</v>
      </c>
      <c r="J147" s="793" t="s">
        <v>34</v>
      </c>
      <c r="K147" s="793" t="s">
        <v>4843</v>
      </c>
      <c r="L147" s="857">
        <v>4550</v>
      </c>
      <c r="M147" s="792">
        <v>2275</v>
      </c>
      <c r="N147" s="809" t="s">
        <v>6942</v>
      </c>
      <c r="O147" s="793" t="s">
        <v>4698</v>
      </c>
      <c r="P147" s="793" t="s">
        <v>4699</v>
      </c>
      <c r="Q147" s="793">
        <v>18605163235</v>
      </c>
      <c r="R147" s="793" t="s">
        <v>6943</v>
      </c>
      <c r="S147" s="793" t="s">
        <v>4670</v>
      </c>
      <c r="T147" s="769"/>
      <c r="U147" s="774"/>
      <c r="V147" s="847"/>
      <c r="W147" s="847"/>
      <c r="X147" s="847"/>
      <c r="Y147" s="847"/>
      <c r="Z147" s="847"/>
      <c r="AA147" s="847"/>
      <c r="AB147" s="847"/>
    </row>
    <row r="148" spans="1:28" ht="24" hidden="1" customHeight="1">
      <c r="A148" s="769"/>
      <c r="B148" s="360" t="s">
        <v>4844</v>
      </c>
      <c r="C148" s="360" t="s">
        <v>4845</v>
      </c>
      <c r="D148" s="360" t="s">
        <v>131</v>
      </c>
      <c r="E148" s="792">
        <v>2323</v>
      </c>
      <c r="F148" s="793" t="s">
        <v>34</v>
      </c>
      <c r="G148" s="793" t="s">
        <v>32</v>
      </c>
      <c r="H148" s="793" t="s">
        <v>33</v>
      </c>
      <c r="I148" s="793" t="s">
        <v>34</v>
      </c>
      <c r="J148" s="793" t="s">
        <v>34</v>
      </c>
      <c r="K148" s="793" t="s">
        <v>4843</v>
      </c>
      <c r="L148" s="857">
        <v>9292</v>
      </c>
      <c r="M148" s="792">
        <v>4646</v>
      </c>
      <c r="N148" s="809" t="s">
        <v>6942</v>
      </c>
      <c r="O148" s="793" t="s">
        <v>4698</v>
      </c>
      <c r="P148" s="793" t="s">
        <v>4699</v>
      </c>
      <c r="Q148" s="793">
        <v>18605163236</v>
      </c>
      <c r="R148" s="793" t="s">
        <v>6943</v>
      </c>
      <c r="S148" s="793" t="s">
        <v>4670</v>
      </c>
      <c r="T148" s="769"/>
      <c r="U148" s="774"/>
      <c r="V148" s="847"/>
      <c r="W148" s="847"/>
      <c r="X148" s="847"/>
      <c r="Y148" s="847"/>
      <c r="Z148" s="847"/>
      <c r="AA148" s="847"/>
      <c r="AB148" s="847"/>
    </row>
    <row r="149" spans="1:28" ht="24" hidden="1" customHeight="1">
      <c r="A149" s="769"/>
      <c r="B149" s="360" t="s">
        <v>755</v>
      </c>
      <c r="C149" s="360" t="s">
        <v>4846</v>
      </c>
      <c r="D149" s="360" t="s">
        <v>79</v>
      </c>
      <c r="E149" s="792">
        <v>122</v>
      </c>
      <c r="F149" s="793" t="s">
        <v>34</v>
      </c>
      <c r="G149" s="793" t="s">
        <v>32</v>
      </c>
      <c r="H149" s="793" t="s">
        <v>33</v>
      </c>
      <c r="I149" s="793" t="s">
        <v>34</v>
      </c>
      <c r="J149" s="793" t="s">
        <v>34</v>
      </c>
      <c r="K149" s="793" t="s">
        <v>4843</v>
      </c>
      <c r="L149" s="857">
        <v>63699.12</v>
      </c>
      <c r="M149" s="792">
        <v>31849.550000000003</v>
      </c>
      <c r="N149" s="809" t="s">
        <v>6942</v>
      </c>
      <c r="O149" s="793" t="s">
        <v>4698</v>
      </c>
      <c r="P149" s="793" t="s">
        <v>4699</v>
      </c>
      <c r="Q149" s="793">
        <v>18605163237</v>
      </c>
      <c r="R149" s="793" t="s">
        <v>6943</v>
      </c>
      <c r="S149" s="793" t="s">
        <v>4670</v>
      </c>
      <c r="T149" s="769"/>
      <c r="U149" s="774"/>
      <c r="V149" s="847"/>
      <c r="W149" s="847"/>
      <c r="X149" s="847"/>
      <c r="Y149" s="847"/>
      <c r="Z149" s="847"/>
      <c r="AA149" s="847"/>
      <c r="AB149" s="847"/>
    </row>
    <row r="150" spans="1:28" ht="24" hidden="1" customHeight="1">
      <c r="A150" s="769"/>
      <c r="B150" s="360" t="s">
        <v>755</v>
      </c>
      <c r="C150" s="360" t="s">
        <v>4847</v>
      </c>
      <c r="D150" s="360" t="s">
        <v>79</v>
      </c>
      <c r="E150" s="792">
        <v>114</v>
      </c>
      <c r="F150" s="793" t="s">
        <v>34</v>
      </c>
      <c r="G150" s="793" t="s">
        <v>32</v>
      </c>
      <c r="H150" s="793" t="s">
        <v>33</v>
      </c>
      <c r="I150" s="793" t="s">
        <v>34</v>
      </c>
      <c r="J150" s="793" t="s">
        <v>34</v>
      </c>
      <c r="K150" s="793" t="s">
        <v>4843</v>
      </c>
      <c r="L150" s="857">
        <v>59522.12</v>
      </c>
      <c r="M150" s="792">
        <v>29761.06</v>
      </c>
      <c r="N150" s="809" t="s">
        <v>6942</v>
      </c>
      <c r="O150" s="793" t="s">
        <v>4698</v>
      </c>
      <c r="P150" s="793" t="s">
        <v>4699</v>
      </c>
      <c r="Q150" s="793">
        <v>18605163238</v>
      </c>
      <c r="R150" s="793" t="s">
        <v>6943</v>
      </c>
      <c r="S150" s="793" t="s">
        <v>4670</v>
      </c>
      <c r="T150" s="769"/>
      <c r="U150" s="774"/>
      <c r="V150" s="847"/>
      <c r="W150" s="847"/>
      <c r="X150" s="847"/>
      <c r="Y150" s="847"/>
      <c r="Z150" s="847"/>
      <c r="AA150" s="847"/>
      <c r="AB150" s="847"/>
    </row>
    <row r="151" spans="1:28" ht="24" hidden="1" customHeight="1">
      <c r="A151" s="769"/>
      <c r="B151" s="360" t="s">
        <v>755</v>
      </c>
      <c r="C151" s="360" t="s">
        <v>4848</v>
      </c>
      <c r="D151" s="360" t="s">
        <v>79</v>
      </c>
      <c r="E151" s="792">
        <v>50</v>
      </c>
      <c r="F151" s="793" t="s">
        <v>34</v>
      </c>
      <c r="G151" s="793" t="s">
        <v>32</v>
      </c>
      <c r="H151" s="793" t="s">
        <v>33</v>
      </c>
      <c r="I151" s="793" t="s">
        <v>34</v>
      </c>
      <c r="J151" s="793" t="s">
        <v>34</v>
      </c>
      <c r="K151" s="793" t="s">
        <v>4843</v>
      </c>
      <c r="L151" s="857">
        <v>22345.13</v>
      </c>
      <c r="M151" s="792">
        <v>11172.560000000001</v>
      </c>
      <c r="N151" s="809" t="s">
        <v>6942</v>
      </c>
      <c r="O151" s="793" t="s">
        <v>4698</v>
      </c>
      <c r="P151" s="793" t="s">
        <v>4699</v>
      </c>
      <c r="Q151" s="793">
        <v>18605163239</v>
      </c>
      <c r="R151" s="793" t="s">
        <v>6943</v>
      </c>
      <c r="S151" s="793" t="s">
        <v>4670</v>
      </c>
      <c r="T151" s="769"/>
      <c r="U151" s="774"/>
      <c r="V151" s="847"/>
      <c r="W151" s="847"/>
      <c r="X151" s="847"/>
      <c r="Y151" s="847"/>
      <c r="Z151" s="847"/>
      <c r="AA151" s="847"/>
      <c r="AB151" s="847"/>
    </row>
    <row r="152" spans="1:28" ht="24" hidden="1" customHeight="1">
      <c r="A152" s="769"/>
      <c r="B152" s="360" t="s">
        <v>755</v>
      </c>
      <c r="C152" s="360" t="s">
        <v>4849</v>
      </c>
      <c r="D152" s="360" t="s">
        <v>79</v>
      </c>
      <c r="E152" s="792">
        <v>14</v>
      </c>
      <c r="F152" s="793" t="s">
        <v>34</v>
      </c>
      <c r="G152" s="793" t="s">
        <v>32</v>
      </c>
      <c r="H152" s="793" t="s">
        <v>33</v>
      </c>
      <c r="I152" s="793" t="s">
        <v>34</v>
      </c>
      <c r="J152" s="793" t="s">
        <v>34</v>
      </c>
      <c r="K152" s="793" t="s">
        <v>4843</v>
      </c>
      <c r="L152" s="857">
        <v>6938.05</v>
      </c>
      <c r="M152" s="792">
        <v>3469.02</v>
      </c>
      <c r="N152" s="809" t="s">
        <v>6942</v>
      </c>
      <c r="O152" s="793" t="s">
        <v>4698</v>
      </c>
      <c r="P152" s="793" t="s">
        <v>4699</v>
      </c>
      <c r="Q152" s="793">
        <v>18605163240</v>
      </c>
      <c r="R152" s="793" t="s">
        <v>6943</v>
      </c>
      <c r="S152" s="793" t="s">
        <v>4670</v>
      </c>
      <c r="T152" s="769"/>
      <c r="U152" s="774"/>
      <c r="V152" s="847"/>
      <c r="W152" s="847"/>
      <c r="X152" s="847"/>
      <c r="Y152" s="847"/>
      <c r="Z152" s="847"/>
      <c r="AA152" s="847"/>
      <c r="AB152" s="847"/>
    </row>
    <row r="153" spans="1:28" ht="24" hidden="1" customHeight="1">
      <c r="A153" s="769"/>
      <c r="B153" s="360" t="s">
        <v>755</v>
      </c>
      <c r="C153" s="360" t="s">
        <v>4850</v>
      </c>
      <c r="D153" s="360" t="s">
        <v>79</v>
      </c>
      <c r="E153" s="792">
        <v>14</v>
      </c>
      <c r="F153" s="793" t="s">
        <v>34</v>
      </c>
      <c r="G153" s="793" t="s">
        <v>32</v>
      </c>
      <c r="H153" s="793" t="s">
        <v>33</v>
      </c>
      <c r="I153" s="793" t="s">
        <v>34</v>
      </c>
      <c r="J153" s="793" t="s">
        <v>34</v>
      </c>
      <c r="K153" s="793" t="s">
        <v>4843</v>
      </c>
      <c r="L153" s="857">
        <v>6938.05</v>
      </c>
      <c r="M153" s="792">
        <v>3469.02</v>
      </c>
      <c r="N153" s="809" t="s">
        <v>6942</v>
      </c>
      <c r="O153" s="793" t="s">
        <v>4698</v>
      </c>
      <c r="P153" s="793" t="s">
        <v>4699</v>
      </c>
      <c r="Q153" s="793">
        <v>18605163241</v>
      </c>
      <c r="R153" s="793" t="s">
        <v>6943</v>
      </c>
      <c r="S153" s="793" t="s">
        <v>4670</v>
      </c>
      <c r="T153" s="769"/>
      <c r="U153" s="774"/>
      <c r="V153" s="847"/>
      <c r="W153" s="847"/>
      <c r="X153" s="847"/>
      <c r="Y153" s="847"/>
      <c r="Z153" s="847"/>
      <c r="AA153" s="847"/>
      <c r="AB153" s="847"/>
    </row>
    <row r="154" spans="1:28" ht="24" hidden="1" customHeight="1">
      <c r="A154" s="769"/>
      <c r="B154" s="360" t="s">
        <v>755</v>
      </c>
      <c r="C154" s="360" t="s">
        <v>4851</v>
      </c>
      <c r="D154" s="360" t="s">
        <v>79</v>
      </c>
      <c r="E154" s="792">
        <v>6</v>
      </c>
      <c r="F154" s="793" t="s">
        <v>34</v>
      </c>
      <c r="G154" s="793" t="s">
        <v>32</v>
      </c>
      <c r="H154" s="793" t="s">
        <v>33</v>
      </c>
      <c r="I154" s="793" t="s">
        <v>34</v>
      </c>
      <c r="J154" s="793" t="s">
        <v>34</v>
      </c>
      <c r="K154" s="793" t="s">
        <v>4843</v>
      </c>
      <c r="L154" s="857">
        <v>3026.55</v>
      </c>
      <c r="M154" s="792">
        <v>1513.2700000000002</v>
      </c>
      <c r="N154" s="809" t="s">
        <v>6942</v>
      </c>
      <c r="O154" s="793" t="s">
        <v>4698</v>
      </c>
      <c r="P154" s="793" t="s">
        <v>4699</v>
      </c>
      <c r="Q154" s="793">
        <v>18605163242</v>
      </c>
      <c r="R154" s="793" t="s">
        <v>6943</v>
      </c>
      <c r="S154" s="793" t="s">
        <v>4670</v>
      </c>
      <c r="T154" s="769"/>
      <c r="U154" s="774"/>
      <c r="V154" s="847"/>
      <c r="W154" s="847"/>
      <c r="X154" s="847"/>
      <c r="Y154" s="847"/>
      <c r="Z154" s="847"/>
      <c r="AA154" s="847"/>
      <c r="AB154" s="847"/>
    </row>
    <row r="155" spans="1:28" ht="24" hidden="1" customHeight="1">
      <c r="A155" s="769"/>
      <c r="B155" s="360" t="s">
        <v>4852</v>
      </c>
      <c r="C155" s="360" t="s">
        <v>4853</v>
      </c>
      <c r="D155" s="360" t="s">
        <v>79</v>
      </c>
      <c r="E155" s="792">
        <v>75</v>
      </c>
      <c r="F155" s="793" t="s">
        <v>34</v>
      </c>
      <c r="G155" s="793" t="s">
        <v>32</v>
      </c>
      <c r="H155" s="793" t="s">
        <v>33</v>
      </c>
      <c r="I155" s="793" t="s">
        <v>34</v>
      </c>
      <c r="J155" s="793" t="s">
        <v>34</v>
      </c>
      <c r="K155" s="793" t="s">
        <v>4843</v>
      </c>
      <c r="L155" s="857">
        <v>51106.19</v>
      </c>
      <c r="M155" s="792">
        <v>25553.090000000004</v>
      </c>
      <c r="N155" s="809" t="s">
        <v>6942</v>
      </c>
      <c r="O155" s="793" t="s">
        <v>4698</v>
      </c>
      <c r="P155" s="793" t="s">
        <v>4699</v>
      </c>
      <c r="Q155" s="793">
        <v>18605163243</v>
      </c>
      <c r="R155" s="793" t="s">
        <v>6943</v>
      </c>
      <c r="S155" s="793" t="s">
        <v>4670</v>
      </c>
      <c r="T155" s="769"/>
      <c r="U155" s="774"/>
      <c r="V155" s="847"/>
      <c r="W155" s="847"/>
      <c r="X155" s="847"/>
      <c r="Y155" s="847"/>
      <c r="Z155" s="847"/>
      <c r="AA155" s="847"/>
      <c r="AB155" s="847"/>
    </row>
    <row r="156" spans="1:28" ht="24" hidden="1" customHeight="1">
      <c r="A156" s="769"/>
      <c r="B156" s="360" t="s">
        <v>4852</v>
      </c>
      <c r="C156" s="360" t="s">
        <v>4854</v>
      </c>
      <c r="D156" s="360" t="s">
        <v>79</v>
      </c>
      <c r="E156" s="792">
        <v>10</v>
      </c>
      <c r="F156" s="793" t="s">
        <v>34</v>
      </c>
      <c r="G156" s="793" t="s">
        <v>32</v>
      </c>
      <c r="H156" s="793" t="s">
        <v>33</v>
      </c>
      <c r="I156" s="793" t="s">
        <v>34</v>
      </c>
      <c r="J156" s="793" t="s">
        <v>34</v>
      </c>
      <c r="K156" s="793" t="s">
        <v>4843</v>
      </c>
      <c r="L156" s="857">
        <v>7079.65</v>
      </c>
      <c r="M156" s="792">
        <v>3539.8199999999997</v>
      </c>
      <c r="N156" s="809" t="s">
        <v>6942</v>
      </c>
      <c r="O156" s="793" t="s">
        <v>4698</v>
      </c>
      <c r="P156" s="793" t="s">
        <v>4699</v>
      </c>
      <c r="Q156" s="793">
        <v>18605163244</v>
      </c>
      <c r="R156" s="793" t="s">
        <v>6943</v>
      </c>
      <c r="S156" s="793" t="s">
        <v>4670</v>
      </c>
      <c r="T156" s="769"/>
      <c r="U156" s="774"/>
      <c r="V156" s="847"/>
      <c r="W156" s="847"/>
      <c r="X156" s="847"/>
      <c r="Y156" s="847"/>
      <c r="Z156" s="847"/>
      <c r="AA156" s="847"/>
      <c r="AB156" s="847"/>
    </row>
    <row r="157" spans="1:28" ht="24" hidden="1" customHeight="1">
      <c r="A157" s="769"/>
      <c r="B157" s="360" t="s">
        <v>4855</v>
      </c>
      <c r="C157" s="360" t="s">
        <v>4856</v>
      </c>
      <c r="D157" s="360" t="s">
        <v>79</v>
      </c>
      <c r="E157" s="792">
        <v>95</v>
      </c>
      <c r="F157" s="793" t="s">
        <v>34</v>
      </c>
      <c r="G157" s="793" t="s">
        <v>32</v>
      </c>
      <c r="H157" s="793" t="s">
        <v>33</v>
      </c>
      <c r="I157" s="793" t="s">
        <v>34</v>
      </c>
      <c r="J157" s="793" t="s">
        <v>34</v>
      </c>
      <c r="K157" s="793" t="s">
        <v>4843</v>
      </c>
      <c r="L157" s="857">
        <v>53805.31</v>
      </c>
      <c r="M157" s="792">
        <v>26902.649999999998</v>
      </c>
      <c r="N157" s="809" t="s">
        <v>6942</v>
      </c>
      <c r="O157" s="793" t="s">
        <v>4698</v>
      </c>
      <c r="P157" s="793" t="s">
        <v>4699</v>
      </c>
      <c r="Q157" s="793">
        <v>18605163245</v>
      </c>
      <c r="R157" s="793" t="s">
        <v>6943</v>
      </c>
      <c r="S157" s="793" t="s">
        <v>4670</v>
      </c>
      <c r="T157" s="769"/>
      <c r="U157" s="774"/>
      <c r="V157" s="847"/>
      <c r="W157" s="847"/>
      <c r="X157" s="847"/>
      <c r="Y157" s="847"/>
      <c r="Z157" s="847"/>
      <c r="AA157" s="847"/>
      <c r="AB157" s="847"/>
    </row>
    <row r="158" spans="1:28" ht="24" hidden="1" customHeight="1">
      <c r="A158" s="769"/>
      <c r="B158" s="360" t="s">
        <v>4855</v>
      </c>
      <c r="C158" s="360" t="s">
        <v>4857</v>
      </c>
      <c r="D158" s="360" t="s">
        <v>79</v>
      </c>
      <c r="E158" s="792">
        <v>50</v>
      </c>
      <c r="F158" s="793" t="s">
        <v>34</v>
      </c>
      <c r="G158" s="793" t="s">
        <v>32</v>
      </c>
      <c r="H158" s="793" t="s">
        <v>33</v>
      </c>
      <c r="I158" s="793" t="s">
        <v>34</v>
      </c>
      <c r="J158" s="793" t="s">
        <v>34</v>
      </c>
      <c r="K158" s="793" t="s">
        <v>4843</v>
      </c>
      <c r="L158" s="857">
        <v>30088.5</v>
      </c>
      <c r="M158" s="792">
        <v>15044.25</v>
      </c>
      <c r="N158" s="809" t="s">
        <v>6942</v>
      </c>
      <c r="O158" s="793" t="s">
        <v>4698</v>
      </c>
      <c r="P158" s="793" t="s">
        <v>4699</v>
      </c>
      <c r="Q158" s="793">
        <v>18605163246</v>
      </c>
      <c r="R158" s="793" t="s">
        <v>6943</v>
      </c>
      <c r="S158" s="793" t="s">
        <v>4670</v>
      </c>
      <c r="T158" s="769"/>
      <c r="U158" s="774"/>
      <c r="V158" s="847"/>
      <c r="W158" s="847"/>
      <c r="X158" s="847"/>
      <c r="Y158" s="847"/>
      <c r="Z158" s="847"/>
      <c r="AA158" s="847"/>
      <c r="AB158" s="847"/>
    </row>
    <row r="159" spans="1:28" ht="24" hidden="1" customHeight="1">
      <c r="A159" s="769"/>
      <c r="B159" s="360" t="s">
        <v>4855</v>
      </c>
      <c r="C159" s="360" t="s">
        <v>4858</v>
      </c>
      <c r="D159" s="360" t="s">
        <v>79</v>
      </c>
      <c r="E159" s="792">
        <v>24</v>
      </c>
      <c r="F159" s="793" t="s">
        <v>34</v>
      </c>
      <c r="G159" s="793" t="s">
        <v>32</v>
      </c>
      <c r="H159" s="793" t="s">
        <v>33</v>
      </c>
      <c r="I159" s="793" t="s">
        <v>34</v>
      </c>
      <c r="J159" s="793" t="s">
        <v>34</v>
      </c>
      <c r="K159" s="793" t="s">
        <v>4843</v>
      </c>
      <c r="L159" s="857">
        <v>12637.17</v>
      </c>
      <c r="M159" s="792">
        <v>6318.58</v>
      </c>
      <c r="N159" s="809" t="s">
        <v>6942</v>
      </c>
      <c r="O159" s="793" t="s">
        <v>4698</v>
      </c>
      <c r="P159" s="793" t="s">
        <v>4699</v>
      </c>
      <c r="Q159" s="793">
        <v>18605163247</v>
      </c>
      <c r="R159" s="793" t="s">
        <v>6943</v>
      </c>
      <c r="S159" s="793" t="s">
        <v>4670</v>
      </c>
      <c r="T159" s="769"/>
      <c r="U159" s="774"/>
      <c r="V159" s="847"/>
      <c r="W159" s="847"/>
      <c r="X159" s="847"/>
      <c r="Y159" s="847"/>
      <c r="Z159" s="847"/>
      <c r="AA159" s="847"/>
      <c r="AB159" s="847"/>
    </row>
    <row r="160" spans="1:28" ht="24" hidden="1" customHeight="1">
      <c r="A160" s="769"/>
      <c r="B160" s="360" t="s">
        <v>4855</v>
      </c>
      <c r="C160" s="360" t="s">
        <v>4859</v>
      </c>
      <c r="D160" s="360" t="s">
        <v>79</v>
      </c>
      <c r="E160" s="792">
        <v>2</v>
      </c>
      <c r="F160" s="793" t="s">
        <v>34</v>
      </c>
      <c r="G160" s="793" t="s">
        <v>32</v>
      </c>
      <c r="H160" s="793" t="s">
        <v>33</v>
      </c>
      <c r="I160" s="793" t="s">
        <v>34</v>
      </c>
      <c r="J160" s="793" t="s">
        <v>34</v>
      </c>
      <c r="K160" s="793" t="s">
        <v>4843</v>
      </c>
      <c r="L160" s="857">
        <v>973.45</v>
      </c>
      <c r="M160" s="792">
        <v>486.72</v>
      </c>
      <c r="N160" s="809" t="s">
        <v>6942</v>
      </c>
      <c r="O160" s="793" t="s">
        <v>4698</v>
      </c>
      <c r="P160" s="793" t="s">
        <v>4699</v>
      </c>
      <c r="Q160" s="793">
        <v>18605163248</v>
      </c>
      <c r="R160" s="793" t="s">
        <v>6943</v>
      </c>
      <c r="S160" s="793" t="s">
        <v>4670</v>
      </c>
      <c r="T160" s="769"/>
      <c r="U160" s="774"/>
      <c r="V160" s="847"/>
      <c r="W160" s="847"/>
      <c r="X160" s="847"/>
      <c r="Y160" s="847"/>
      <c r="Z160" s="847"/>
      <c r="AA160" s="847"/>
      <c r="AB160" s="847"/>
    </row>
    <row r="161" spans="1:28" ht="24" hidden="1" customHeight="1">
      <c r="A161" s="769"/>
      <c r="B161" s="360" t="s">
        <v>4860</v>
      </c>
      <c r="C161" s="360" t="s">
        <v>4861</v>
      </c>
      <c r="D161" s="360" t="s">
        <v>131</v>
      </c>
      <c r="E161" s="792">
        <v>1</v>
      </c>
      <c r="F161" s="793" t="s">
        <v>34</v>
      </c>
      <c r="G161" s="793" t="s">
        <v>32</v>
      </c>
      <c r="H161" s="793" t="s">
        <v>33</v>
      </c>
      <c r="I161" s="793" t="s">
        <v>34</v>
      </c>
      <c r="J161" s="793" t="s">
        <v>34</v>
      </c>
      <c r="K161" s="793" t="s">
        <v>4862</v>
      </c>
      <c r="L161" s="792">
        <v>52920.35</v>
      </c>
      <c r="M161" s="792">
        <v>26460.17</v>
      </c>
      <c r="N161" s="809" t="s">
        <v>6944</v>
      </c>
      <c r="O161" s="793" t="s">
        <v>4698</v>
      </c>
      <c r="P161" s="793" t="s">
        <v>4699</v>
      </c>
      <c r="Q161" s="793">
        <v>18605163248</v>
      </c>
      <c r="R161" s="793" t="s">
        <v>4700</v>
      </c>
      <c r="S161" s="793" t="s">
        <v>4670</v>
      </c>
      <c r="T161" s="769"/>
      <c r="U161" s="774"/>
      <c r="V161" s="847"/>
      <c r="W161" s="847"/>
      <c r="X161" s="847"/>
      <c r="Y161" s="847"/>
      <c r="Z161" s="847"/>
      <c r="AA161" s="847"/>
      <c r="AB161" s="847"/>
    </row>
    <row r="162" spans="1:28" ht="24" hidden="1" customHeight="1">
      <c r="A162" s="769"/>
      <c r="B162" s="360" t="s">
        <v>4863</v>
      </c>
      <c r="C162" s="360" t="s">
        <v>4864</v>
      </c>
      <c r="D162" s="360" t="s">
        <v>131</v>
      </c>
      <c r="E162" s="792">
        <v>1</v>
      </c>
      <c r="F162" s="793" t="s">
        <v>34</v>
      </c>
      <c r="G162" s="793" t="s">
        <v>32</v>
      </c>
      <c r="H162" s="793" t="s">
        <v>33</v>
      </c>
      <c r="I162" s="793" t="s">
        <v>34</v>
      </c>
      <c r="J162" s="793" t="s">
        <v>34</v>
      </c>
      <c r="K162" s="793" t="s">
        <v>4862</v>
      </c>
      <c r="L162" s="792">
        <v>76902.649999999994</v>
      </c>
      <c r="M162" s="792">
        <v>38451.319999999992</v>
      </c>
      <c r="N162" s="809" t="s">
        <v>6944</v>
      </c>
      <c r="O162" s="793" t="s">
        <v>4698</v>
      </c>
      <c r="P162" s="793" t="s">
        <v>4699</v>
      </c>
      <c r="Q162" s="793">
        <v>18605163249</v>
      </c>
      <c r="R162" s="793" t="s">
        <v>4700</v>
      </c>
      <c r="S162" s="793" t="s">
        <v>4670</v>
      </c>
      <c r="T162" s="769"/>
      <c r="U162" s="774"/>
      <c r="V162" s="847"/>
      <c r="W162" s="847"/>
      <c r="X162" s="847"/>
      <c r="Y162" s="847"/>
      <c r="Z162" s="847"/>
      <c r="AA162" s="847"/>
      <c r="AB162" s="847"/>
    </row>
    <row r="163" spans="1:28" ht="24" hidden="1" customHeight="1">
      <c r="A163" s="769"/>
      <c r="B163" s="360" t="s">
        <v>4865</v>
      </c>
      <c r="C163" s="360" t="s">
        <v>4866</v>
      </c>
      <c r="D163" s="360" t="s">
        <v>131</v>
      </c>
      <c r="E163" s="792">
        <v>1</v>
      </c>
      <c r="F163" s="793" t="s">
        <v>34</v>
      </c>
      <c r="G163" s="793" t="s">
        <v>32</v>
      </c>
      <c r="H163" s="793" t="s">
        <v>33</v>
      </c>
      <c r="I163" s="793" t="s">
        <v>34</v>
      </c>
      <c r="J163" s="793" t="s">
        <v>34</v>
      </c>
      <c r="K163" s="793" t="s">
        <v>4862</v>
      </c>
      <c r="L163" s="792">
        <v>22920.35</v>
      </c>
      <c r="M163" s="792">
        <v>11460.169999999998</v>
      </c>
      <c r="N163" s="809" t="s">
        <v>6944</v>
      </c>
      <c r="O163" s="793" t="s">
        <v>4698</v>
      </c>
      <c r="P163" s="793" t="s">
        <v>4699</v>
      </c>
      <c r="Q163" s="793">
        <v>18605163250</v>
      </c>
      <c r="R163" s="793" t="s">
        <v>4700</v>
      </c>
      <c r="S163" s="793" t="s">
        <v>4670</v>
      </c>
      <c r="T163" s="769"/>
      <c r="U163" s="774"/>
      <c r="V163" s="847"/>
      <c r="W163" s="847"/>
      <c r="X163" s="847"/>
      <c r="Y163" s="847"/>
      <c r="Z163" s="847"/>
      <c r="AA163" s="847"/>
      <c r="AB163" s="847"/>
    </row>
    <row r="164" spans="1:28" s="831" customFormat="1" ht="24" hidden="1" customHeight="1">
      <c r="A164" s="779"/>
      <c r="B164" s="769" t="s">
        <v>2648</v>
      </c>
      <c r="C164" s="1283" t="s">
        <v>4867</v>
      </c>
      <c r="D164" s="1283" t="s">
        <v>161</v>
      </c>
      <c r="E164" s="1283">
        <v>318</v>
      </c>
      <c r="F164" s="1283" t="s">
        <v>34</v>
      </c>
      <c r="G164" s="1283" t="s">
        <v>32</v>
      </c>
      <c r="H164" s="1283" t="s">
        <v>33</v>
      </c>
      <c r="I164" s="1283" t="s">
        <v>34</v>
      </c>
      <c r="J164" s="783" t="s">
        <v>4678</v>
      </c>
      <c r="K164" s="783" t="s">
        <v>4678</v>
      </c>
      <c r="L164" s="858">
        <v>83909.736000000004</v>
      </c>
      <c r="M164" s="653">
        <v>64064.135999999999</v>
      </c>
      <c r="N164" s="1283">
        <v>2012.09</v>
      </c>
      <c r="O164" s="1283" t="s">
        <v>4676</v>
      </c>
      <c r="P164" s="793" t="s">
        <v>4677</v>
      </c>
      <c r="Q164" s="859">
        <v>15035113499</v>
      </c>
      <c r="R164" s="783" t="s">
        <v>4678</v>
      </c>
      <c r="S164" s="860" t="s">
        <v>4670</v>
      </c>
      <c r="T164" s="769"/>
      <c r="U164" s="861"/>
      <c r="V164" s="862"/>
      <c r="W164" s="862"/>
      <c r="X164" s="862"/>
      <c r="Y164" s="862"/>
      <c r="Z164" s="862"/>
      <c r="AA164" s="862"/>
      <c r="AB164" s="862"/>
    </row>
    <row r="165" spans="1:28" s="831" customFormat="1" ht="24" hidden="1" customHeight="1">
      <c r="A165" s="779"/>
      <c r="B165" s="769" t="s">
        <v>2648</v>
      </c>
      <c r="C165" s="1283" t="s">
        <v>4868</v>
      </c>
      <c r="D165" s="1283" t="s">
        <v>161</v>
      </c>
      <c r="E165" s="1283">
        <v>42</v>
      </c>
      <c r="F165" s="1283" t="s">
        <v>34</v>
      </c>
      <c r="G165" s="1283" t="s">
        <v>32</v>
      </c>
      <c r="H165" s="1283" t="s">
        <v>33</v>
      </c>
      <c r="I165" s="1283" t="s">
        <v>34</v>
      </c>
      <c r="J165" s="783" t="s">
        <v>4678</v>
      </c>
      <c r="K165" s="783" t="s">
        <v>4678</v>
      </c>
      <c r="L165" s="858">
        <v>23927.576261412501</v>
      </c>
      <c r="M165" s="653">
        <v>17571.3562614125</v>
      </c>
      <c r="N165" s="1283">
        <v>2012.09</v>
      </c>
      <c r="O165" s="1283" t="s">
        <v>4676</v>
      </c>
      <c r="P165" s="793" t="s">
        <v>4677</v>
      </c>
      <c r="Q165" s="859">
        <v>15035113499</v>
      </c>
      <c r="R165" s="783" t="s">
        <v>4678</v>
      </c>
      <c r="S165" s="860" t="s">
        <v>4670</v>
      </c>
      <c r="T165" s="769"/>
      <c r="U165" s="861"/>
      <c r="V165" s="862"/>
      <c r="W165" s="862"/>
      <c r="X165" s="862"/>
      <c r="Y165" s="862"/>
      <c r="Z165" s="862"/>
      <c r="AA165" s="862"/>
      <c r="AB165" s="862"/>
    </row>
    <row r="166" spans="1:28" s="831" customFormat="1" ht="24" hidden="1" customHeight="1">
      <c r="A166" s="779"/>
      <c r="B166" s="769" t="s">
        <v>2648</v>
      </c>
      <c r="C166" s="1283" t="s">
        <v>4869</v>
      </c>
      <c r="D166" s="1283" t="s">
        <v>161</v>
      </c>
      <c r="E166" s="1283">
        <v>48</v>
      </c>
      <c r="F166" s="1283" t="s">
        <v>34</v>
      </c>
      <c r="G166" s="1283" t="s">
        <v>32</v>
      </c>
      <c r="H166" s="1283" t="s">
        <v>33</v>
      </c>
      <c r="I166" s="1283" t="s">
        <v>34</v>
      </c>
      <c r="J166" s="783" t="s">
        <v>4678</v>
      </c>
      <c r="K166" s="783" t="s">
        <v>4678</v>
      </c>
      <c r="L166" s="858">
        <v>29599.606</v>
      </c>
      <c r="M166" s="653">
        <v>19767.366000000002</v>
      </c>
      <c r="N166" s="1283">
        <v>2012.09</v>
      </c>
      <c r="O166" s="1283" t="s">
        <v>4676</v>
      </c>
      <c r="P166" s="793" t="s">
        <v>4677</v>
      </c>
      <c r="Q166" s="859">
        <v>15035113499</v>
      </c>
      <c r="R166" s="783" t="s">
        <v>4678</v>
      </c>
      <c r="S166" s="860" t="s">
        <v>4670</v>
      </c>
      <c r="T166" s="769"/>
      <c r="U166" s="861"/>
      <c r="V166" s="862"/>
      <c r="W166" s="862"/>
      <c r="X166" s="862"/>
      <c r="Y166" s="862"/>
      <c r="Z166" s="862"/>
      <c r="AA166" s="862"/>
      <c r="AB166" s="862"/>
    </row>
    <row r="167" spans="1:28" s="831" customFormat="1" ht="24" hidden="1" customHeight="1">
      <c r="A167" s="779"/>
      <c r="B167" s="769" t="s">
        <v>2648</v>
      </c>
      <c r="C167" s="1283" t="s">
        <v>4870</v>
      </c>
      <c r="D167" s="1283" t="s">
        <v>161</v>
      </c>
      <c r="E167" s="1283">
        <v>252</v>
      </c>
      <c r="F167" s="1283" t="s">
        <v>34</v>
      </c>
      <c r="G167" s="1283" t="s">
        <v>32</v>
      </c>
      <c r="H167" s="1283" t="s">
        <v>33</v>
      </c>
      <c r="I167" s="1283" t="s">
        <v>34</v>
      </c>
      <c r="J167" s="783" t="s">
        <v>4678</v>
      </c>
      <c r="K167" s="783" t="s">
        <v>4678</v>
      </c>
      <c r="L167" s="858">
        <v>43599.436000000002</v>
      </c>
      <c r="M167" s="653">
        <v>43426.422365079365</v>
      </c>
      <c r="N167" s="1283">
        <v>2012.09</v>
      </c>
      <c r="O167" s="1283" t="s">
        <v>4676</v>
      </c>
      <c r="P167" s="793" t="s">
        <v>4677</v>
      </c>
      <c r="Q167" s="859">
        <v>13643450564</v>
      </c>
      <c r="R167" s="783" t="s">
        <v>4678</v>
      </c>
      <c r="S167" s="860" t="s">
        <v>4670</v>
      </c>
      <c r="T167" s="769"/>
      <c r="U167" s="861"/>
      <c r="V167" s="862"/>
      <c r="W167" s="862"/>
      <c r="X167" s="862"/>
      <c r="Y167" s="862"/>
      <c r="Z167" s="862"/>
      <c r="AA167" s="862"/>
      <c r="AB167" s="862"/>
    </row>
    <row r="168" spans="1:28" s="831" customFormat="1" ht="24" hidden="1" customHeight="1">
      <c r="A168" s="779"/>
      <c r="B168" s="769" t="s">
        <v>2648</v>
      </c>
      <c r="C168" s="1283" t="s">
        <v>4871</v>
      </c>
      <c r="D168" s="1283" t="s">
        <v>161</v>
      </c>
      <c r="E168" s="1283">
        <v>410</v>
      </c>
      <c r="F168" s="1283" t="s">
        <v>34</v>
      </c>
      <c r="G168" s="1283" t="s">
        <v>32</v>
      </c>
      <c r="H168" s="1283" t="s">
        <v>33</v>
      </c>
      <c r="I168" s="1283" t="s">
        <v>34</v>
      </c>
      <c r="J168" s="783" t="s">
        <v>4678</v>
      </c>
      <c r="K168" s="783" t="s">
        <v>4678</v>
      </c>
      <c r="L168" s="858">
        <v>227699.61</v>
      </c>
      <c r="M168" s="653">
        <v>13328.757658536586</v>
      </c>
      <c r="N168" s="1283">
        <v>2012.09</v>
      </c>
      <c r="O168" s="1283" t="s">
        <v>4872</v>
      </c>
      <c r="P168" s="793" t="s">
        <v>4873</v>
      </c>
      <c r="Q168" s="859">
        <v>13834231321</v>
      </c>
      <c r="R168" s="783" t="s">
        <v>4678</v>
      </c>
      <c r="S168" s="860" t="s">
        <v>4670</v>
      </c>
      <c r="T168" s="769"/>
      <c r="U168" s="861"/>
      <c r="V168" s="862"/>
      <c r="W168" s="862"/>
      <c r="X168" s="862"/>
      <c r="Y168" s="862"/>
      <c r="Z168" s="862"/>
      <c r="AA168" s="862"/>
      <c r="AB168" s="862"/>
    </row>
    <row r="169" spans="1:28" s="831" customFormat="1" ht="24" hidden="1" customHeight="1">
      <c r="A169" s="779"/>
      <c r="B169" s="769" t="s">
        <v>2648</v>
      </c>
      <c r="C169" s="1283" t="s">
        <v>4874</v>
      </c>
      <c r="D169" s="1283" t="s">
        <v>161</v>
      </c>
      <c r="E169" s="1283">
        <v>737</v>
      </c>
      <c r="F169" s="1283" t="s">
        <v>34</v>
      </c>
      <c r="G169" s="1283" t="s">
        <v>32</v>
      </c>
      <c r="H169" s="1283" t="s">
        <v>33</v>
      </c>
      <c r="I169" s="1283" t="s">
        <v>34</v>
      </c>
      <c r="J169" s="783" t="s">
        <v>4678</v>
      </c>
      <c r="K169" s="783" t="s">
        <v>4678</v>
      </c>
      <c r="L169" s="858">
        <v>372161.25</v>
      </c>
      <c r="M169" s="653">
        <v>80673.429999999993</v>
      </c>
      <c r="N169" s="1283">
        <v>2012.09</v>
      </c>
      <c r="O169" s="1283" t="s">
        <v>4872</v>
      </c>
      <c r="P169" s="793" t="s">
        <v>4873</v>
      </c>
      <c r="Q169" s="859">
        <v>13834231321</v>
      </c>
      <c r="R169" s="783" t="s">
        <v>4678</v>
      </c>
      <c r="S169" s="860" t="s">
        <v>4670</v>
      </c>
      <c r="T169" s="769"/>
      <c r="U169" s="861"/>
      <c r="V169" s="862"/>
      <c r="W169" s="862"/>
      <c r="X169" s="862"/>
      <c r="Y169" s="862"/>
      <c r="Z169" s="862"/>
      <c r="AA169" s="862"/>
      <c r="AB169" s="862"/>
    </row>
    <row r="170" spans="1:28" s="831" customFormat="1" ht="24" hidden="1" customHeight="1">
      <c r="A170" s="779"/>
      <c r="B170" s="769" t="s">
        <v>2648</v>
      </c>
      <c r="C170" s="1283" t="s">
        <v>4875</v>
      </c>
      <c r="D170" s="1283" t="s">
        <v>161</v>
      </c>
      <c r="E170" s="1283">
        <v>312</v>
      </c>
      <c r="F170" s="1283" t="s">
        <v>34</v>
      </c>
      <c r="G170" s="1283" t="s">
        <v>32</v>
      </c>
      <c r="H170" s="1283" t="s">
        <v>33</v>
      </c>
      <c r="I170" s="1283" t="s">
        <v>34</v>
      </c>
      <c r="J170" s="783" t="s">
        <v>4678</v>
      </c>
      <c r="K170" s="783" t="s">
        <v>4678</v>
      </c>
      <c r="L170" s="858">
        <v>98733.854000000007</v>
      </c>
      <c r="M170" s="653">
        <v>15694.507709717436</v>
      </c>
      <c r="N170" s="1283">
        <v>2012.09</v>
      </c>
      <c r="O170" s="1283" t="s">
        <v>4872</v>
      </c>
      <c r="P170" s="793" t="s">
        <v>4873</v>
      </c>
      <c r="Q170" s="859">
        <v>13834231321</v>
      </c>
      <c r="R170" s="783" t="s">
        <v>4678</v>
      </c>
      <c r="S170" s="860" t="s">
        <v>4670</v>
      </c>
      <c r="T170" s="769"/>
      <c r="U170" s="861"/>
      <c r="V170" s="862"/>
      <c r="W170" s="862"/>
      <c r="X170" s="862"/>
      <c r="Y170" s="862"/>
      <c r="Z170" s="862"/>
      <c r="AA170" s="862"/>
      <c r="AB170" s="862"/>
    </row>
    <row r="171" spans="1:28" s="831" customFormat="1" ht="24" hidden="1" customHeight="1">
      <c r="A171" s="779"/>
      <c r="B171" s="769" t="s">
        <v>2648</v>
      </c>
      <c r="C171" s="1283" t="s">
        <v>4876</v>
      </c>
      <c r="D171" s="1283" t="s">
        <v>161</v>
      </c>
      <c r="E171" s="1283">
        <v>54</v>
      </c>
      <c r="F171" s="1283" t="s">
        <v>34</v>
      </c>
      <c r="G171" s="1283" t="s">
        <v>32</v>
      </c>
      <c r="H171" s="1283" t="s">
        <v>33</v>
      </c>
      <c r="I171" s="1283" t="s">
        <v>34</v>
      </c>
      <c r="J171" s="783" t="s">
        <v>4678</v>
      </c>
      <c r="K171" s="783" t="s">
        <v>4678</v>
      </c>
      <c r="L171" s="858">
        <v>14842.6767932446</v>
      </c>
      <c r="M171" s="653">
        <v>199.96679324460001</v>
      </c>
      <c r="N171" s="1283">
        <v>2012.09</v>
      </c>
      <c r="O171" s="1283" t="s">
        <v>4676</v>
      </c>
      <c r="P171" s="793" t="s">
        <v>4677</v>
      </c>
      <c r="Q171" s="859">
        <v>13643450564</v>
      </c>
      <c r="R171" s="783" t="s">
        <v>4678</v>
      </c>
      <c r="S171" s="860" t="s">
        <v>4670</v>
      </c>
      <c r="T171" s="769"/>
      <c r="U171" s="861"/>
      <c r="V171" s="862"/>
      <c r="W171" s="862"/>
      <c r="X171" s="862"/>
      <c r="Y171" s="862"/>
      <c r="Z171" s="862"/>
      <c r="AA171" s="862"/>
      <c r="AB171" s="862"/>
    </row>
    <row r="172" spans="1:28" s="831" customFormat="1" ht="24" hidden="1" customHeight="1">
      <c r="A172" s="779"/>
      <c r="B172" s="769" t="s">
        <v>2648</v>
      </c>
      <c r="C172" s="1283" t="s">
        <v>4877</v>
      </c>
      <c r="D172" s="1283" t="s">
        <v>161</v>
      </c>
      <c r="E172" s="1283">
        <v>58</v>
      </c>
      <c r="F172" s="1283" t="s">
        <v>34</v>
      </c>
      <c r="G172" s="1283" t="s">
        <v>32</v>
      </c>
      <c r="H172" s="1283" t="s">
        <v>33</v>
      </c>
      <c r="I172" s="1283" t="s">
        <v>34</v>
      </c>
      <c r="J172" s="783" t="s">
        <v>4678</v>
      </c>
      <c r="K172" s="783" t="s">
        <v>4678</v>
      </c>
      <c r="L172" s="858">
        <v>33791.516370521997</v>
      </c>
      <c r="M172" s="653">
        <v>5213.6863705220003</v>
      </c>
      <c r="N172" s="1283">
        <v>2012.09</v>
      </c>
      <c r="O172" s="1283" t="s">
        <v>4676</v>
      </c>
      <c r="P172" s="793" t="s">
        <v>4677</v>
      </c>
      <c r="Q172" s="859">
        <v>13643450564</v>
      </c>
      <c r="R172" s="783" t="s">
        <v>4678</v>
      </c>
      <c r="S172" s="860" t="s">
        <v>4670</v>
      </c>
      <c r="T172" s="769"/>
      <c r="U172" s="861"/>
      <c r="V172" s="862"/>
      <c r="W172" s="862"/>
      <c r="X172" s="862"/>
      <c r="Y172" s="862"/>
      <c r="Z172" s="862"/>
      <c r="AA172" s="862"/>
      <c r="AB172" s="862"/>
    </row>
    <row r="173" spans="1:28" s="831" customFormat="1" ht="24" hidden="1" customHeight="1">
      <c r="A173" s="779"/>
      <c r="B173" s="769" t="s">
        <v>2648</v>
      </c>
      <c r="C173" s="1283" t="s">
        <v>4878</v>
      </c>
      <c r="D173" s="1283" t="s">
        <v>161</v>
      </c>
      <c r="E173" s="1283">
        <v>60</v>
      </c>
      <c r="F173" s="1283" t="s">
        <v>34</v>
      </c>
      <c r="G173" s="1283" t="s">
        <v>32</v>
      </c>
      <c r="H173" s="1283" t="s">
        <v>33</v>
      </c>
      <c r="I173" s="1283" t="s">
        <v>34</v>
      </c>
      <c r="J173" s="783" t="s">
        <v>4678</v>
      </c>
      <c r="K173" s="783" t="s">
        <v>4678</v>
      </c>
      <c r="L173" s="858">
        <v>35179.108659160702</v>
      </c>
      <c r="M173" s="653">
        <v>6141.3786591607059</v>
      </c>
      <c r="N173" s="1283">
        <v>2012.09</v>
      </c>
      <c r="O173" s="1283" t="s">
        <v>4872</v>
      </c>
      <c r="P173" s="793" t="s">
        <v>4873</v>
      </c>
      <c r="Q173" s="859">
        <v>13834231321</v>
      </c>
      <c r="R173" s="783" t="s">
        <v>4678</v>
      </c>
      <c r="S173" s="860" t="s">
        <v>4670</v>
      </c>
      <c r="T173" s="769"/>
      <c r="U173" s="861"/>
      <c r="V173" s="862"/>
      <c r="W173" s="862"/>
      <c r="X173" s="862"/>
      <c r="Y173" s="862"/>
      <c r="Z173" s="862"/>
      <c r="AA173" s="862"/>
      <c r="AB173" s="862"/>
    </row>
    <row r="174" spans="1:28" s="831" customFormat="1" ht="24" hidden="1" customHeight="1">
      <c r="A174" s="779"/>
      <c r="B174" s="769" t="s">
        <v>2648</v>
      </c>
      <c r="C174" s="1283" t="s">
        <v>4879</v>
      </c>
      <c r="D174" s="1283" t="s">
        <v>62</v>
      </c>
      <c r="E174" s="1283">
        <v>7.5</v>
      </c>
      <c r="F174" s="1283" t="s">
        <v>34</v>
      </c>
      <c r="G174" s="1283" t="s">
        <v>32</v>
      </c>
      <c r="H174" s="1283" t="s">
        <v>33</v>
      </c>
      <c r="I174" s="1283" t="s">
        <v>34</v>
      </c>
      <c r="J174" s="783" t="s">
        <v>4678</v>
      </c>
      <c r="K174" s="783" t="s">
        <v>4678</v>
      </c>
      <c r="L174" s="858">
        <v>24718.768</v>
      </c>
      <c r="M174" s="653">
        <v>21422.932266666667</v>
      </c>
      <c r="N174" s="1283">
        <v>2012.09</v>
      </c>
      <c r="O174" s="1283" t="s">
        <v>4676</v>
      </c>
      <c r="P174" s="793" t="s">
        <v>4677</v>
      </c>
      <c r="Q174" s="859">
        <v>13643450564</v>
      </c>
      <c r="R174" s="783" t="s">
        <v>4678</v>
      </c>
      <c r="S174" s="860" t="s">
        <v>4670</v>
      </c>
      <c r="T174" s="769"/>
      <c r="U174" s="861"/>
      <c r="V174" s="862"/>
      <c r="W174" s="862"/>
      <c r="X174" s="862"/>
      <c r="Y174" s="862"/>
      <c r="Z174" s="862"/>
      <c r="AA174" s="862"/>
      <c r="AB174" s="862"/>
    </row>
    <row r="175" spans="1:28" s="831" customFormat="1" ht="24" hidden="1" customHeight="1">
      <c r="A175" s="779"/>
      <c r="B175" s="769" t="s">
        <v>2648</v>
      </c>
      <c r="C175" s="1283" t="s">
        <v>4880</v>
      </c>
      <c r="D175" s="1283" t="s">
        <v>62</v>
      </c>
      <c r="E175" s="1283">
        <v>4</v>
      </c>
      <c r="F175" s="1283" t="s">
        <v>34</v>
      </c>
      <c r="G175" s="1283" t="s">
        <v>32</v>
      </c>
      <c r="H175" s="1283" t="s">
        <v>33</v>
      </c>
      <c r="I175" s="1283" t="s">
        <v>34</v>
      </c>
      <c r="J175" s="783" t="s">
        <v>4678</v>
      </c>
      <c r="K175" s="783" t="s">
        <v>4678</v>
      </c>
      <c r="L175" s="858">
        <v>25099.488000000001</v>
      </c>
      <c r="M175" s="653">
        <v>18824.616000000002</v>
      </c>
      <c r="N175" s="1283">
        <v>2012.09</v>
      </c>
      <c r="O175" s="1283" t="s">
        <v>4676</v>
      </c>
      <c r="P175" s="793" t="s">
        <v>4677</v>
      </c>
      <c r="Q175" s="859">
        <v>13643450564</v>
      </c>
      <c r="R175" s="783" t="s">
        <v>4678</v>
      </c>
      <c r="S175" s="860" t="s">
        <v>4670</v>
      </c>
      <c r="T175" s="769"/>
      <c r="U175" s="861"/>
      <c r="V175" s="862"/>
      <c r="W175" s="862"/>
      <c r="X175" s="862"/>
      <c r="Y175" s="862"/>
      <c r="Z175" s="862"/>
      <c r="AA175" s="862"/>
      <c r="AB175" s="862"/>
    </row>
    <row r="176" spans="1:28" s="831" customFormat="1" ht="24" hidden="1" customHeight="1">
      <c r="A176" s="779"/>
      <c r="B176" s="769" t="s">
        <v>4881</v>
      </c>
      <c r="C176" s="1283" t="s">
        <v>4645</v>
      </c>
      <c r="D176" s="1283" t="s">
        <v>2633</v>
      </c>
      <c r="E176" s="1283">
        <v>170</v>
      </c>
      <c r="F176" s="1283" t="s">
        <v>34</v>
      </c>
      <c r="G176" s="1283" t="s">
        <v>32</v>
      </c>
      <c r="H176" s="1283" t="s">
        <v>33</v>
      </c>
      <c r="I176" s="1283" t="s">
        <v>34</v>
      </c>
      <c r="J176" s="783" t="s">
        <v>34</v>
      </c>
      <c r="K176" s="783" t="s">
        <v>34</v>
      </c>
      <c r="L176" s="858">
        <v>1300.5</v>
      </c>
      <c r="M176" s="653">
        <v>1300.5</v>
      </c>
      <c r="N176" s="1283" t="s">
        <v>6945</v>
      </c>
      <c r="O176" s="1283" t="s">
        <v>4882</v>
      </c>
      <c r="P176" s="793" t="s">
        <v>4883</v>
      </c>
      <c r="Q176" s="859">
        <v>1375488066</v>
      </c>
      <c r="R176" s="783" t="s">
        <v>4884</v>
      </c>
      <c r="S176" s="860" t="s">
        <v>4670</v>
      </c>
      <c r="T176" s="769" t="s">
        <v>6946</v>
      </c>
      <c r="U176" s="861"/>
      <c r="V176" s="862"/>
      <c r="W176" s="862"/>
      <c r="X176" s="862"/>
      <c r="Y176" s="862"/>
      <c r="Z176" s="862"/>
      <c r="AA176" s="862"/>
      <c r="AB176" s="862"/>
    </row>
    <row r="177" spans="1:28" s="831" customFormat="1" ht="24" hidden="1" customHeight="1">
      <c r="A177" s="779"/>
      <c r="B177" s="769" t="s">
        <v>4881</v>
      </c>
      <c r="C177" s="1283" t="s">
        <v>4645</v>
      </c>
      <c r="D177" s="1283" t="s">
        <v>2084</v>
      </c>
      <c r="E177" s="1283">
        <v>18.82</v>
      </c>
      <c r="F177" s="1283">
        <v>18.82</v>
      </c>
      <c r="G177" s="1283" t="s">
        <v>32</v>
      </c>
      <c r="H177" s="1283" t="s">
        <v>33</v>
      </c>
      <c r="I177" s="1283" t="s">
        <v>34</v>
      </c>
      <c r="J177" s="783" t="s">
        <v>34</v>
      </c>
      <c r="K177" s="783" t="s">
        <v>34</v>
      </c>
      <c r="L177" s="858">
        <v>20665.454999919599</v>
      </c>
      <c r="M177" s="653">
        <v>20665.454999919599</v>
      </c>
      <c r="N177" s="1283" t="s">
        <v>6947</v>
      </c>
      <c r="O177" s="1283" t="s">
        <v>4882</v>
      </c>
      <c r="P177" s="793" t="s">
        <v>4883</v>
      </c>
      <c r="Q177" s="859">
        <v>1375488066</v>
      </c>
      <c r="R177" s="783" t="s">
        <v>4884</v>
      </c>
      <c r="S177" s="860" t="s">
        <v>4670</v>
      </c>
      <c r="T177" s="769" t="s">
        <v>6946</v>
      </c>
      <c r="U177" s="861"/>
      <c r="V177" s="862"/>
      <c r="W177" s="862"/>
      <c r="X177" s="862"/>
      <c r="Y177" s="862"/>
      <c r="Z177" s="862"/>
      <c r="AA177" s="862"/>
      <c r="AB177" s="862"/>
    </row>
    <row r="178" spans="1:28" s="831" customFormat="1" ht="24" hidden="1" customHeight="1">
      <c r="A178" s="779"/>
      <c r="B178" s="769" t="s">
        <v>4881</v>
      </c>
      <c r="C178" s="1283" t="s">
        <v>4885</v>
      </c>
      <c r="D178" s="1283" t="s">
        <v>2084</v>
      </c>
      <c r="E178" s="1283">
        <v>7.52</v>
      </c>
      <c r="F178" s="1283">
        <v>7.52</v>
      </c>
      <c r="G178" s="1283" t="s">
        <v>32</v>
      </c>
      <c r="H178" s="1283" t="s">
        <v>33</v>
      </c>
      <c r="I178" s="1283" t="s">
        <v>34</v>
      </c>
      <c r="J178" s="783" t="s">
        <v>34</v>
      </c>
      <c r="K178" s="783" t="s">
        <v>34</v>
      </c>
      <c r="L178" s="858">
        <v>231</v>
      </c>
      <c r="M178" s="653">
        <v>231</v>
      </c>
      <c r="N178" s="1283" t="s">
        <v>6947</v>
      </c>
      <c r="O178" s="1283" t="s">
        <v>4882</v>
      </c>
      <c r="P178" s="793" t="s">
        <v>4883</v>
      </c>
      <c r="Q178" s="859">
        <v>1375488066</v>
      </c>
      <c r="R178" s="783" t="s">
        <v>4884</v>
      </c>
      <c r="S178" s="860" t="s">
        <v>4670</v>
      </c>
      <c r="T178" s="769" t="s">
        <v>6946</v>
      </c>
      <c r="U178" s="861"/>
      <c r="V178" s="862"/>
      <c r="W178" s="862"/>
      <c r="X178" s="862"/>
      <c r="Y178" s="862"/>
      <c r="Z178" s="862"/>
      <c r="AA178" s="862"/>
      <c r="AB178" s="862"/>
    </row>
    <row r="179" spans="1:28" s="831" customFormat="1" ht="24" hidden="1" customHeight="1">
      <c r="A179" s="779"/>
      <c r="B179" s="769" t="s">
        <v>4886</v>
      </c>
      <c r="C179" s="1283" t="s">
        <v>4887</v>
      </c>
      <c r="D179" s="1283" t="s">
        <v>131</v>
      </c>
      <c r="E179" s="1283">
        <v>200</v>
      </c>
      <c r="F179" s="1283" t="s">
        <v>34</v>
      </c>
      <c r="G179" s="1283" t="s">
        <v>32</v>
      </c>
      <c r="H179" s="1283" t="s">
        <v>33</v>
      </c>
      <c r="I179" s="1283" t="s">
        <v>34</v>
      </c>
      <c r="J179" s="783" t="s">
        <v>34</v>
      </c>
      <c r="K179" s="783" t="s">
        <v>34</v>
      </c>
      <c r="L179" s="858">
        <v>140.4</v>
      </c>
      <c r="M179" s="653">
        <v>140.4</v>
      </c>
      <c r="N179" s="1283" t="s">
        <v>6947</v>
      </c>
      <c r="O179" s="1283" t="s">
        <v>4882</v>
      </c>
      <c r="P179" s="793" t="s">
        <v>4883</v>
      </c>
      <c r="Q179" s="859">
        <v>1375488066</v>
      </c>
      <c r="R179" s="783" t="s">
        <v>4884</v>
      </c>
      <c r="S179" s="860" t="s">
        <v>4670</v>
      </c>
      <c r="T179" s="769" t="s">
        <v>6946</v>
      </c>
      <c r="U179" s="861"/>
      <c r="V179" s="862"/>
      <c r="W179" s="862"/>
      <c r="X179" s="862"/>
      <c r="Y179" s="862"/>
      <c r="Z179" s="862"/>
      <c r="AA179" s="862"/>
      <c r="AB179" s="862"/>
    </row>
    <row r="180" spans="1:28" s="831" customFormat="1" ht="24" hidden="1" customHeight="1">
      <c r="A180" s="779"/>
      <c r="B180" s="769" t="s">
        <v>4886</v>
      </c>
      <c r="C180" s="1283" t="s">
        <v>4887</v>
      </c>
      <c r="D180" s="1283" t="s">
        <v>131</v>
      </c>
      <c r="E180" s="1283">
        <v>840</v>
      </c>
      <c r="F180" s="1283" t="s">
        <v>34</v>
      </c>
      <c r="G180" s="1283" t="s">
        <v>32</v>
      </c>
      <c r="H180" s="1283" t="s">
        <v>33</v>
      </c>
      <c r="I180" s="1283" t="s">
        <v>34</v>
      </c>
      <c r="J180" s="783" t="s">
        <v>34</v>
      </c>
      <c r="K180" s="783" t="s">
        <v>34</v>
      </c>
      <c r="L180" s="858">
        <v>1296.6987772872001</v>
      </c>
      <c r="M180" s="653">
        <v>1296.6987772872001</v>
      </c>
      <c r="N180" s="1283" t="s">
        <v>6947</v>
      </c>
      <c r="O180" s="1283" t="s">
        <v>4882</v>
      </c>
      <c r="P180" s="793" t="s">
        <v>4883</v>
      </c>
      <c r="Q180" s="859">
        <v>1375488066</v>
      </c>
      <c r="R180" s="783" t="s">
        <v>4884</v>
      </c>
      <c r="S180" s="860" t="s">
        <v>4670</v>
      </c>
      <c r="T180" s="769" t="s">
        <v>6946</v>
      </c>
      <c r="U180" s="861"/>
      <c r="V180" s="862"/>
      <c r="W180" s="862"/>
      <c r="X180" s="862"/>
      <c r="Y180" s="862"/>
      <c r="Z180" s="862"/>
      <c r="AA180" s="862"/>
      <c r="AB180" s="862"/>
    </row>
    <row r="181" spans="1:28" s="831" customFormat="1" ht="24" hidden="1" customHeight="1">
      <c r="A181" s="779"/>
      <c r="B181" s="769" t="s">
        <v>4886</v>
      </c>
      <c r="C181" s="1283" t="s">
        <v>4888</v>
      </c>
      <c r="D181" s="1283" t="s">
        <v>131</v>
      </c>
      <c r="E181" s="1283">
        <v>350</v>
      </c>
      <c r="F181" s="1283" t="s">
        <v>34</v>
      </c>
      <c r="G181" s="1283" t="s">
        <v>32</v>
      </c>
      <c r="H181" s="1283" t="s">
        <v>33</v>
      </c>
      <c r="I181" s="1283" t="s">
        <v>34</v>
      </c>
      <c r="J181" s="783" t="s">
        <v>34</v>
      </c>
      <c r="K181" s="783" t="s">
        <v>34</v>
      </c>
      <c r="L181" s="858">
        <v>236.25</v>
      </c>
      <c r="M181" s="653">
        <v>236.25</v>
      </c>
      <c r="N181" s="1283" t="s">
        <v>6947</v>
      </c>
      <c r="O181" s="1283" t="s">
        <v>4882</v>
      </c>
      <c r="P181" s="793" t="s">
        <v>4883</v>
      </c>
      <c r="Q181" s="859">
        <v>1375488066</v>
      </c>
      <c r="R181" s="783" t="s">
        <v>4884</v>
      </c>
      <c r="S181" s="860" t="s">
        <v>4670</v>
      </c>
      <c r="T181" s="769" t="s">
        <v>6946</v>
      </c>
      <c r="U181" s="861"/>
      <c r="V181" s="862"/>
      <c r="W181" s="862"/>
      <c r="X181" s="862"/>
      <c r="Y181" s="862"/>
      <c r="Z181" s="862"/>
      <c r="AA181" s="862"/>
      <c r="AB181" s="862"/>
    </row>
    <row r="182" spans="1:28" s="831" customFormat="1" ht="24" hidden="1" customHeight="1">
      <c r="A182" s="779"/>
      <c r="B182" s="769" t="s">
        <v>4886</v>
      </c>
      <c r="C182" s="1283" t="s">
        <v>4888</v>
      </c>
      <c r="D182" s="1283" t="s">
        <v>131</v>
      </c>
      <c r="E182" s="1283">
        <v>4810</v>
      </c>
      <c r="F182" s="1283" t="s">
        <v>34</v>
      </c>
      <c r="G182" s="1283" t="s">
        <v>32</v>
      </c>
      <c r="H182" s="1283" t="s">
        <v>33</v>
      </c>
      <c r="I182" s="1283" t="s">
        <v>34</v>
      </c>
      <c r="J182" s="783" t="s">
        <v>34</v>
      </c>
      <c r="K182" s="783" t="s">
        <v>34</v>
      </c>
      <c r="L182" s="858">
        <v>7004.8530000461997</v>
      </c>
      <c r="M182" s="653">
        <v>7004.8530000461997</v>
      </c>
      <c r="N182" s="1283" t="s">
        <v>6947</v>
      </c>
      <c r="O182" s="1283" t="s">
        <v>4882</v>
      </c>
      <c r="P182" s="793" t="s">
        <v>4883</v>
      </c>
      <c r="Q182" s="859">
        <v>1375488066</v>
      </c>
      <c r="R182" s="783" t="s">
        <v>4884</v>
      </c>
      <c r="S182" s="860" t="s">
        <v>4670</v>
      </c>
      <c r="T182" s="769" t="s">
        <v>6946</v>
      </c>
      <c r="U182" s="861"/>
      <c r="V182" s="862"/>
      <c r="W182" s="862"/>
      <c r="X182" s="862"/>
      <c r="Y182" s="862"/>
      <c r="Z182" s="862"/>
      <c r="AA182" s="862"/>
      <c r="AB182" s="862"/>
    </row>
    <row r="183" spans="1:28" s="831" customFormat="1" ht="24" hidden="1" customHeight="1">
      <c r="A183" s="779"/>
      <c r="B183" s="769" t="s">
        <v>4886</v>
      </c>
      <c r="C183" s="1283" t="s">
        <v>4889</v>
      </c>
      <c r="D183" s="1283" t="s">
        <v>131</v>
      </c>
      <c r="E183" s="1283">
        <v>40</v>
      </c>
      <c r="F183" s="1283" t="s">
        <v>34</v>
      </c>
      <c r="G183" s="1283" t="s">
        <v>32</v>
      </c>
      <c r="H183" s="1283" t="s">
        <v>33</v>
      </c>
      <c r="I183" s="1283" t="s">
        <v>34</v>
      </c>
      <c r="J183" s="783" t="s">
        <v>34</v>
      </c>
      <c r="K183" s="783" t="s">
        <v>34</v>
      </c>
      <c r="L183" s="858">
        <v>28.08</v>
      </c>
      <c r="M183" s="653">
        <v>28.08</v>
      </c>
      <c r="N183" s="1283" t="s">
        <v>6947</v>
      </c>
      <c r="O183" s="1283" t="s">
        <v>4882</v>
      </c>
      <c r="P183" s="793" t="s">
        <v>4883</v>
      </c>
      <c r="Q183" s="859">
        <v>1375488066</v>
      </c>
      <c r="R183" s="783" t="s">
        <v>4884</v>
      </c>
      <c r="S183" s="860" t="s">
        <v>4670</v>
      </c>
      <c r="T183" s="769" t="s">
        <v>6946</v>
      </c>
      <c r="U183" s="861"/>
      <c r="V183" s="862"/>
      <c r="W183" s="862"/>
      <c r="X183" s="862"/>
      <c r="Y183" s="862"/>
      <c r="Z183" s="862"/>
      <c r="AA183" s="862"/>
      <c r="AB183" s="862"/>
    </row>
    <row r="184" spans="1:28" s="831" customFormat="1" ht="24" hidden="1" customHeight="1">
      <c r="A184" s="779"/>
      <c r="B184" s="769" t="s">
        <v>4886</v>
      </c>
      <c r="C184" s="1283" t="s">
        <v>4889</v>
      </c>
      <c r="D184" s="1283" t="s">
        <v>131</v>
      </c>
      <c r="E184" s="1283">
        <v>3206</v>
      </c>
      <c r="F184" s="1283" t="s">
        <v>34</v>
      </c>
      <c r="G184" s="1283" t="s">
        <v>32</v>
      </c>
      <c r="H184" s="1283" t="s">
        <v>33</v>
      </c>
      <c r="I184" s="1283" t="s">
        <v>34</v>
      </c>
      <c r="J184" s="783" t="s">
        <v>34</v>
      </c>
      <c r="K184" s="783" t="s">
        <v>34</v>
      </c>
      <c r="L184" s="858">
        <v>4949.06699997948</v>
      </c>
      <c r="M184" s="653">
        <v>4949.06699997948</v>
      </c>
      <c r="N184" s="1283" t="s">
        <v>6947</v>
      </c>
      <c r="O184" s="1283" t="s">
        <v>4882</v>
      </c>
      <c r="P184" s="793" t="s">
        <v>4883</v>
      </c>
      <c r="Q184" s="859">
        <v>1375488066</v>
      </c>
      <c r="R184" s="783" t="s">
        <v>4884</v>
      </c>
      <c r="S184" s="860" t="s">
        <v>4670</v>
      </c>
      <c r="T184" s="769" t="s">
        <v>6946</v>
      </c>
      <c r="U184" s="861"/>
      <c r="V184" s="862"/>
      <c r="W184" s="862"/>
      <c r="X184" s="862"/>
      <c r="Y184" s="862"/>
      <c r="Z184" s="862"/>
      <c r="AA184" s="862"/>
      <c r="AB184" s="862"/>
    </row>
    <row r="185" spans="1:28" s="831" customFormat="1" ht="24" hidden="1" customHeight="1">
      <c r="A185" s="779"/>
      <c r="B185" s="769" t="s">
        <v>4886</v>
      </c>
      <c r="C185" s="1283"/>
      <c r="D185" s="1283" t="s">
        <v>131</v>
      </c>
      <c r="E185" s="1283">
        <v>1860</v>
      </c>
      <c r="F185" s="1283" t="s">
        <v>34</v>
      </c>
      <c r="G185" s="1283" t="s">
        <v>32</v>
      </c>
      <c r="H185" s="1283" t="s">
        <v>33</v>
      </c>
      <c r="I185" s="1283" t="s">
        <v>34</v>
      </c>
      <c r="J185" s="783" t="s">
        <v>34</v>
      </c>
      <c r="K185" s="783" t="s">
        <v>34</v>
      </c>
      <c r="L185" s="858">
        <v>424.8</v>
      </c>
      <c r="M185" s="653">
        <v>424.8</v>
      </c>
      <c r="N185" s="1283" t="s">
        <v>6947</v>
      </c>
      <c r="O185" s="1283" t="s">
        <v>4882</v>
      </c>
      <c r="P185" s="793" t="s">
        <v>4883</v>
      </c>
      <c r="Q185" s="859">
        <v>1375488066</v>
      </c>
      <c r="R185" s="783" t="s">
        <v>4884</v>
      </c>
      <c r="S185" s="860" t="s">
        <v>4670</v>
      </c>
      <c r="T185" s="769" t="s">
        <v>6946</v>
      </c>
      <c r="U185" s="861"/>
      <c r="V185" s="862"/>
      <c r="W185" s="862"/>
      <c r="X185" s="862"/>
      <c r="Y185" s="862"/>
      <c r="Z185" s="862"/>
      <c r="AA185" s="862"/>
      <c r="AB185" s="862"/>
    </row>
    <row r="186" spans="1:28" s="831" customFormat="1" ht="24" hidden="1" customHeight="1">
      <c r="A186" s="779"/>
      <c r="B186" s="769" t="s">
        <v>4890</v>
      </c>
      <c r="C186" s="1283"/>
      <c r="D186" s="1283" t="s">
        <v>79</v>
      </c>
      <c r="E186" s="1283">
        <v>1000</v>
      </c>
      <c r="F186" s="1283" t="s">
        <v>34</v>
      </c>
      <c r="G186" s="1283" t="s">
        <v>32</v>
      </c>
      <c r="H186" s="1283" t="s">
        <v>33</v>
      </c>
      <c r="I186" s="1283" t="s">
        <v>34</v>
      </c>
      <c r="J186" s="783" t="s">
        <v>34</v>
      </c>
      <c r="K186" s="783" t="s">
        <v>34</v>
      </c>
      <c r="L186" s="858">
        <v>5145.6400000000003</v>
      </c>
      <c r="M186" s="653">
        <v>5145.6400000000003</v>
      </c>
      <c r="N186" s="1283" t="s">
        <v>6948</v>
      </c>
      <c r="O186" s="1283" t="s">
        <v>4882</v>
      </c>
      <c r="P186" s="793" t="s">
        <v>4883</v>
      </c>
      <c r="Q186" s="859">
        <v>1375488066</v>
      </c>
      <c r="R186" s="783" t="s">
        <v>4884</v>
      </c>
      <c r="S186" s="860" t="s">
        <v>4670</v>
      </c>
      <c r="T186" s="769"/>
      <c r="U186" s="861"/>
      <c r="V186" s="862"/>
      <c r="W186" s="862"/>
      <c r="X186" s="862"/>
      <c r="Y186" s="862"/>
      <c r="Z186" s="862"/>
      <c r="AA186" s="862"/>
      <c r="AB186" s="862"/>
    </row>
    <row r="187" spans="1:28" ht="24" hidden="1" customHeight="1">
      <c r="A187" s="769">
        <v>5</v>
      </c>
      <c r="B187" s="769" t="s">
        <v>1097</v>
      </c>
      <c r="C187" s="769"/>
      <c r="D187" s="769"/>
      <c r="E187" s="769"/>
      <c r="F187" s="769"/>
      <c r="G187" s="769"/>
      <c r="H187" s="769"/>
      <c r="I187" s="769"/>
      <c r="J187" s="769"/>
      <c r="K187" s="776"/>
      <c r="L187" s="857"/>
      <c r="M187" s="294"/>
      <c r="N187" s="360"/>
      <c r="O187" s="769"/>
      <c r="P187" s="793"/>
      <c r="Q187" s="770"/>
      <c r="R187" s="769"/>
      <c r="S187" s="778"/>
      <c r="T187" s="769"/>
      <c r="U187" s="798"/>
      <c r="V187" s="847"/>
      <c r="W187" s="847"/>
      <c r="X187" s="847"/>
      <c r="Y187" s="847"/>
      <c r="Z187" s="847"/>
      <c r="AA187" s="847"/>
      <c r="AB187" s="847"/>
    </row>
    <row r="188" spans="1:28" ht="24" hidden="1" customHeight="1">
      <c r="A188" s="769">
        <v>6</v>
      </c>
      <c r="B188" s="769" t="s">
        <v>1107</v>
      </c>
      <c r="C188" s="769"/>
      <c r="D188" s="769"/>
      <c r="E188" s="769"/>
      <c r="F188" s="769"/>
      <c r="G188" s="769"/>
      <c r="H188" s="769"/>
      <c r="I188" s="769"/>
      <c r="J188" s="769"/>
      <c r="K188" s="776"/>
      <c r="L188" s="857"/>
      <c r="M188" s="294"/>
      <c r="N188" s="360"/>
      <c r="O188" s="769"/>
      <c r="P188" s="793"/>
      <c r="Q188" s="770"/>
      <c r="R188" s="769"/>
      <c r="S188" s="778"/>
      <c r="T188" s="769"/>
      <c r="U188" s="798"/>
      <c r="V188" s="847"/>
      <c r="W188" s="847"/>
      <c r="X188" s="847"/>
      <c r="Y188" s="847"/>
      <c r="Z188" s="847"/>
      <c r="AA188" s="847"/>
      <c r="AB188" s="847"/>
    </row>
    <row r="189" spans="1:28" ht="24" hidden="1" customHeight="1">
      <c r="A189" s="822" t="s">
        <v>1108</v>
      </c>
      <c r="B189" s="769" t="s">
        <v>1109</v>
      </c>
      <c r="C189" s="769"/>
      <c r="D189" s="769"/>
      <c r="E189" s="769"/>
      <c r="F189" s="769"/>
      <c r="G189" s="769"/>
      <c r="H189" s="769"/>
      <c r="I189" s="769"/>
      <c r="J189" s="769"/>
      <c r="K189" s="776"/>
      <c r="L189" s="857"/>
      <c r="M189" s="294"/>
      <c r="N189" s="360"/>
      <c r="O189" s="769"/>
      <c r="P189" s="793"/>
      <c r="Q189" s="770"/>
      <c r="R189" s="769"/>
      <c r="S189" s="778"/>
      <c r="T189" s="769"/>
      <c r="U189" s="798"/>
      <c r="V189" s="847"/>
      <c r="W189" s="847"/>
      <c r="X189" s="847"/>
      <c r="Y189" s="847"/>
      <c r="Z189" s="847"/>
      <c r="AA189" s="847"/>
      <c r="AB189" s="847"/>
    </row>
    <row r="190" spans="1:28" ht="24" hidden="1" customHeight="1">
      <c r="A190" s="779">
        <v>1</v>
      </c>
      <c r="B190" s="769" t="s">
        <v>1110</v>
      </c>
      <c r="C190" s="769"/>
      <c r="D190" s="769"/>
      <c r="E190" s="769"/>
      <c r="F190" s="769"/>
      <c r="G190" s="769"/>
      <c r="H190" s="769"/>
      <c r="I190" s="769"/>
      <c r="J190" s="769"/>
      <c r="K190" s="776"/>
      <c r="L190" s="857"/>
      <c r="M190" s="294"/>
      <c r="N190" s="360"/>
      <c r="O190" s="769"/>
      <c r="P190" s="793"/>
      <c r="Q190" s="770"/>
      <c r="R190" s="769"/>
      <c r="S190" s="778"/>
      <c r="T190" s="769"/>
      <c r="U190" s="798"/>
      <c r="V190" s="847"/>
      <c r="W190" s="847"/>
      <c r="X190" s="847"/>
      <c r="Y190" s="847"/>
      <c r="Z190" s="847"/>
      <c r="AA190" s="847"/>
      <c r="AB190" s="847"/>
    </row>
    <row r="191" spans="1:28" ht="24" hidden="1" customHeight="1">
      <c r="A191" s="779">
        <v>2</v>
      </c>
      <c r="B191" s="769" t="s">
        <v>1146</v>
      </c>
      <c r="C191" s="769"/>
      <c r="D191" s="769"/>
      <c r="E191" s="769"/>
      <c r="F191" s="769"/>
      <c r="G191" s="769"/>
      <c r="H191" s="769"/>
      <c r="I191" s="769"/>
      <c r="J191" s="769"/>
      <c r="K191" s="776"/>
      <c r="L191" s="857"/>
      <c r="M191" s="294"/>
      <c r="N191" s="360"/>
      <c r="O191" s="769"/>
      <c r="P191" s="793"/>
      <c r="Q191" s="770"/>
      <c r="R191" s="769"/>
      <c r="S191" s="778"/>
      <c r="T191" s="769"/>
      <c r="U191" s="798"/>
      <c r="V191" s="847"/>
      <c r="W191" s="847"/>
      <c r="X191" s="847"/>
      <c r="Y191" s="847"/>
      <c r="Z191" s="847"/>
      <c r="AA191" s="847"/>
      <c r="AB191" s="847"/>
    </row>
    <row r="192" spans="1:28" ht="24" hidden="1" customHeight="1">
      <c r="A192" s="779">
        <v>3</v>
      </c>
      <c r="B192" s="769" t="s">
        <v>6949</v>
      </c>
      <c r="C192" s="769"/>
      <c r="D192" s="769"/>
      <c r="E192" s="769"/>
      <c r="F192" s="769"/>
      <c r="G192" s="769"/>
      <c r="H192" s="769"/>
      <c r="I192" s="769"/>
      <c r="J192" s="769"/>
      <c r="K192" s="776"/>
      <c r="L192" s="857"/>
      <c r="M192" s="294"/>
      <c r="N192" s="360"/>
      <c r="O192" s="769"/>
      <c r="P192" s="793"/>
      <c r="Q192" s="770"/>
      <c r="R192" s="769"/>
      <c r="S192" s="778"/>
      <c r="T192" s="769"/>
      <c r="U192" s="798"/>
      <c r="V192" s="847"/>
      <c r="W192" s="847"/>
      <c r="X192" s="847"/>
      <c r="Y192" s="847"/>
      <c r="Z192" s="847"/>
      <c r="AA192" s="847"/>
      <c r="AB192" s="847"/>
    </row>
    <row r="193" spans="1:28" s="831" customFormat="1" ht="24" customHeight="1">
      <c r="A193" s="779"/>
      <c r="B193" s="824" t="s">
        <v>4891</v>
      </c>
      <c r="C193" s="824" t="s">
        <v>4892</v>
      </c>
      <c r="D193" s="769" t="s">
        <v>131</v>
      </c>
      <c r="E193" s="825">
        <v>12</v>
      </c>
      <c r="F193" s="769" t="s">
        <v>34</v>
      </c>
      <c r="G193" s="769" t="s">
        <v>3560</v>
      </c>
      <c r="H193" s="826" t="s">
        <v>41</v>
      </c>
      <c r="I193" s="827" t="s">
        <v>34</v>
      </c>
      <c r="J193" s="828" t="s">
        <v>4678</v>
      </c>
      <c r="K193" s="828" t="s">
        <v>4678</v>
      </c>
      <c r="L193" s="858">
        <v>35600</v>
      </c>
      <c r="M193" s="294">
        <v>35600</v>
      </c>
      <c r="N193" s="1283">
        <v>2012.09</v>
      </c>
      <c r="O193" s="769" t="s">
        <v>4676</v>
      </c>
      <c r="P193" s="793" t="s">
        <v>4677</v>
      </c>
      <c r="Q193" s="770">
        <v>13643450564</v>
      </c>
      <c r="R193" s="828" t="s">
        <v>4678</v>
      </c>
      <c r="S193" s="830" t="s">
        <v>4670</v>
      </c>
      <c r="T193" s="769"/>
      <c r="U193" s="798"/>
      <c r="V193" s="862"/>
      <c r="W193" s="862"/>
      <c r="X193" s="862"/>
      <c r="Y193" s="862"/>
      <c r="Z193" s="862"/>
      <c r="AA193" s="862"/>
      <c r="AB193" s="862"/>
    </row>
    <row r="194" spans="1:28" s="831" customFormat="1" ht="24" customHeight="1">
      <c r="A194" s="779"/>
      <c r="B194" s="824" t="s">
        <v>4893</v>
      </c>
      <c r="C194" s="824" t="s">
        <v>4894</v>
      </c>
      <c r="D194" s="769" t="s">
        <v>131</v>
      </c>
      <c r="E194" s="825">
        <v>200</v>
      </c>
      <c r="F194" s="769" t="s">
        <v>34</v>
      </c>
      <c r="G194" s="769" t="s">
        <v>3560</v>
      </c>
      <c r="H194" s="826" t="s">
        <v>41</v>
      </c>
      <c r="I194" s="827" t="s">
        <v>34</v>
      </c>
      <c r="J194" s="828" t="s">
        <v>4678</v>
      </c>
      <c r="K194" s="828" t="s">
        <v>4678</v>
      </c>
      <c r="L194" s="858">
        <v>16000</v>
      </c>
      <c r="M194" s="294">
        <v>16000</v>
      </c>
      <c r="N194" s="1283">
        <v>2012.09</v>
      </c>
      <c r="O194" s="769" t="s">
        <v>4676</v>
      </c>
      <c r="P194" s="793" t="s">
        <v>4677</v>
      </c>
      <c r="Q194" s="770">
        <v>13643450564</v>
      </c>
      <c r="R194" s="828" t="s">
        <v>4678</v>
      </c>
      <c r="S194" s="830" t="s">
        <v>4670</v>
      </c>
      <c r="T194" s="769"/>
      <c r="U194" s="798"/>
      <c r="V194" s="862"/>
      <c r="W194" s="862"/>
      <c r="X194" s="862"/>
      <c r="Y194" s="862"/>
      <c r="Z194" s="862"/>
      <c r="AA194" s="862"/>
      <c r="AB194" s="862"/>
    </row>
    <row r="195" spans="1:28" s="831" customFormat="1" ht="24" customHeight="1">
      <c r="A195" s="779"/>
      <c r="B195" s="824" t="s">
        <v>4893</v>
      </c>
      <c r="C195" s="824" t="s">
        <v>4895</v>
      </c>
      <c r="D195" s="769" t="s">
        <v>131</v>
      </c>
      <c r="E195" s="825">
        <v>6</v>
      </c>
      <c r="F195" s="769" t="s">
        <v>34</v>
      </c>
      <c r="G195" s="769" t="s">
        <v>3560</v>
      </c>
      <c r="H195" s="826" t="s">
        <v>41</v>
      </c>
      <c r="I195" s="827" t="s">
        <v>34</v>
      </c>
      <c r="J195" s="828" t="s">
        <v>4678</v>
      </c>
      <c r="K195" s="828" t="s">
        <v>4678</v>
      </c>
      <c r="L195" s="858">
        <v>15600</v>
      </c>
      <c r="M195" s="294">
        <v>15600</v>
      </c>
      <c r="N195" s="1283">
        <v>2012.09</v>
      </c>
      <c r="O195" s="769" t="s">
        <v>4676</v>
      </c>
      <c r="P195" s="793" t="s">
        <v>4677</v>
      </c>
      <c r="Q195" s="770">
        <v>13643450564</v>
      </c>
      <c r="R195" s="828" t="s">
        <v>4678</v>
      </c>
      <c r="S195" s="830" t="s">
        <v>4670</v>
      </c>
      <c r="T195" s="769"/>
      <c r="U195" s="798"/>
      <c r="V195" s="862"/>
      <c r="W195" s="862"/>
      <c r="X195" s="862"/>
      <c r="Y195" s="862"/>
      <c r="Z195" s="862"/>
      <c r="AA195" s="862"/>
      <c r="AB195" s="862"/>
    </row>
    <row r="196" spans="1:28" s="831" customFormat="1" ht="24" customHeight="1">
      <c r="A196" s="779"/>
      <c r="B196" s="824" t="s">
        <v>4896</v>
      </c>
      <c r="C196" s="824" t="s">
        <v>34</v>
      </c>
      <c r="D196" s="769" t="s">
        <v>1477</v>
      </c>
      <c r="E196" s="825">
        <v>10</v>
      </c>
      <c r="F196" s="769" t="s">
        <v>34</v>
      </c>
      <c r="G196" s="769" t="s">
        <v>3560</v>
      </c>
      <c r="H196" s="826" t="s">
        <v>41</v>
      </c>
      <c r="I196" s="827" t="s">
        <v>6880</v>
      </c>
      <c r="J196" s="828" t="s">
        <v>4678</v>
      </c>
      <c r="K196" s="828" t="s">
        <v>4678</v>
      </c>
      <c r="L196" s="858">
        <v>30400</v>
      </c>
      <c r="M196" s="294">
        <v>30400</v>
      </c>
      <c r="N196" s="1283">
        <v>2012.09</v>
      </c>
      <c r="O196" s="769" t="s">
        <v>4676</v>
      </c>
      <c r="P196" s="793" t="s">
        <v>4677</v>
      </c>
      <c r="Q196" s="770">
        <v>13643450564</v>
      </c>
      <c r="R196" s="828" t="s">
        <v>4678</v>
      </c>
      <c r="S196" s="830" t="s">
        <v>4670</v>
      </c>
      <c r="T196" s="769"/>
      <c r="U196" s="798"/>
      <c r="V196" s="862"/>
      <c r="W196" s="862"/>
      <c r="X196" s="862"/>
      <c r="Y196" s="862"/>
      <c r="Z196" s="862"/>
      <c r="AA196" s="862"/>
      <c r="AB196" s="862"/>
    </row>
    <row r="197" spans="1:28" ht="24" hidden="1" customHeight="1">
      <c r="A197" s="822" t="s">
        <v>1151</v>
      </c>
      <c r="B197" s="769" t="s">
        <v>1152</v>
      </c>
      <c r="C197" s="769"/>
      <c r="D197" s="769"/>
      <c r="E197" s="769"/>
      <c r="F197" s="769"/>
      <c r="G197" s="769"/>
      <c r="H197" s="769"/>
      <c r="I197" s="769"/>
      <c r="J197" s="769"/>
      <c r="K197" s="776"/>
      <c r="L197" s="857"/>
      <c r="M197" s="294"/>
      <c r="N197" s="360"/>
      <c r="O197" s="769"/>
      <c r="P197" s="793"/>
      <c r="Q197" s="770"/>
      <c r="R197" s="769"/>
      <c r="S197" s="778"/>
      <c r="T197" s="769"/>
      <c r="U197" s="798"/>
      <c r="V197" s="847"/>
      <c r="W197" s="847"/>
      <c r="X197" s="847"/>
      <c r="Y197" s="847"/>
      <c r="Z197" s="847"/>
      <c r="AA197" s="847"/>
      <c r="AB197" s="847"/>
    </row>
    <row r="198" spans="1:28" ht="24" hidden="1" customHeight="1">
      <c r="A198" s="779">
        <v>1</v>
      </c>
      <c r="B198" s="769" t="s">
        <v>1153</v>
      </c>
      <c r="C198" s="769"/>
      <c r="D198" s="769"/>
      <c r="E198" s="769"/>
      <c r="F198" s="769"/>
      <c r="G198" s="769"/>
      <c r="H198" s="769"/>
      <c r="I198" s="769"/>
      <c r="J198" s="769"/>
      <c r="K198" s="776"/>
      <c r="L198" s="857"/>
      <c r="M198" s="294"/>
      <c r="N198" s="360"/>
      <c r="O198" s="769"/>
      <c r="P198" s="793"/>
      <c r="Q198" s="770"/>
      <c r="R198" s="769"/>
      <c r="S198" s="778"/>
      <c r="T198" s="769"/>
      <c r="U198" s="798"/>
      <c r="V198" s="847"/>
      <c r="W198" s="847"/>
      <c r="X198" s="847"/>
      <c r="Y198" s="847"/>
      <c r="Z198" s="847"/>
      <c r="AA198" s="847"/>
      <c r="AB198" s="847"/>
    </row>
    <row r="199" spans="1:28" ht="24" hidden="1" customHeight="1">
      <c r="A199" s="779">
        <v>2</v>
      </c>
      <c r="B199" s="769" t="s">
        <v>1158</v>
      </c>
      <c r="C199" s="769"/>
      <c r="D199" s="769"/>
      <c r="E199" s="769"/>
      <c r="F199" s="769"/>
      <c r="G199" s="769"/>
      <c r="H199" s="769"/>
      <c r="I199" s="769"/>
      <c r="J199" s="769"/>
      <c r="K199" s="776"/>
      <c r="L199" s="857"/>
      <c r="M199" s="294"/>
      <c r="N199" s="360"/>
      <c r="O199" s="769"/>
      <c r="P199" s="793"/>
      <c r="Q199" s="770"/>
      <c r="R199" s="769"/>
      <c r="S199" s="778"/>
      <c r="T199" s="769"/>
      <c r="U199" s="798"/>
      <c r="V199" s="847"/>
      <c r="W199" s="847"/>
      <c r="X199" s="847"/>
      <c r="Y199" s="847"/>
      <c r="Z199" s="847"/>
      <c r="AA199" s="847"/>
      <c r="AB199" s="847"/>
    </row>
    <row r="200" spans="1:28" ht="24" hidden="1" customHeight="1">
      <c r="A200" s="822" t="s">
        <v>1159</v>
      </c>
      <c r="B200" s="769" t="s">
        <v>1160</v>
      </c>
      <c r="C200" s="769"/>
      <c r="D200" s="769"/>
      <c r="E200" s="769"/>
      <c r="F200" s="769"/>
      <c r="G200" s="769"/>
      <c r="H200" s="769"/>
      <c r="I200" s="769"/>
      <c r="J200" s="769"/>
      <c r="K200" s="776"/>
      <c r="L200" s="857"/>
      <c r="M200" s="294"/>
      <c r="N200" s="360"/>
      <c r="O200" s="769"/>
      <c r="P200" s="793"/>
      <c r="Q200" s="770"/>
      <c r="R200" s="769"/>
      <c r="S200" s="778"/>
      <c r="T200" s="769"/>
      <c r="U200" s="798"/>
      <c r="V200" s="847"/>
      <c r="W200" s="847"/>
      <c r="X200" s="847"/>
      <c r="Y200" s="847"/>
      <c r="Z200" s="847"/>
      <c r="AA200" s="847"/>
      <c r="AB200" s="847"/>
    </row>
    <row r="201" spans="1:28" ht="24" hidden="1" customHeight="1">
      <c r="A201" s="779">
        <v>1</v>
      </c>
      <c r="B201" s="769" t="s">
        <v>6950</v>
      </c>
      <c r="C201" s="769"/>
      <c r="D201" s="769"/>
      <c r="E201" s="769"/>
      <c r="F201" s="769"/>
      <c r="G201" s="769"/>
      <c r="H201" s="769"/>
      <c r="I201" s="769"/>
      <c r="J201" s="769"/>
      <c r="K201" s="776"/>
      <c r="L201" s="857"/>
      <c r="M201" s="294"/>
      <c r="N201" s="360"/>
      <c r="O201" s="769"/>
      <c r="P201" s="793"/>
      <c r="Q201" s="770"/>
      <c r="R201" s="769"/>
      <c r="S201" s="778"/>
      <c r="T201" s="769"/>
      <c r="U201" s="798"/>
      <c r="V201" s="847"/>
      <c r="W201" s="847"/>
      <c r="X201" s="847"/>
      <c r="Y201" s="847"/>
      <c r="Z201" s="847"/>
      <c r="AA201" s="847"/>
      <c r="AB201" s="847"/>
    </row>
    <row r="202" spans="1:28" ht="24" hidden="1" customHeight="1">
      <c r="A202" s="779">
        <v>2</v>
      </c>
      <c r="B202" s="769" t="s">
        <v>1162</v>
      </c>
      <c r="C202" s="769"/>
      <c r="D202" s="769"/>
      <c r="E202" s="769"/>
      <c r="F202" s="769"/>
      <c r="G202" s="769"/>
      <c r="H202" s="769"/>
      <c r="I202" s="769"/>
      <c r="J202" s="769"/>
      <c r="K202" s="776"/>
      <c r="L202" s="857"/>
      <c r="M202" s="294"/>
      <c r="N202" s="360"/>
      <c r="O202" s="769"/>
      <c r="P202" s="793"/>
      <c r="Q202" s="770"/>
      <c r="R202" s="769"/>
      <c r="S202" s="778"/>
      <c r="T202" s="769"/>
      <c r="U202" s="798"/>
      <c r="V202" s="847"/>
      <c r="W202" s="847"/>
      <c r="X202" s="847"/>
      <c r="Y202" s="847"/>
      <c r="Z202" s="847"/>
      <c r="AA202" s="847"/>
      <c r="AB202" s="847"/>
    </row>
    <row r="203" spans="1:28" ht="24" hidden="1" customHeight="1">
      <c r="A203" s="779"/>
      <c r="B203" s="360" t="s">
        <v>1162</v>
      </c>
      <c r="C203" s="360" t="s">
        <v>4897</v>
      </c>
      <c r="D203" s="360" t="s">
        <v>131</v>
      </c>
      <c r="E203" s="360">
        <v>3</v>
      </c>
      <c r="F203" s="360"/>
      <c r="G203" s="360" t="s">
        <v>32</v>
      </c>
      <c r="H203" s="360" t="s">
        <v>33</v>
      </c>
      <c r="I203" s="360" t="s">
        <v>4898</v>
      </c>
      <c r="J203" s="796" t="s">
        <v>4899</v>
      </c>
      <c r="K203" s="360" t="s">
        <v>4900</v>
      </c>
      <c r="L203" s="857">
        <v>6500</v>
      </c>
      <c r="M203" s="810">
        <v>3815.63</v>
      </c>
      <c r="N203" s="360">
        <v>2021.09</v>
      </c>
      <c r="O203" s="793" t="s">
        <v>6951</v>
      </c>
      <c r="P203" s="360" t="s">
        <v>6932</v>
      </c>
      <c r="Q203" s="360">
        <v>13008762258</v>
      </c>
      <c r="R203" s="863" t="s">
        <v>4901</v>
      </c>
      <c r="S203" s="360" t="s">
        <v>4670</v>
      </c>
      <c r="T203" s="769"/>
      <c r="U203" s="798"/>
      <c r="V203" s="847"/>
      <c r="W203" s="847"/>
      <c r="X203" s="847"/>
      <c r="Y203" s="847"/>
      <c r="Z203" s="847"/>
      <c r="AA203" s="847"/>
      <c r="AB203" s="847"/>
    </row>
    <row r="204" spans="1:28" ht="24" hidden="1" customHeight="1">
      <c r="A204" s="779"/>
      <c r="B204" s="360" t="s">
        <v>1162</v>
      </c>
      <c r="C204" s="360" t="s">
        <v>1245</v>
      </c>
      <c r="D204" s="360" t="s">
        <v>131</v>
      </c>
      <c r="E204" s="360">
        <v>2</v>
      </c>
      <c r="F204" s="360"/>
      <c r="G204" s="360" t="s">
        <v>32</v>
      </c>
      <c r="H204" s="360" t="s">
        <v>33</v>
      </c>
      <c r="I204" s="360" t="s">
        <v>4898</v>
      </c>
      <c r="J204" s="796" t="s">
        <v>4899</v>
      </c>
      <c r="K204" s="360" t="s">
        <v>4900</v>
      </c>
      <c r="L204" s="857">
        <v>3500</v>
      </c>
      <c r="M204" s="810">
        <v>2054.58</v>
      </c>
      <c r="N204" s="360">
        <v>2021.09</v>
      </c>
      <c r="O204" s="793" t="s">
        <v>4902</v>
      </c>
      <c r="P204" s="360" t="s">
        <v>6932</v>
      </c>
      <c r="Q204" s="360">
        <v>13008762258</v>
      </c>
      <c r="R204" s="863" t="s">
        <v>4901</v>
      </c>
      <c r="S204" s="360" t="s">
        <v>4670</v>
      </c>
      <c r="T204" s="769"/>
      <c r="U204" s="798"/>
      <c r="V204" s="847"/>
      <c r="W204" s="847"/>
      <c r="X204" s="847"/>
      <c r="Y204" s="847"/>
      <c r="Z204" s="847"/>
      <c r="AA204" s="847"/>
      <c r="AB204" s="847"/>
    </row>
    <row r="205" spans="1:28" ht="24" hidden="1" customHeight="1">
      <c r="A205" s="779"/>
      <c r="B205" s="360" t="s">
        <v>1163</v>
      </c>
      <c r="C205" s="360" t="s">
        <v>4903</v>
      </c>
      <c r="D205" s="360" t="s">
        <v>131</v>
      </c>
      <c r="E205" s="360">
        <v>13</v>
      </c>
      <c r="F205" s="360"/>
      <c r="G205" s="360" t="s">
        <v>32</v>
      </c>
      <c r="H205" s="360" t="s">
        <v>33</v>
      </c>
      <c r="I205" s="360" t="s">
        <v>34</v>
      </c>
      <c r="J205" s="796" t="s">
        <v>34</v>
      </c>
      <c r="K205" s="360" t="s">
        <v>34</v>
      </c>
      <c r="L205" s="857">
        <v>292557.52</v>
      </c>
      <c r="M205" s="810">
        <v>273541.28120000003</v>
      </c>
      <c r="N205" s="360" t="s">
        <v>4904</v>
      </c>
      <c r="O205" s="793" t="s">
        <v>4882</v>
      </c>
      <c r="P205" s="360" t="s">
        <v>6952</v>
      </c>
      <c r="Q205" s="360">
        <v>1375488066</v>
      </c>
      <c r="R205" s="863" t="s">
        <v>4884</v>
      </c>
      <c r="S205" s="360" t="s">
        <v>4670</v>
      </c>
      <c r="T205" s="769" t="s">
        <v>4905</v>
      </c>
      <c r="U205" s="798"/>
      <c r="V205" s="847"/>
      <c r="W205" s="847"/>
      <c r="X205" s="847"/>
      <c r="Y205" s="847"/>
      <c r="Z205" s="847"/>
      <c r="AA205" s="847"/>
      <c r="AB205" s="847"/>
    </row>
    <row r="206" spans="1:28" ht="24" hidden="1" customHeight="1">
      <c r="A206" s="779"/>
      <c r="B206" s="360" t="s">
        <v>4906</v>
      </c>
      <c r="C206" s="360" t="s">
        <v>4907</v>
      </c>
      <c r="D206" s="360" t="s">
        <v>131</v>
      </c>
      <c r="E206" s="360">
        <v>1</v>
      </c>
      <c r="F206" s="360"/>
      <c r="G206" s="360" t="s">
        <v>32</v>
      </c>
      <c r="H206" s="360" t="s">
        <v>33</v>
      </c>
      <c r="I206" s="360" t="s">
        <v>34</v>
      </c>
      <c r="J206" s="796" t="s">
        <v>34</v>
      </c>
      <c r="K206" s="360" t="s">
        <v>34</v>
      </c>
      <c r="L206" s="857">
        <v>67513.27</v>
      </c>
      <c r="M206" s="810">
        <v>63124.907450000006</v>
      </c>
      <c r="N206" s="360" t="s">
        <v>4904</v>
      </c>
      <c r="O206" s="793" t="s">
        <v>4882</v>
      </c>
      <c r="P206" s="360" t="s">
        <v>6952</v>
      </c>
      <c r="Q206" s="360">
        <v>1375488066</v>
      </c>
      <c r="R206" s="863" t="s">
        <v>4884</v>
      </c>
      <c r="S206" s="360" t="s">
        <v>4670</v>
      </c>
      <c r="T206" s="769" t="s">
        <v>4908</v>
      </c>
      <c r="U206" s="798"/>
      <c r="V206" s="847"/>
      <c r="W206" s="847"/>
      <c r="X206" s="847"/>
      <c r="Y206" s="847"/>
      <c r="Z206" s="847"/>
      <c r="AA206" s="847"/>
      <c r="AB206" s="847"/>
    </row>
    <row r="207" spans="1:28" ht="24" hidden="1" customHeight="1">
      <c r="A207" s="779"/>
      <c r="B207" s="360" t="s">
        <v>4909</v>
      </c>
      <c r="C207" s="360" t="s">
        <v>4910</v>
      </c>
      <c r="D207" s="360" t="s">
        <v>131</v>
      </c>
      <c r="E207" s="360">
        <v>4</v>
      </c>
      <c r="F207" s="360"/>
      <c r="G207" s="360" t="s">
        <v>32</v>
      </c>
      <c r="H207" s="360" t="s">
        <v>33</v>
      </c>
      <c r="I207" s="360" t="s">
        <v>34</v>
      </c>
      <c r="J207" s="796" t="s">
        <v>34</v>
      </c>
      <c r="K207" s="360" t="s">
        <v>34</v>
      </c>
      <c r="L207" s="857">
        <v>76513.27</v>
      </c>
      <c r="M207" s="810">
        <v>71539.907449999999</v>
      </c>
      <c r="N207" s="360" t="s">
        <v>4904</v>
      </c>
      <c r="O207" s="793" t="s">
        <v>4882</v>
      </c>
      <c r="P207" s="360" t="s">
        <v>6952</v>
      </c>
      <c r="Q207" s="360">
        <v>1375488066</v>
      </c>
      <c r="R207" s="863" t="s">
        <v>4884</v>
      </c>
      <c r="S207" s="360" t="s">
        <v>4670</v>
      </c>
      <c r="T207" s="769" t="s">
        <v>4911</v>
      </c>
      <c r="U207" s="798"/>
      <c r="V207" s="847"/>
      <c r="W207" s="847"/>
      <c r="X207" s="847"/>
      <c r="Y207" s="847"/>
      <c r="Z207" s="847"/>
      <c r="AA207" s="847"/>
      <c r="AB207" s="847"/>
    </row>
    <row r="208" spans="1:28" ht="24" hidden="1" customHeight="1">
      <c r="A208" s="779"/>
      <c r="B208" s="360" t="s">
        <v>1163</v>
      </c>
      <c r="C208" s="360" t="s">
        <v>4903</v>
      </c>
      <c r="D208" s="360" t="s">
        <v>131</v>
      </c>
      <c r="E208" s="360">
        <v>9</v>
      </c>
      <c r="F208" s="360"/>
      <c r="G208" s="360" t="s">
        <v>32</v>
      </c>
      <c r="H208" s="360" t="s">
        <v>33</v>
      </c>
      <c r="I208" s="360" t="s">
        <v>34</v>
      </c>
      <c r="J208" s="796" t="s">
        <v>34</v>
      </c>
      <c r="K208" s="360" t="s">
        <v>34</v>
      </c>
      <c r="L208" s="857">
        <v>196964.6</v>
      </c>
      <c r="M208" s="810">
        <v>184161.90100000001</v>
      </c>
      <c r="N208" s="360" t="s">
        <v>4904</v>
      </c>
      <c r="O208" s="793" t="s">
        <v>4882</v>
      </c>
      <c r="P208" s="360" t="s">
        <v>6952</v>
      </c>
      <c r="Q208" s="360">
        <v>1375488066</v>
      </c>
      <c r="R208" s="863" t="s">
        <v>4884</v>
      </c>
      <c r="S208" s="360" t="s">
        <v>4670</v>
      </c>
      <c r="T208" s="769" t="s">
        <v>4912</v>
      </c>
      <c r="U208" s="798"/>
      <c r="V208" s="847"/>
      <c r="W208" s="847"/>
      <c r="X208" s="847"/>
      <c r="Y208" s="847"/>
      <c r="Z208" s="847"/>
      <c r="AA208" s="847"/>
      <c r="AB208" s="847"/>
    </row>
    <row r="209" spans="1:28" ht="24" hidden="1" customHeight="1">
      <c r="A209" s="779"/>
      <c r="B209" s="360" t="s">
        <v>4913</v>
      </c>
      <c r="C209" s="360" t="s">
        <v>4910</v>
      </c>
      <c r="D209" s="360" t="s">
        <v>131</v>
      </c>
      <c r="E209" s="360">
        <v>2</v>
      </c>
      <c r="F209" s="360"/>
      <c r="G209" s="360" t="s">
        <v>32</v>
      </c>
      <c r="H209" s="360" t="s">
        <v>33</v>
      </c>
      <c r="I209" s="360" t="s">
        <v>34</v>
      </c>
      <c r="J209" s="796" t="s">
        <v>34</v>
      </c>
      <c r="K209" s="360" t="s">
        <v>34</v>
      </c>
      <c r="L209" s="857">
        <v>43769.91</v>
      </c>
      <c r="M209" s="810">
        <v>40924.865850000002</v>
      </c>
      <c r="N209" s="360" t="s">
        <v>4904</v>
      </c>
      <c r="O209" s="793" t="s">
        <v>4882</v>
      </c>
      <c r="P209" s="360" t="s">
        <v>6952</v>
      </c>
      <c r="Q209" s="360">
        <v>1375488066</v>
      </c>
      <c r="R209" s="863" t="s">
        <v>4884</v>
      </c>
      <c r="S209" s="360" t="s">
        <v>4670</v>
      </c>
      <c r="T209" s="769"/>
      <c r="U209" s="798"/>
      <c r="V209" s="847"/>
      <c r="W209" s="847"/>
      <c r="X209" s="847"/>
      <c r="Y209" s="847"/>
      <c r="Z209" s="847"/>
      <c r="AA209" s="847"/>
      <c r="AB209" s="847"/>
    </row>
    <row r="210" spans="1:28" ht="24" hidden="1" customHeight="1">
      <c r="A210" s="779"/>
      <c r="B210" s="360" t="s">
        <v>4914</v>
      </c>
      <c r="C210" s="360" t="s">
        <v>4907</v>
      </c>
      <c r="D210" s="360" t="s">
        <v>131</v>
      </c>
      <c r="E210" s="360">
        <v>1</v>
      </c>
      <c r="F210" s="360"/>
      <c r="G210" s="360" t="s">
        <v>32</v>
      </c>
      <c r="H210" s="360" t="s">
        <v>33</v>
      </c>
      <c r="I210" s="360" t="s">
        <v>34</v>
      </c>
      <c r="J210" s="796" t="s">
        <v>34</v>
      </c>
      <c r="K210" s="360" t="s">
        <v>34</v>
      </c>
      <c r="L210" s="857">
        <v>66716.81</v>
      </c>
      <c r="M210" s="810">
        <v>62380.217349999999</v>
      </c>
      <c r="N210" s="360" t="s">
        <v>4904</v>
      </c>
      <c r="O210" s="793" t="s">
        <v>4882</v>
      </c>
      <c r="P210" s="360" t="s">
        <v>6952</v>
      </c>
      <c r="Q210" s="360">
        <v>1375488066</v>
      </c>
      <c r="R210" s="863" t="s">
        <v>4884</v>
      </c>
      <c r="S210" s="360" t="s">
        <v>4670</v>
      </c>
      <c r="T210" s="769" t="s">
        <v>4908</v>
      </c>
      <c r="U210" s="798"/>
      <c r="V210" s="847"/>
      <c r="W210" s="847"/>
      <c r="X210" s="847"/>
      <c r="Y210" s="847"/>
      <c r="Z210" s="847"/>
      <c r="AA210" s="847"/>
      <c r="AB210" s="847"/>
    </row>
    <row r="211" spans="1:28" ht="24" hidden="1" customHeight="1">
      <c r="A211" s="779"/>
      <c r="B211" s="360" t="s">
        <v>4915</v>
      </c>
      <c r="C211" s="360" t="s">
        <v>4916</v>
      </c>
      <c r="D211" s="360" t="s">
        <v>131</v>
      </c>
      <c r="E211" s="360">
        <v>1</v>
      </c>
      <c r="F211" s="360"/>
      <c r="G211" s="360" t="s">
        <v>32</v>
      </c>
      <c r="H211" s="360" t="s">
        <v>33</v>
      </c>
      <c r="I211" s="360" t="s">
        <v>34</v>
      </c>
      <c r="J211" s="796" t="s">
        <v>34</v>
      </c>
      <c r="K211" s="360" t="s">
        <v>34</v>
      </c>
      <c r="L211" s="857">
        <v>87539.82</v>
      </c>
      <c r="M211" s="810">
        <v>81849.731700000004</v>
      </c>
      <c r="N211" s="360" t="s">
        <v>4904</v>
      </c>
      <c r="O211" s="793" t="s">
        <v>4882</v>
      </c>
      <c r="P211" s="360" t="s">
        <v>6952</v>
      </c>
      <c r="Q211" s="360">
        <v>1375488066</v>
      </c>
      <c r="R211" s="863" t="s">
        <v>4884</v>
      </c>
      <c r="S211" s="360" t="s">
        <v>4670</v>
      </c>
      <c r="T211" s="769" t="s">
        <v>4908</v>
      </c>
      <c r="U211" s="798"/>
      <c r="V211" s="847"/>
      <c r="W211" s="847"/>
      <c r="X211" s="847"/>
      <c r="Y211" s="847"/>
      <c r="Z211" s="847"/>
      <c r="AA211" s="847"/>
      <c r="AB211" s="847"/>
    </row>
    <row r="212" spans="1:28" ht="24" hidden="1" customHeight="1">
      <c r="A212" s="779"/>
      <c r="B212" s="360" t="s">
        <v>4917</v>
      </c>
      <c r="C212" s="360" t="s">
        <v>4918</v>
      </c>
      <c r="D212" s="360" t="s">
        <v>131</v>
      </c>
      <c r="E212" s="360">
        <v>1</v>
      </c>
      <c r="F212" s="360"/>
      <c r="G212" s="360" t="s">
        <v>32</v>
      </c>
      <c r="H212" s="360" t="s">
        <v>33</v>
      </c>
      <c r="I212" s="360" t="s">
        <v>34</v>
      </c>
      <c r="J212" s="796" t="s">
        <v>34</v>
      </c>
      <c r="K212" s="360" t="s">
        <v>34</v>
      </c>
      <c r="L212" s="857">
        <v>60176.99</v>
      </c>
      <c r="M212" s="810">
        <v>56265.485649999995</v>
      </c>
      <c r="N212" s="360" t="s">
        <v>4904</v>
      </c>
      <c r="O212" s="793" t="s">
        <v>4882</v>
      </c>
      <c r="P212" s="360" t="s">
        <v>6952</v>
      </c>
      <c r="Q212" s="360">
        <v>1375488066</v>
      </c>
      <c r="R212" s="863" t="s">
        <v>4884</v>
      </c>
      <c r="S212" s="360" t="s">
        <v>4670</v>
      </c>
      <c r="T212" s="769" t="s">
        <v>4919</v>
      </c>
      <c r="U212" s="798"/>
      <c r="V212" s="847"/>
      <c r="W212" s="847"/>
      <c r="X212" s="847"/>
      <c r="Y212" s="847"/>
      <c r="Z212" s="847"/>
      <c r="AA212" s="847"/>
      <c r="AB212" s="847"/>
    </row>
    <row r="213" spans="1:28" ht="24" hidden="1" customHeight="1">
      <c r="A213" s="779"/>
      <c r="B213" s="360" t="s">
        <v>1205</v>
      </c>
      <c r="C213" s="360" t="s">
        <v>4903</v>
      </c>
      <c r="D213" s="360" t="s">
        <v>131</v>
      </c>
      <c r="E213" s="360">
        <v>1</v>
      </c>
      <c r="F213" s="360"/>
      <c r="G213" s="360" t="s">
        <v>32</v>
      </c>
      <c r="H213" s="360" t="s">
        <v>33</v>
      </c>
      <c r="I213" s="360" t="s">
        <v>34</v>
      </c>
      <c r="J213" s="796" t="s">
        <v>34</v>
      </c>
      <c r="K213" s="360" t="s">
        <v>34</v>
      </c>
      <c r="L213" s="857">
        <v>38433.629999999997</v>
      </c>
      <c r="M213" s="810">
        <v>35935.444049999998</v>
      </c>
      <c r="N213" s="360" t="s">
        <v>4904</v>
      </c>
      <c r="O213" s="793" t="s">
        <v>4882</v>
      </c>
      <c r="P213" s="360" t="s">
        <v>6952</v>
      </c>
      <c r="Q213" s="360">
        <v>1375488066</v>
      </c>
      <c r="R213" s="863" t="s">
        <v>4884</v>
      </c>
      <c r="S213" s="360" t="s">
        <v>4670</v>
      </c>
      <c r="T213" s="769" t="s">
        <v>4920</v>
      </c>
      <c r="U213" s="798"/>
      <c r="V213" s="847"/>
      <c r="W213" s="847"/>
      <c r="X213" s="847"/>
      <c r="Y213" s="847"/>
      <c r="Z213" s="847"/>
      <c r="AA213" s="847"/>
      <c r="AB213" s="847"/>
    </row>
    <row r="214" spans="1:28" ht="24" hidden="1" customHeight="1">
      <c r="A214" s="779"/>
      <c r="B214" s="360" t="s">
        <v>1202</v>
      </c>
      <c r="C214" s="360" t="s">
        <v>4903</v>
      </c>
      <c r="D214" s="360" t="s">
        <v>131</v>
      </c>
      <c r="E214" s="360">
        <v>1</v>
      </c>
      <c r="F214" s="360"/>
      <c r="G214" s="360" t="s">
        <v>32</v>
      </c>
      <c r="H214" s="360" t="s">
        <v>33</v>
      </c>
      <c r="I214" s="360" t="s">
        <v>34</v>
      </c>
      <c r="J214" s="796" t="s">
        <v>34</v>
      </c>
      <c r="K214" s="360" t="s">
        <v>34</v>
      </c>
      <c r="L214" s="857">
        <v>35955.75</v>
      </c>
      <c r="M214" s="810">
        <v>33618.626250000001</v>
      </c>
      <c r="N214" s="360" t="s">
        <v>4904</v>
      </c>
      <c r="O214" s="793" t="s">
        <v>4882</v>
      </c>
      <c r="P214" s="360" t="s">
        <v>6952</v>
      </c>
      <c r="Q214" s="360">
        <v>1375488066</v>
      </c>
      <c r="R214" s="863" t="s">
        <v>4884</v>
      </c>
      <c r="S214" s="360" t="s">
        <v>4670</v>
      </c>
      <c r="T214" s="769" t="s">
        <v>4921</v>
      </c>
      <c r="U214" s="798"/>
      <c r="V214" s="847"/>
      <c r="W214" s="847"/>
      <c r="X214" s="847"/>
      <c r="Y214" s="847"/>
      <c r="Z214" s="847"/>
      <c r="AA214" s="847"/>
      <c r="AB214" s="847"/>
    </row>
    <row r="215" spans="1:28" ht="24" hidden="1" customHeight="1">
      <c r="A215" s="779"/>
      <c r="B215" s="360" t="s">
        <v>1203</v>
      </c>
      <c r="C215" s="360" t="s">
        <v>4903</v>
      </c>
      <c r="D215" s="360" t="s">
        <v>131</v>
      </c>
      <c r="E215" s="360">
        <v>1</v>
      </c>
      <c r="F215" s="360"/>
      <c r="G215" s="360" t="s">
        <v>32</v>
      </c>
      <c r="H215" s="360" t="s">
        <v>33</v>
      </c>
      <c r="I215" s="360" t="s">
        <v>34</v>
      </c>
      <c r="J215" s="796" t="s">
        <v>34</v>
      </c>
      <c r="K215" s="360" t="s">
        <v>34</v>
      </c>
      <c r="L215" s="857">
        <v>35070.800000000003</v>
      </c>
      <c r="M215" s="810">
        <v>32791.198000000004</v>
      </c>
      <c r="N215" s="360" t="s">
        <v>4904</v>
      </c>
      <c r="O215" s="793" t="s">
        <v>4882</v>
      </c>
      <c r="P215" s="360" t="s">
        <v>6952</v>
      </c>
      <c r="Q215" s="360">
        <v>1375488066</v>
      </c>
      <c r="R215" s="863" t="s">
        <v>4884</v>
      </c>
      <c r="S215" s="360" t="s">
        <v>4670</v>
      </c>
      <c r="T215" s="769" t="s">
        <v>4922</v>
      </c>
      <c r="U215" s="798"/>
      <c r="V215" s="847"/>
      <c r="W215" s="847"/>
      <c r="X215" s="847"/>
      <c r="Y215" s="847"/>
      <c r="Z215" s="847"/>
      <c r="AA215" s="847"/>
      <c r="AB215" s="847"/>
    </row>
    <row r="216" spans="1:28" ht="24" hidden="1" customHeight="1">
      <c r="A216" s="779"/>
      <c r="B216" s="360" t="s">
        <v>1204</v>
      </c>
      <c r="C216" s="360" t="s">
        <v>4903</v>
      </c>
      <c r="D216" s="360" t="s">
        <v>131</v>
      </c>
      <c r="E216" s="360">
        <v>1</v>
      </c>
      <c r="F216" s="360"/>
      <c r="G216" s="360" t="s">
        <v>32</v>
      </c>
      <c r="H216" s="360" t="s">
        <v>33</v>
      </c>
      <c r="I216" s="360" t="s">
        <v>34</v>
      </c>
      <c r="J216" s="796" t="s">
        <v>34</v>
      </c>
      <c r="K216" s="360" t="s">
        <v>34</v>
      </c>
      <c r="L216" s="857">
        <v>37017.699999999997</v>
      </c>
      <c r="M216" s="810">
        <v>34611.549499999994</v>
      </c>
      <c r="N216" s="360" t="s">
        <v>4904</v>
      </c>
      <c r="O216" s="793" t="s">
        <v>4882</v>
      </c>
      <c r="P216" s="360" t="s">
        <v>6952</v>
      </c>
      <c r="Q216" s="360">
        <v>1375488066</v>
      </c>
      <c r="R216" s="863" t="s">
        <v>4884</v>
      </c>
      <c r="S216" s="360" t="s">
        <v>4670</v>
      </c>
      <c r="T216" s="769" t="s">
        <v>4923</v>
      </c>
      <c r="U216" s="798"/>
      <c r="V216" s="847"/>
      <c r="W216" s="847"/>
      <c r="X216" s="847"/>
      <c r="Y216" s="847"/>
      <c r="Z216" s="847"/>
      <c r="AA216" s="847"/>
      <c r="AB216" s="847"/>
    </row>
    <row r="217" spans="1:28" ht="24" hidden="1" customHeight="1">
      <c r="A217" s="779"/>
      <c r="B217" s="360" t="s">
        <v>4924</v>
      </c>
      <c r="C217" s="360" t="s">
        <v>4925</v>
      </c>
      <c r="D217" s="360" t="s">
        <v>131</v>
      </c>
      <c r="E217" s="360">
        <v>1</v>
      </c>
      <c r="F217" s="360"/>
      <c r="G217" s="360" t="s">
        <v>32</v>
      </c>
      <c r="H217" s="360" t="s">
        <v>33</v>
      </c>
      <c r="I217" s="360" t="s">
        <v>34</v>
      </c>
      <c r="J217" s="796" t="s">
        <v>34</v>
      </c>
      <c r="K217" s="360" t="s">
        <v>34</v>
      </c>
      <c r="L217" s="857">
        <v>72884.960000000006</v>
      </c>
      <c r="M217" s="810">
        <v>68147.437600000005</v>
      </c>
      <c r="N217" s="360" t="s">
        <v>4904</v>
      </c>
      <c r="O217" s="793" t="s">
        <v>4882</v>
      </c>
      <c r="P217" s="360" t="s">
        <v>6952</v>
      </c>
      <c r="Q217" s="360">
        <v>1375488066</v>
      </c>
      <c r="R217" s="863" t="s">
        <v>4884</v>
      </c>
      <c r="S217" s="360" t="s">
        <v>4670</v>
      </c>
      <c r="T217" s="769"/>
      <c r="U217" s="798"/>
      <c r="V217" s="847"/>
      <c r="W217" s="847"/>
      <c r="X217" s="847"/>
      <c r="Y217" s="847"/>
      <c r="Z217" s="847"/>
      <c r="AA217" s="847"/>
      <c r="AB217" s="847"/>
    </row>
    <row r="218" spans="1:28" ht="24" hidden="1" customHeight="1">
      <c r="A218" s="779"/>
      <c r="B218" s="360" t="s">
        <v>1163</v>
      </c>
      <c r="C218" s="360" t="s">
        <v>4903</v>
      </c>
      <c r="D218" s="360" t="s">
        <v>131</v>
      </c>
      <c r="E218" s="360">
        <v>2</v>
      </c>
      <c r="F218" s="360"/>
      <c r="G218" s="360" t="s">
        <v>32</v>
      </c>
      <c r="H218" s="360" t="s">
        <v>33</v>
      </c>
      <c r="I218" s="360" t="s">
        <v>34</v>
      </c>
      <c r="J218" s="796" t="s">
        <v>34</v>
      </c>
      <c r="K218" s="360" t="s">
        <v>34</v>
      </c>
      <c r="L218" s="857">
        <v>45008.85</v>
      </c>
      <c r="M218" s="810">
        <v>42083.274749999997</v>
      </c>
      <c r="N218" s="360" t="s">
        <v>4904</v>
      </c>
      <c r="O218" s="793" t="s">
        <v>4882</v>
      </c>
      <c r="P218" s="360" t="s">
        <v>6952</v>
      </c>
      <c r="Q218" s="360">
        <v>1375488066</v>
      </c>
      <c r="R218" s="863" t="s">
        <v>4884</v>
      </c>
      <c r="S218" s="360" t="s">
        <v>4670</v>
      </c>
      <c r="T218" s="769"/>
      <c r="U218" s="798"/>
      <c r="V218" s="847"/>
      <c r="W218" s="847"/>
      <c r="X218" s="847"/>
      <c r="Y218" s="847"/>
      <c r="Z218" s="847"/>
      <c r="AA218" s="847"/>
      <c r="AB218" s="847"/>
    </row>
    <row r="219" spans="1:28" ht="24" hidden="1" customHeight="1">
      <c r="A219" s="779"/>
      <c r="B219" s="360" t="s">
        <v>1163</v>
      </c>
      <c r="C219" s="360" t="s">
        <v>4926</v>
      </c>
      <c r="D219" s="360" t="s">
        <v>131</v>
      </c>
      <c r="E219" s="360">
        <v>2</v>
      </c>
      <c r="F219" s="360" t="s">
        <v>34</v>
      </c>
      <c r="G219" s="360" t="s">
        <v>32</v>
      </c>
      <c r="H219" s="360" t="s">
        <v>33</v>
      </c>
      <c r="I219" s="360" t="s">
        <v>34</v>
      </c>
      <c r="J219" s="796" t="s">
        <v>34</v>
      </c>
      <c r="K219" s="360" t="s">
        <v>34</v>
      </c>
      <c r="L219" s="857">
        <v>13362.07</v>
      </c>
      <c r="M219" s="810">
        <v>12493.535449999999</v>
      </c>
      <c r="N219" s="360" t="s">
        <v>6945</v>
      </c>
      <c r="O219" s="793" t="s">
        <v>4882</v>
      </c>
      <c r="P219" s="360" t="s">
        <v>6952</v>
      </c>
      <c r="Q219" s="360">
        <v>1375488066</v>
      </c>
      <c r="R219" s="863" t="s">
        <v>4927</v>
      </c>
      <c r="S219" s="360" t="s">
        <v>4670</v>
      </c>
      <c r="T219" s="769" t="s">
        <v>6953</v>
      </c>
      <c r="U219" s="798"/>
      <c r="V219" s="847"/>
      <c r="W219" s="847"/>
      <c r="X219" s="847"/>
      <c r="Y219" s="847"/>
      <c r="Z219" s="847"/>
      <c r="AA219" s="847"/>
      <c r="AB219" s="847"/>
    </row>
    <row r="220" spans="1:28" ht="24" hidden="1" customHeight="1">
      <c r="A220" s="779"/>
      <c r="B220" s="769" t="s">
        <v>6954</v>
      </c>
      <c r="C220" s="789" t="s">
        <v>1245</v>
      </c>
      <c r="D220" s="789" t="s">
        <v>888</v>
      </c>
      <c r="E220" s="789">
        <v>54</v>
      </c>
      <c r="F220" s="789" t="s">
        <v>34</v>
      </c>
      <c r="G220" s="789" t="s">
        <v>32</v>
      </c>
      <c r="H220" s="789" t="s">
        <v>33</v>
      </c>
      <c r="I220" s="789" t="s">
        <v>6888</v>
      </c>
      <c r="J220" s="789" t="s">
        <v>4770</v>
      </c>
      <c r="K220" s="789" t="s">
        <v>4928</v>
      </c>
      <c r="L220" s="857">
        <v>24569.068965480001</v>
      </c>
      <c r="M220" s="789">
        <v>6142.15</v>
      </c>
      <c r="N220" s="845">
        <v>2018.11</v>
      </c>
      <c r="O220" s="789" t="s">
        <v>4929</v>
      </c>
      <c r="P220" s="793" t="s">
        <v>6887</v>
      </c>
      <c r="Q220" s="846">
        <v>18636810791</v>
      </c>
      <c r="R220" s="789" t="s">
        <v>4930</v>
      </c>
      <c r="S220" s="797" t="s">
        <v>4670</v>
      </c>
      <c r="T220" s="769"/>
      <c r="U220" s="798"/>
      <c r="V220" s="847"/>
      <c r="W220" s="847"/>
      <c r="X220" s="847"/>
      <c r="Y220" s="847"/>
      <c r="Z220" s="847"/>
      <c r="AA220" s="847"/>
      <c r="AB220" s="847"/>
    </row>
    <row r="221" spans="1:28" s="866" customFormat="1" ht="24" hidden="1" customHeight="1">
      <c r="A221" s="1283"/>
      <c r="B221" s="1283" t="s">
        <v>6954</v>
      </c>
      <c r="C221" s="792" t="s">
        <v>6955</v>
      </c>
      <c r="D221" s="1283" t="s">
        <v>1165</v>
      </c>
      <c r="E221" s="1283">
        <v>13</v>
      </c>
      <c r="F221" s="796" t="s">
        <v>34</v>
      </c>
      <c r="G221" s="796" t="s">
        <v>32</v>
      </c>
      <c r="H221" s="796" t="s">
        <v>33</v>
      </c>
      <c r="I221" s="796" t="s">
        <v>6888</v>
      </c>
      <c r="J221" s="796" t="s">
        <v>4931</v>
      </c>
      <c r="K221" s="805" t="s">
        <v>4774</v>
      </c>
      <c r="L221" s="858">
        <v>201327.43</v>
      </c>
      <c r="M221" s="806">
        <v>100663.715</v>
      </c>
      <c r="N221" s="1283">
        <v>2021.02</v>
      </c>
      <c r="O221" s="793" t="s">
        <v>6956</v>
      </c>
      <c r="P221" s="793" t="s">
        <v>4932</v>
      </c>
      <c r="Q221" s="795">
        <v>18633903524</v>
      </c>
      <c r="R221" s="793" t="s">
        <v>4931</v>
      </c>
      <c r="S221" s="796" t="s">
        <v>4670</v>
      </c>
      <c r="T221" s="1283"/>
      <c r="U221" s="864"/>
      <c r="V221" s="862"/>
      <c r="W221" s="865"/>
      <c r="X221" s="865"/>
      <c r="Y221" s="865"/>
      <c r="Z221" s="865"/>
      <c r="AA221" s="865"/>
      <c r="AB221" s="865"/>
    </row>
    <row r="222" spans="1:28" s="1575" customFormat="1" ht="24" hidden="1" customHeight="1">
      <c r="A222" s="1283"/>
      <c r="B222" s="1283" t="s">
        <v>6954</v>
      </c>
      <c r="C222" s="792" t="s">
        <v>6957</v>
      </c>
      <c r="D222" s="1283" t="s">
        <v>1165</v>
      </c>
      <c r="E222" s="1283">
        <v>5</v>
      </c>
      <c r="F222" s="796" t="s">
        <v>34</v>
      </c>
      <c r="G222" s="796" t="s">
        <v>32</v>
      </c>
      <c r="H222" s="796" t="s">
        <v>33</v>
      </c>
      <c r="I222" s="796" t="s">
        <v>6888</v>
      </c>
      <c r="J222" s="796" t="s">
        <v>4931</v>
      </c>
      <c r="K222" s="805" t="s">
        <v>4774</v>
      </c>
      <c r="L222" s="858">
        <v>83628.320000000007</v>
      </c>
      <c r="M222" s="806">
        <v>41814.160000000003</v>
      </c>
      <c r="N222" s="1283">
        <v>2021.02</v>
      </c>
      <c r="O222" s="793" t="s">
        <v>4933</v>
      </c>
      <c r="P222" s="793" t="s">
        <v>4932</v>
      </c>
      <c r="Q222" s="795">
        <v>18633903524</v>
      </c>
      <c r="R222" s="793" t="s">
        <v>4931</v>
      </c>
      <c r="S222" s="796" t="s">
        <v>4670</v>
      </c>
      <c r="T222" s="1283"/>
      <c r="U222" s="864"/>
      <c r="V222" s="862"/>
      <c r="W222" s="1574"/>
      <c r="X222" s="1574"/>
      <c r="Y222" s="1574"/>
      <c r="Z222" s="1574"/>
      <c r="AA222" s="1574"/>
      <c r="AB222" s="1574"/>
    </row>
    <row r="223" spans="1:28" s="1575" customFormat="1" ht="24" hidden="1" customHeight="1">
      <c r="A223" s="1283"/>
      <c r="B223" s="1283" t="s">
        <v>6954</v>
      </c>
      <c r="C223" s="792" t="s">
        <v>6958</v>
      </c>
      <c r="D223" s="1283" t="s">
        <v>1165</v>
      </c>
      <c r="E223" s="1283">
        <v>1</v>
      </c>
      <c r="F223" s="796" t="s">
        <v>34</v>
      </c>
      <c r="G223" s="796" t="s">
        <v>32</v>
      </c>
      <c r="H223" s="796" t="s">
        <v>33</v>
      </c>
      <c r="I223" s="796" t="s">
        <v>6888</v>
      </c>
      <c r="J223" s="796" t="s">
        <v>4931</v>
      </c>
      <c r="K223" s="805" t="s">
        <v>4774</v>
      </c>
      <c r="L223" s="858">
        <v>30973.45</v>
      </c>
      <c r="M223" s="806">
        <v>15486.725</v>
      </c>
      <c r="N223" s="1283">
        <v>2021.02</v>
      </c>
      <c r="O223" s="793" t="s">
        <v>4933</v>
      </c>
      <c r="P223" s="793" t="s">
        <v>4932</v>
      </c>
      <c r="Q223" s="795">
        <v>18633903524</v>
      </c>
      <c r="R223" s="793" t="s">
        <v>4931</v>
      </c>
      <c r="S223" s="796" t="s">
        <v>4670</v>
      </c>
      <c r="T223" s="1283"/>
      <c r="U223" s="864"/>
      <c r="V223" s="862"/>
      <c r="W223" s="1574"/>
      <c r="X223" s="1574"/>
      <c r="Y223" s="1574"/>
      <c r="Z223" s="1574"/>
      <c r="AA223" s="1574"/>
      <c r="AB223" s="1574"/>
    </row>
    <row r="224" spans="1:28" s="1575" customFormat="1" ht="24" hidden="1" customHeight="1">
      <c r="A224" s="1283"/>
      <c r="B224" s="1283" t="s">
        <v>6954</v>
      </c>
      <c r="C224" s="792" t="s">
        <v>6959</v>
      </c>
      <c r="D224" s="1283" t="s">
        <v>1165</v>
      </c>
      <c r="E224" s="1283">
        <v>2</v>
      </c>
      <c r="F224" s="796" t="s">
        <v>34</v>
      </c>
      <c r="G224" s="796" t="s">
        <v>32</v>
      </c>
      <c r="H224" s="796" t="s">
        <v>33</v>
      </c>
      <c r="I224" s="796" t="s">
        <v>6888</v>
      </c>
      <c r="J224" s="796" t="s">
        <v>4931</v>
      </c>
      <c r="K224" s="805" t="s">
        <v>4774</v>
      </c>
      <c r="L224" s="858">
        <v>30442.48</v>
      </c>
      <c r="M224" s="806">
        <v>15221.24</v>
      </c>
      <c r="N224" s="1283">
        <v>2021.02</v>
      </c>
      <c r="O224" s="793" t="s">
        <v>4933</v>
      </c>
      <c r="P224" s="793" t="s">
        <v>4932</v>
      </c>
      <c r="Q224" s="795">
        <v>18633903524</v>
      </c>
      <c r="R224" s="793" t="s">
        <v>4931</v>
      </c>
      <c r="S224" s="796" t="s">
        <v>4670</v>
      </c>
      <c r="T224" s="1283"/>
      <c r="U224" s="864"/>
      <c r="V224" s="862"/>
      <c r="W224" s="1574"/>
      <c r="X224" s="1574"/>
      <c r="Y224" s="1574"/>
      <c r="Z224" s="1574"/>
      <c r="AA224" s="1574"/>
      <c r="AB224" s="1574"/>
    </row>
    <row r="225" spans="1:28" s="1575" customFormat="1" ht="24" hidden="1" customHeight="1">
      <c r="A225" s="1283"/>
      <c r="B225" s="1283" t="s">
        <v>6954</v>
      </c>
      <c r="C225" s="792" t="s">
        <v>6960</v>
      </c>
      <c r="D225" s="1283" t="s">
        <v>1165</v>
      </c>
      <c r="E225" s="1283">
        <v>1</v>
      </c>
      <c r="F225" s="796" t="s">
        <v>34</v>
      </c>
      <c r="G225" s="796" t="s">
        <v>32</v>
      </c>
      <c r="H225" s="796" t="s">
        <v>33</v>
      </c>
      <c r="I225" s="796" t="s">
        <v>6888</v>
      </c>
      <c r="J225" s="796" t="s">
        <v>4931</v>
      </c>
      <c r="K225" s="805" t="s">
        <v>4774</v>
      </c>
      <c r="L225" s="858">
        <v>57522.12</v>
      </c>
      <c r="M225" s="806">
        <v>28761.06</v>
      </c>
      <c r="N225" s="1283">
        <v>2021.02</v>
      </c>
      <c r="O225" s="793" t="s">
        <v>4933</v>
      </c>
      <c r="P225" s="793" t="s">
        <v>4932</v>
      </c>
      <c r="Q225" s="795">
        <v>18633903524</v>
      </c>
      <c r="R225" s="793" t="s">
        <v>4931</v>
      </c>
      <c r="S225" s="796" t="s">
        <v>4670</v>
      </c>
      <c r="T225" s="1283"/>
      <c r="U225" s="864"/>
      <c r="V225" s="862"/>
      <c r="W225" s="1574"/>
      <c r="X225" s="1574"/>
      <c r="Y225" s="1574"/>
      <c r="Z225" s="1574"/>
      <c r="AA225" s="1574"/>
      <c r="AB225" s="1574"/>
    </row>
    <row r="226" spans="1:28" s="1575" customFormat="1" ht="24" hidden="1" customHeight="1">
      <c r="A226" s="1283"/>
      <c r="B226" s="1283" t="s">
        <v>6954</v>
      </c>
      <c r="C226" s="792" t="s">
        <v>6961</v>
      </c>
      <c r="D226" s="1283" t="s">
        <v>1165</v>
      </c>
      <c r="E226" s="1283">
        <v>10</v>
      </c>
      <c r="F226" s="796" t="s">
        <v>34</v>
      </c>
      <c r="G226" s="796" t="s">
        <v>32</v>
      </c>
      <c r="H226" s="796" t="s">
        <v>33</v>
      </c>
      <c r="I226" s="796" t="s">
        <v>6888</v>
      </c>
      <c r="J226" s="796" t="s">
        <v>4931</v>
      </c>
      <c r="K226" s="805" t="s">
        <v>4774</v>
      </c>
      <c r="L226" s="858">
        <v>113274.34</v>
      </c>
      <c r="M226" s="806">
        <v>56637.17</v>
      </c>
      <c r="N226" s="1283">
        <v>2021.02</v>
      </c>
      <c r="O226" s="793" t="s">
        <v>4933</v>
      </c>
      <c r="P226" s="793" t="s">
        <v>4932</v>
      </c>
      <c r="Q226" s="795">
        <v>18633903524</v>
      </c>
      <c r="R226" s="793" t="s">
        <v>4931</v>
      </c>
      <c r="S226" s="796" t="s">
        <v>4670</v>
      </c>
      <c r="T226" s="1283"/>
      <c r="U226" s="864"/>
      <c r="V226" s="862"/>
      <c r="W226" s="1574"/>
      <c r="X226" s="1574"/>
      <c r="Y226" s="1574"/>
      <c r="Z226" s="1574"/>
      <c r="AA226" s="1574"/>
      <c r="AB226" s="1574"/>
    </row>
    <row r="227" spans="1:28" s="1575" customFormat="1" ht="24" hidden="1" customHeight="1">
      <c r="A227" s="1283"/>
      <c r="B227" s="1283" t="s">
        <v>6954</v>
      </c>
      <c r="C227" s="792" t="s">
        <v>4934</v>
      </c>
      <c r="D227" s="1283" t="s">
        <v>1165</v>
      </c>
      <c r="E227" s="1283">
        <v>4</v>
      </c>
      <c r="F227" s="796" t="s">
        <v>34</v>
      </c>
      <c r="G227" s="796" t="s">
        <v>32</v>
      </c>
      <c r="H227" s="796" t="s">
        <v>33</v>
      </c>
      <c r="I227" s="796" t="s">
        <v>6888</v>
      </c>
      <c r="J227" s="796" t="s">
        <v>4931</v>
      </c>
      <c r="K227" s="805" t="s">
        <v>4774</v>
      </c>
      <c r="L227" s="858">
        <v>38938.050000000003</v>
      </c>
      <c r="M227" s="806">
        <v>19469.025000000001</v>
      </c>
      <c r="N227" s="1283">
        <v>2021.02</v>
      </c>
      <c r="O227" s="793" t="s">
        <v>4933</v>
      </c>
      <c r="P227" s="793" t="s">
        <v>4932</v>
      </c>
      <c r="Q227" s="795">
        <v>18633903524</v>
      </c>
      <c r="R227" s="793" t="s">
        <v>4931</v>
      </c>
      <c r="S227" s="796" t="s">
        <v>4670</v>
      </c>
      <c r="T227" s="1283"/>
      <c r="U227" s="864"/>
      <c r="V227" s="862"/>
      <c r="W227" s="1574"/>
      <c r="X227" s="1574"/>
      <c r="Y227" s="1574"/>
      <c r="Z227" s="1574"/>
      <c r="AA227" s="1574"/>
      <c r="AB227" s="1574"/>
    </row>
    <row r="228" spans="1:28" s="1575" customFormat="1" ht="24" hidden="1" customHeight="1">
      <c r="A228" s="1283"/>
      <c r="B228" s="1283" t="s">
        <v>6954</v>
      </c>
      <c r="C228" s="792" t="s">
        <v>4935</v>
      </c>
      <c r="D228" s="1283" t="s">
        <v>1369</v>
      </c>
      <c r="E228" s="1283">
        <v>212.95</v>
      </c>
      <c r="F228" s="796" t="s">
        <v>34</v>
      </c>
      <c r="G228" s="796" t="s">
        <v>32</v>
      </c>
      <c r="H228" s="796" t="s">
        <v>33</v>
      </c>
      <c r="I228" s="796" t="s">
        <v>6888</v>
      </c>
      <c r="J228" s="796" t="s">
        <v>4931</v>
      </c>
      <c r="K228" s="805" t="s">
        <v>4774</v>
      </c>
      <c r="L228" s="858">
        <v>109301.77</v>
      </c>
      <c r="M228" s="806">
        <v>54650.885000000002</v>
      </c>
      <c r="N228" s="1283">
        <v>2021.02</v>
      </c>
      <c r="O228" s="793" t="s">
        <v>4933</v>
      </c>
      <c r="P228" s="793" t="s">
        <v>4932</v>
      </c>
      <c r="Q228" s="795">
        <v>18633903524</v>
      </c>
      <c r="R228" s="793" t="s">
        <v>4931</v>
      </c>
      <c r="S228" s="796" t="s">
        <v>4670</v>
      </c>
      <c r="T228" s="1283"/>
      <c r="U228" s="864"/>
      <c r="V228" s="862"/>
      <c r="W228" s="1574"/>
      <c r="X228" s="1574"/>
      <c r="Y228" s="1574"/>
      <c r="Z228" s="1574"/>
      <c r="AA228" s="1574"/>
      <c r="AB228" s="1574"/>
    </row>
    <row r="229" spans="1:28" s="1575" customFormat="1" ht="24" hidden="1" customHeight="1">
      <c r="A229" s="1283"/>
      <c r="B229" s="1283" t="s">
        <v>6954</v>
      </c>
      <c r="C229" s="792" t="s">
        <v>4936</v>
      </c>
      <c r="D229" s="1283" t="s">
        <v>79</v>
      </c>
      <c r="E229" s="1283">
        <v>1</v>
      </c>
      <c r="F229" s="796" t="s">
        <v>34</v>
      </c>
      <c r="G229" s="796" t="s">
        <v>32</v>
      </c>
      <c r="H229" s="796" t="s">
        <v>33</v>
      </c>
      <c r="I229" s="796" t="s">
        <v>6888</v>
      </c>
      <c r="J229" s="796" t="s">
        <v>4931</v>
      </c>
      <c r="K229" s="805" t="s">
        <v>4774</v>
      </c>
      <c r="L229" s="858">
        <v>16371.68</v>
      </c>
      <c r="M229" s="806">
        <v>8185.84</v>
      </c>
      <c r="N229" s="1283">
        <v>2021.02</v>
      </c>
      <c r="O229" s="793" t="s">
        <v>4933</v>
      </c>
      <c r="P229" s="793" t="s">
        <v>4932</v>
      </c>
      <c r="Q229" s="795">
        <v>18633903524</v>
      </c>
      <c r="R229" s="793" t="s">
        <v>4931</v>
      </c>
      <c r="S229" s="796" t="s">
        <v>4670</v>
      </c>
      <c r="T229" s="1283"/>
      <c r="U229" s="864"/>
      <c r="V229" s="862"/>
      <c r="W229" s="1574"/>
      <c r="X229" s="1574"/>
      <c r="Y229" s="1574"/>
      <c r="Z229" s="1574"/>
      <c r="AA229" s="1574"/>
      <c r="AB229" s="1574"/>
    </row>
    <row r="230" spans="1:28" s="1575" customFormat="1" ht="24" hidden="1" customHeight="1">
      <c r="A230" s="1283"/>
      <c r="B230" s="1283" t="s">
        <v>6954</v>
      </c>
      <c r="C230" s="792" t="s">
        <v>4937</v>
      </c>
      <c r="D230" s="1283" t="s">
        <v>79</v>
      </c>
      <c r="E230" s="1283">
        <v>1</v>
      </c>
      <c r="F230" s="796" t="s">
        <v>34</v>
      </c>
      <c r="G230" s="796" t="s">
        <v>32</v>
      </c>
      <c r="H230" s="796" t="s">
        <v>33</v>
      </c>
      <c r="I230" s="796" t="s">
        <v>6888</v>
      </c>
      <c r="J230" s="796" t="s">
        <v>4931</v>
      </c>
      <c r="K230" s="805" t="s">
        <v>4774</v>
      </c>
      <c r="L230" s="858">
        <v>5185.84</v>
      </c>
      <c r="M230" s="806">
        <v>2592.92</v>
      </c>
      <c r="N230" s="1283">
        <v>2021.02</v>
      </c>
      <c r="O230" s="793" t="s">
        <v>4933</v>
      </c>
      <c r="P230" s="793" t="s">
        <v>4932</v>
      </c>
      <c r="Q230" s="795">
        <v>18633903524</v>
      </c>
      <c r="R230" s="793" t="s">
        <v>4931</v>
      </c>
      <c r="S230" s="796" t="s">
        <v>4670</v>
      </c>
      <c r="T230" s="1283"/>
      <c r="U230" s="864"/>
      <c r="V230" s="862"/>
      <c r="W230" s="1574"/>
      <c r="X230" s="1574"/>
      <c r="Y230" s="1574"/>
      <c r="Z230" s="1574"/>
      <c r="AA230" s="1574"/>
      <c r="AB230" s="1574"/>
    </row>
    <row r="231" spans="1:28" s="1575" customFormat="1" ht="24" hidden="1" customHeight="1">
      <c r="A231" s="1283"/>
      <c r="B231" s="1283" t="s">
        <v>6954</v>
      </c>
      <c r="C231" s="792" t="s">
        <v>4938</v>
      </c>
      <c r="D231" s="1283" t="s">
        <v>1437</v>
      </c>
      <c r="E231" s="1283">
        <v>1</v>
      </c>
      <c r="F231" s="796" t="s">
        <v>34</v>
      </c>
      <c r="G231" s="796" t="s">
        <v>32</v>
      </c>
      <c r="H231" s="796" t="s">
        <v>33</v>
      </c>
      <c r="I231" s="796" t="s">
        <v>6888</v>
      </c>
      <c r="J231" s="796" t="s">
        <v>4931</v>
      </c>
      <c r="K231" s="805" t="s">
        <v>4774</v>
      </c>
      <c r="L231" s="858">
        <v>7964.6</v>
      </c>
      <c r="M231" s="806">
        <v>3982.3</v>
      </c>
      <c r="N231" s="1283">
        <v>2021.02</v>
      </c>
      <c r="O231" s="793" t="s">
        <v>4933</v>
      </c>
      <c r="P231" s="793" t="s">
        <v>4932</v>
      </c>
      <c r="Q231" s="795">
        <v>18633903524</v>
      </c>
      <c r="R231" s="793" t="s">
        <v>4931</v>
      </c>
      <c r="S231" s="796" t="s">
        <v>4670</v>
      </c>
      <c r="T231" s="1283"/>
      <c r="U231" s="864"/>
      <c r="V231" s="862"/>
      <c r="W231" s="1574"/>
      <c r="X231" s="1574"/>
      <c r="Y231" s="1574"/>
      <c r="Z231" s="1574"/>
      <c r="AA231" s="1574"/>
      <c r="AB231" s="1574"/>
    </row>
    <row r="232" spans="1:28" s="1575" customFormat="1" ht="24" hidden="1" customHeight="1">
      <c r="A232" s="1283"/>
      <c r="B232" s="1283" t="s">
        <v>6954</v>
      </c>
      <c r="C232" s="792" t="s">
        <v>1235</v>
      </c>
      <c r="D232" s="1283" t="s">
        <v>79</v>
      </c>
      <c r="E232" s="1283">
        <v>1</v>
      </c>
      <c r="F232" s="796" t="s">
        <v>34</v>
      </c>
      <c r="G232" s="796" t="s">
        <v>32</v>
      </c>
      <c r="H232" s="796" t="s">
        <v>33</v>
      </c>
      <c r="I232" s="796" t="s">
        <v>6888</v>
      </c>
      <c r="J232" s="796" t="s">
        <v>4931</v>
      </c>
      <c r="K232" s="805" t="s">
        <v>4774</v>
      </c>
      <c r="L232" s="858">
        <v>2212.39</v>
      </c>
      <c r="M232" s="806">
        <v>1106.1949999999999</v>
      </c>
      <c r="N232" s="1283">
        <v>2021.02</v>
      </c>
      <c r="O232" s="793" t="s">
        <v>4933</v>
      </c>
      <c r="P232" s="793" t="s">
        <v>4932</v>
      </c>
      <c r="Q232" s="795">
        <v>18633903524</v>
      </c>
      <c r="R232" s="793" t="s">
        <v>4931</v>
      </c>
      <c r="S232" s="796" t="s">
        <v>4670</v>
      </c>
      <c r="T232" s="1283"/>
      <c r="U232" s="864"/>
      <c r="V232" s="862"/>
      <c r="W232" s="1574"/>
      <c r="X232" s="1574"/>
      <c r="Y232" s="1574"/>
      <c r="Z232" s="1574"/>
      <c r="AA232" s="1574"/>
      <c r="AB232" s="1574"/>
    </row>
    <row r="233" spans="1:28" s="1575" customFormat="1" ht="24" hidden="1" customHeight="1">
      <c r="A233" s="1283"/>
      <c r="B233" s="1283" t="s">
        <v>6954</v>
      </c>
      <c r="C233" s="792" t="s">
        <v>4939</v>
      </c>
      <c r="D233" s="1283" t="s">
        <v>1437</v>
      </c>
      <c r="E233" s="1283">
        <v>1</v>
      </c>
      <c r="F233" s="796" t="s">
        <v>34</v>
      </c>
      <c r="G233" s="796" t="s">
        <v>32</v>
      </c>
      <c r="H233" s="796" t="s">
        <v>33</v>
      </c>
      <c r="I233" s="796" t="s">
        <v>6888</v>
      </c>
      <c r="J233" s="796" t="s">
        <v>4931</v>
      </c>
      <c r="K233" s="805" t="s">
        <v>4774</v>
      </c>
      <c r="L233" s="858">
        <v>7522.12</v>
      </c>
      <c r="M233" s="806">
        <v>3761.06</v>
      </c>
      <c r="N233" s="1283">
        <v>2021.02</v>
      </c>
      <c r="O233" s="793" t="s">
        <v>4933</v>
      </c>
      <c r="P233" s="793" t="s">
        <v>4932</v>
      </c>
      <c r="Q233" s="795">
        <v>18633903524</v>
      </c>
      <c r="R233" s="793" t="s">
        <v>4931</v>
      </c>
      <c r="S233" s="796" t="s">
        <v>4670</v>
      </c>
      <c r="T233" s="1283"/>
      <c r="U233" s="864"/>
      <c r="V233" s="862"/>
      <c r="W233" s="1574"/>
      <c r="X233" s="1574"/>
      <c r="Y233" s="1574"/>
      <c r="Z233" s="1574"/>
      <c r="AA233" s="1574"/>
      <c r="AB233" s="1574"/>
    </row>
    <row r="234" spans="1:28" s="1575" customFormat="1" ht="24" hidden="1" customHeight="1">
      <c r="A234" s="1283"/>
      <c r="B234" s="1283" t="s">
        <v>6954</v>
      </c>
      <c r="C234" s="792" t="s">
        <v>4940</v>
      </c>
      <c r="D234" s="1283" t="s">
        <v>79</v>
      </c>
      <c r="E234" s="1283">
        <v>38</v>
      </c>
      <c r="F234" s="796" t="s">
        <v>34</v>
      </c>
      <c r="G234" s="796" t="s">
        <v>32</v>
      </c>
      <c r="H234" s="796" t="s">
        <v>33</v>
      </c>
      <c r="I234" s="796" t="s">
        <v>6888</v>
      </c>
      <c r="J234" s="796" t="s">
        <v>4931</v>
      </c>
      <c r="K234" s="805" t="s">
        <v>4774</v>
      </c>
      <c r="L234" s="858">
        <v>6221.24</v>
      </c>
      <c r="M234" s="806">
        <v>3110.62</v>
      </c>
      <c r="N234" s="1283">
        <v>2021.02</v>
      </c>
      <c r="O234" s="793" t="s">
        <v>4933</v>
      </c>
      <c r="P234" s="793" t="s">
        <v>4932</v>
      </c>
      <c r="Q234" s="795">
        <v>18633903524</v>
      </c>
      <c r="R234" s="793" t="s">
        <v>4931</v>
      </c>
      <c r="S234" s="796" t="s">
        <v>4670</v>
      </c>
      <c r="T234" s="1283"/>
      <c r="U234" s="864"/>
      <c r="V234" s="862"/>
      <c r="W234" s="1574"/>
      <c r="X234" s="1574"/>
      <c r="Y234" s="1574"/>
      <c r="Z234" s="1574"/>
      <c r="AA234" s="1574"/>
      <c r="AB234" s="1574"/>
    </row>
    <row r="235" spans="1:28" s="1575" customFormat="1" ht="24" hidden="1" customHeight="1">
      <c r="A235" s="1283"/>
      <c r="B235" s="1283" t="s">
        <v>6954</v>
      </c>
      <c r="C235" s="792" t="s">
        <v>4941</v>
      </c>
      <c r="D235" s="1283" t="s">
        <v>131</v>
      </c>
      <c r="E235" s="1283">
        <v>1</v>
      </c>
      <c r="F235" s="796" t="s">
        <v>34</v>
      </c>
      <c r="G235" s="796" t="s">
        <v>32</v>
      </c>
      <c r="H235" s="796" t="s">
        <v>33</v>
      </c>
      <c r="I235" s="796" t="s">
        <v>6888</v>
      </c>
      <c r="J235" s="796" t="s">
        <v>4931</v>
      </c>
      <c r="K235" s="805" t="s">
        <v>4774</v>
      </c>
      <c r="L235" s="858">
        <v>8407.08</v>
      </c>
      <c r="M235" s="806">
        <v>4203.54</v>
      </c>
      <c r="N235" s="1283">
        <v>2021.02</v>
      </c>
      <c r="O235" s="793" t="s">
        <v>4933</v>
      </c>
      <c r="P235" s="793" t="s">
        <v>4932</v>
      </c>
      <c r="Q235" s="795">
        <v>18633903524</v>
      </c>
      <c r="R235" s="793" t="s">
        <v>4931</v>
      </c>
      <c r="S235" s="796" t="s">
        <v>4670</v>
      </c>
      <c r="T235" s="1283"/>
      <c r="U235" s="864"/>
      <c r="V235" s="862"/>
      <c r="W235" s="1574"/>
      <c r="X235" s="1574"/>
      <c r="Y235" s="1574"/>
      <c r="Z235" s="1574"/>
      <c r="AA235" s="1574"/>
      <c r="AB235" s="1574"/>
    </row>
    <row r="236" spans="1:28" s="1575" customFormat="1" ht="24" hidden="1" customHeight="1">
      <c r="A236" s="1283"/>
      <c r="B236" s="1283" t="s">
        <v>6954</v>
      </c>
      <c r="C236" s="792" t="s">
        <v>4942</v>
      </c>
      <c r="D236" s="1283" t="s">
        <v>79</v>
      </c>
      <c r="E236" s="1283">
        <v>1</v>
      </c>
      <c r="F236" s="796" t="s">
        <v>34</v>
      </c>
      <c r="G236" s="796" t="s">
        <v>32</v>
      </c>
      <c r="H236" s="796" t="s">
        <v>33</v>
      </c>
      <c r="I236" s="796" t="s">
        <v>6888</v>
      </c>
      <c r="J236" s="796" t="s">
        <v>4931</v>
      </c>
      <c r="K236" s="805" t="s">
        <v>4774</v>
      </c>
      <c r="L236" s="858">
        <v>973.45</v>
      </c>
      <c r="M236" s="806">
        <v>486.72500000000002</v>
      </c>
      <c r="N236" s="1283">
        <v>2021.02</v>
      </c>
      <c r="O236" s="793" t="s">
        <v>4933</v>
      </c>
      <c r="P236" s="793" t="s">
        <v>4932</v>
      </c>
      <c r="Q236" s="795">
        <v>18633903524</v>
      </c>
      <c r="R236" s="793" t="s">
        <v>4931</v>
      </c>
      <c r="S236" s="796" t="s">
        <v>4670</v>
      </c>
      <c r="T236" s="1283"/>
      <c r="U236" s="864"/>
      <c r="V236" s="862"/>
      <c r="W236" s="1574"/>
      <c r="X236" s="1574"/>
      <c r="Y236" s="1574"/>
      <c r="Z236" s="1574"/>
      <c r="AA236" s="1574"/>
      <c r="AB236" s="1574"/>
    </row>
    <row r="237" spans="1:28" s="1575" customFormat="1" ht="24" hidden="1" customHeight="1">
      <c r="A237" s="1283"/>
      <c r="B237" s="1283" t="s">
        <v>6954</v>
      </c>
      <c r="C237" s="792" t="s">
        <v>4943</v>
      </c>
      <c r="D237" s="1283" t="s">
        <v>1369</v>
      </c>
      <c r="E237" s="1283">
        <v>148.99</v>
      </c>
      <c r="F237" s="796" t="s">
        <v>34</v>
      </c>
      <c r="G237" s="796" t="s">
        <v>32</v>
      </c>
      <c r="H237" s="796" t="s">
        <v>33</v>
      </c>
      <c r="I237" s="796" t="s">
        <v>6888</v>
      </c>
      <c r="J237" s="796" t="s">
        <v>4931</v>
      </c>
      <c r="K237" s="805" t="s">
        <v>4774</v>
      </c>
      <c r="L237" s="858">
        <v>43510.35</v>
      </c>
      <c r="M237" s="806">
        <v>21755.174999999999</v>
      </c>
      <c r="N237" s="1283">
        <v>2021.02</v>
      </c>
      <c r="O237" s="793" t="s">
        <v>4933</v>
      </c>
      <c r="P237" s="793" t="s">
        <v>4932</v>
      </c>
      <c r="Q237" s="795">
        <v>18633903524</v>
      </c>
      <c r="R237" s="793" t="s">
        <v>4931</v>
      </c>
      <c r="S237" s="796" t="s">
        <v>4670</v>
      </c>
      <c r="T237" s="1283"/>
      <c r="U237" s="864"/>
      <c r="V237" s="862"/>
      <c r="W237" s="1574"/>
      <c r="X237" s="1574"/>
      <c r="Y237" s="1574"/>
      <c r="Z237" s="1574"/>
      <c r="AA237" s="1574"/>
      <c r="AB237" s="1574"/>
    </row>
    <row r="238" spans="1:28" s="1575" customFormat="1" ht="24" hidden="1" customHeight="1">
      <c r="A238" s="1283"/>
      <c r="B238" s="1283" t="s">
        <v>6954</v>
      </c>
      <c r="C238" s="792" t="s">
        <v>4944</v>
      </c>
      <c r="D238" s="1283" t="s">
        <v>1369</v>
      </c>
      <c r="E238" s="1283">
        <v>148.99</v>
      </c>
      <c r="F238" s="796" t="s">
        <v>34</v>
      </c>
      <c r="G238" s="796" t="s">
        <v>32</v>
      </c>
      <c r="H238" s="796" t="s">
        <v>33</v>
      </c>
      <c r="I238" s="796" t="s">
        <v>6888</v>
      </c>
      <c r="J238" s="796" t="s">
        <v>4931</v>
      </c>
      <c r="K238" s="805" t="s">
        <v>4774</v>
      </c>
      <c r="L238" s="858">
        <v>43510.35</v>
      </c>
      <c r="M238" s="806">
        <v>21755.174999999999</v>
      </c>
      <c r="N238" s="1283">
        <v>2021.02</v>
      </c>
      <c r="O238" s="793" t="s">
        <v>4933</v>
      </c>
      <c r="P238" s="793" t="s">
        <v>4932</v>
      </c>
      <c r="Q238" s="795">
        <v>18633903524</v>
      </c>
      <c r="R238" s="793" t="s">
        <v>4931</v>
      </c>
      <c r="S238" s="796" t="s">
        <v>4670</v>
      </c>
      <c r="T238" s="1283"/>
      <c r="U238" s="864"/>
      <c r="V238" s="862"/>
      <c r="W238" s="1574"/>
      <c r="X238" s="1574"/>
      <c r="Y238" s="1574"/>
      <c r="Z238" s="1574"/>
      <c r="AA238" s="1574"/>
      <c r="AB238" s="1574"/>
    </row>
    <row r="239" spans="1:28" s="1575" customFormat="1" ht="24" hidden="1" customHeight="1">
      <c r="A239" s="1283"/>
      <c r="B239" s="1283" t="s">
        <v>6954</v>
      </c>
      <c r="C239" s="792" t="s">
        <v>4945</v>
      </c>
      <c r="D239" s="1283" t="s">
        <v>1369</v>
      </c>
      <c r="E239" s="1283">
        <v>1636.11</v>
      </c>
      <c r="F239" s="796" t="s">
        <v>34</v>
      </c>
      <c r="G239" s="796" t="s">
        <v>32</v>
      </c>
      <c r="H239" s="796" t="s">
        <v>33</v>
      </c>
      <c r="I239" s="796" t="s">
        <v>6888</v>
      </c>
      <c r="J239" s="796" t="s">
        <v>4931</v>
      </c>
      <c r="K239" s="805" t="s">
        <v>4774</v>
      </c>
      <c r="L239" s="858">
        <v>434365.49</v>
      </c>
      <c r="M239" s="806">
        <v>217182.745</v>
      </c>
      <c r="N239" s="1283">
        <v>2021.02</v>
      </c>
      <c r="O239" s="793" t="s">
        <v>4933</v>
      </c>
      <c r="P239" s="793" t="s">
        <v>4932</v>
      </c>
      <c r="Q239" s="795">
        <v>18633903524</v>
      </c>
      <c r="R239" s="793" t="s">
        <v>4931</v>
      </c>
      <c r="S239" s="796" t="s">
        <v>4670</v>
      </c>
      <c r="T239" s="1283"/>
      <c r="U239" s="864"/>
      <c r="V239" s="862"/>
      <c r="W239" s="1574"/>
      <c r="X239" s="1574"/>
      <c r="Y239" s="1574"/>
      <c r="Z239" s="1574"/>
      <c r="AA239" s="1574"/>
      <c r="AB239" s="1574"/>
    </row>
    <row r="240" spans="1:28" s="1575" customFormat="1" ht="24" hidden="1" customHeight="1">
      <c r="A240" s="1283"/>
      <c r="B240" s="1283" t="s">
        <v>6954</v>
      </c>
      <c r="C240" s="792" t="s">
        <v>4946</v>
      </c>
      <c r="D240" s="1283" t="s">
        <v>1369</v>
      </c>
      <c r="E240" s="1283">
        <v>351.93</v>
      </c>
      <c r="F240" s="796" t="s">
        <v>34</v>
      </c>
      <c r="G240" s="796" t="s">
        <v>32</v>
      </c>
      <c r="H240" s="796" t="s">
        <v>33</v>
      </c>
      <c r="I240" s="796" t="s">
        <v>6888</v>
      </c>
      <c r="J240" s="796" t="s">
        <v>4931</v>
      </c>
      <c r="K240" s="805" t="s">
        <v>4774</v>
      </c>
      <c r="L240" s="858">
        <v>93432.74</v>
      </c>
      <c r="M240" s="806">
        <v>46716.37</v>
      </c>
      <c r="N240" s="1283">
        <v>2021.02</v>
      </c>
      <c r="O240" s="793" t="s">
        <v>4933</v>
      </c>
      <c r="P240" s="793" t="s">
        <v>4932</v>
      </c>
      <c r="Q240" s="795">
        <v>18633903524</v>
      </c>
      <c r="R240" s="793" t="s">
        <v>6962</v>
      </c>
      <c r="S240" s="796" t="s">
        <v>4670</v>
      </c>
      <c r="T240" s="1283"/>
      <c r="U240" s="864"/>
      <c r="V240" s="862"/>
      <c r="W240" s="1574"/>
      <c r="X240" s="1574"/>
      <c r="Y240" s="1574"/>
      <c r="Z240" s="1574"/>
      <c r="AA240" s="1574"/>
      <c r="AB240" s="1574"/>
    </row>
    <row r="241" spans="1:28" s="1575" customFormat="1" ht="24" hidden="1" customHeight="1">
      <c r="A241" s="1283"/>
      <c r="B241" s="1283" t="s">
        <v>6963</v>
      </c>
      <c r="C241" s="792" t="s">
        <v>6964</v>
      </c>
      <c r="D241" s="1283" t="s">
        <v>1165</v>
      </c>
      <c r="E241" s="1283">
        <v>11</v>
      </c>
      <c r="F241" s="796" t="s">
        <v>34</v>
      </c>
      <c r="G241" s="796" t="s">
        <v>32</v>
      </c>
      <c r="H241" s="796" t="s">
        <v>33</v>
      </c>
      <c r="I241" s="796" t="s">
        <v>6880</v>
      </c>
      <c r="J241" s="796" t="s">
        <v>4931</v>
      </c>
      <c r="K241" s="805" t="s">
        <v>4774</v>
      </c>
      <c r="L241" s="867">
        <v>170353.98</v>
      </c>
      <c r="M241" s="806">
        <v>130933.418670446</v>
      </c>
      <c r="N241" s="1283">
        <v>2021.09</v>
      </c>
      <c r="O241" s="1283" t="s">
        <v>4933</v>
      </c>
      <c r="P241" s="1283" t="s">
        <v>4932</v>
      </c>
      <c r="Q241" s="796">
        <v>18633903524</v>
      </c>
      <c r="R241" s="792" t="s">
        <v>4931</v>
      </c>
      <c r="S241" s="796" t="s">
        <v>4670</v>
      </c>
      <c r="T241" s="1283"/>
      <c r="U241" s="864"/>
      <c r="V241" s="862"/>
      <c r="W241" s="1574"/>
      <c r="X241" s="1574"/>
      <c r="Y241" s="1574"/>
      <c r="Z241" s="1574"/>
      <c r="AA241" s="1574"/>
      <c r="AB241" s="1574"/>
    </row>
    <row r="242" spans="1:28" s="1575" customFormat="1" ht="24" hidden="1" customHeight="1">
      <c r="A242" s="1283"/>
      <c r="B242" s="1283" t="s">
        <v>6963</v>
      </c>
      <c r="C242" s="792" t="s">
        <v>6965</v>
      </c>
      <c r="D242" s="1283" t="s">
        <v>1165</v>
      </c>
      <c r="E242" s="1283">
        <v>1</v>
      </c>
      <c r="F242" s="796" t="s">
        <v>34</v>
      </c>
      <c r="G242" s="796" t="s">
        <v>32</v>
      </c>
      <c r="H242" s="796" t="s">
        <v>33</v>
      </c>
      <c r="I242" s="796" t="s">
        <v>6880</v>
      </c>
      <c r="J242" s="796" t="s">
        <v>4931</v>
      </c>
      <c r="K242" s="805" t="s">
        <v>4774</v>
      </c>
      <c r="L242" s="867">
        <v>30530.97</v>
      </c>
      <c r="M242" s="806">
        <v>23465.986984423998</v>
      </c>
      <c r="N242" s="1283">
        <v>2021.09</v>
      </c>
      <c r="O242" s="1283" t="s">
        <v>4933</v>
      </c>
      <c r="P242" s="1283" t="s">
        <v>4932</v>
      </c>
      <c r="Q242" s="796">
        <v>18633903524</v>
      </c>
      <c r="R242" s="792" t="s">
        <v>4931</v>
      </c>
      <c r="S242" s="796" t="s">
        <v>4670</v>
      </c>
      <c r="T242" s="1283"/>
      <c r="U242" s="864"/>
      <c r="V242" s="862"/>
      <c r="W242" s="1574"/>
      <c r="X242" s="1574"/>
      <c r="Y242" s="1574"/>
      <c r="Z242" s="1574"/>
      <c r="AA242" s="1574"/>
      <c r="AB242" s="1574"/>
    </row>
    <row r="243" spans="1:28" s="1575" customFormat="1" ht="24" hidden="1" customHeight="1">
      <c r="A243" s="1283"/>
      <c r="B243" s="1283" t="s">
        <v>6963</v>
      </c>
      <c r="C243" s="792" t="s">
        <v>6966</v>
      </c>
      <c r="D243" s="1283" t="s">
        <v>1165</v>
      </c>
      <c r="E243" s="1283">
        <v>2</v>
      </c>
      <c r="F243" s="796" t="s">
        <v>34</v>
      </c>
      <c r="G243" s="796" t="s">
        <v>32</v>
      </c>
      <c r="H243" s="796" t="s">
        <v>33</v>
      </c>
      <c r="I243" s="796" t="s">
        <v>6880</v>
      </c>
      <c r="J243" s="796" t="s">
        <v>4931</v>
      </c>
      <c r="K243" s="805" t="s">
        <v>4774</v>
      </c>
      <c r="L243" s="867">
        <v>57522.12</v>
      </c>
      <c r="M243" s="806">
        <v>44211.281830759799</v>
      </c>
      <c r="N243" s="1283">
        <v>2021.09</v>
      </c>
      <c r="O243" s="1283" t="s">
        <v>4933</v>
      </c>
      <c r="P243" s="1283" t="s">
        <v>4932</v>
      </c>
      <c r="Q243" s="796">
        <v>18633903524</v>
      </c>
      <c r="R243" s="792" t="s">
        <v>4931</v>
      </c>
      <c r="S243" s="796" t="s">
        <v>4670</v>
      </c>
      <c r="T243" s="1283"/>
      <c r="U243" s="864"/>
      <c r="V243" s="862"/>
      <c r="W243" s="1574"/>
      <c r="X243" s="1574"/>
      <c r="Y243" s="1574"/>
      <c r="Z243" s="1574"/>
      <c r="AA243" s="1574"/>
      <c r="AB243" s="1574"/>
    </row>
    <row r="244" spans="1:28" s="1575" customFormat="1" ht="24" hidden="1" customHeight="1">
      <c r="A244" s="1283"/>
      <c r="B244" s="1283" t="s">
        <v>6963</v>
      </c>
      <c r="C244" s="792" t="s">
        <v>6967</v>
      </c>
      <c r="D244" s="1283" t="s">
        <v>1165</v>
      </c>
      <c r="E244" s="1283">
        <v>7</v>
      </c>
      <c r="F244" s="796" t="s">
        <v>34</v>
      </c>
      <c r="G244" s="796" t="s">
        <v>32</v>
      </c>
      <c r="H244" s="796" t="s">
        <v>33</v>
      </c>
      <c r="I244" s="796" t="s">
        <v>6880</v>
      </c>
      <c r="J244" s="796" t="s">
        <v>4931</v>
      </c>
      <c r="K244" s="805" t="s">
        <v>4774</v>
      </c>
      <c r="L244" s="867">
        <v>79292.039999999994</v>
      </c>
      <c r="M244" s="806">
        <v>60943.559232098603</v>
      </c>
      <c r="N244" s="1283">
        <v>2021.09</v>
      </c>
      <c r="O244" s="1283" t="s">
        <v>4933</v>
      </c>
      <c r="P244" s="1283" t="s">
        <v>4932</v>
      </c>
      <c r="Q244" s="796">
        <v>18633903524</v>
      </c>
      <c r="R244" s="792" t="s">
        <v>4931</v>
      </c>
      <c r="S244" s="796" t="s">
        <v>4670</v>
      </c>
      <c r="T244" s="1283"/>
      <c r="U244" s="864"/>
      <c r="V244" s="862"/>
      <c r="W244" s="1574"/>
      <c r="X244" s="1574"/>
      <c r="Y244" s="1574"/>
      <c r="Z244" s="1574"/>
      <c r="AA244" s="1574"/>
      <c r="AB244" s="1574"/>
    </row>
    <row r="245" spans="1:28" s="1575" customFormat="1" ht="24" hidden="1" customHeight="1">
      <c r="A245" s="1283"/>
      <c r="B245" s="1283" t="s">
        <v>6963</v>
      </c>
      <c r="C245" s="792" t="s">
        <v>4947</v>
      </c>
      <c r="D245" s="1283" t="s">
        <v>79</v>
      </c>
      <c r="E245" s="1283">
        <v>2</v>
      </c>
      <c r="F245" s="796" t="s">
        <v>34</v>
      </c>
      <c r="G245" s="796" t="s">
        <v>32</v>
      </c>
      <c r="H245" s="796" t="s">
        <v>33</v>
      </c>
      <c r="I245" s="796" t="s">
        <v>6880</v>
      </c>
      <c r="J245" s="796" t="s">
        <v>4931</v>
      </c>
      <c r="K245" s="805" t="s">
        <v>4774</v>
      </c>
      <c r="L245" s="867">
        <v>3111.5</v>
      </c>
      <c r="M245" s="806">
        <v>2391.4870212782398</v>
      </c>
      <c r="N245" s="1283">
        <v>2021.09</v>
      </c>
      <c r="O245" s="1283" t="s">
        <v>4933</v>
      </c>
      <c r="P245" s="1283" t="s">
        <v>4932</v>
      </c>
      <c r="Q245" s="796">
        <v>18633903524</v>
      </c>
      <c r="R245" s="792" t="s">
        <v>4931</v>
      </c>
      <c r="S245" s="796" t="s">
        <v>4670</v>
      </c>
      <c r="T245" s="1283"/>
      <c r="U245" s="864"/>
      <c r="V245" s="862"/>
      <c r="W245" s="1574"/>
      <c r="X245" s="1574"/>
      <c r="Y245" s="1574"/>
      <c r="Z245" s="1574"/>
      <c r="AA245" s="1574"/>
      <c r="AB245" s="1574"/>
    </row>
    <row r="246" spans="1:28" s="1575" customFormat="1" ht="24" hidden="1" customHeight="1">
      <c r="A246" s="1283"/>
      <c r="B246" s="1283" t="s">
        <v>6963</v>
      </c>
      <c r="C246" s="792" t="s">
        <v>4948</v>
      </c>
      <c r="D246" s="1283" t="s">
        <v>1369</v>
      </c>
      <c r="E246" s="1283">
        <v>112.64</v>
      </c>
      <c r="F246" s="796" t="s">
        <v>34</v>
      </c>
      <c r="G246" s="796" t="s">
        <v>32</v>
      </c>
      <c r="H246" s="796" t="s">
        <v>33</v>
      </c>
      <c r="I246" s="796" t="s">
        <v>6880</v>
      </c>
      <c r="J246" s="796" t="s">
        <v>4931</v>
      </c>
      <c r="K246" s="805" t="s">
        <v>4774</v>
      </c>
      <c r="L246" s="867">
        <v>57815.22</v>
      </c>
      <c r="M246" s="806">
        <v>44436.557371796902</v>
      </c>
      <c r="N246" s="1283">
        <v>2021.09</v>
      </c>
      <c r="O246" s="1283" t="s">
        <v>4933</v>
      </c>
      <c r="P246" s="1283" t="s">
        <v>4932</v>
      </c>
      <c r="Q246" s="796">
        <v>18633903524</v>
      </c>
      <c r="R246" s="792" t="s">
        <v>4931</v>
      </c>
      <c r="S246" s="796" t="s">
        <v>4670</v>
      </c>
      <c r="T246" s="1283"/>
      <c r="U246" s="864"/>
      <c r="V246" s="862"/>
      <c r="W246" s="1574"/>
      <c r="X246" s="1574"/>
      <c r="Y246" s="1574"/>
      <c r="Z246" s="1574"/>
      <c r="AA246" s="1574"/>
      <c r="AB246" s="1574"/>
    </row>
    <row r="247" spans="1:28" s="1575" customFormat="1" ht="24" hidden="1" customHeight="1">
      <c r="A247" s="1283"/>
      <c r="B247" s="1283" t="s">
        <v>6963</v>
      </c>
      <c r="C247" s="792" t="s">
        <v>4949</v>
      </c>
      <c r="D247" s="1283" t="s">
        <v>79</v>
      </c>
      <c r="E247" s="1283">
        <v>21</v>
      </c>
      <c r="F247" s="796" t="s">
        <v>34</v>
      </c>
      <c r="G247" s="796" t="s">
        <v>32</v>
      </c>
      <c r="H247" s="796" t="s">
        <v>33</v>
      </c>
      <c r="I247" s="796" t="s">
        <v>6880</v>
      </c>
      <c r="J247" s="796" t="s">
        <v>4931</v>
      </c>
      <c r="K247" s="805" t="s">
        <v>4774</v>
      </c>
      <c r="L247" s="867">
        <v>3438.05</v>
      </c>
      <c r="M247" s="806">
        <v>2642.4721046137402</v>
      </c>
      <c r="N247" s="1283">
        <v>2021.09</v>
      </c>
      <c r="O247" s="1283" t="s">
        <v>4933</v>
      </c>
      <c r="P247" s="1283" t="s">
        <v>4932</v>
      </c>
      <c r="Q247" s="796">
        <v>18633903524</v>
      </c>
      <c r="R247" s="792" t="s">
        <v>4931</v>
      </c>
      <c r="S247" s="796" t="s">
        <v>4670</v>
      </c>
      <c r="T247" s="1283"/>
      <c r="U247" s="864"/>
      <c r="V247" s="862"/>
      <c r="W247" s="1574"/>
      <c r="X247" s="1574"/>
      <c r="Y247" s="1574"/>
      <c r="Z247" s="1574"/>
      <c r="AA247" s="1574"/>
      <c r="AB247" s="1574"/>
    </row>
    <row r="248" spans="1:28" s="871" customFormat="1" ht="24" hidden="1" customHeight="1">
      <c r="A248" s="360"/>
      <c r="B248" s="360" t="s">
        <v>6968</v>
      </c>
      <c r="C248" s="360" t="s">
        <v>4950</v>
      </c>
      <c r="D248" s="360" t="s">
        <v>131</v>
      </c>
      <c r="E248" s="360">
        <v>87</v>
      </c>
      <c r="F248" s="360" t="s">
        <v>34</v>
      </c>
      <c r="G248" s="360" t="s">
        <v>32</v>
      </c>
      <c r="H248" s="360" t="s">
        <v>33</v>
      </c>
      <c r="I248" s="360" t="s">
        <v>34</v>
      </c>
      <c r="J248" s="793" t="s">
        <v>34</v>
      </c>
      <c r="K248" s="360" t="s">
        <v>4951</v>
      </c>
      <c r="L248" s="857">
        <f>290392.62</f>
        <v>290392.62</v>
      </c>
      <c r="M248" s="360">
        <v>241993.87</v>
      </c>
      <c r="N248" s="360">
        <v>2017.11</v>
      </c>
      <c r="O248" s="793" t="s">
        <v>4698</v>
      </c>
      <c r="P248" s="793" t="s">
        <v>4699</v>
      </c>
      <c r="Q248" s="808">
        <v>18605163234</v>
      </c>
      <c r="R248" s="793" t="s">
        <v>4700</v>
      </c>
      <c r="S248" s="1283" t="s">
        <v>4670</v>
      </c>
      <c r="T248" s="360"/>
      <c r="U248" s="868"/>
      <c r="V248" s="847"/>
      <c r="W248" s="869"/>
      <c r="X248" s="869"/>
      <c r="Y248" s="870"/>
      <c r="Z248" s="869"/>
      <c r="AA248" s="869"/>
      <c r="AB248" s="869"/>
    </row>
    <row r="249" spans="1:28" s="871" customFormat="1" ht="24" hidden="1" customHeight="1">
      <c r="A249" s="360"/>
      <c r="B249" s="360" t="s">
        <v>6968</v>
      </c>
      <c r="C249" s="872" t="s">
        <v>4952</v>
      </c>
      <c r="D249" s="873" t="s">
        <v>131</v>
      </c>
      <c r="E249" s="856">
        <v>30</v>
      </c>
      <c r="F249" s="360" t="s">
        <v>34</v>
      </c>
      <c r="G249" s="360" t="s">
        <v>32</v>
      </c>
      <c r="H249" s="360" t="s">
        <v>33</v>
      </c>
      <c r="I249" s="360" t="s">
        <v>34</v>
      </c>
      <c r="J249" s="360" t="s">
        <v>34</v>
      </c>
      <c r="K249" s="360" t="s">
        <v>34</v>
      </c>
      <c r="L249" s="857">
        <v>200431.03448275701</v>
      </c>
      <c r="M249" s="810">
        <v>149100.64000000001</v>
      </c>
      <c r="N249" s="360">
        <v>2021.01</v>
      </c>
      <c r="O249" s="793" t="s">
        <v>4698</v>
      </c>
      <c r="P249" s="793" t="s">
        <v>4699</v>
      </c>
      <c r="Q249" s="811">
        <v>18605163234</v>
      </c>
      <c r="R249" s="793" t="s">
        <v>4700</v>
      </c>
      <c r="S249" s="1283" t="s">
        <v>4670</v>
      </c>
      <c r="T249" s="360"/>
      <c r="U249" s="868"/>
      <c r="V249" s="847"/>
      <c r="W249" s="869"/>
      <c r="X249" s="869"/>
      <c r="Y249" s="874"/>
      <c r="Z249" s="869"/>
      <c r="AA249" s="869"/>
      <c r="AB249" s="869"/>
    </row>
    <row r="250" spans="1:28" s="871" customFormat="1" ht="24" hidden="1" customHeight="1">
      <c r="A250" s="360"/>
      <c r="B250" s="360" t="s">
        <v>6968</v>
      </c>
      <c r="C250" s="872" t="s">
        <v>6969</v>
      </c>
      <c r="D250" s="360" t="s">
        <v>1437</v>
      </c>
      <c r="E250" s="875">
        <v>4</v>
      </c>
      <c r="F250" s="360" t="s">
        <v>34</v>
      </c>
      <c r="G250" s="360" t="s">
        <v>32</v>
      </c>
      <c r="H250" s="360" t="s">
        <v>33</v>
      </c>
      <c r="I250" s="360" t="s">
        <v>34</v>
      </c>
      <c r="J250" s="360" t="s">
        <v>34</v>
      </c>
      <c r="K250" s="360" t="s">
        <v>34</v>
      </c>
      <c r="L250" s="857">
        <v>31896.551724138</v>
      </c>
      <c r="M250" s="810">
        <v>23727.84</v>
      </c>
      <c r="N250" s="360">
        <v>2021.01</v>
      </c>
      <c r="O250" s="793" t="s">
        <v>4698</v>
      </c>
      <c r="P250" s="793" t="s">
        <v>4699</v>
      </c>
      <c r="Q250" s="811">
        <v>18605163234</v>
      </c>
      <c r="R250" s="793" t="s">
        <v>4700</v>
      </c>
      <c r="S250" s="1283" t="s">
        <v>4670</v>
      </c>
      <c r="T250" s="360"/>
      <c r="U250" s="868"/>
      <c r="V250" s="847"/>
      <c r="W250" s="869"/>
      <c r="X250" s="869"/>
      <c r="Y250" s="874"/>
      <c r="Z250" s="869"/>
      <c r="AA250" s="869"/>
      <c r="AB250" s="869"/>
    </row>
    <row r="251" spans="1:28" s="871" customFormat="1" ht="24" hidden="1" customHeight="1">
      <c r="A251" s="360"/>
      <c r="B251" s="360" t="s">
        <v>6970</v>
      </c>
      <c r="C251" s="872" t="s">
        <v>6971</v>
      </c>
      <c r="D251" s="360" t="s">
        <v>161</v>
      </c>
      <c r="E251" s="875">
        <v>54</v>
      </c>
      <c r="F251" s="360" t="s">
        <v>34</v>
      </c>
      <c r="G251" s="360" t="s">
        <v>32</v>
      </c>
      <c r="H251" s="360" t="s">
        <v>33</v>
      </c>
      <c r="I251" s="360" t="s">
        <v>34</v>
      </c>
      <c r="J251" s="360" t="s">
        <v>34</v>
      </c>
      <c r="K251" s="360" t="s">
        <v>34</v>
      </c>
      <c r="L251" s="857">
        <v>16293.1034482758</v>
      </c>
      <c r="M251" s="810">
        <v>12120.44</v>
      </c>
      <c r="N251" s="360" t="s">
        <v>3686</v>
      </c>
      <c r="O251" s="793" t="s">
        <v>4698</v>
      </c>
      <c r="P251" s="793" t="s">
        <v>4699</v>
      </c>
      <c r="Q251" s="811">
        <v>18605163234</v>
      </c>
      <c r="R251" s="793" t="s">
        <v>4700</v>
      </c>
      <c r="S251" s="1283" t="s">
        <v>4670</v>
      </c>
      <c r="T251" s="360"/>
      <c r="U251" s="868"/>
      <c r="V251" s="847"/>
      <c r="W251" s="869"/>
      <c r="X251" s="869"/>
      <c r="Y251" s="874"/>
      <c r="Z251" s="869"/>
      <c r="AA251" s="869"/>
      <c r="AB251" s="869"/>
    </row>
    <row r="252" spans="1:28" s="871" customFormat="1" ht="24" hidden="1" customHeight="1">
      <c r="A252" s="360"/>
      <c r="B252" s="360" t="s">
        <v>6970</v>
      </c>
      <c r="C252" s="872" t="s">
        <v>6972</v>
      </c>
      <c r="D252" s="360" t="s">
        <v>161</v>
      </c>
      <c r="E252" s="875">
        <v>18</v>
      </c>
      <c r="F252" s="360" t="s">
        <v>34</v>
      </c>
      <c r="G252" s="360" t="s">
        <v>32</v>
      </c>
      <c r="H252" s="360" t="s">
        <v>33</v>
      </c>
      <c r="I252" s="360" t="s">
        <v>34</v>
      </c>
      <c r="J252" s="360" t="s">
        <v>34</v>
      </c>
      <c r="K252" s="360" t="s">
        <v>34</v>
      </c>
      <c r="L252" s="857">
        <v>3103.4482758620802</v>
      </c>
      <c r="M252" s="810">
        <v>2308.67</v>
      </c>
      <c r="N252" s="360" t="s">
        <v>3686</v>
      </c>
      <c r="O252" s="793" t="s">
        <v>4698</v>
      </c>
      <c r="P252" s="793" t="s">
        <v>4699</v>
      </c>
      <c r="Q252" s="811">
        <v>18605163234</v>
      </c>
      <c r="R252" s="793" t="s">
        <v>4700</v>
      </c>
      <c r="S252" s="1283" t="s">
        <v>4670</v>
      </c>
      <c r="T252" s="360"/>
      <c r="U252" s="868"/>
      <c r="V252" s="847"/>
      <c r="W252" s="869"/>
      <c r="X252" s="869"/>
      <c r="Y252" s="874"/>
      <c r="Z252" s="869"/>
      <c r="AA252" s="869"/>
      <c r="AB252" s="869"/>
    </row>
    <row r="253" spans="1:28" s="871" customFormat="1" ht="24" hidden="1" customHeight="1">
      <c r="A253" s="360"/>
      <c r="B253" s="360" t="s">
        <v>6970</v>
      </c>
      <c r="C253" s="872" t="s">
        <v>6973</v>
      </c>
      <c r="D253" s="360" t="s">
        <v>1165</v>
      </c>
      <c r="E253" s="875">
        <v>48</v>
      </c>
      <c r="F253" s="360" t="s">
        <v>34</v>
      </c>
      <c r="G253" s="360" t="s">
        <v>32</v>
      </c>
      <c r="H253" s="360" t="s">
        <v>33</v>
      </c>
      <c r="I253" s="360" t="s">
        <v>34</v>
      </c>
      <c r="J253" s="360" t="s">
        <v>34</v>
      </c>
      <c r="K253" s="360" t="s">
        <v>34</v>
      </c>
      <c r="L253" s="857">
        <v>475862.06896551797</v>
      </c>
      <c r="M253" s="810">
        <v>353993.79000000004</v>
      </c>
      <c r="N253" s="360" t="s">
        <v>3686</v>
      </c>
      <c r="O253" s="793" t="s">
        <v>4698</v>
      </c>
      <c r="P253" s="793" t="s">
        <v>4699</v>
      </c>
      <c r="Q253" s="811">
        <v>18605163234</v>
      </c>
      <c r="R253" s="793" t="s">
        <v>4700</v>
      </c>
      <c r="S253" s="1283" t="s">
        <v>4670</v>
      </c>
      <c r="T253" s="360"/>
      <c r="U253" s="868"/>
      <c r="V253" s="847"/>
      <c r="W253" s="869"/>
      <c r="X253" s="869"/>
      <c r="Y253" s="874"/>
      <c r="Z253" s="869"/>
      <c r="AA253" s="869"/>
      <c r="AB253" s="869"/>
    </row>
    <row r="254" spans="1:28" s="871" customFormat="1" ht="24" hidden="1" customHeight="1">
      <c r="A254" s="360"/>
      <c r="B254" s="360" t="s">
        <v>6970</v>
      </c>
      <c r="C254" s="872" t="s">
        <v>6974</v>
      </c>
      <c r="D254" s="360" t="s">
        <v>1165</v>
      </c>
      <c r="E254" s="875">
        <v>1</v>
      </c>
      <c r="F254" s="360" t="s">
        <v>34</v>
      </c>
      <c r="G254" s="360" t="s">
        <v>32</v>
      </c>
      <c r="H254" s="360" t="s">
        <v>33</v>
      </c>
      <c r="I254" s="360" t="s">
        <v>34</v>
      </c>
      <c r="J254" s="360" t="s">
        <v>34</v>
      </c>
      <c r="K254" s="360" t="s">
        <v>34</v>
      </c>
      <c r="L254" s="857">
        <v>15431.0344827586</v>
      </c>
      <c r="M254" s="810">
        <v>11479.14</v>
      </c>
      <c r="N254" s="360" t="s">
        <v>3686</v>
      </c>
      <c r="O254" s="793" t="s">
        <v>4698</v>
      </c>
      <c r="P254" s="793" t="s">
        <v>4699</v>
      </c>
      <c r="Q254" s="811">
        <v>18605163234</v>
      </c>
      <c r="R254" s="793" t="s">
        <v>4700</v>
      </c>
      <c r="S254" s="1283" t="s">
        <v>4670</v>
      </c>
      <c r="T254" s="360"/>
      <c r="U254" s="868"/>
      <c r="V254" s="847"/>
      <c r="W254" s="869"/>
      <c r="X254" s="869"/>
      <c r="Y254" s="874"/>
      <c r="Z254" s="869"/>
      <c r="AA254" s="869"/>
      <c r="AB254" s="869"/>
    </row>
    <row r="255" spans="1:28" s="871" customFormat="1" ht="24" hidden="1" customHeight="1">
      <c r="A255" s="360"/>
      <c r="B255" s="360" t="s">
        <v>6970</v>
      </c>
      <c r="C255" s="872" t="s">
        <v>6975</v>
      </c>
      <c r="D255" s="360" t="s">
        <v>1165</v>
      </c>
      <c r="E255" s="875">
        <v>1</v>
      </c>
      <c r="F255" s="360" t="s">
        <v>34</v>
      </c>
      <c r="G255" s="360" t="s">
        <v>32</v>
      </c>
      <c r="H255" s="360" t="s">
        <v>33</v>
      </c>
      <c r="I255" s="360" t="s">
        <v>34</v>
      </c>
      <c r="J255" s="360" t="s">
        <v>34</v>
      </c>
      <c r="K255" s="360" t="s">
        <v>34</v>
      </c>
      <c r="L255" s="857">
        <v>15646.5517241379</v>
      </c>
      <c r="M255" s="810">
        <v>11639.46</v>
      </c>
      <c r="N255" s="360" t="s">
        <v>3686</v>
      </c>
      <c r="O255" s="793" t="s">
        <v>4698</v>
      </c>
      <c r="P255" s="793" t="s">
        <v>4699</v>
      </c>
      <c r="Q255" s="811">
        <v>18605163234</v>
      </c>
      <c r="R255" s="793" t="s">
        <v>4700</v>
      </c>
      <c r="S255" s="1283" t="s">
        <v>4670</v>
      </c>
      <c r="T255" s="360"/>
      <c r="U255" s="868"/>
      <c r="V255" s="847"/>
      <c r="W255" s="869"/>
      <c r="X255" s="869"/>
      <c r="Y255" s="874"/>
      <c r="Z255" s="869"/>
      <c r="AA255" s="869"/>
      <c r="AB255" s="869"/>
    </row>
    <row r="256" spans="1:28" s="871" customFormat="1" ht="24" hidden="1" customHeight="1">
      <c r="A256" s="360"/>
      <c r="B256" s="360" t="s">
        <v>6970</v>
      </c>
      <c r="C256" s="872" t="s">
        <v>6976</v>
      </c>
      <c r="D256" s="360" t="s">
        <v>1165</v>
      </c>
      <c r="E256" s="875">
        <v>1</v>
      </c>
      <c r="F256" s="360" t="s">
        <v>34</v>
      </c>
      <c r="G256" s="360" t="s">
        <v>32</v>
      </c>
      <c r="H256" s="360" t="s">
        <v>33</v>
      </c>
      <c r="I256" s="360" t="s">
        <v>34</v>
      </c>
      <c r="J256" s="360" t="s">
        <v>34</v>
      </c>
      <c r="K256" s="360" t="s">
        <v>34</v>
      </c>
      <c r="L256" s="857">
        <v>15215.517241379301</v>
      </c>
      <c r="M256" s="810">
        <v>11318.83</v>
      </c>
      <c r="N256" s="360" t="s">
        <v>3686</v>
      </c>
      <c r="O256" s="793" t="s">
        <v>4698</v>
      </c>
      <c r="P256" s="793" t="s">
        <v>4699</v>
      </c>
      <c r="Q256" s="811">
        <v>18605163234</v>
      </c>
      <c r="R256" s="793" t="s">
        <v>4700</v>
      </c>
      <c r="S256" s="1283" t="s">
        <v>4670</v>
      </c>
      <c r="T256" s="360"/>
      <c r="U256" s="868"/>
      <c r="V256" s="847"/>
      <c r="W256" s="869"/>
      <c r="X256" s="869"/>
      <c r="Y256" s="874"/>
      <c r="Z256" s="869"/>
      <c r="AA256" s="869"/>
      <c r="AB256" s="869"/>
    </row>
    <row r="257" spans="1:28" s="871" customFormat="1" ht="24" hidden="1" customHeight="1">
      <c r="A257" s="360"/>
      <c r="B257" s="360" t="s">
        <v>6970</v>
      </c>
      <c r="C257" s="872" t="s">
        <v>6977</v>
      </c>
      <c r="D257" s="360" t="s">
        <v>2724</v>
      </c>
      <c r="E257" s="875">
        <v>18</v>
      </c>
      <c r="F257" s="360" t="s">
        <v>34</v>
      </c>
      <c r="G257" s="360" t="s">
        <v>32</v>
      </c>
      <c r="H257" s="360" t="s">
        <v>33</v>
      </c>
      <c r="I257" s="360" t="s">
        <v>34</v>
      </c>
      <c r="J257" s="360" t="s">
        <v>34</v>
      </c>
      <c r="K257" s="360" t="s">
        <v>34</v>
      </c>
      <c r="L257" s="857">
        <v>5431.0344827586096</v>
      </c>
      <c r="M257" s="810">
        <v>4040.15</v>
      </c>
      <c r="N257" s="360" t="s">
        <v>3686</v>
      </c>
      <c r="O257" s="793" t="s">
        <v>4698</v>
      </c>
      <c r="P257" s="793" t="s">
        <v>4699</v>
      </c>
      <c r="Q257" s="811">
        <v>18605163234</v>
      </c>
      <c r="R257" s="793" t="s">
        <v>4700</v>
      </c>
      <c r="S257" s="1283" t="s">
        <v>4670</v>
      </c>
      <c r="T257" s="360"/>
      <c r="U257" s="868"/>
      <c r="V257" s="847"/>
      <c r="W257" s="869"/>
      <c r="X257" s="869"/>
      <c r="Y257" s="874"/>
      <c r="Z257" s="869"/>
      <c r="AA257" s="869"/>
      <c r="AB257" s="869"/>
    </row>
    <row r="258" spans="1:28" ht="24" hidden="1" customHeight="1">
      <c r="A258" s="360"/>
      <c r="B258" s="769" t="s">
        <v>1162</v>
      </c>
      <c r="C258" s="872" t="s">
        <v>4953</v>
      </c>
      <c r="D258" s="360" t="s">
        <v>1165</v>
      </c>
      <c r="E258" s="875">
        <f>33-4</f>
        <v>29</v>
      </c>
      <c r="F258" s="360" t="s">
        <v>34</v>
      </c>
      <c r="G258" s="360" t="s">
        <v>32</v>
      </c>
      <c r="H258" s="360" t="s">
        <v>33</v>
      </c>
      <c r="I258" s="360" t="s">
        <v>34</v>
      </c>
      <c r="J258" s="360" t="s">
        <v>34</v>
      </c>
      <c r="K258" s="360" t="s">
        <v>34</v>
      </c>
      <c r="L258" s="857">
        <f>343141.59-41592.92</f>
        <v>301548.67000000004</v>
      </c>
      <c r="M258" s="810">
        <v>224322.05000000005</v>
      </c>
      <c r="N258" s="360" t="s">
        <v>3686</v>
      </c>
      <c r="O258" s="783" t="s">
        <v>4698</v>
      </c>
      <c r="P258" s="793" t="s">
        <v>4699</v>
      </c>
      <c r="Q258" s="811">
        <v>18605163234</v>
      </c>
      <c r="R258" s="793" t="s">
        <v>4700</v>
      </c>
      <c r="S258" s="1283" t="s">
        <v>4670</v>
      </c>
      <c r="T258" s="769"/>
      <c r="U258" s="774"/>
      <c r="V258" s="847"/>
      <c r="W258" s="847"/>
      <c r="X258" s="847"/>
      <c r="Y258" s="874"/>
      <c r="Z258" s="847"/>
      <c r="AA258" s="847"/>
      <c r="AB258" s="847"/>
    </row>
    <row r="259" spans="1:28" ht="24" hidden="1" customHeight="1">
      <c r="A259" s="360"/>
      <c r="B259" s="769" t="s">
        <v>1162</v>
      </c>
      <c r="C259" s="872" t="s">
        <v>4953</v>
      </c>
      <c r="D259" s="360" t="s">
        <v>1165</v>
      </c>
      <c r="E259" s="875">
        <v>2</v>
      </c>
      <c r="F259" s="360" t="s">
        <v>34</v>
      </c>
      <c r="G259" s="360" t="s">
        <v>32</v>
      </c>
      <c r="H259" s="360" t="s">
        <v>33</v>
      </c>
      <c r="I259" s="360" t="s">
        <v>34</v>
      </c>
      <c r="J259" s="360" t="s">
        <v>34</v>
      </c>
      <c r="K259" s="360" t="s">
        <v>34</v>
      </c>
      <c r="L259" s="857">
        <v>24206.19</v>
      </c>
      <c r="M259" s="810">
        <v>18006.98</v>
      </c>
      <c r="N259" s="360" t="s">
        <v>3686</v>
      </c>
      <c r="O259" s="783" t="s">
        <v>4698</v>
      </c>
      <c r="P259" s="793" t="s">
        <v>4699</v>
      </c>
      <c r="Q259" s="811">
        <v>18605163234</v>
      </c>
      <c r="R259" s="793" t="s">
        <v>4700</v>
      </c>
      <c r="S259" s="1283" t="s">
        <v>4670</v>
      </c>
      <c r="T259" s="769"/>
      <c r="U259" s="774"/>
      <c r="V259" s="847"/>
      <c r="W259" s="847"/>
      <c r="X259" s="847"/>
      <c r="Y259" s="874"/>
      <c r="Z259" s="847"/>
      <c r="AA259" s="847"/>
      <c r="AB259" s="847"/>
    </row>
    <row r="260" spans="1:28" ht="24" hidden="1" customHeight="1">
      <c r="A260" s="360"/>
      <c r="B260" s="769" t="s">
        <v>1162</v>
      </c>
      <c r="C260" s="872" t="s">
        <v>4953</v>
      </c>
      <c r="D260" s="360" t="s">
        <v>1165</v>
      </c>
      <c r="E260" s="875">
        <v>2</v>
      </c>
      <c r="F260" s="360" t="s">
        <v>34</v>
      </c>
      <c r="G260" s="360" t="s">
        <v>32</v>
      </c>
      <c r="H260" s="360" t="s">
        <v>33</v>
      </c>
      <c r="I260" s="360" t="s">
        <v>34</v>
      </c>
      <c r="J260" s="360" t="s">
        <v>34</v>
      </c>
      <c r="K260" s="360" t="s">
        <v>34</v>
      </c>
      <c r="L260" s="857">
        <v>32123.89</v>
      </c>
      <c r="M260" s="810">
        <v>23896.97</v>
      </c>
      <c r="N260" s="360" t="s">
        <v>3686</v>
      </c>
      <c r="O260" s="783" t="s">
        <v>4698</v>
      </c>
      <c r="P260" s="793" t="s">
        <v>4699</v>
      </c>
      <c r="Q260" s="811">
        <v>18605163234</v>
      </c>
      <c r="R260" s="793" t="s">
        <v>4700</v>
      </c>
      <c r="S260" s="1283" t="s">
        <v>4670</v>
      </c>
      <c r="T260" s="769"/>
      <c r="U260" s="774"/>
      <c r="V260" s="847"/>
      <c r="W260" s="847"/>
      <c r="X260" s="847"/>
      <c r="Y260" s="874"/>
      <c r="Z260" s="847"/>
      <c r="AA260" s="847"/>
      <c r="AB260" s="847"/>
    </row>
    <row r="261" spans="1:28" ht="24" hidden="1" customHeight="1">
      <c r="A261" s="360"/>
      <c r="B261" s="769" t="s">
        <v>1162</v>
      </c>
      <c r="C261" s="872" t="s">
        <v>4954</v>
      </c>
      <c r="D261" s="360" t="s">
        <v>79</v>
      </c>
      <c r="E261" s="875">
        <v>39</v>
      </c>
      <c r="F261" s="360" t="s">
        <v>34</v>
      </c>
      <c r="G261" s="360" t="s">
        <v>32</v>
      </c>
      <c r="H261" s="360" t="s">
        <v>33</v>
      </c>
      <c r="I261" s="360" t="s">
        <v>34</v>
      </c>
      <c r="J261" s="360" t="s">
        <v>34</v>
      </c>
      <c r="K261" s="360" t="s">
        <v>34</v>
      </c>
      <c r="L261" s="857">
        <v>224336.28</v>
      </c>
      <c r="M261" s="810">
        <v>166883.75</v>
      </c>
      <c r="N261" s="360" t="s">
        <v>3686</v>
      </c>
      <c r="O261" s="783" t="s">
        <v>4698</v>
      </c>
      <c r="P261" s="793" t="s">
        <v>4699</v>
      </c>
      <c r="Q261" s="811">
        <v>18605163234</v>
      </c>
      <c r="R261" s="793" t="s">
        <v>4700</v>
      </c>
      <c r="S261" s="1283" t="s">
        <v>4670</v>
      </c>
      <c r="T261" s="769"/>
      <c r="U261" s="774"/>
      <c r="V261" s="847"/>
      <c r="W261" s="847"/>
      <c r="X261" s="847"/>
      <c r="Y261" s="874"/>
      <c r="Z261" s="847"/>
      <c r="AA261" s="847"/>
      <c r="AB261" s="847"/>
    </row>
    <row r="262" spans="1:28" ht="24" hidden="1" customHeight="1">
      <c r="A262" s="360"/>
      <c r="B262" s="769" t="s">
        <v>1162</v>
      </c>
      <c r="C262" s="872" t="s">
        <v>4954</v>
      </c>
      <c r="D262" s="360" t="s">
        <v>79</v>
      </c>
      <c r="E262" s="875">
        <v>1</v>
      </c>
      <c r="F262" s="360" t="s">
        <v>34</v>
      </c>
      <c r="G262" s="360" t="s">
        <v>32</v>
      </c>
      <c r="H262" s="360" t="s">
        <v>33</v>
      </c>
      <c r="I262" s="360" t="s">
        <v>34</v>
      </c>
      <c r="J262" s="360" t="s">
        <v>34</v>
      </c>
      <c r="K262" s="360" t="s">
        <v>34</v>
      </c>
      <c r="L262" s="857">
        <v>17699.12</v>
      </c>
      <c r="M262" s="810">
        <v>13166.38</v>
      </c>
      <c r="N262" s="360" t="s">
        <v>3686</v>
      </c>
      <c r="O262" s="783" t="s">
        <v>4698</v>
      </c>
      <c r="P262" s="793" t="s">
        <v>4699</v>
      </c>
      <c r="Q262" s="811">
        <v>18605163234</v>
      </c>
      <c r="R262" s="793" t="s">
        <v>4700</v>
      </c>
      <c r="S262" s="1283" t="s">
        <v>4670</v>
      </c>
      <c r="T262" s="769"/>
      <c r="U262" s="774"/>
      <c r="V262" s="847"/>
      <c r="W262" s="847"/>
      <c r="X262" s="847"/>
      <c r="Y262" s="874"/>
      <c r="Z262" s="847"/>
      <c r="AA262" s="847"/>
      <c r="AB262" s="847"/>
    </row>
    <row r="263" spans="1:28" ht="24" hidden="1" customHeight="1">
      <c r="A263" s="360"/>
      <c r="B263" s="769" t="s">
        <v>1162</v>
      </c>
      <c r="C263" s="872" t="s">
        <v>4955</v>
      </c>
      <c r="D263" s="360" t="s">
        <v>1165</v>
      </c>
      <c r="E263" s="875">
        <v>1</v>
      </c>
      <c r="F263" s="360" t="s">
        <v>34</v>
      </c>
      <c r="G263" s="360" t="s">
        <v>32</v>
      </c>
      <c r="H263" s="360" t="s">
        <v>33</v>
      </c>
      <c r="I263" s="360" t="s">
        <v>34</v>
      </c>
      <c r="J263" s="360" t="s">
        <v>34</v>
      </c>
      <c r="K263" s="360" t="s">
        <v>34</v>
      </c>
      <c r="L263" s="857">
        <v>20575.22</v>
      </c>
      <c r="M263" s="810">
        <v>15305.900000000001</v>
      </c>
      <c r="N263" s="360" t="s">
        <v>3686</v>
      </c>
      <c r="O263" s="783" t="s">
        <v>4698</v>
      </c>
      <c r="P263" s="793" t="s">
        <v>4699</v>
      </c>
      <c r="Q263" s="811">
        <v>18605163234</v>
      </c>
      <c r="R263" s="793" t="s">
        <v>4700</v>
      </c>
      <c r="S263" s="1283" t="s">
        <v>4670</v>
      </c>
      <c r="T263" s="769"/>
      <c r="U263" s="774"/>
      <c r="V263" s="847"/>
      <c r="W263" s="847"/>
      <c r="X263" s="847"/>
      <c r="Y263" s="874"/>
      <c r="Z263" s="847"/>
      <c r="AA263" s="847"/>
      <c r="AB263" s="847"/>
    </row>
    <row r="264" spans="1:28" ht="24" hidden="1" customHeight="1">
      <c r="A264" s="360"/>
      <c r="B264" s="360" t="s">
        <v>1162</v>
      </c>
      <c r="C264" s="872"/>
      <c r="D264" s="360" t="s">
        <v>888</v>
      </c>
      <c r="E264" s="875">
        <v>279</v>
      </c>
      <c r="F264" s="360" t="s">
        <v>34</v>
      </c>
      <c r="G264" s="360" t="s">
        <v>32</v>
      </c>
      <c r="H264" s="360" t="s">
        <v>33</v>
      </c>
      <c r="I264" s="360" t="s">
        <v>34</v>
      </c>
      <c r="J264" s="360" t="s">
        <v>34</v>
      </c>
      <c r="K264" s="360" t="s">
        <v>34</v>
      </c>
      <c r="L264" s="857">
        <v>70367.259999999995</v>
      </c>
      <c r="M264" s="810">
        <v>52346.209999999992</v>
      </c>
      <c r="N264" s="360" t="s">
        <v>3686</v>
      </c>
      <c r="O264" s="783" t="s">
        <v>4698</v>
      </c>
      <c r="P264" s="793" t="s">
        <v>4699</v>
      </c>
      <c r="Q264" s="811">
        <v>18605163234</v>
      </c>
      <c r="R264" s="793" t="s">
        <v>4700</v>
      </c>
      <c r="S264" s="1283" t="s">
        <v>4670</v>
      </c>
      <c r="T264" s="769"/>
      <c r="U264" s="774"/>
      <c r="V264" s="847"/>
      <c r="W264" s="847"/>
      <c r="X264" s="847"/>
      <c r="Y264" s="874"/>
      <c r="Z264" s="847"/>
      <c r="AA264" s="847"/>
      <c r="AB264" s="847"/>
    </row>
    <row r="265" spans="1:28" ht="24" hidden="1" customHeight="1">
      <c r="A265" s="360"/>
      <c r="B265" s="360" t="s">
        <v>1162</v>
      </c>
      <c r="C265" s="872" t="s">
        <v>4956</v>
      </c>
      <c r="D265" s="360" t="s">
        <v>79</v>
      </c>
      <c r="E265" s="875">
        <v>6</v>
      </c>
      <c r="F265" s="360" t="s">
        <v>34</v>
      </c>
      <c r="G265" s="360" t="s">
        <v>32</v>
      </c>
      <c r="H265" s="360" t="s">
        <v>33</v>
      </c>
      <c r="I265" s="360" t="s">
        <v>34</v>
      </c>
      <c r="J265" s="360" t="s">
        <v>34</v>
      </c>
      <c r="K265" s="360" t="s">
        <v>4957</v>
      </c>
      <c r="L265" s="857">
        <v>98230.09</v>
      </c>
      <c r="M265" s="810">
        <v>73073.350000000006</v>
      </c>
      <c r="N265" s="360" t="s">
        <v>4958</v>
      </c>
      <c r="O265" s="783" t="s">
        <v>4698</v>
      </c>
      <c r="P265" s="793" t="s">
        <v>4699</v>
      </c>
      <c r="Q265" s="811">
        <v>18605163235</v>
      </c>
      <c r="R265" s="793" t="s">
        <v>4700</v>
      </c>
      <c r="S265" s="1283" t="s">
        <v>4670</v>
      </c>
      <c r="T265" s="769"/>
      <c r="U265" s="774"/>
      <c r="V265" s="847"/>
      <c r="W265" s="847"/>
      <c r="X265" s="847"/>
      <c r="Y265" s="874"/>
      <c r="Z265" s="847"/>
      <c r="AA265" s="847"/>
      <c r="AB265" s="847"/>
    </row>
    <row r="266" spans="1:28" ht="24" hidden="1" customHeight="1">
      <c r="A266" s="360"/>
      <c r="B266" s="360" t="s">
        <v>1162</v>
      </c>
      <c r="C266" s="872" t="s">
        <v>4959</v>
      </c>
      <c r="D266" s="360" t="s">
        <v>1193</v>
      </c>
      <c r="E266" s="875">
        <v>45.9</v>
      </c>
      <c r="F266" s="360" t="s">
        <v>34</v>
      </c>
      <c r="G266" s="360" t="s">
        <v>32</v>
      </c>
      <c r="H266" s="360" t="s">
        <v>33</v>
      </c>
      <c r="I266" s="360" t="s">
        <v>34</v>
      </c>
      <c r="J266" s="360" t="s">
        <v>34</v>
      </c>
      <c r="K266" s="360" t="s">
        <v>4957</v>
      </c>
      <c r="L266" s="857">
        <v>24371.68</v>
      </c>
      <c r="M266" s="810">
        <v>18130.099999999999</v>
      </c>
      <c r="N266" s="360" t="s">
        <v>4958</v>
      </c>
      <c r="O266" s="783" t="s">
        <v>4698</v>
      </c>
      <c r="P266" s="793" t="s">
        <v>4699</v>
      </c>
      <c r="Q266" s="811">
        <v>18605163236</v>
      </c>
      <c r="R266" s="793" t="s">
        <v>4700</v>
      </c>
      <c r="S266" s="1283" t="s">
        <v>4670</v>
      </c>
      <c r="T266" s="769"/>
      <c r="U266" s="774"/>
      <c r="V266" s="847"/>
      <c r="W266" s="847"/>
      <c r="X266" s="847"/>
      <c r="Y266" s="874"/>
      <c r="Z266" s="847"/>
      <c r="AA266" s="847"/>
      <c r="AB266" s="847"/>
    </row>
    <row r="267" spans="1:28" ht="24" hidden="1" customHeight="1">
      <c r="A267" s="360"/>
      <c r="B267" s="360" t="s">
        <v>1162</v>
      </c>
      <c r="C267" s="872" t="s">
        <v>4960</v>
      </c>
      <c r="D267" s="360" t="s">
        <v>1193</v>
      </c>
      <c r="E267" s="875">
        <v>54</v>
      </c>
      <c r="F267" s="360" t="s">
        <v>34</v>
      </c>
      <c r="G267" s="360" t="s">
        <v>32</v>
      </c>
      <c r="H267" s="360" t="s">
        <v>33</v>
      </c>
      <c r="I267" s="360" t="s">
        <v>34</v>
      </c>
      <c r="J267" s="360" t="s">
        <v>34</v>
      </c>
      <c r="K267" s="360" t="s">
        <v>4957</v>
      </c>
      <c r="L267" s="857">
        <v>28672.57</v>
      </c>
      <c r="M267" s="810">
        <v>21329.53</v>
      </c>
      <c r="N267" s="360" t="s">
        <v>4958</v>
      </c>
      <c r="O267" s="783" t="s">
        <v>4698</v>
      </c>
      <c r="P267" s="793" t="s">
        <v>4699</v>
      </c>
      <c r="Q267" s="811">
        <v>18605163237</v>
      </c>
      <c r="R267" s="793" t="s">
        <v>4700</v>
      </c>
      <c r="S267" s="1283" t="s">
        <v>4670</v>
      </c>
      <c r="T267" s="769"/>
      <c r="U267" s="774"/>
      <c r="V267" s="847"/>
      <c r="W267" s="847"/>
      <c r="X267" s="847"/>
      <c r="Y267" s="874"/>
      <c r="Z267" s="847"/>
      <c r="AA267" s="847"/>
      <c r="AB267" s="847"/>
    </row>
    <row r="268" spans="1:28" ht="24" hidden="1" customHeight="1">
      <c r="A268" s="360"/>
      <c r="B268" s="360" t="s">
        <v>1162</v>
      </c>
      <c r="C268" s="872" t="s">
        <v>4961</v>
      </c>
      <c r="D268" s="360" t="s">
        <v>1165</v>
      </c>
      <c r="E268" s="875">
        <v>4</v>
      </c>
      <c r="F268" s="360" t="s">
        <v>34</v>
      </c>
      <c r="G268" s="360" t="s">
        <v>32</v>
      </c>
      <c r="H268" s="360" t="s">
        <v>33</v>
      </c>
      <c r="I268" s="360" t="s">
        <v>34</v>
      </c>
      <c r="J268" s="360" t="s">
        <v>34</v>
      </c>
      <c r="K268" s="360" t="s">
        <v>4957</v>
      </c>
      <c r="L268" s="857">
        <v>59469.03</v>
      </c>
      <c r="M268" s="810">
        <v>44239</v>
      </c>
      <c r="N268" s="360" t="s">
        <v>4958</v>
      </c>
      <c r="O268" s="783" t="s">
        <v>4698</v>
      </c>
      <c r="P268" s="793" t="s">
        <v>4699</v>
      </c>
      <c r="Q268" s="811">
        <v>18605163238</v>
      </c>
      <c r="R268" s="793" t="s">
        <v>4700</v>
      </c>
      <c r="S268" s="1283" t="s">
        <v>4670</v>
      </c>
      <c r="T268" s="769"/>
      <c r="U268" s="774"/>
      <c r="V268" s="847"/>
      <c r="W268" s="847"/>
      <c r="X268" s="847"/>
      <c r="Y268" s="874"/>
      <c r="Z268" s="847"/>
      <c r="AA268" s="847"/>
      <c r="AB268" s="847"/>
    </row>
    <row r="269" spans="1:28" ht="24" hidden="1" customHeight="1">
      <c r="A269" s="360"/>
      <c r="B269" s="360" t="s">
        <v>1162</v>
      </c>
      <c r="C269" s="872" t="s">
        <v>4962</v>
      </c>
      <c r="D269" s="360" t="s">
        <v>131</v>
      </c>
      <c r="E269" s="875">
        <v>1</v>
      </c>
      <c r="F269" s="360" t="s">
        <v>34</v>
      </c>
      <c r="G269" s="360" t="s">
        <v>32</v>
      </c>
      <c r="H269" s="360" t="s">
        <v>33</v>
      </c>
      <c r="I269" s="360" t="s">
        <v>34</v>
      </c>
      <c r="J269" s="360" t="s">
        <v>34</v>
      </c>
      <c r="K269" s="360" t="s">
        <v>4957</v>
      </c>
      <c r="L269" s="857">
        <v>16371.68</v>
      </c>
      <c r="M269" s="810">
        <v>12178.9</v>
      </c>
      <c r="N269" s="360" t="s">
        <v>4958</v>
      </c>
      <c r="O269" s="783" t="s">
        <v>4698</v>
      </c>
      <c r="P269" s="793" t="s">
        <v>4699</v>
      </c>
      <c r="Q269" s="811">
        <v>18605163239</v>
      </c>
      <c r="R269" s="793" t="s">
        <v>4700</v>
      </c>
      <c r="S269" s="1283" t="s">
        <v>4670</v>
      </c>
      <c r="T269" s="769"/>
      <c r="U269" s="774"/>
      <c r="V269" s="847"/>
      <c r="W269" s="847"/>
      <c r="X269" s="847"/>
      <c r="Y269" s="874"/>
      <c r="Z269" s="847"/>
      <c r="AA269" s="847"/>
      <c r="AB269" s="847"/>
    </row>
    <row r="270" spans="1:28" ht="24" hidden="1" customHeight="1">
      <c r="A270" s="360"/>
      <c r="B270" s="360" t="s">
        <v>1162</v>
      </c>
      <c r="C270" s="872" t="s">
        <v>4963</v>
      </c>
      <c r="D270" s="360" t="s">
        <v>1165</v>
      </c>
      <c r="E270" s="875">
        <v>7</v>
      </c>
      <c r="F270" s="360" t="s">
        <v>34</v>
      </c>
      <c r="G270" s="360" t="s">
        <v>32</v>
      </c>
      <c r="H270" s="360" t="s">
        <v>33</v>
      </c>
      <c r="I270" s="360" t="s">
        <v>34</v>
      </c>
      <c r="J270" s="360" t="s">
        <v>34</v>
      </c>
      <c r="K270" s="360" t="s">
        <v>4957</v>
      </c>
      <c r="L270" s="857">
        <v>146814.16</v>
      </c>
      <c r="M270" s="810">
        <v>109215.05</v>
      </c>
      <c r="N270" s="360" t="s">
        <v>4958</v>
      </c>
      <c r="O270" s="783" t="s">
        <v>4698</v>
      </c>
      <c r="P270" s="793" t="s">
        <v>4699</v>
      </c>
      <c r="Q270" s="811">
        <v>18605163240</v>
      </c>
      <c r="R270" s="793" t="s">
        <v>4700</v>
      </c>
      <c r="S270" s="1283" t="s">
        <v>4670</v>
      </c>
      <c r="T270" s="769"/>
      <c r="U270" s="774"/>
      <c r="V270" s="847"/>
      <c r="W270" s="847"/>
      <c r="X270" s="847"/>
      <c r="Y270" s="874"/>
      <c r="Z270" s="847"/>
      <c r="AA270" s="847"/>
      <c r="AB270" s="847"/>
    </row>
    <row r="271" spans="1:28" ht="24" hidden="1" customHeight="1">
      <c r="A271" s="360"/>
      <c r="B271" s="360" t="s">
        <v>1162</v>
      </c>
      <c r="C271" s="872"/>
      <c r="D271" s="360" t="s">
        <v>79</v>
      </c>
      <c r="E271" s="875">
        <v>2</v>
      </c>
      <c r="F271" s="360" t="s">
        <v>34</v>
      </c>
      <c r="G271" s="360" t="s">
        <v>32</v>
      </c>
      <c r="H271" s="360" t="s">
        <v>33</v>
      </c>
      <c r="I271" s="360" t="s">
        <v>34</v>
      </c>
      <c r="J271" s="360" t="s">
        <v>34</v>
      </c>
      <c r="K271" s="360" t="s">
        <v>4957</v>
      </c>
      <c r="L271" s="857">
        <v>34513.269999999997</v>
      </c>
      <c r="M271" s="810">
        <v>25674.42</v>
      </c>
      <c r="N271" s="360" t="s">
        <v>4958</v>
      </c>
      <c r="O271" s="783" t="s">
        <v>4698</v>
      </c>
      <c r="P271" s="793" t="s">
        <v>4699</v>
      </c>
      <c r="Q271" s="811">
        <v>18605163241</v>
      </c>
      <c r="R271" s="793" t="s">
        <v>4700</v>
      </c>
      <c r="S271" s="1283" t="s">
        <v>4670</v>
      </c>
      <c r="T271" s="769"/>
      <c r="U271" s="774"/>
      <c r="V271" s="847"/>
      <c r="W271" s="847"/>
      <c r="X271" s="847"/>
      <c r="Y271" s="874"/>
      <c r="Z271" s="847"/>
      <c r="AA271" s="847"/>
      <c r="AB271" s="847"/>
    </row>
    <row r="272" spans="1:28" ht="24" hidden="1" customHeight="1">
      <c r="A272" s="360"/>
      <c r="B272" s="360" t="s">
        <v>1162</v>
      </c>
      <c r="C272" s="872"/>
      <c r="D272" s="360" t="s">
        <v>79</v>
      </c>
      <c r="E272" s="875">
        <v>1</v>
      </c>
      <c r="F272" s="360" t="s">
        <v>34</v>
      </c>
      <c r="G272" s="360" t="s">
        <v>32</v>
      </c>
      <c r="H272" s="360" t="s">
        <v>33</v>
      </c>
      <c r="I272" s="360" t="s">
        <v>34</v>
      </c>
      <c r="J272" s="360" t="s">
        <v>34</v>
      </c>
      <c r="K272" s="360" t="s">
        <v>4957</v>
      </c>
      <c r="L272" s="857">
        <v>8849.56</v>
      </c>
      <c r="M272" s="810">
        <v>6583.1799999999994</v>
      </c>
      <c r="N272" s="360" t="s">
        <v>4958</v>
      </c>
      <c r="O272" s="783" t="s">
        <v>4698</v>
      </c>
      <c r="P272" s="793" t="s">
        <v>4699</v>
      </c>
      <c r="Q272" s="811">
        <v>18605163242</v>
      </c>
      <c r="R272" s="793" t="s">
        <v>4700</v>
      </c>
      <c r="S272" s="1283" t="s">
        <v>4670</v>
      </c>
      <c r="T272" s="769"/>
      <c r="U272" s="774"/>
      <c r="V272" s="847"/>
      <c r="W272" s="847"/>
      <c r="X272" s="847"/>
      <c r="Y272" s="874"/>
      <c r="Z272" s="847"/>
      <c r="AA272" s="847"/>
      <c r="AB272" s="847"/>
    </row>
    <row r="273" spans="1:28" ht="24" hidden="1" customHeight="1">
      <c r="A273" s="360"/>
      <c r="B273" s="360" t="s">
        <v>1162</v>
      </c>
      <c r="C273" s="872" t="s">
        <v>4963</v>
      </c>
      <c r="D273" s="360" t="s">
        <v>1165</v>
      </c>
      <c r="E273" s="875">
        <v>1</v>
      </c>
      <c r="F273" s="360" t="s">
        <v>34</v>
      </c>
      <c r="G273" s="360" t="s">
        <v>32</v>
      </c>
      <c r="H273" s="360" t="s">
        <v>33</v>
      </c>
      <c r="I273" s="360" t="s">
        <v>34</v>
      </c>
      <c r="J273" s="360" t="s">
        <v>34</v>
      </c>
      <c r="K273" s="360" t="s">
        <v>4957</v>
      </c>
      <c r="L273" s="857">
        <v>30707.96</v>
      </c>
      <c r="M273" s="810">
        <v>22843.65</v>
      </c>
      <c r="N273" s="360" t="s">
        <v>4958</v>
      </c>
      <c r="O273" s="783" t="s">
        <v>6978</v>
      </c>
      <c r="P273" s="793" t="s">
        <v>4699</v>
      </c>
      <c r="Q273" s="811">
        <v>18605163243</v>
      </c>
      <c r="R273" s="793" t="s">
        <v>4700</v>
      </c>
      <c r="S273" s="1283" t="s">
        <v>4670</v>
      </c>
      <c r="T273" s="769"/>
      <c r="U273" s="774"/>
      <c r="V273" s="847"/>
      <c r="W273" s="847"/>
      <c r="X273" s="847"/>
      <c r="Y273" s="874"/>
      <c r="Z273" s="847"/>
      <c r="AA273" s="847"/>
      <c r="AB273" s="847"/>
    </row>
    <row r="274" spans="1:28" ht="24" hidden="1" customHeight="1">
      <c r="A274" s="360"/>
      <c r="B274" s="360" t="s">
        <v>1162</v>
      </c>
      <c r="C274" s="872" t="s">
        <v>4963</v>
      </c>
      <c r="D274" s="360" t="s">
        <v>1165</v>
      </c>
      <c r="E274" s="875">
        <v>1</v>
      </c>
      <c r="F274" s="360" t="s">
        <v>34</v>
      </c>
      <c r="G274" s="360" t="s">
        <v>32</v>
      </c>
      <c r="H274" s="360" t="s">
        <v>33</v>
      </c>
      <c r="I274" s="360" t="s">
        <v>34</v>
      </c>
      <c r="J274" s="360" t="s">
        <v>34</v>
      </c>
      <c r="K274" s="360" t="s">
        <v>4957</v>
      </c>
      <c r="L274" s="857">
        <v>30088.5</v>
      </c>
      <c r="M274" s="810">
        <v>22382.83</v>
      </c>
      <c r="N274" s="360" t="s">
        <v>4958</v>
      </c>
      <c r="O274" s="783" t="s">
        <v>4698</v>
      </c>
      <c r="P274" s="793" t="s">
        <v>4699</v>
      </c>
      <c r="Q274" s="811">
        <v>18605163244</v>
      </c>
      <c r="R274" s="793" t="s">
        <v>4700</v>
      </c>
      <c r="S274" s="1283" t="s">
        <v>4670</v>
      </c>
      <c r="T274" s="769"/>
      <c r="U274" s="774"/>
      <c r="V274" s="847"/>
      <c r="W274" s="847"/>
      <c r="X274" s="847"/>
      <c r="Y274" s="874"/>
      <c r="Z274" s="847"/>
      <c r="AA274" s="847"/>
      <c r="AB274" s="847"/>
    </row>
    <row r="275" spans="1:28" ht="24" hidden="1" customHeight="1">
      <c r="A275" s="360"/>
      <c r="B275" s="360" t="s">
        <v>1162</v>
      </c>
      <c r="C275" s="872" t="s">
        <v>4963</v>
      </c>
      <c r="D275" s="360" t="s">
        <v>1165</v>
      </c>
      <c r="E275" s="875">
        <v>1</v>
      </c>
      <c r="F275" s="360" t="s">
        <v>34</v>
      </c>
      <c r="G275" s="360" t="s">
        <v>32</v>
      </c>
      <c r="H275" s="360" t="s">
        <v>33</v>
      </c>
      <c r="I275" s="360" t="s">
        <v>34</v>
      </c>
      <c r="J275" s="360" t="s">
        <v>34</v>
      </c>
      <c r="K275" s="360" t="s">
        <v>4957</v>
      </c>
      <c r="L275" s="857">
        <v>28761.06</v>
      </c>
      <c r="M275" s="810">
        <v>21395.350000000002</v>
      </c>
      <c r="N275" s="360" t="s">
        <v>4958</v>
      </c>
      <c r="O275" s="783" t="s">
        <v>4698</v>
      </c>
      <c r="P275" s="793" t="s">
        <v>4699</v>
      </c>
      <c r="Q275" s="811">
        <v>18605163245</v>
      </c>
      <c r="R275" s="793" t="s">
        <v>4700</v>
      </c>
      <c r="S275" s="1283" t="s">
        <v>4670</v>
      </c>
      <c r="T275" s="769"/>
      <c r="U275" s="774"/>
      <c r="V275" s="847"/>
      <c r="W275" s="847"/>
      <c r="X275" s="847"/>
      <c r="Y275" s="874"/>
      <c r="Z275" s="847"/>
      <c r="AA275" s="847"/>
      <c r="AB275" s="847"/>
    </row>
    <row r="276" spans="1:28" ht="24" hidden="1" customHeight="1">
      <c r="A276" s="360"/>
      <c r="B276" s="360" t="s">
        <v>1162</v>
      </c>
      <c r="C276" s="872" t="s">
        <v>4964</v>
      </c>
      <c r="D276" s="360" t="s">
        <v>1165</v>
      </c>
      <c r="E276" s="875">
        <v>1</v>
      </c>
      <c r="F276" s="360" t="s">
        <v>34</v>
      </c>
      <c r="G276" s="360" t="s">
        <v>32</v>
      </c>
      <c r="H276" s="360" t="s">
        <v>33</v>
      </c>
      <c r="I276" s="360" t="s">
        <v>34</v>
      </c>
      <c r="J276" s="360" t="s">
        <v>34</v>
      </c>
      <c r="K276" s="360" t="s">
        <v>4957</v>
      </c>
      <c r="L276" s="857">
        <v>34513.269999999997</v>
      </c>
      <c r="M276" s="810">
        <v>25674.42</v>
      </c>
      <c r="N276" s="360" t="s">
        <v>4958</v>
      </c>
      <c r="O276" s="783" t="s">
        <v>4698</v>
      </c>
      <c r="P276" s="793" t="s">
        <v>4699</v>
      </c>
      <c r="Q276" s="811">
        <v>18605163246</v>
      </c>
      <c r="R276" s="793" t="s">
        <v>4700</v>
      </c>
      <c r="S276" s="1283" t="s">
        <v>4670</v>
      </c>
      <c r="T276" s="769"/>
      <c r="U276" s="774"/>
      <c r="V276" s="847"/>
      <c r="W276" s="847"/>
      <c r="X276" s="847"/>
      <c r="Y276" s="874"/>
      <c r="Z276" s="847"/>
      <c r="AA276" s="847"/>
      <c r="AB276" s="847"/>
    </row>
    <row r="277" spans="1:28" ht="24" hidden="1" customHeight="1">
      <c r="A277" s="360"/>
      <c r="B277" s="360" t="s">
        <v>1162</v>
      </c>
      <c r="C277" s="872" t="s">
        <v>4964</v>
      </c>
      <c r="D277" s="360" t="s">
        <v>1165</v>
      </c>
      <c r="E277" s="875">
        <v>2</v>
      </c>
      <c r="F277" s="360" t="s">
        <v>34</v>
      </c>
      <c r="G277" s="360" t="s">
        <v>32</v>
      </c>
      <c r="H277" s="360" t="s">
        <v>33</v>
      </c>
      <c r="I277" s="360" t="s">
        <v>34</v>
      </c>
      <c r="J277" s="360" t="s">
        <v>34</v>
      </c>
      <c r="K277" s="360" t="s">
        <v>4957</v>
      </c>
      <c r="L277" s="857">
        <v>81415.929999999993</v>
      </c>
      <c r="M277" s="810">
        <v>60565.299999999988</v>
      </c>
      <c r="N277" s="360" t="s">
        <v>4958</v>
      </c>
      <c r="O277" s="783" t="s">
        <v>4698</v>
      </c>
      <c r="P277" s="793" t="s">
        <v>4699</v>
      </c>
      <c r="Q277" s="811">
        <v>18605163247</v>
      </c>
      <c r="R277" s="793" t="s">
        <v>4700</v>
      </c>
      <c r="S277" s="1283" t="s">
        <v>4670</v>
      </c>
      <c r="T277" s="769"/>
      <c r="U277" s="774"/>
      <c r="V277" s="847"/>
      <c r="W277" s="847"/>
      <c r="X277" s="847"/>
      <c r="Y277" s="874"/>
      <c r="Z277" s="847"/>
      <c r="AA277" s="847"/>
      <c r="AB277" s="847"/>
    </row>
    <row r="278" spans="1:28" ht="24" hidden="1" customHeight="1">
      <c r="A278" s="360"/>
      <c r="B278" s="360" t="s">
        <v>1162</v>
      </c>
      <c r="C278" s="872" t="s">
        <v>4965</v>
      </c>
      <c r="D278" s="360" t="s">
        <v>1165</v>
      </c>
      <c r="E278" s="875">
        <v>3</v>
      </c>
      <c r="F278" s="360" t="s">
        <v>34</v>
      </c>
      <c r="G278" s="360" t="s">
        <v>32</v>
      </c>
      <c r="H278" s="360" t="s">
        <v>33</v>
      </c>
      <c r="I278" s="360" t="s">
        <v>34</v>
      </c>
      <c r="J278" s="360" t="s">
        <v>34</v>
      </c>
      <c r="K278" s="360" t="s">
        <v>4957</v>
      </c>
      <c r="L278" s="857">
        <v>34513.269999999997</v>
      </c>
      <c r="M278" s="810">
        <v>25674.42</v>
      </c>
      <c r="N278" s="360" t="s">
        <v>4958</v>
      </c>
      <c r="O278" s="783" t="s">
        <v>4698</v>
      </c>
      <c r="P278" s="793" t="s">
        <v>4699</v>
      </c>
      <c r="Q278" s="811">
        <v>18605163248</v>
      </c>
      <c r="R278" s="793" t="s">
        <v>4700</v>
      </c>
      <c r="S278" s="1283" t="s">
        <v>4670</v>
      </c>
      <c r="T278" s="769"/>
      <c r="U278" s="774"/>
      <c r="V278" s="847"/>
      <c r="W278" s="847"/>
      <c r="X278" s="847"/>
      <c r="Y278" s="874"/>
      <c r="Z278" s="847"/>
      <c r="AA278" s="847"/>
      <c r="AB278" s="847"/>
    </row>
    <row r="279" spans="1:28" ht="24" hidden="1" customHeight="1">
      <c r="A279" s="360"/>
      <c r="B279" s="360" t="s">
        <v>1162</v>
      </c>
      <c r="C279" s="872" t="s">
        <v>4966</v>
      </c>
      <c r="D279" s="360" t="s">
        <v>1165</v>
      </c>
      <c r="E279" s="875">
        <v>12</v>
      </c>
      <c r="F279" s="360" t="s">
        <v>34</v>
      </c>
      <c r="G279" s="360" t="s">
        <v>32</v>
      </c>
      <c r="H279" s="360" t="s">
        <v>33</v>
      </c>
      <c r="I279" s="360" t="s">
        <v>34</v>
      </c>
      <c r="J279" s="360" t="s">
        <v>34</v>
      </c>
      <c r="K279" s="360" t="s">
        <v>4957</v>
      </c>
      <c r="L279" s="857">
        <v>100884.97</v>
      </c>
      <c r="M279" s="810">
        <v>75048.33</v>
      </c>
      <c r="N279" s="360" t="s">
        <v>4958</v>
      </c>
      <c r="O279" s="783" t="s">
        <v>4698</v>
      </c>
      <c r="P279" s="793" t="s">
        <v>4699</v>
      </c>
      <c r="Q279" s="811">
        <v>18605163249</v>
      </c>
      <c r="R279" s="793" t="s">
        <v>4700</v>
      </c>
      <c r="S279" s="1283" t="s">
        <v>4670</v>
      </c>
      <c r="T279" s="769"/>
      <c r="U279" s="774"/>
      <c r="V279" s="847"/>
      <c r="W279" s="847"/>
      <c r="X279" s="847"/>
      <c r="Y279" s="874"/>
      <c r="Z279" s="847"/>
      <c r="AA279" s="847"/>
      <c r="AB279" s="847"/>
    </row>
    <row r="280" spans="1:28" ht="24" hidden="1" customHeight="1">
      <c r="A280" s="360"/>
      <c r="B280" s="360" t="s">
        <v>1162</v>
      </c>
      <c r="C280" s="872" t="s">
        <v>4967</v>
      </c>
      <c r="D280" s="360" t="s">
        <v>79</v>
      </c>
      <c r="E280" s="875">
        <v>38</v>
      </c>
      <c r="F280" s="360" t="s">
        <v>34</v>
      </c>
      <c r="G280" s="360" t="s">
        <v>32</v>
      </c>
      <c r="H280" s="360" t="s">
        <v>33</v>
      </c>
      <c r="I280" s="360" t="s">
        <v>34</v>
      </c>
      <c r="J280" s="360" t="s">
        <v>34</v>
      </c>
      <c r="K280" s="360" t="s">
        <v>4957</v>
      </c>
      <c r="L280" s="857">
        <v>29640</v>
      </c>
      <c r="M280" s="810">
        <v>22049.200000000001</v>
      </c>
      <c r="N280" s="360" t="s">
        <v>4958</v>
      </c>
      <c r="O280" s="783" t="s">
        <v>4698</v>
      </c>
      <c r="P280" s="793" t="s">
        <v>4699</v>
      </c>
      <c r="Q280" s="811">
        <v>18605163250</v>
      </c>
      <c r="R280" s="793" t="s">
        <v>4700</v>
      </c>
      <c r="S280" s="1283" t="s">
        <v>4670</v>
      </c>
      <c r="T280" s="769"/>
      <c r="U280" s="774"/>
      <c r="V280" s="847"/>
      <c r="W280" s="847"/>
      <c r="X280" s="847"/>
      <c r="Y280" s="874"/>
      <c r="Z280" s="847"/>
      <c r="AA280" s="847"/>
      <c r="AB280" s="847"/>
    </row>
    <row r="281" spans="1:28" ht="24" hidden="1" customHeight="1">
      <c r="A281" s="360"/>
      <c r="B281" s="360" t="s">
        <v>1162</v>
      </c>
      <c r="C281" s="872" t="s">
        <v>4968</v>
      </c>
      <c r="D281" s="360" t="s">
        <v>161</v>
      </c>
      <c r="E281" s="875">
        <v>18</v>
      </c>
      <c r="F281" s="360" t="s">
        <v>34</v>
      </c>
      <c r="G281" s="360" t="s">
        <v>32</v>
      </c>
      <c r="H281" s="360" t="s">
        <v>33</v>
      </c>
      <c r="I281" s="360" t="s">
        <v>34</v>
      </c>
      <c r="J281" s="360" t="s">
        <v>34</v>
      </c>
      <c r="K281" s="360" t="s">
        <v>4957</v>
      </c>
      <c r="L281" s="857">
        <v>11150.44</v>
      </c>
      <c r="M281" s="810">
        <v>8294.82</v>
      </c>
      <c r="N281" s="360" t="s">
        <v>4958</v>
      </c>
      <c r="O281" s="783" t="s">
        <v>4698</v>
      </c>
      <c r="P281" s="793" t="s">
        <v>4699</v>
      </c>
      <c r="Q281" s="811">
        <v>18605163251</v>
      </c>
      <c r="R281" s="793" t="s">
        <v>4700</v>
      </c>
      <c r="S281" s="1283" t="s">
        <v>4670</v>
      </c>
      <c r="T281" s="769"/>
      <c r="U281" s="774"/>
      <c r="V281" s="847"/>
      <c r="W281" s="847"/>
      <c r="X281" s="847"/>
      <c r="Y281" s="874"/>
      <c r="Z281" s="847"/>
      <c r="AA281" s="847"/>
      <c r="AB281" s="847"/>
    </row>
    <row r="282" spans="1:28" ht="24" hidden="1" customHeight="1">
      <c r="A282" s="360"/>
      <c r="B282" s="360" t="s">
        <v>6963</v>
      </c>
      <c r="C282" s="872" t="s">
        <v>6979</v>
      </c>
      <c r="D282" s="360" t="s">
        <v>1193</v>
      </c>
      <c r="E282" s="875">
        <v>760.24</v>
      </c>
      <c r="F282" s="360" t="s">
        <v>34</v>
      </c>
      <c r="G282" s="360" t="s">
        <v>32</v>
      </c>
      <c r="H282" s="360" t="s">
        <v>33</v>
      </c>
      <c r="I282" s="360" t="s">
        <v>34</v>
      </c>
      <c r="J282" s="360" t="s">
        <v>34</v>
      </c>
      <c r="K282" s="360" t="s">
        <v>4957</v>
      </c>
      <c r="L282" s="857">
        <v>47094.5</v>
      </c>
      <c r="M282" s="810">
        <v>35033.589999999997</v>
      </c>
      <c r="N282" s="360" t="s">
        <v>4958</v>
      </c>
      <c r="O282" s="783" t="s">
        <v>4698</v>
      </c>
      <c r="P282" s="793" t="s">
        <v>4699</v>
      </c>
      <c r="Q282" s="811">
        <v>18605163258</v>
      </c>
      <c r="R282" s="793" t="s">
        <v>4700</v>
      </c>
      <c r="S282" s="1283" t="s">
        <v>4670</v>
      </c>
      <c r="T282" s="769"/>
      <c r="U282" s="774"/>
      <c r="V282" s="847"/>
      <c r="W282" s="847"/>
      <c r="X282" s="847"/>
      <c r="Y282" s="874"/>
      <c r="Z282" s="847"/>
      <c r="AA282" s="847"/>
      <c r="AB282" s="847"/>
    </row>
    <row r="283" spans="1:28" ht="24" hidden="1" customHeight="1">
      <c r="A283" s="779"/>
      <c r="B283" s="360" t="s">
        <v>6963</v>
      </c>
      <c r="C283" s="360" t="s">
        <v>4903</v>
      </c>
      <c r="D283" s="360" t="s">
        <v>131</v>
      </c>
      <c r="E283" s="360">
        <v>8</v>
      </c>
      <c r="F283" s="360" t="s">
        <v>34</v>
      </c>
      <c r="G283" s="360" t="s">
        <v>32</v>
      </c>
      <c r="H283" s="360" t="s">
        <v>33</v>
      </c>
      <c r="I283" s="360" t="s">
        <v>34</v>
      </c>
      <c r="J283" s="360" t="s">
        <v>34</v>
      </c>
      <c r="K283" s="360" t="s">
        <v>4774</v>
      </c>
      <c r="L283" s="653">
        <f>425431.03-L284</f>
        <v>35775.862068965507</v>
      </c>
      <c r="M283" s="653">
        <f>101293.1034483-M284</f>
        <v>17887.930000000008</v>
      </c>
      <c r="N283" s="360">
        <v>2019.03</v>
      </c>
      <c r="O283" s="360" t="s">
        <v>4969</v>
      </c>
      <c r="P283" s="360" t="s">
        <v>4970</v>
      </c>
      <c r="Q283" s="360">
        <v>15834044896</v>
      </c>
      <c r="R283" s="360" t="s">
        <v>4971</v>
      </c>
      <c r="S283" s="360" t="s">
        <v>4670</v>
      </c>
      <c r="T283" s="769"/>
      <c r="U283" s="774"/>
      <c r="V283" s="847"/>
      <c r="W283" s="847"/>
      <c r="X283" s="771"/>
      <c r="Y283" s="847"/>
      <c r="Z283" s="847"/>
      <c r="AA283" s="847"/>
      <c r="AB283" s="847"/>
    </row>
    <row r="284" spans="1:28" ht="24" hidden="1" customHeight="1">
      <c r="A284" s="779"/>
      <c r="B284" s="360" t="s">
        <v>6963</v>
      </c>
      <c r="C284" s="360" t="s">
        <v>4903</v>
      </c>
      <c r="D284" s="360" t="s">
        <v>131</v>
      </c>
      <c r="E284" s="360">
        <v>8</v>
      </c>
      <c r="F284" s="360" t="s">
        <v>34</v>
      </c>
      <c r="G284" s="360" t="s">
        <v>32</v>
      </c>
      <c r="H284" s="360" t="s">
        <v>33</v>
      </c>
      <c r="I284" s="360" t="s">
        <v>34</v>
      </c>
      <c r="J284" s="360" t="s">
        <v>34</v>
      </c>
      <c r="K284" s="360" t="s">
        <v>4774</v>
      </c>
      <c r="L284" s="653">
        <f>425431.03-L285</f>
        <v>389655.16793103452</v>
      </c>
      <c r="M284" s="653">
        <f>101293.1034483-M285</f>
        <v>83405.173448299989</v>
      </c>
      <c r="N284" s="360">
        <v>2019.03</v>
      </c>
      <c r="O284" s="360" t="s">
        <v>4969</v>
      </c>
      <c r="P284" s="360" t="s">
        <v>4970</v>
      </c>
      <c r="Q284" s="360">
        <v>15834044896</v>
      </c>
      <c r="R284" s="360" t="s">
        <v>4971</v>
      </c>
      <c r="S284" s="360" t="s">
        <v>4670</v>
      </c>
      <c r="T284" s="769"/>
      <c r="U284" s="774"/>
      <c r="V284" s="847"/>
      <c r="W284" s="847"/>
      <c r="X284" s="771"/>
      <c r="Y284" s="847"/>
      <c r="Z284" s="847"/>
      <c r="AA284" s="847"/>
      <c r="AB284" s="847"/>
    </row>
    <row r="285" spans="1:28" ht="24" hidden="1" customHeight="1">
      <c r="A285" s="779"/>
      <c r="B285" s="360" t="s">
        <v>6963</v>
      </c>
      <c r="C285" s="360" t="s">
        <v>6980</v>
      </c>
      <c r="D285" s="360" t="s">
        <v>131</v>
      </c>
      <c r="E285" s="360">
        <v>1</v>
      </c>
      <c r="F285" s="360" t="s">
        <v>34</v>
      </c>
      <c r="G285" s="360" t="s">
        <v>32</v>
      </c>
      <c r="H285" s="360" t="s">
        <v>33</v>
      </c>
      <c r="I285" s="360" t="s">
        <v>34</v>
      </c>
      <c r="J285" s="360" t="s">
        <v>34</v>
      </c>
      <c r="K285" s="360" t="s">
        <v>4774</v>
      </c>
      <c r="L285" s="653">
        <v>35775.8620689655</v>
      </c>
      <c r="M285" s="653">
        <v>17887.93</v>
      </c>
      <c r="N285" s="360">
        <v>2019.03</v>
      </c>
      <c r="O285" s="360" t="s">
        <v>4969</v>
      </c>
      <c r="P285" s="360" t="s">
        <v>4970</v>
      </c>
      <c r="Q285" s="360">
        <v>15834044896</v>
      </c>
      <c r="R285" s="360" t="s">
        <v>4971</v>
      </c>
      <c r="S285" s="360" t="s">
        <v>4670</v>
      </c>
      <c r="T285" s="769"/>
      <c r="U285" s="774"/>
      <c r="V285" s="847"/>
      <c r="W285" s="847"/>
      <c r="X285" s="771"/>
      <c r="Y285" s="876"/>
      <c r="Z285" s="877"/>
      <c r="AA285" s="877"/>
      <c r="AB285" s="847"/>
    </row>
    <row r="286" spans="1:28" ht="24" hidden="1" customHeight="1">
      <c r="A286" s="779"/>
      <c r="B286" s="360" t="s">
        <v>6954</v>
      </c>
      <c r="C286" s="360" t="s">
        <v>4972</v>
      </c>
      <c r="D286" s="360" t="s">
        <v>79</v>
      </c>
      <c r="E286" s="360">
        <v>2</v>
      </c>
      <c r="F286" s="360" t="s">
        <v>34</v>
      </c>
      <c r="G286" s="360" t="s">
        <v>32</v>
      </c>
      <c r="H286" s="360" t="s">
        <v>33</v>
      </c>
      <c r="I286" s="360" t="s">
        <v>34</v>
      </c>
      <c r="J286" s="360" t="s">
        <v>34</v>
      </c>
      <c r="K286" s="360" t="s">
        <v>4973</v>
      </c>
      <c r="L286" s="653">
        <v>33628.32</v>
      </c>
      <c r="M286" s="653">
        <v>4203.55</v>
      </c>
      <c r="N286" s="360">
        <v>2019.11</v>
      </c>
      <c r="O286" s="360" t="s">
        <v>4969</v>
      </c>
      <c r="P286" s="360" t="s">
        <v>4970</v>
      </c>
      <c r="Q286" s="360">
        <v>15834044896</v>
      </c>
      <c r="R286" s="360" t="s">
        <v>4971</v>
      </c>
      <c r="S286" s="360" t="s">
        <v>4670</v>
      </c>
      <c r="T286" s="769"/>
      <c r="U286" s="774"/>
      <c r="V286" s="847"/>
      <c r="W286" s="847"/>
      <c r="X286" s="771"/>
      <c r="Y286" s="876"/>
      <c r="Z286" s="877"/>
      <c r="AA286" s="877"/>
      <c r="AB286" s="847"/>
    </row>
    <row r="287" spans="1:28" ht="24" hidden="1" customHeight="1">
      <c r="A287" s="360"/>
      <c r="B287" s="360" t="s">
        <v>1162</v>
      </c>
      <c r="C287" s="360" t="s">
        <v>4974</v>
      </c>
      <c r="D287" s="360" t="s">
        <v>2724</v>
      </c>
      <c r="E287" s="810">
        <f>102-18</f>
        <v>84</v>
      </c>
      <c r="F287" s="360" t="s">
        <v>34</v>
      </c>
      <c r="G287" s="360" t="s">
        <v>32</v>
      </c>
      <c r="H287" s="360" t="s">
        <v>6904</v>
      </c>
      <c r="I287" s="360" t="s">
        <v>34</v>
      </c>
      <c r="J287" s="360" t="s">
        <v>34</v>
      </c>
      <c r="K287" s="769" t="s">
        <v>4774</v>
      </c>
      <c r="L287" s="857">
        <f>61551.724137931/102*84</f>
        <v>50689.655172413761</v>
      </c>
      <c r="M287" s="810">
        <f>30775.8620689655/102*84</f>
        <v>25344.82758620688</v>
      </c>
      <c r="N287" s="360">
        <v>2018.07</v>
      </c>
      <c r="O287" s="360" t="s">
        <v>6981</v>
      </c>
      <c r="P287" s="793" t="s">
        <v>4776</v>
      </c>
      <c r="Q287" s="811">
        <v>18335831522</v>
      </c>
      <c r="R287" s="793" t="s">
        <v>4777</v>
      </c>
      <c r="S287" s="360" t="s">
        <v>4670</v>
      </c>
      <c r="T287" s="360"/>
      <c r="U287" s="774"/>
      <c r="V287" s="847"/>
      <c r="W287" s="847"/>
      <c r="X287" s="847"/>
      <c r="Y287" s="876"/>
      <c r="Z287" s="877"/>
      <c r="AA287" s="877"/>
      <c r="AB287" s="847"/>
    </row>
    <row r="288" spans="1:28" ht="24" hidden="1" customHeight="1">
      <c r="A288" s="360"/>
      <c r="B288" s="360" t="s">
        <v>1162</v>
      </c>
      <c r="C288" s="360" t="s">
        <v>4975</v>
      </c>
      <c r="D288" s="360" t="s">
        <v>2724</v>
      </c>
      <c r="E288" s="810">
        <v>51</v>
      </c>
      <c r="F288" s="360" t="s">
        <v>34</v>
      </c>
      <c r="G288" s="360" t="s">
        <v>32</v>
      </c>
      <c r="H288" s="360" t="s">
        <v>6904</v>
      </c>
      <c r="I288" s="360" t="s">
        <v>34</v>
      </c>
      <c r="J288" s="360" t="s">
        <v>34</v>
      </c>
      <c r="K288" s="769" t="s">
        <v>4774</v>
      </c>
      <c r="L288" s="857">
        <v>17586.206896551699</v>
      </c>
      <c r="M288" s="810">
        <v>8793.1034482758496</v>
      </c>
      <c r="N288" s="360">
        <v>2018.07</v>
      </c>
      <c r="O288" s="360" t="s">
        <v>6981</v>
      </c>
      <c r="P288" s="793" t="s">
        <v>4776</v>
      </c>
      <c r="Q288" s="811">
        <v>18335831522</v>
      </c>
      <c r="R288" s="793" t="s">
        <v>4777</v>
      </c>
      <c r="S288" s="360" t="s">
        <v>4670</v>
      </c>
      <c r="T288" s="360"/>
      <c r="U288" s="774"/>
      <c r="V288" s="847"/>
      <c r="W288" s="847"/>
      <c r="X288" s="847"/>
      <c r="Y288" s="876"/>
      <c r="Z288" s="877"/>
      <c r="AA288" s="877"/>
      <c r="AB288" s="847"/>
    </row>
    <row r="289" spans="1:28" ht="24" hidden="1" customHeight="1">
      <c r="A289" s="360"/>
      <c r="B289" s="360" t="s">
        <v>1162</v>
      </c>
      <c r="C289" s="360" t="s">
        <v>4976</v>
      </c>
      <c r="D289" s="360" t="s">
        <v>79</v>
      </c>
      <c r="E289" s="810">
        <v>4</v>
      </c>
      <c r="F289" s="360" t="s">
        <v>34</v>
      </c>
      <c r="G289" s="360" t="s">
        <v>32</v>
      </c>
      <c r="H289" s="360" t="s">
        <v>6904</v>
      </c>
      <c r="I289" s="360" t="s">
        <v>34</v>
      </c>
      <c r="J289" s="360" t="s">
        <v>34</v>
      </c>
      <c r="K289" s="769" t="s">
        <v>4774</v>
      </c>
      <c r="L289" s="857">
        <v>62068.965517241202</v>
      </c>
      <c r="M289" s="810">
        <v>31034.482758620601</v>
      </c>
      <c r="N289" s="360">
        <v>2018.07</v>
      </c>
      <c r="O289" s="360" t="s">
        <v>6981</v>
      </c>
      <c r="P289" s="793" t="s">
        <v>4776</v>
      </c>
      <c r="Q289" s="811">
        <v>18335831522</v>
      </c>
      <c r="R289" s="793" t="s">
        <v>4777</v>
      </c>
      <c r="S289" s="360" t="s">
        <v>4670</v>
      </c>
      <c r="T289" s="360"/>
      <c r="U289" s="774"/>
      <c r="V289" s="847"/>
      <c r="W289" s="847"/>
      <c r="X289" s="847"/>
      <c r="Y289" s="876"/>
      <c r="Z289" s="877"/>
      <c r="AA289" s="877"/>
      <c r="AB289" s="847"/>
    </row>
    <row r="290" spans="1:28" ht="24" hidden="1" customHeight="1">
      <c r="A290" s="360"/>
      <c r="B290" s="360" t="s">
        <v>1162</v>
      </c>
      <c r="C290" s="360" t="s">
        <v>4977</v>
      </c>
      <c r="D290" s="360" t="s">
        <v>131</v>
      </c>
      <c r="E290" s="360">
        <v>1</v>
      </c>
      <c r="F290" s="360" t="s">
        <v>34</v>
      </c>
      <c r="G290" s="360" t="s">
        <v>32</v>
      </c>
      <c r="H290" s="360" t="s">
        <v>6904</v>
      </c>
      <c r="I290" s="360" t="s">
        <v>34</v>
      </c>
      <c r="J290" s="360" t="s">
        <v>34</v>
      </c>
      <c r="K290" s="769" t="s">
        <v>4774</v>
      </c>
      <c r="L290" s="857">
        <v>8252.4271844660198</v>
      </c>
      <c r="M290" s="810">
        <v>4126.2135922330099</v>
      </c>
      <c r="N290" s="360">
        <v>2019.06</v>
      </c>
      <c r="O290" s="360" t="s">
        <v>6981</v>
      </c>
      <c r="P290" s="793" t="s">
        <v>4776</v>
      </c>
      <c r="Q290" s="811">
        <v>18335831522</v>
      </c>
      <c r="R290" s="793" t="s">
        <v>4777</v>
      </c>
      <c r="S290" s="360" t="s">
        <v>4670</v>
      </c>
      <c r="T290" s="360"/>
      <c r="U290" s="774"/>
      <c r="V290" s="847"/>
      <c r="W290" s="847"/>
      <c r="X290" s="847"/>
      <c r="Y290" s="876"/>
      <c r="Z290" s="877"/>
      <c r="AA290" s="877"/>
      <c r="AB290" s="847"/>
    </row>
    <row r="291" spans="1:28" ht="24" hidden="1" customHeight="1">
      <c r="A291" s="360"/>
      <c r="B291" s="360" t="s">
        <v>1162</v>
      </c>
      <c r="C291" s="360" t="s">
        <v>4952</v>
      </c>
      <c r="D291" s="360" t="s">
        <v>131</v>
      </c>
      <c r="E291" s="360">
        <v>2</v>
      </c>
      <c r="F291" s="360" t="s">
        <v>34</v>
      </c>
      <c r="G291" s="360" t="s">
        <v>32</v>
      </c>
      <c r="H291" s="360" t="s">
        <v>6904</v>
      </c>
      <c r="I291" s="360" t="s">
        <v>34</v>
      </c>
      <c r="J291" s="360" t="s">
        <v>34</v>
      </c>
      <c r="K291" s="769" t="s">
        <v>4774</v>
      </c>
      <c r="L291" s="857">
        <v>26724.14</v>
      </c>
      <c r="M291" s="810">
        <v>13362.07</v>
      </c>
      <c r="N291" s="360">
        <v>2019.01</v>
      </c>
      <c r="O291" s="360" t="s">
        <v>6981</v>
      </c>
      <c r="P291" s="793" t="s">
        <v>4776</v>
      </c>
      <c r="Q291" s="811">
        <v>18335831522</v>
      </c>
      <c r="R291" s="793" t="s">
        <v>4777</v>
      </c>
      <c r="S291" s="360" t="s">
        <v>4670</v>
      </c>
      <c r="T291" s="360"/>
      <c r="U291" s="774"/>
      <c r="V291" s="847"/>
      <c r="W291" s="847"/>
      <c r="X291" s="847"/>
      <c r="Y291" s="847"/>
      <c r="Z291" s="847"/>
      <c r="AA291" s="878"/>
      <c r="AB291" s="847"/>
    </row>
    <row r="292" spans="1:28" ht="24" hidden="1" customHeight="1">
      <c r="A292" s="360"/>
      <c r="B292" s="360" t="s">
        <v>1162</v>
      </c>
      <c r="C292" s="360" t="s">
        <v>4952</v>
      </c>
      <c r="D292" s="360" t="s">
        <v>131</v>
      </c>
      <c r="E292" s="360">
        <v>4</v>
      </c>
      <c r="F292" s="360" t="s">
        <v>34</v>
      </c>
      <c r="G292" s="360" t="s">
        <v>32</v>
      </c>
      <c r="H292" s="360" t="s">
        <v>6904</v>
      </c>
      <c r="I292" s="360" t="s">
        <v>34</v>
      </c>
      <c r="J292" s="360" t="s">
        <v>34</v>
      </c>
      <c r="K292" s="360" t="s">
        <v>4774</v>
      </c>
      <c r="L292" s="857">
        <f t="shared" ref="L292" si="0">M292*2</f>
        <v>53448.2758620686</v>
      </c>
      <c r="M292" s="810">
        <v>26724.1379310343</v>
      </c>
      <c r="N292" s="360">
        <v>2019.01</v>
      </c>
      <c r="O292" s="360" t="s">
        <v>6982</v>
      </c>
      <c r="P292" s="360" t="s">
        <v>4776</v>
      </c>
      <c r="Q292" s="360">
        <v>18335831522</v>
      </c>
      <c r="R292" s="360" t="s">
        <v>4777</v>
      </c>
      <c r="S292" s="360" t="s">
        <v>4670</v>
      </c>
      <c r="T292" s="360"/>
      <c r="U292" s="774"/>
      <c r="V292" s="847"/>
      <c r="W292" s="847"/>
      <c r="X292" s="847"/>
      <c r="Y292" s="847"/>
      <c r="Z292" s="847"/>
      <c r="AA292" s="878"/>
      <c r="AB292" s="847"/>
    </row>
    <row r="293" spans="1:28" ht="24" hidden="1" customHeight="1">
      <c r="A293" s="360"/>
      <c r="B293" s="360" t="s">
        <v>1162</v>
      </c>
      <c r="C293" s="360" t="s">
        <v>4952</v>
      </c>
      <c r="D293" s="360" t="s">
        <v>131</v>
      </c>
      <c r="E293" s="360">
        <v>40</v>
      </c>
      <c r="F293" s="360" t="s">
        <v>34</v>
      </c>
      <c r="G293" s="360" t="s">
        <v>32</v>
      </c>
      <c r="H293" s="360" t="s">
        <v>6904</v>
      </c>
      <c r="I293" s="360" t="s">
        <v>34</v>
      </c>
      <c r="J293" s="360" t="s">
        <v>34</v>
      </c>
      <c r="K293" s="769" t="s">
        <v>4774</v>
      </c>
      <c r="L293" s="857">
        <v>534482.76</v>
      </c>
      <c r="M293" s="810">
        <v>267241.37931034301</v>
      </c>
      <c r="N293" s="360">
        <v>2019.01</v>
      </c>
      <c r="O293" s="360" t="s">
        <v>4978</v>
      </c>
      <c r="P293" s="793" t="s">
        <v>4776</v>
      </c>
      <c r="Q293" s="811">
        <v>18335831522</v>
      </c>
      <c r="R293" s="793" t="s">
        <v>4777</v>
      </c>
      <c r="S293" s="360" t="s">
        <v>4670</v>
      </c>
      <c r="T293" s="360"/>
      <c r="U293" s="774"/>
      <c r="V293" s="847"/>
      <c r="W293" s="847"/>
      <c r="X293" s="847"/>
      <c r="Y293" s="847"/>
      <c r="Z293" s="847"/>
      <c r="AA293" s="878"/>
      <c r="AB293" s="847"/>
    </row>
    <row r="294" spans="1:28" ht="24" hidden="1" customHeight="1">
      <c r="A294" s="360"/>
      <c r="B294" s="360" t="s">
        <v>1162</v>
      </c>
      <c r="C294" s="360" t="s">
        <v>4979</v>
      </c>
      <c r="D294" s="360" t="s">
        <v>79</v>
      </c>
      <c r="E294" s="360">
        <v>1</v>
      </c>
      <c r="F294" s="360" t="s">
        <v>34</v>
      </c>
      <c r="G294" s="360" t="s">
        <v>32</v>
      </c>
      <c r="H294" s="360" t="s">
        <v>6904</v>
      </c>
      <c r="I294" s="360" t="s">
        <v>34</v>
      </c>
      <c r="J294" s="360" t="s">
        <v>34</v>
      </c>
      <c r="K294" s="769" t="s">
        <v>4774</v>
      </c>
      <c r="L294" s="857">
        <v>36206.896551724101</v>
      </c>
      <c r="M294" s="810">
        <v>18103.448275862102</v>
      </c>
      <c r="N294" s="360">
        <v>2019.01</v>
      </c>
      <c r="O294" s="360" t="s">
        <v>4775</v>
      </c>
      <c r="P294" s="793" t="s">
        <v>4776</v>
      </c>
      <c r="Q294" s="811">
        <v>18335831522</v>
      </c>
      <c r="R294" s="793" t="s">
        <v>4777</v>
      </c>
      <c r="S294" s="360" t="s">
        <v>4670</v>
      </c>
      <c r="T294" s="360"/>
      <c r="U294" s="774"/>
      <c r="V294" s="847"/>
      <c r="W294" s="847"/>
      <c r="X294" s="847"/>
      <c r="Y294" s="847"/>
      <c r="Z294" s="847"/>
      <c r="AA294" s="878"/>
      <c r="AB294" s="847"/>
    </row>
    <row r="295" spans="1:28" ht="24" hidden="1" customHeight="1">
      <c r="A295" s="360"/>
      <c r="B295" s="360" t="s">
        <v>1162</v>
      </c>
      <c r="C295" s="789" t="s">
        <v>4980</v>
      </c>
      <c r="D295" s="789" t="s">
        <v>161</v>
      </c>
      <c r="E295" s="360">
        <f>168-54</f>
        <v>114</v>
      </c>
      <c r="F295" s="360" t="s">
        <v>34</v>
      </c>
      <c r="G295" s="360" t="s">
        <v>32</v>
      </c>
      <c r="H295" s="360" t="s">
        <v>6904</v>
      </c>
      <c r="I295" s="360" t="s">
        <v>34</v>
      </c>
      <c r="J295" s="360" t="s">
        <v>34</v>
      </c>
      <c r="K295" s="769" t="s">
        <v>4774</v>
      </c>
      <c r="L295" s="857">
        <f>101379.310344828/168*114</f>
        <v>68793.103448276146</v>
      </c>
      <c r="M295" s="810">
        <f>50689.655172414/168*114</f>
        <v>34396.551724138073</v>
      </c>
      <c r="N295" s="360">
        <v>2019.01</v>
      </c>
      <c r="O295" s="360" t="s">
        <v>4978</v>
      </c>
      <c r="P295" s="793" t="s">
        <v>4776</v>
      </c>
      <c r="Q295" s="811">
        <v>18335831522</v>
      </c>
      <c r="R295" s="793" t="s">
        <v>4777</v>
      </c>
      <c r="S295" s="360" t="s">
        <v>4670</v>
      </c>
      <c r="T295" s="360"/>
      <c r="U295" s="774"/>
      <c r="V295" s="847"/>
      <c r="W295" s="847"/>
      <c r="X295" s="847"/>
      <c r="Y295" s="847"/>
      <c r="Z295" s="847"/>
      <c r="AA295" s="878"/>
      <c r="AB295" s="847"/>
    </row>
    <row r="296" spans="1:28" ht="24" hidden="1" customHeight="1">
      <c r="A296" s="360"/>
      <c r="B296" s="360" t="s">
        <v>1162</v>
      </c>
      <c r="C296" s="789" t="s">
        <v>4981</v>
      </c>
      <c r="D296" s="789" t="s">
        <v>161</v>
      </c>
      <c r="E296" s="360">
        <f>72-18</f>
        <v>54</v>
      </c>
      <c r="F296" s="360" t="s">
        <v>34</v>
      </c>
      <c r="G296" s="360" t="s">
        <v>32</v>
      </c>
      <c r="H296" s="360" t="s">
        <v>6904</v>
      </c>
      <c r="I296" s="360" t="s">
        <v>34</v>
      </c>
      <c r="J296" s="360" t="s">
        <v>34</v>
      </c>
      <c r="K296" s="769" t="s">
        <v>4774</v>
      </c>
      <c r="L296" s="857">
        <f>24827.5862068966/72*54</f>
        <v>18620.689655172453</v>
      </c>
      <c r="M296" s="810">
        <f>12413.7931034483/72*54</f>
        <v>9310.3448275862265</v>
      </c>
      <c r="N296" s="360">
        <v>2019.01</v>
      </c>
      <c r="O296" s="360" t="s">
        <v>4978</v>
      </c>
      <c r="P296" s="793" t="s">
        <v>4776</v>
      </c>
      <c r="Q296" s="811">
        <v>18335831522</v>
      </c>
      <c r="R296" s="793" t="s">
        <v>4777</v>
      </c>
      <c r="S296" s="360" t="s">
        <v>4670</v>
      </c>
      <c r="T296" s="360"/>
      <c r="U296" s="774"/>
      <c r="V296" s="847"/>
      <c r="W296" s="847"/>
      <c r="X296" s="847"/>
      <c r="Y296" s="847"/>
      <c r="Z296" s="847"/>
      <c r="AA296" s="878"/>
      <c r="AB296" s="847"/>
    </row>
    <row r="297" spans="1:28" s="831" customFormat="1" ht="24" hidden="1" customHeight="1">
      <c r="A297" s="779"/>
      <c r="B297" s="769" t="s">
        <v>1162</v>
      </c>
      <c r="C297" s="769" t="s">
        <v>4982</v>
      </c>
      <c r="D297" s="769" t="s">
        <v>1165</v>
      </c>
      <c r="E297" s="769">
        <v>11</v>
      </c>
      <c r="F297" s="1283" t="s">
        <v>34</v>
      </c>
      <c r="G297" s="769" t="s">
        <v>32</v>
      </c>
      <c r="H297" s="769" t="s">
        <v>33</v>
      </c>
      <c r="I297" s="1283" t="s">
        <v>34</v>
      </c>
      <c r="J297" s="769" t="s">
        <v>34</v>
      </c>
      <c r="K297" s="769" t="s">
        <v>4774</v>
      </c>
      <c r="L297" s="653">
        <v>0</v>
      </c>
      <c r="M297" s="653">
        <v>0</v>
      </c>
      <c r="N297" s="1283">
        <v>2018.08</v>
      </c>
      <c r="O297" s="769" t="s">
        <v>6983</v>
      </c>
      <c r="P297" s="793" t="s">
        <v>6984</v>
      </c>
      <c r="Q297" s="770">
        <v>18335193603</v>
      </c>
      <c r="R297" s="793" t="s">
        <v>6985</v>
      </c>
      <c r="S297" s="780" t="s">
        <v>4670</v>
      </c>
      <c r="T297" s="769"/>
      <c r="U297" s="861"/>
      <c r="V297" s="862"/>
      <c r="W297" s="862"/>
      <c r="X297" s="862"/>
      <c r="Y297" s="862"/>
      <c r="Z297" s="862"/>
      <c r="AA297" s="862"/>
      <c r="AB297" s="862"/>
    </row>
    <row r="298" spans="1:28" s="831" customFormat="1" ht="24" hidden="1" customHeight="1">
      <c r="A298" s="1283"/>
      <c r="B298" s="1283" t="s">
        <v>1162</v>
      </c>
      <c r="C298" s="792" t="s">
        <v>4983</v>
      </c>
      <c r="D298" s="1283" t="s">
        <v>79</v>
      </c>
      <c r="E298" s="1283">
        <v>1</v>
      </c>
      <c r="F298" s="1283" t="s">
        <v>34</v>
      </c>
      <c r="G298" s="1283" t="s">
        <v>32</v>
      </c>
      <c r="H298" s="1283" t="s">
        <v>33</v>
      </c>
      <c r="I298" s="1283" t="s">
        <v>34</v>
      </c>
      <c r="J298" s="1283" t="s">
        <v>34</v>
      </c>
      <c r="K298" s="1283" t="s">
        <v>4774</v>
      </c>
      <c r="L298" s="653">
        <v>0</v>
      </c>
      <c r="M298" s="653">
        <v>0</v>
      </c>
      <c r="N298" s="1283">
        <v>2018.08</v>
      </c>
      <c r="O298" s="653" t="s">
        <v>4984</v>
      </c>
      <c r="P298" s="653" t="s">
        <v>6984</v>
      </c>
      <c r="Q298" s="859">
        <v>18335193603</v>
      </c>
      <c r="R298" s="1283" t="s">
        <v>6985</v>
      </c>
      <c r="S298" s="653" t="s">
        <v>4670</v>
      </c>
      <c r="T298" s="769"/>
      <c r="U298" s="879"/>
      <c r="V298" s="862"/>
      <c r="W298" s="862"/>
      <c r="X298" s="862"/>
      <c r="Y298" s="862"/>
      <c r="Z298" s="862"/>
      <c r="AA298" s="862"/>
      <c r="AB298" s="862"/>
    </row>
    <row r="299" spans="1:28" s="831" customFormat="1" ht="24" hidden="1" customHeight="1">
      <c r="A299" s="779"/>
      <c r="B299" s="769" t="s">
        <v>1162</v>
      </c>
      <c r="C299" s="769" t="s">
        <v>4982</v>
      </c>
      <c r="D299" s="769" t="s">
        <v>1165</v>
      </c>
      <c r="E299" s="769">
        <v>16</v>
      </c>
      <c r="F299" s="1283" t="s">
        <v>34</v>
      </c>
      <c r="G299" s="769" t="s">
        <v>32</v>
      </c>
      <c r="H299" s="769" t="s">
        <v>33</v>
      </c>
      <c r="I299" s="1283" t="s">
        <v>34</v>
      </c>
      <c r="J299" s="769" t="s">
        <v>34</v>
      </c>
      <c r="K299" s="769" t="s">
        <v>4774</v>
      </c>
      <c r="L299" s="653">
        <v>0</v>
      </c>
      <c r="M299" s="653">
        <v>0</v>
      </c>
      <c r="N299" s="1283">
        <v>2018.08</v>
      </c>
      <c r="O299" s="769" t="s">
        <v>6986</v>
      </c>
      <c r="P299" s="793" t="s">
        <v>6987</v>
      </c>
      <c r="Q299" s="770">
        <v>13311573643</v>
      </c>
      <c r="R299" s="793" t="s">
        <v>6988</v>
      </c>
      <c r="S299" s="653" t="s">
        <v>4670</v>
      </c>
      <c r="T299" s="769" t="s">
        <v>6989</v>
      </c>
      <c r="U299" s="879"/>
      <c r="V299" s="862"/>
      <c r="W299" s="862"/>
      <c r="X299" s="862"/>
      <c r="Y299" s="862"/>
      <c r="Z299" s="862"/>
      <c r="AA299" s="862"/>
      <c r="AB299" s="862"/>
    </row>
    <row r="300" spans="1:28" s="831" customFormat="1" ht="24" hidden="1" customHeight="1">
      <c r="A300" s="779"/>
      <c r="B300" s="769" t="s">
        <v>1162</v>
      </c>
      <c r="C300" s="769" t="s">
        <v>4985</v>
      </c>
      <c r="D300" s="769" t="s">
        <v>1165</v>
      </c>
      <c r="E300" s="769">
        <v>4</v>
      </c>
      <c r="F300" s="769" t="s">
        <v>34</v>
      </c>
      <c r="G300" s="769" t="s">
        <v>32</v>
      </c>
      <c r="H300" s="769" t="s">
        <v>33</v>
      </c>
      <c r="I300" s="1283" t="s">
        <v>34</v>
      </c>
      <c r="J300" s="769" t="s">
        <v>34</v>
      </c>
      <c r="K300" s="769" t="s">
        <v>4774</v>
      </c>
      <c r="L300" s="653">
        <v>0</v>
      </c>
      <c r="M300" s="653">
        <v>0</v>
      </c>
      <c r="N300" s="1283">
        <v>2018.08</v>
      </c>
      <c r="O300" s="769" t="s">
        <v>6986</v>
      </c>
      <c r="P300" s="793" t="s">
        <v>6987</v>
      </c>
      <c r="Q300" s="770">
        <v>13311573643</v>
      </c>
      <c r="R300" s="793" t="s">
        <v>6988</v>
      </c>
      <c r="S300" s="793" t="s">
        <v>4670</v>
      </c>
      <c r="T300" s="769" t="s">
        <v>6989</v>
      </c>
      <c r="U300" s="879"/>
      <c r="V300" s="862"/>
      <c r="W300" s="862"/>
      <c r="X300" s="862"/>
      <c r="Y300" s="862"/>
      <c r="Z300" s="862"/>
      <c r="AA300" s="862"/>
      <c r="AB300" s="862"/>
    </row>
    <row r="301" spans="1:28" s="831" customFormat="1" ht="24" hidden="1" customHeight="1">
      <c r="A301" s="779"/>
      <c r="B301" s="769" t="s">
        <v>1162</v>
      </c>
      <c r="C301" s="792" t="s">
        <v>4986</v>
      </c>
      <c r="D301" s="1283" t="s">
        <v>1165</v>
      </c>
      <c r="E301" s="1283">
        <v>1</v>
      </c>
      <c r="F301" s="1283" t="s">
        <v>34</v>
      </c>
      <c r="G301" s="1283" t="s">
        <v>32</v>
      </c>
      <c r="H301" s="1283" t="s">
        <v>33</v>
      </c>
      <c r="I301" s="1283" t="s">
        <v>34</v>
      </c>
      <c r="J301" s="1283" t="s">
        <v>34</v>
      </c>
      <c r="K301" s="1283" t="s">
        <v>4774</v>
      </c>
      <c r="L301" s="653">
        <v>0</v>
      </c>
      <c r="M301" s="653">
        <v>0</v>
      </c>
      <c r="N301" s="1283">
        <v>2018.08</v>
      </c>
      <c r="O301" s="769" t="s">
        <v>6986</v>
      </c>
      <c r="P301" s="793" t="s">
        <v>6987</v>
      </c>
      <c r="Q301" s="770">
        <v>13311573643</v>
      </c>
      <c r="R301" s="793" t="s">
        <v>6988</v>
      </c>
      <c r="S301" s="653" t="s">
        <v>4670</v>
      </c>
      <c r="T301" s="769" t="s">
        <v>6989</v>
      </c>
      <c r="U301" s="879"/>
      <c r="V301" s="862"/>
      <c r="W301" s="862"/>
      <c r="X301" s="862"/>
      <c r="Y301" s="862"/>
      <c r="Z301" s="862"/>
      <c r="AA301" s="862"/>
      <c r="AB301" s="862"/>
    </row>
    <row r="302" spans="1:28" s="831" customFormat="1" ht="24" hidden="1" customHeight="1">
      <c r="A302" s="779"/>
      <c r="B302" s="1283" t="s">
        <v>1162</v>
      </c>
      <c r="C302" s="792" t="s">
        <v>4987</v>
      </c>
      <c r="D302" s="1283" t="s">
        <v>1165</v>
      </c>
      <c r="E302" s="1283">
        <v>2</v>
      </c>
      <c r="F302" s="1283" t="s">
        <v>34</v>
      </c>
      <c r="G302" s="1283" t="s">
        <v>32</v>
      </c>
      <c r="H302" s="1283" t="s">
        <v>33</v>
      </c>
      <c r="I302" s="1283" t="s">
        <v>34</v>
      </c>
      <c r="J302" s="1283" t="s">
        <v>34</v>
      </c>
      <c r="K302" s="1283" t="s">
        <v>4774</v>
      </c>
      <c r="L302" s="653">
        <v>0</v>
      </c>
      <c r="M302" s="653">
        <v>0</v>
      </c>
      <c r="N302" s="1283">
        <v>2018.08</v>
      </c>
      <c r="O302" s="769" t="s">
        <v>6986</v>
      </c>
      <c r="P302" s="793" t="s">
        <v>6987</v>
      </c>
      <c r="Q302" s="770">
        <v>13311573643</v>
      </c>
      <c r="R302" s="793" t="s">
        <v>6988</v>
      </c>
      <c r="S302" s="653" t="s">
        <v>4670</v>
      </c>
      <c r="T302" s="769" t="s">
        <v>6989</v>
      </c>
      <c r="U302" s="879"/>
      <c r="V302" s="862"/>
      <c r="W302" s="862"/>
      <c r="X302" s="862"/>
      <c r="Y302" s="862"/>
      <c r="Z302" s="862"/>
      <c r="AA302" s="862"/>
      <c r="AB302" s="862"/>
    </row>
    <row r="303" spans="1:28" s="831" customFormat="1" ht="24" hidden="1" customHeight="1">
      <c r="A303" s="779"/>
      <c r="B303" s="1283" t="s">
        <v>1162</v>
      </c>
      <c r="C303" s="792" t="s">
        <v>4988</v>
      </c>
      <c r="D303" s="1283" t="s">
        <v>1165</v>
      </c>
      <c r="E303" s="1283">
        <v>1</v>
      </c>
      <c r="F303" s="1283" t="s">
        <v>34</v>
      </c>
      <c r="G303" s="1283" t="s">
        <v>32</v>
      </c>
      <c r="H303" s="1283" t="s">
        <v>33</v>
      </c>
      <c r="I303" s="1283" t="s">
        <v>34</v>
      </c>
      <c r="J303" s="1283" t="s">
        <v>34</v>
      </c>
      <c r="K303" s="1283" t="s">
        <v>4774</v>
      </c>
      <c r="L303" s="653">
        <v>0</v>
      </c>
      <c r="M303" s="653">
        <v>0</v>
      </c>
      <c r="N303" s="1283">
        <v>2018.08</v>
      </c>
      <c r="O303" s="769" t="s">
        <v>6986</v>
      </c>
      <c r="P303" s="793" t="s">
        <v>6987</v>
      </c>
      <c r="Q303" s="770">
        <v>13311573643</v>
      </c>
      <c r="R303" s="793" t="s">
        <v>6988</v>
      </c>
      <c r="S303" s="653" t="s">
        <v>4670</v>
      </c>
      <c r="T303" s="769" t="s">
        <v>6989</v>
      </c>
      <c r="U303" s="879"/>
      <c r="V303" s="862"/>
      <c r="W303" s="862"/>
      <c r="X303" s="862"/>
      <c r="Y303" s="862"/>
      <c r="Z303" s="862"/>
      <c r="AA303" s="862"/>
      <c r="AB303" s="862"/>
    </row>
    <row r="304" spans="1:28" s="831" customFormat="1" ht="24" hidden="1" customHeight="1">
      <c r="A304" s="779"/>
      <c r="B304" s="1283" t="s">
        <v>1162</v>
      </c>
      <c r="C304" s="792" t="s">
        <v>4989</v>
      </c>
      <c r="D304" s="1283" t="s">
        <v>79</v>
      </c>
      <c r="E304" s="1283">
        <v>1</v>
      </c>
      <c r="F304" s="1283" t="s">
        <v>34</v>
      </c>
      <c r="G304" s="1283" t="s">
        <v>32</v>
      </c>
      <c r="H304" s="1283" t="s">
        <v>33</v>
      </c>
      <c r="I304" s="1283" t="s">
        <v>34</v>
      </c>
      <c r="J304" s="1283" t="s">
        <v>34</v>
      </c>
      <c r="K304" s="1283" t="s">
        <v>4774</v>
      </c>
      <c r="L304" s="653">
        <v>0</v>
      </c>
      <c r="M304" s="653">
        <v>0</v>
      </c>
      <c r="N304" s="1283">
        <v>2018.08</v>
      </c>
      <c r="O304" s="769" t="s">
        <v>6986</v>
      </c>
      <c r="P304" s="793" t="s">
        <v>6987</v>
      </c>
      <c r="Q304" s="770">
        <v>13311573643</v>
      </c>
      <c r="R304" s="793" t="s">
        <v>6988</v>
      </c>
      <c r="S304" s="653" t="s">
        <v>4670</v>
      </c>
      <c r="T304" s="769" t="s">
        <v>6989</v>
      </c>
      <c r="U304" s="879"/>
      <c r="V304" s="862"/>
      <c r="W304" s="862"/>
      <c r="X304" s="862"/>
      <c r="Y304" s="862"/>
      <c r="Z304" s="862"/>
      <c r="AA304" s="862"/>
      <c r="AB304" s="862"/>
    </row>
    <row r="305" spans="1:28" s="831" customFormat="1" ht="24" hidden="1" customHeight="1">
      <c r="A305" s="779"/>
      <c r="B305" s="1283" t="s">
        <v>1162</v>
      </c>
      <c r="C305" s="792" t="s">
        <v>4990</v>
      </c>
      <c r="D305" s="1283" t="s">
        <v>79</v>
      </c>
      <c r="E305" s="1283">
        <v>1</v>
      </c>
      <c r="F305" s="1283" t="s">
        <v>34</v>
      </c>
      <c r="G305" s="1283" t="s">
        <v>32</v>
      </c>
      <c r="H305" s="1283" t="s">
        <v>33</v>
      </c>
      <c r="I305" s="1283" t="s">
        <v>34</v>
      </c>
      <c r="J305" s="1283" t="s">
        <v>34</v>
      </c>
      <c r="K305" s="1283" t="s">
        <v>4774</v>
      </c>
      <c r="L305" s="653">
        <v>0</v>
      </c>
      <c r="M305" s="653">
        <v>0</v>
      </c>
      <c r="N305" s="1283">
        <v>2018.08</v>
      </c>
      <c r="O305" s="769" t="s">
        <v>6986</v>
      </c>
      <c r="P305" s="793" t="s">
        <v>6987</v>
      </c>
      <c r="Q305" s="770">
        <v>13311573643</v>
      </c>
      <c r="R305" s="793" t="s">
        <v>6988</v>
      </c>
      <c r="S305" s="653" t="s">
        <v>4670</v>
      </c>
      <c r="T305" s="769" t="s">
        <v>6989</v>
      </c>
      <c r="U305" s="879"/>
      <c r="V305" s="862"/>
      <c r="W305" s="862"/>
      <c r="X305" s="862"/>
      <c r="Y305" s="862"/>
      <c r="Z305" s="862"/>
      <c r="AA305" s="862"/>
      <c r="AB305" s="862"/>
    </row>
    <row r="306" spans="1:28" s="831" customFormat="1" ht="24" hidden="1" customHeight="1">
      <c r="A306" s="779"/>
      <c r="B306" s="1283" t="s">
        <v>1162</v>
      </c>
      <c r="C306" s="792" t="s">
        <v>4991</v>
      </c>
      <c r="D306" s="1283" t="s">
        <v>1165</v>
      </c>
      <c r="E306" s="1283">
        <v>1</v>
      </c>
      <c r="F306" s="1283" t="s">
        <v>34</v>
      </c>
      <c r="G306" s="1283" t="s">
        <v>32</v>
      </c>
      <c r="H306" s="1283" t="s">
        <v>33</v>
      </c>
      <c r="I306" s="1283" t="s">
        <v>34</v>
      </c>
      <c r="J306" s="1283" t="s">
        <v>34</v>
      </c>
      <c r="K306" s="1283" t="s">
        <v>4774</v>
      </c>
      <c r="L306" s="653">
        <v>0</v>
      </c>
      <c r="M306" s="653">
        <v>0</v>
      </c>
      <c r="N306" s="1283">
        <v>2018.08</v>
      </c>
      <c r="O306" s="769" t="s">
        <v>6986</v>
      </c>
      <c r="P306" s="793" t="s">
        <v>6987</v>
      </c>
      <c r="Q306" s="770">
        <v>13311573643</v>
      </c>
      <c r="R306" s="793" t="s">
        <v>6988</v>
      </c>
      <c r="S306" s="653" t="s">
        <v>4670</v>
      </c>
      <c r="T306" s="769" t="s">
        <v>6989</v>
      </c>
      <c r="U306" s="879"/>
      <c r="V306" s="862"/>
      <c r="W306" s="862"/>
      <c r="X306" s="862"/>
      <c r="Y306" s="862"/>
      <c r="Z306" s="862"/>
      <c r="AA306" s="862"/>
      <c r="AB306" s="862"/>
    </row>
    <row r="307" spans="1:28" s="831" customFormat="1" ht="24" hidden="1" customHeight="1">
      <c r="A307" s="779"/>
      <c r="B307" s="1283" t="s">
        <v>1162</v>
      </c>
      <c r="C307" s="792" t="s">
        <v>4992</v>
      </c>
      <c r="D307" s="1283" t="s">
        <v>888</v>
      </c>
      <c r="E307" s="1283">
        <v>351.72</v>
      </c>
      <c r="F307" s="1283" t="s">
        <v>34</v>
      </c>
      <c r="G307" s="1283" t="s">
        <v>32</v>
      </c>
      <c r="H307" s="1283" t="s">
        <v>33</v>
      </c>
      <c r="I307" s="1283" t="s">
        <v>34</v>
      </c>
      <c r="J307" s="1283" t="s">
        <v>34</v>
      </c>
      <c r="K307" s="1283" t="s">
        <v>4774</v>
      </c>
      <c r="L307" s="653">
        <v>0</v>
      </c>
      <c r="M307" s="653">
        <v>0</v>
      </c>
      <c r="N307" s="1283">
        <v>2018.08</v>
      </c>
      <c r="O307" s="769" t="s">
        <v>6986</v>
      </c>
      <c r="P307" s="793" t="s">
        <v>6987</v>
      </c>
      <c r="Q307" s="770">
        <v>13311573643</v>
      </c>
      <c r="R307" s="793" t="s">
        <v>6988</v>
      </c>
      <c r="S307" s="653" t="s">
        <v>4670</v>
      </c>
      <c r="T307" s="769" t="s">
        <v>6989</v>
      </c>
      <c r="U307" s="879"/>
      <c r="V307" s="862"/>
      <c r="W307" s="862"/>
      <c r="X307" s="862"/>
      <c r="Y307" s="862"/>
      <c r="Z307" s="862"/>
      <c r="AA307" s="862"/>
      <c r="AB307" s="862"/>
    </row>
    <row r="308" spans="1:28" s="831" customFormat="1" ht="24" hidden="1" customHeight="1">
      <c r="A308" s="779"/>
      <c r="B308" s="1283" t="s">
        <v>1162</v>
      </c>
      <c r="C308" s="792" t="s">
        <v>4993</v>
      </c>
      <c r="D308" s="1283" t="s">
        <v>888</v>
      </c>
      <c r="E308" s="1283">
        <v>482.62</v>
      </c>
      <c r="F308" s="1283" t="s">
        <v>34</v>
      </c>
      <c r="G308" s="1283" t="s">
        <v>32</v>
      </c>
      <c r="H308" s="1283" t="s">
        <v>33</v>
      </c>
      <c r="I308" s="1283" t="s">
        <v>34</v>
      </c>
      <c r="J308" s="1283" t="s">
        <v>34</v>
      </c>
      <c r="K308" s="1283" t="s">
        <v>4774</v>
      </c>
      <c r="L308" s="653">
        <v>0</v>
      </c>
      <c r="M308" s="653">
        <v>0</v>
      </c>
      <c r="N308" s="1283">
        <v>2018.08</v>
      </c>
      <c r="O308" s="769" t="s">
        <v>6986</v>
      </c>
      <c r="P308" s="793" t="s">
        <v>6987</v>
      </c>
      <c r="Q308" s="770">
        <v>13311573643</v>
      </c>
      <c r="R308" s="793" t="s">
        <v>6988</v>
      </c>
      <c r="S308" s="653" t="s">
        <v>4670</v>
      </c>
      <c r="T308" s="769" t="s">
        <v>6989</v>
      </c>
      <c r="U308" s="879"/>
      <c r="V308" s="862"/>
      <c r="W308" s="862"/>
      <c r="X308" s="862"/>
      <c r="Y308" s="862"/>
      <c r="Z308" s="862"/>
      <c r="AA308" s="862"/>
      <c r="AB308" s="862"/>
    </row>
    <row r="309" spans="1:28" ht="24" hidden="1" customHeight="1">
      <c r="A309" s="779"/>
      <c r="B309" s="789" t="s">
        <v>1162</v>
      </c>
      <c r="C309" s="360" t="s">
        <v>4903</v>
      </c>
      <c r="D309" s="360" t="s">
        <v>79</v>
      </c>
      <c r="E309" s="360">
        <v>13</v>
      </c>
      <c r="F309" s="360" t="s">
        <v>34</v>
      </c>
      <c r="G309" s="360" t="s">
        <v>32</v>
      </c>
      <c r="H309" s="360" t="s">
        <v>33</v>
      </c>
      <c r="I309" s="360" t="s">
        <v>34</v>
      </c>
      <c r="J309" s="360" t="s">
        <v>34</v>
      </c>
      <c r="K309" s="360" t="s">
        <v>4774</v>
      </c>
      <c r="L309" s="857">
        <v>201327.43</v>
      </c>
      <c r="M309" s="294">
        <v>100663.71681415899</v>
      </c>
      <c r="N309" s="360">
        <v>2020.03</v>
      </c>
      <c r="O309" s="783" t="s">
        <v>4690</v>
      </c>
      <c r="P309" s="793" t="s">
        <v>6990</v>
      </c>
      <c r="Q309" s="795">
        <v>13485329413</v>
      </c>
      <c r="R309" s="793" t="s">
        <v>4688</v>
      </c>
      <c r="S309" s="780" t="s">
        <v>4670</v>
      </c>
      <c r="T309" s="769"/>
      <c r="U309" s="802"/>
      <c r="V309" s="847"/>
      <c r="W309" s="847"/>
      <c r="X309" s="847"/>
      <c r="Y309" s="847"/>
      <c r="Z309" s="847"/>
      <c r="AA309" s="847"/>
      <c r="AB309" s="847"/>
    </row>
    <row r="310" spans="1:28" ht="24" hidden="1" customHeight="1">
      <c r="A310" s="779"/>
      <c r="B310" s="789" t="s">
        <v>1162</v>
      </c>
      <c r="C310" s="360" t="s">
        <v>4903</v>
      </c>
      <c r="D310" s="360" t="s">
        <v>79</v>
      </c>
      <c r="E310" s="360">
        <v>1</v>
      </c>
      <c r="F310" s="360" t="s">
        <v>34</v>
      </c>
      <c r="G310" s="360" t="s">
        <v>32</v>
      </c>
      <c r="H310" s="360" t="s">
        <v>33</v>
      </c>
      <c r="I310" s="360" t="s">
        <v>34</v>
      </c>
      <c r="J310" s="360" t="s">
        <v>34</v>
      </c>
      <c r="K310" s="360" t="s">
        <v>4774</v>
      </c>
      <c r="L310" s="857">
        <v>16486.73</v>
      </c>
      <c r="M310" s="294">
        <v>8243.3628318583706</v>
      </c>
      <c r="N310" s="360">
        <v>2020.03</v>
      </c>
      <c r="O310" s="783" t="s">
        <v>4690</v>
      </c>
      <c r="P310" s="793" t="s">
        <v>6990</v>
      </c>
      <c r="Q310" s="795">
        <v>13485329413</v>
      </c>
      <c r="R310" s="793" t="s">
        <v>4688</v>
      </c>
      <c r="S310" s="780" t="s">
        <v>4670</v>
      </c>
      <c r="T310" s="769"/>
      <c r="U310" s="802"/>
      <c r="V310" s="847"/>
      <c r="W310" s="847"/>
      <c r="X310" s="847"/>
      <c r="Y310" s="847"/>
      <c r="Z310" s="847"/>
      <c r="AA310" s="847"/>
      <c r="AB310" s="847"/>
    </row>
    <row r="311" spans="1:28" ht="24" hidden="1" customHeight="1">
      <c r="A311" s="779"/>
      <c r="B311" s="789" t="s">
        <v>1162</v>
      </c>
      <c r="C311" s="360" t="s">
        <v>4903</v>
      </c>
      <c r="D311" s="360" t="s">
        <v>79</v>
      </c>
      <c r="E311" s="360">
        <v>8</v>
      </c>
      <c r="F311" s="360" t="s">
        <v>34</v>
      </c>
      <c r="G311" s="360" t="s">
        <v>32</v>
      </c>
      <c r="H311" s="360" t="s">
        <v>33</v>
      </c>
      <c r="I311" s="360" t="s">
        <v>34</v>
      </c>
      <c r="J311" s="360" t="s">
        <v>34</v>
      </c>
      <c r="K311" s="360" t="s">
        <v>4774</v>
      </c>
      <c r="L311" s="857">
        <v>123893.81</v>
      </c>
      <c r="M311" s="294">
        <v>61946.902654866899</v>
      </c>
      <c r="N311" s="360">
        <v>2020.03</v>
      </c>
      <c r="O311" s="783" t="s">
        <v>4690</v>
      </c>
      <c r="P311" s="793" t="s">
        <v>6990</v>
      </c>
      <c r="Q311" s="795">
        <v>13485329413</v>
      </c>
      <c r="R311" s="793" t="s">
        <v>4688</v>
      </c>
      <c r="S311" s="780" t="s">
        <v>4670</v>
      </c>
      <c r="T311" s="769"/>
      <c r="U311" s="802"/>
      <c r="V311" s="847"/>
      <c r="W311" s="847"/>
      <c r="X311" s="847"/>
      <c r="Y311" s="847"/>
      <c r="Z311" s="847"/>
      <c r="AA311" s="847"/>
      <c r="AB311" s="847"/>
    </row>
    <row r="312" spans="1:28" ht="24" hidden="1" customHeight="1">
      <c r="A312" s="779"/>
      <c r="B312" s="789" t="s">
        <v>1162</v>
      </c>
      <c r="C312" s="360" t="s">
        <v>4903</v>
      </c>
      <c r="D312" s="360" t="s">
        <v>79</v>
      </c>
      <c r="E312" s="880">
        <v>2</v>
      </c>
      <c r="F312" s="360" t="s">
        <v>34</v>
      </c>
      <c r="G312" s="360" t="s">
        <v>32</v>
      </c>
      <c r="H312" s="360" t="s">
        <v>33</v>
      </c>
      <c r="I312" s="360" t="s">
        <v>34</v>
      </c>
      <c r="J312" s="360" t="s">
        <v>34</v>
      </c>
      <c r="K312" s="360" t="s">
        <v>4774</v>
      </c>
      <c r="L312" s="857">
        <v>60000</v>
      </c>
      <c r="M312" s="294">
        <v>30000</v>
      </c>
      <c r="N312" s="360">
        <v>2020.03</v>
      </c>
      <c r="O312" s="783" t="s">
        <v>4690</v>
      </c>
      <c r="P312" s="793" t="s">
        <v>6990</v>
      </c>
      <c r="Q312" s="795">
        <v>13485329413</v>
      </c>
      <c r="R312" s="793" t="s">
        <v>4688</v>
      </c>
      <c r="S312" s="780" t="s">
        <v>4670</v>
      </c>
      <c r="T312" s="769"/>
      <c r="U312" s="802"/>
      <c r="V312" s="847"/>
      <c r="W312" s="847"/>
      <c r="X312" s="847"/>
      <c r="Y312" s="847"/>
      <c r="Z312" s="847"/>
      <c r="AA312" s="847"/>
      <c r="AB312" s="847"/>
    </row>
    <row r="313" spans="1:28" ht="24" hidden="1" customHeight="1">
      <c r="A313" s="779"/>
      <c r="B313" s="789" t="s">
        <v>1162</v>
      </c>
      <c r="C313" s="360" t="s">
        <v>4994</v>
      </c>
      <c r="D313" s="360" t="s">
        <v>79</v>
      </c>
      <c r="E313" s="360">
        <v>4</v>
      </c>
      <c r="F313" s="360" t="s">
        <v>34</v>
      </c>
      <c r="G313" s="360" t="s">
        <v>32</v>
      </c>
      <c r="H313" s="360" t="s">
        <v>33</v>
      </c>
      <c r="I313" s="360" t="s">
        <v>34</v>
      </c>
      <c r="J313" s="360" t="s">
        <v>34</v>
      </c>
      <c r="K313" s="360" t="s">
        <v>4774</v>
      </c>
      <c r="L313" s="857">
        <v>60884.959999999999</v>
      </c>
      <c r="M313" s="294">
        <v>30442.477876106299</v>
      </c>
      <c r="N313" s="360">
        <v>2020.03</v>
      </c>
      <c r="O313" s="783" t="s">
        <v>4690</v>
      </c>
      <c r="P313" s="793" t="s">
        <v>6990</v>
      </c>
      <c r="Q313" s="795">
        <v>13485329413</v>
      </c>
      <c r="R313" s="793" t="s">
        <v>4688</v>
      </c>
      <c r="S313" s="780" t="s">
        <v>4670</v>
      </c>
      <c r="T313" s="769"/>
      <c r="U313" s="802"/>
      <c r="V313" s="847"/>
      <c r="W313" s="847"/>
      <c r="X313" s="847"/>
      <c r="Y313" s="847"/>
      <c r="Z313" s="847"/>
      <c r="AA313" s="847"/>
      <c r="AB313" s="847"/>
    </row>
    <row r="314" spans="1:28" ht="24" hidden="1" customHeight="1">
      <c r="A314" s="779"/>
      <c r="B314" s="789" t="s">
        <v>1162</v>
      </c>
      <c r="C314" s="881" t="s">
        <v>4995</v>
      </c>
      <c r="D314" s="360" t="s">
        <v>79</v>
      </c>
      <c r="E314" s="360">
        <v>1</v>
      </c>
      <c r="F314" s="360" t="s">
        <v>34</v>
      </c>
      <c r="G314" s="360" t="s">
        <v>32</v>
      </c>
      <c r="H314" s="360" t="s">
        <v>33</v>
      </c>
      <c r="I314" s="360" t="s">
        <v>34</v>
      </c>
      <c r="J314" s="360" t="s">
        <v>34</v>
      </c>
      <c r="K314" s="360" t="s">
        <v>4774</v>
      </c>
      <c r="L314" s="857">
        <v>15628.32</v>
      </c>
      <c r="M314" s="294">
        <v>7814.1592920353796</v>
      </c>
      <c r="N314" s="360">
        <v>2020.03</v>
      </c>
      <c r="O314" s="783" t="s">
        <v>4690</v>
      </c>
      <c r="P314" s="793" t="s">
        <v>6990</v>
      </c>
      <c r="Q314" s="795">
        <v>13485329413</v>
      </c>
      <c r="R314" s="793" t="s">
        <v>4688</v>
      </c>
      <c r="S314" s="780" t="s">
        <v>4670</v>
      </c>
      <c r="T314" s="769"/>
      <c r="U314" s="802"/>
      <c r="V314" s="847"/>
      <c r="W314" s="847"/>
      <c r="X314" s="847"/>
      <c r="Y314" s="847"/>
      <c r="Z314" s="847"/>
      <c r="AA314" s="847"/>
      <c r="AB314" s="847"/>
    </row>
    <row r="315" spans="1:28" ht="24" hidden="1" customHeight="1">
      <c r="A315" s="779"/>
      <c r="B315" s="789" t="s">
        <v>1162</v>
      </c>
      <c r="C315" s="789" t="s">
        <v>4996</v>
      </c>
      <c r="D315" s="360" t="s">
        <v>79</v>
      </c>
      <c r="E315" s="360">
        <v>6</v>
      </c>
      <c r="F315" s="360" t="s">
        <v>34</v>
      </c>
      <c r="G315" s="360" t="s">
        <v>32</v>
      </c>
      <c r="H315" s="360" t="s">
        <v>33</v>
      </c>
      <c r="I315" s="360" t="s">
        <v>34</v>
      </c>
      <c r="J315" s="360" t="s">
        <v>34</v>
      </c>
      <c r="K315" s="360" t="s">
        <v>4774</v>
      </c>
      <c r="L315" s="857">
        <v>119734.51</v>
      </c>
      <c r="M315" s="294">
        <v>59867.256637168</v>
      </c>
      <c r="N315" s="360">
        <v>2020.03</v>
      </c>
      <c r="O315" s="783" t="s">
        <v>4690</v>
      </c>
      <c r="P315" s="793" t="s">
        <v>6990</v>
      </c>
      <c r="Q315" s="795">
        <v>13485329413</v>
      </c>
      <c r="R315" s="793" t="s">
        <v>4688</v>
      </c>
      <c r="S315" s="780" t="s">
        <v>4670</v>
      </c>
      <c r="T315" s="769"/>
      <c r="U315" s="802"/>
      <c r="V315" s="847"/>
      <c r="W315" s="847"/>
      <c r="X315" s="847"/>
      <c r="Y315" s="847"/>
      <c r="Z315" s="847"/>
      <c r="AA315" s="847"/>
      <c r="AB315" s="847"/>
    </row>
    <row r="316" spans="1:28" ht="24" hidden="1" customHeight="1">
      <c r="A316" s="779"/>
      <c r="B316" s="789" t="s">
        <v>1162</v>
      </c>
      <c r="C316" s="789" t="s">
        <v>4996</v>
      </c>
      <c r="D316" s="360" t="s">
        <v>79</v>
      </c>
      <c r="E316" s="360">
        <v>4</v>
      </c>
      <c r="F316" s="360" t="s">
        <v>34</v>
      </c>
      <c r="G316" s="360" t="s">
        <v>32</v>
      </c>
      <c r="H316" s="360" t="s">
        <v>33</v>
      </c>
      <c r="I316" s="360" t="s">
        <v>34</v>
      </c>
      <c r="J316" s="360" t="s">
        <v>34</v>
      </c>
      <c r="K316" s="360" t="s">
        <v>4774</v>
      </c>
      <c r="L316" s="857">
        <v>79469.03</v>
      </c>
      <c r="M316" s="294">
        <v>39734.513274336197</v>
      </c>
      <c r="N316" s="360">
        <v>2020.03</v>
      </c>
      <c r="O316" s="783" t="s">
        <v>4690</v>
      </c>
      <c r="P316" s="793" t="s">
        <v>6990</v>
      </c>
      <c r="Q316" s="795">
        <v>13485329413</v>
      </c>
      <c r="R316" s="793" t="s">
        <v>4688</v>
      </c>
      <c r="S316" s="780" t="s">
        <v>4670</v>
      </c>
      <c r="T316" s="769"/>
      <c r="U316" s="802"/>
      <c r="V316" s="847"/>
      <c r="W316" s="847"/>
      <c r="X316" s="847"/>
      <c r="Y316" s="847"/>
      <c r="Z316" s="847"/>
      <c r="AA316" s="847"/>
      <c r="AB316" s="847"/>
    </row>
    <row r="317" spans="1:28" ht="24" hidden="1" customHeight="1">
      <c r="A317" s="779"/>
      <c r="B317" s="789" t="s">
        <v>1162</v>
      </c>
      <c r="C317" s="789" t="s">
        <v>4996</v>
      </c>
      <c r="D317" s="360" t="s">
        <v>79</v>
      </c>
      <c r="E317" s="360">
        <v>2</v>
      </c>
      <c r="F317" s="360" t="s">
        <v>34</v>
      </c>
      <c r="G317" s="360" t="s">
        <v>32</v>
      </c>
      <c r="H317" s="360" t="s">
        <v>33</v>
      </c>
      <c r="I317" s="360" t="s">
        <v>34</v>
      </c>
      <c r="J317" s="360" t="s">
        <v>34</v>
      </c>
      <c r="K317" s="360" t="s">
        <v>4774</v>
      </c>
      <c r="L317" s="857">
        <v>40247.79</v>
      </c>
      <c r="M317" s="294">
        <v>20123.893805309599</v>
      </c>
      <c r="N317" s="360">
        <v>2020.03</v>
      </c>
      <c r="O317" s="783" t="s">
        <v>4690</v>
      </c>
      <c r="P317" s="793" t="s">
        <v>6990</v>
      </c>
      <c r="Q317" s="795">
        <v>13485329413</v>
      </c>
      <c r="R317" s="793" t="s">
        <v>4688</v>
      </c>
      <c r="S317" s="780" t="s">
        <v>4670</v>
      </c>
      <c r="T317" s="769"/>
      <c r="U317" s="802"/>
      <c r="V317" s="847"/>
      <c r="W317" s="847"/>
      <c r="X317" s="847"/>
      <c r="Y317" s="847"/>
      <c r="Z317" s="847"/>
      <c r="AA317" s="847"/>
      <c r="AB317" s="847"/>
    </row>
    <row r="318" spans="1:28" ht="24" hidden="1" customHeight="1">
      <c r="A318" s="779"/>
      <c r="B318" s="789" t="s">
        <v>1162</v>
      </c>
      <c r="C318" s="789" t="s">
        <v>4996</v>
      </c>
      <c r="D318" s="360" t="s">
        <v>79</v>
      </c>
      <c r="E318" s="360">
        <v>2</v>
      </c>
      <c r="F318" s="360" t="s">
        <v>34</v>
      </c>
      <c r="G318" s="360" t="s">
        <v>32</v>
      </c>
      <c r="H318" s="360" t="s">
        <v>33</v>
      </c>
      <c r="I318" s="360" t="s">
        <v>34</v>
      </c>
      <c r="J318" s="360" t="s">
        <v>34</v>
      </c>
      <c r="K318" s="360" t="s">
        <v>4774</v>
      </c>
      <c r="L318" s="857">
        <v>46902.65</v>
      </c>
      <c r="M318" s="294">
        <v>23451.327433628299</v>
      </c>
      <c r="N318" s="360">
        <v>2020.03</v>
      </c>
      <c r="O318" s="783" t="s">
        <v>4690</v>
      </c>
      <c r="P318" s="793" t="s">
        <v>6990</v>
      </c>
      <c r="Q318" s="795">
        <v>13485329413</v>
      </c>
      <c r="R318" s="793" t="s">
        <v>4688</v>
      </c>
      <c r="S318" s="780" t="s">
        <v>4670</v>
      </c>
      <c r="T318" s="769"/>
      <c r="U318" s="802"/>
      <c r="V318" s="847"/>
      <c r="W318" s="847"/>
      <c r="X318" s="847"/>
      <c r="Y318" s="847"/>
      <c r="Z318" s="847"/>
      <c r="AA318" s="847"/>
      <c r="AB318" s="847"/>
    </row>
    <row r="319" spans="1:28" ht="24" hidden="1" customHeight="1">
      <c r="A319" s="779"/>
      <c r="B319" s="789" t="s">
        <v>1162</v>
      </c>
      <c r="C319" s="1283" t="s">
        <v>4997</v>
      </c>
      <c r="D319" s="1283" t="s">
        <v>79</v>
      </c>
      <c r="E319" s="1283">
        <v>18</v>
      </c>
      <c r="F319" s="360" t="s">
        <v>34</v>
      </c>
      <c r="G319" s="360" t="s">
        <v>32</v>
      </c>
      <c r="H319" s="360" t="s">
        <v>33</v>
      </c>
      <c r="I319" s="360" t="s">
        <v>34</v>
      </c>
      <c r="J319" s="360" t="s">
        <v>34</v>
      </c>
      <c r="K319" s="360" t="s">
        <v>4774</v>
      </c>
      <c r="L319" s="857">
        <v>203893.81</v>
      </c>
      <c r="M319" s="294">
        <v>101946.902654868</v>
      </c>
      <c r="N319" s="360">
        <v>2020.03</v>
      </c>
      <c r="O319" s="783" t="s">
        <v>4690</v>
      </c>
      <c r="P319" s="793" t="s">
        <v>6990</v>
      </c>
      <c r="Q319" s="795">
        <v>13485329413</v>
      </c>
      <c r="R319" s="793" t="s">
        <v>4688</v>
      </c>
      <c r="S319" s="780" t="s">
        <v>4670</v>
      </c>
      <c r="T319" s="769"/>
      <c r="U319" s="802"/>
      <c r="V319" s="847"/>
      <c r="W319" s="847"/>
      <c r="X319" s="847"/>
      <c r="Y319" s="847"/>
      <c r="Z319" s="847"/>
      <c r="AA319" s="847"/>
      <c r="AB319" s="847"/>
    </row>
    <row r="320" spans="1:28" ht="24" hidden="1" customHeight="1">
      <c r="A320" s="779"/>
      <c r="B320" s="789" t="s">
        <v>1162</v>
      </c>
      <c r="C320" s="1283" t="s">
        <v>4998</v>
      </c>
      <c r="D320" s="1283" t="s">
        <v>79</v>
      </c>
      <c r="E320" s="1283">
        <v>6</v>
      </c>
      <c r="F320" s="360" t="s">
        <v>34</v>
      </c>
      <c r="G320" s="360" t="s">
        <v>32</v>
      </c>
      <c r="H320" s="360" t="s">
        <v>33</v>
      </c>
      <c r="I320" s="360" t="s">
        <v>34</v>
      </c>
      <c r="J320" s="360" t="s">
        <v>34</v>
      </c>
      <c r="K320" s="360" t="s">
        <v>4774</v>
      </c>
      <c r="L320" s="857">
        <v>58407.08</v>
      </c>
      <c r="M320" s="294">
        <v>29203.539823008799</v>
      </c>
      <c r="N320" s="360">
        <v>2020.03</v>
      </c>
      <c r="O320" s="783" t="s">
        <v>4690</v>
      </c>
      <c r="P320" s="793" t="s">
        <v>6990</v>
      </c>
      <c r="Q320" s="795">
        <v>13485329413</v>
      </c>
      <c r="R320" s="793" t="s">
        <v>4688</v>
      </c>
      <c r="S320" s="780" t="s">
        <v>4670</v>
      </c>
      <c r="T320" s="769"/>
      <c r="U320" s="802"/>
      <c r="V320" s="847"/>
      <c r="W320" s="847"/>
      <c r="X320" s="847"/>
      <c r="Y320" s="847"/>
      <c r="Z320" s="847"/>
      <c r="AA320" s="847"/>
      <c r="AB320" s="847"/>
    </row>
    <row r="321" spans="1:28" ht="24" hidden="1" customHeight="1">
      <c r="A321" s="779"/>
      <c r="B321" s="789" t="s">
        <v>1162</v>
      </c>
      <c r="C321" s="1283" t="s">
        <v>4997</v>
      </c>
      <c r="D321" s="1283" t="s">
        <v>79</v>
      </c>
      <c r="E321" s="1283">
        <v>1</v>
      </c>
      <c r="F321" s="360" t="s">
        <v>34</v>
      </c>
      <c r="G321" s="360" t="s">
        <v>32</v>
      </c>
      <c r="H321" s="360" t="s">
        <v>33</v>
      </c>
      <c r="I321" s="360" t="s">
        <v>34</v>
      </c>
      <c r="J321" s="360" t="s">
        <v>34</v>
      </c>
      <c r="K321" s="360" t="s">
        <v>4774</v>
      </c>
      <c r="L321" s="857">
        <v>31557.52</v>
      </c>
      <c r="M321" s="294">
        <v>15778.7610619469</v>
      </c>
      <c r="N321" s="360">
        <v>2020.03</v>
      </c>
      <c r="O321" s="783" t="s">
        <v>4690</v>
      </c>
      <c r="P321" s="793" t="s">
        <v>6990</v>
      </c>
      <c r="Q321" s="795">
        <v>13485329413</v>
      </c>
      <c r="R321" s="793" t="s">
        <v>4688</v>
      </c>
      <c r="S321" s="780" t="s">
        <v>4670</v>
      </c>
      <c r="T321" s="769"/>
      <c r="U321" s="802"/>
      <c r="V321" s="847"/>
      <c r="W321" s="847"/>
      <c r="X321" s="847"/>
      <c r="Y321" s="847"/>
      <c r="Z321" s="847"/>
      <c r="AA321" s="847"/>
      <c r="AB321" s="847"/>
    </row>
    <row r="322" spans="1:28" ht="24" hidden="1" customHeight="1">
      <c r="A322" s="779"/>
      <c r="B322" s="789" t="s">
        <v>1162</v>
      </c>
      <c r="C322" s="789" t="s">
        <v>4999</v>
      </c>
      <c r="D322" s="1283" t="s">
        <v>1193</v>
      </c>
      <c r="E322" s="1283">
        <v>343.78</v>
      </c>
      <c r="F322" s="360" t="s">
        <v>34</v>
      </c>
      <c r="G322" s="360" t="s">
        <v>32</v>
      </c>
      <c r="H322" s="360" t="s">
        <v>33</v>
      </c>
      <c r="I322" s="360" t="s">
        <v>34</v>
      </c>
      <c r="J322" s="360" t="s">
        <v>34</v>
      </c>
      <c r="K322" s="360" t="s">
        <v>4774</v>
      </c>
      <c r="L322" s="857">
        <v>176453.46</v>
      </c>
      <c r="M322" s="294">
        <v>88226.725663716905</v>
      </c>
      <c r="N322" s="360">
        <v>2020.03</v>
      </c>
      <c r="O322" s="783" t="s">
        <v>4690</v>
      </c>
      <c r="P322" s="793" t="s">
        <v>6990</v>
      </c>
      <c r="Q322" s="795">
        <v>13485329413</v>
      </c>
      <c r="R322" s="793" t="s">
        <v>4688</v>
      </c>
      <c r="S322" s="780" t="s">
        <v>4670</v>
      </c>
      <c r="T322" s="769"/>
      <c r="U322" s="802"/>
      <c r="V322" s="847"/>
      <c r="W322" s="847"/>
      <c r="X322" s="847"/>
      <c r="Y322" s="847"/>
      <c r="Z322" s="847"/>
      <c r="AA322" s="847"/>
      <c r="AB322" s="847"/>
    </row>
    <row r="323" spans="1:28" ht="24" hidden="1" customHeight="1">
      <c r="A323" s="779"/>
      <c r="B323" s="789" t="s">
        <v>1162</v>
      </c>
      <c r="C323" s="1283" t="s">
        <v>5000</v>
      </c>
      <c r="D323" s="1283" t="s">
        <v>79</v>
      </c>
      <c r="E323" s="1283">
        <v>2</v>
      </c>
      <c r="F323" s="360" t="s">
        <v>34</v>
      </c>
      <c r="G323" s="360" t="s">
        <v>32</v>
      </c>
      <c r="H323" s="360" t="s">
        <v>33</v>
      </c>
      <c r="I323" s="360" t="s">
        <v>34</v>
      </c>
      <c r="J323" s="360" t="s">
        <v>34</v>
      </c>
      <c r="K323" s="360" t="s">
        <v>4774</v>
      </c>
      <c r="L323" s="857">
        <v>6017.7</v>
      </c>
      <c r="M323" s="294">
        <v>3008.84955752212</v>
      </c>
      <c r="N323" s="360">
        <v>2020.03</v>
      </c>
      <c r="O323" s="783" t="s">
        <v>4690</v>
      </c>
      <c r="P323" s="793" t="s">
        <v>6990</v>
      </c>
      <c r="Q323" s="795">
        <v>13485329413</v>
      </c>
      <c r="R323" s="793" t="s">
        <v>4688</v>
      </c>
      <c r="S323" s="780" t="s">
        <v>4670</v>
      </c>
      <c r="T323" s="769"/>
      <c r="U323" s="802"/>
      <c r="V323" s="847"/>
      <c r="W323" s="847"/>
      <c r="X323" s="847"/>
      <c r="Y323" s="847"/>
      <c r="Z323" s="847"/>
      <c r="AA323" s="847"/>
      <c r="AB323" s="847"/>
    </row>
    <row r="324" spans="1:28" ht="24" hidden="1" customHeight="1">
      <c r="A324" s="779"/>
      <c r="B324" s="789" t="s">
        <v>1162</v>
      </c>
      <c r="C324" s="792" t="s">
        <v>4940</v>
      </c>
      <c r="D324" s="1283" t="s">
        <v>79</v>
      </c>
      <c r="E324" s="1283">
        <v>67</v>
      </c>
      <c r="F324" s="360" t="s">
        <v>34</v>
      </c>
      <c r="G324" s="360" t="s">
        <v>32</v>
      </c>
      <c r="H324" s="360" t="s">
        <v>33</v>
      </c>
      <c r="I324" s="360" t="s">
        <v>34</v>
      </c>
      <c r="J324" s="360" t="s">
        <v>34</v>
      </c>
      <c r="K324" s="360" t="s">
        <v>4774</v>
      </c>
      <c r="L324" s="857">
        <v>10969.03</v>
      </c>
      <c r="M324" s="294">
        <v>5484.5132743363001</v>
      </c>
      <c r="N324" s="360">
        <v>2020.03</v>
      </c>
      <c r="O324" s="783" t="s">
        <v>4690</v>
      </c>
      <c r="P324" s="793" t="s">
        <v>6990</v>
      </c>
      <c r="Q324" s="795">
        <v>13485329413</v>
      </c>
      <c r="R324" s="793" t="s">
        <v>4688</v>
      </c>
      <c r="S324" s="780" t="s">
        <v>4670</v>
      </c>
      <c r="T324" s="769"/>
      <c r="U324" s="798"/>
      <c r="V324" s="847"/>
      <c r="W324" s="847"/>
      <c r="X324" s="847"/>
      <c r="Y324" s="847"/>
      <c r="Z324" s="847"/>
      <c r="AA324" s="847"/>
      <c r="AB324" s="847"/>
    </row>
    <row r="325" spans="1:28" ht="24" hidden="1" customHeight="1">
      <c r="A325" s="779"/>
      <c r="B325" s="769" t="s">
        <v>1162</v>
      </c>
      <c r="C325" s="882" t="s">
        <v>4952</v>
      </c>
      <c r="D325" s="882" t="s">
        <v>131</v>
      </c>
      <c r="E325" s="882">
        <v>22</v>
      </c>
      <c r="F325" s="769" t="s">
        <v>34</v>
      </c>
      <c r="G325" s="769" t="s">
        <v>32</v>
      </c>
      <c r="H325" s="769" t="s">
        <v>33</v>
      </c>
      <c r="I325" s="882" t="s">
        <v>6888</v>
      </c>
      <c r="J325" s="769" t="s">
        <v>5001</v>
      </c>
      <c r="K325" s="882" t="s">
        <v>4774</v>
      </c>
      <c r="L325" s="857">
        <v>383539.82300884998</v>
      </c>
      <c r="M325" s="883">
        <v>191769.91150442499</v>
      </c>
      <c r="N325" s="360">
        <v>2019.08</v>
      </c>
      <c r="O325" s="769" t="s">
        <v>6991</v>
      </c>
      <c r="P325" s="793" t="s">
        <v>6992</v>
      </c>
      <c r="Q325" s="884" t="s">
        <v>6993</v>
      </c>
      <c r="R325" s="793" t="s">
        <v>5002</v>
      </c>
      <c r="S325" s="780" t="s">
        <v>4670</v>
      </c>
      <c r="T325" s="769"/>
      <c r="U325" s="798"/>
      <c r="V325" s="847"/>
      <c r="W325" s="847"/>
      <c r="X325" s="847"/>
      <c r="Y325" s="847"/>
      <c r="Z325" s="847"/>
      <c r="AA325" s="847"/>
      <c r="AB325" s="847"/>
    </row>
    <row r="326" spans="1:28" ht="24" hidden="1" customHeight="1">
      <c r="A326" s="779"/>
      <c r="B326" s="769" t="s">
        <v>1162</v>
      </c>
      <c r="C326" s="882" t="s">
        <v>4952</v>
      </c>
      <c r="D326" s="882" t="s">
        <v>131</v>
      </c>
      <c r="E326" s="882">
        <v>3</v>
      </c>
      <c r="F326" s="769" t="s">
        <v>34</v>
      </c>
      <c r="G326" s="769" t="s">
        <v>32</v>
      </c>
      <c r="H326" s="769" t="s">
        <v>33</v>
      </c>
      <c r="I326" s="882" t="s">
        <v>6888</v>
      </c>
      <c r="J326" s="769" t="s">
        <v>5001</v>
      </c>
      <c r="K326" s="882" t="s">
        <v>4774</v>
      </c>
      <c r="L326" s="857">
        <v>62654.867256637197</v>
      </c>
      <c r="M326" s="883">
        <v>31327.433628318598</v>
      </c>
      <c r="N326" s="360">
        <v>2019.08</v>
      </c>
      <c r="O326" s="769" t="s">
        <v>5003</v>
      </c>
      <c r="P326" s="793" t="s">
        <v>6992</v>
      </c>
      <c r="Q326" s="884" t="s">
        <v>6993</v>
      </c>
      <c r="R326" s="793" t="s">
        <v>5002</v>
      </c>
      <c r="S326" s="780" t="s">
        <v>4670</v>
      </c>
      <c r="T326" s="769"/>
      <c r="U326" s="798"/>
      <c r="V326" s="847"/>
      <c r="W326" s="847"/>
      <c r="X326" s="847"/>
      <c r="Y326" s="847"/>
      <c r="Z326" s="847"/>
      <c r="AA326" s="847"/>
      <c r="AB326" s="847"/>
    </row>
    <row r="327" spans="1:28" ht="24" hidden="1" customHeight="1">
      <c r="A327" s="779"/>
      <c r="B327" s="769" t="s">
        <v>1162</v>
      </c>
      <c r="C327" s="882" t="s">
        <v>4952</v>
      </c>
      <c r="D327" s="882" t="s">
        <v>131</v>
      </c>
      <c r="E327" s="882">
        <v>4</v>
      </c>
      <c r="F327" s="769" t="s">
        <v>34</v>
      </c>
      <c r="G327" s="769" t="s">
        <v>32</v>
      </c>
      <c r="H327" s="769" t="s">
        <v>33</v>
      </c>
      <c r="I327" s="882" t="s">
        <v>6888</v>
      </c>
      <c r="J327" s="769" t="s">
        <v>5001</v>
      </c>
      <c r="K327" s="882" t="s">
        <v>4774</v>
      </c>
      <c r="L327" s="857">
        <v>66548.672566371606</v>
      </c>
      <c r="M327" s="883">
        <v>33274.336283185898</v>
      </c>
      <c r="N327" s="360">
        <v>2019.08</v>
      </c>
      <c r="O327" s="769" t="s">
        <v>5003</v>
      </c>
      <c r="P327" s="793" t="s">
        <v>6992</v>
      </c>
      <c r="Q327" s="884" t="s">
        <v>6993</v>
      </c>
      <c r="R327" s="793" t="s">
        <v>5002</v>
      </c>
      <c r="S327" s="780" t="s">
        <v>4670</v>
      </c>
      <c r="T327" s="769"/>
      <c r="U327" s="798"/>
      <c r="V327" s="847"/>
      <c r="W327" s="847"/>
      <c r="X327" s="847"/>
      <c r="Y327" s="847"/>
      <c r="Z327" s="847"/>
      <c r="AA327" s="847"/>
      <c r="AB327" s="847"/>
    </row>
    <row r="328" spans="1:28" ht="24" hidden="1" customHeight="1">
      <c r="A328" s="779"/>
      <c r="B328" s="769" t="s">
        <v>1162</v>
      </c>
      <c r="C328" s="882" t="s">
        <v>4952</v>
      </c>
      <c r="D328" s="882" t="s">
        <v>131</v>
      </c>
      <c r="E328" s="882">
        <v>2</v>
      </c>
      <c r="F328" s="769" t="s">
        <v>34</v>
      </c>
      <c r="G328" s="769" t="s">
        <v>32</v>
      </c>
      <c r="H328" s="769" t="s">
        <v>33</v>
      </c>
      <c r="I328" s="882" t="s">
        <v>6888</v>
      </c>
      <c r="J328" s="769" t="s">
        <v>5001</v>
      </c>
      <c r="K328" s="882" t="s">
        <v>4774</v>
      </c>
      <c r="L328" s="857">
        <v>33982.300884955803</v>
      </c>
      <c r="M328" s="883">
        <v>16991.150442477901</v>
      </c>
      <c r="N328" s="360">
        <v>2019.08</v>
      </c>
      <c r="O328" s="769" t="s">
        <v>5003</v>
      </c>
      <c r="P328" s="793" t="s">
        <v>6992</v>
      </c>
      <c r="Q328" s="884" t="s">
        <v>6993</v>
      </c>
      <c r="R328" s="793" t="s">
        <v>5002</v>
      </c>
      <c r="S328" s="780" t="s">
        <v>4670</v>
      </c>
      <c r="T328" s="769"/>
      <c r="U328" s="798"/>
      <c r="V328" s="847"/>
      <c r="W328" s="847"/>
      <c r="X328" s="847"/>
      <c r="Y328" s="847"/>
      <c r="Z328" s="847"/>
      <c r="AA328" s="847"/>
      <c r="AB328" s="847"/>
    </row>
    <row r="329" spans="1:28" ht="24" hidden="1" customHeight="1">
      <c r="A329" s="779"/>
      <c r="B329" s="769" t="s">
        <v>1162</v>
      </c>
      <c r="C329" s="882" t="s">
        <v>5004</v>
      </c>
      <c r="D329" s="882" t="s">
        <v>131</v>
      </c>
      <c r="E329" s="882">
        <v>2</v>
      </c>
      <c r="F329" s="769" t="s">
        <v>34</v>
      </c>
      <c r="G329" s="769" t="s">
        <v>32</v>
      </c>
      <c r="H329" s="769" t="s">
        <v>33</v>
      </c>
      <c r="I329" s="882" t="s">
        <v>6888</v>
      </c>
      <c r="J329" s="769" t="s">
        <v>5001</v>
      </c>
      <c r="K329" s="882" t="s">
        <v>4774</v>
      </c>
      <c r="L329" s="857">
        <v>31327.433628318598</v>
      </c>
      <c r="M329" s="883">
        <v>15663.716814159299</v>
      </c>
      <c r="N329" s="360">
        <v>2019.08</v>
      </c>
      <c r="O329" s="769" t="s">
        <v>5003</v>
      </c>
      <c r="P329" s="793" t="s">
        <v>6992</v>
      </c>
      <c r="Q329" s="884" t="s">
        <v>6993</v>
      </c>
      <c r="R329" s="793" t="s">
        <v>5002</v>
      </c>
      <c r="S329" s="780" t="s">
        <v>4670</v>
      </c>
      <c r="T329" s="769"/>
      <c r="U329" s="798"/>
      <c r="V329" s="847"/>
      <c r="W329" s="847"/>
      <c r="X329" s="847"/>
      <c r="Y329" s="847"/>
      <c r="Z329" s="847"/>
      <c r="AA329" s="847"/>
      <c r="AB329" s="847"/>
    </row>
    <row r="330" spans="1:28" ht="24" hidden="1" customHeight="1">
      <c r="A330" s="779"/>
      <c r="B330" s="769" t="s">
        <v>1162</v>
      </c>
      <c r="C330" s="882" t="s">
        <v>4952</v>
      </c>
      <c r="D330" s="882" t="s">
        <v>131</v>
      </c>
      <c r="E330" s="882">
        <v>19</v>
      </c>
      <c r="F330" s="769" t="s">
        <v>34</v>
      </c>
      <c r="G330" s="769" t="s">
        <v>32</v>
      </c>
      <c r="H330" s="769" t="s">
        <v>33</v>
      </c>
      <c r="I330" s="882" t="s">
        <v>6888</v>
      </c>
      <c r="J330" s="769" t="s">
        <v>5001</v>
      </c>
      <c r="K330" s="882" t="s">
        <v>4774</v>
      </c>
      <c r="L330" s="857">
        <v>306017.69911504397</v>
      </c>
      <c r="M330" s="883">
        <v>153008.84955752199</v>
      </c>
      <c r="N330" s="360">
        <v>2019.08</v>
      </c>
      <c r="O330" s="769" t="s">
        <v>5003</v>
      </c>
      <c r="P330" s="793" t="s">
        <v>6992</v>
      </c>
      <c r="Q330" s="884" t="s">
        <v>6993</v>
      </c>
      <c r="R330" s="793" t="s">
        <v>5002</v>
      </c>
      <c r="S330" s="780" t="s">
        <v>4670</v>
      </c>
      <c r="T330" s="769"/>
      <c r="U330" s="798"/>
      <c r="V330" s="847"/>
      <c r="W330" s="847"/>
      <c r="X330" s="847"/>
      <c r="Y330" s="847"/>
      <c r="Z330" s="847"/>
      <c r="AA330" s="847"/>
      <c r="AB330" s="847"/>
    </row>
    <row r="331" spans="1:28" ht="24" hidden="1" customHeight="1">
      <c r="A331" s="779"/>
      <c r="B331" s="769" t="s">
        <v>1162</v>
      </c>
      <c r="C331" s="882" t="s">
        <v>4952</v>
      </c>
      <c r="D331" s="882" t="s">
        <v>131</v>
      </c>
      <c r="E331" s="882">
        <v>2</v>
      </c>
      <c r="F331" s="769" t="s">
        <v>34</v>
      </c>
      <c r="G331" s="769" t="s">
        <v>32</v>
      </c>
      <c r="H331" s="769" t="s">
        <v>33</v>
      </c>
      <c r="I331" s="882" t="s">
        <v>6888</v>
      </c>
      <c r="J331" s="769" t="s">
        <v>5001</v>
      </c>
      <c r="K331" s="882" t="s">
        <v>4774</v>
      </c>
      <c r="L331" s="857">
        <v>31681.415929203598</v>
      </c>
      <c r="M331" s="883">
        <v>15840.707964601699</v>
      </c>
      <c r="N331" s="360">
        <v>2019.08</v>
      </c>
      <c r="O331" s="769" t="s">
        <v>5003</v>
      </c>
      <c r="P331" s="793" t="s">
        <v>6992</v>
      </c>
      <c r="Q331" s="884" t="s">
        <v>6993</v>
      </c>
      <c r="R331" s="793" t="s">
        <v>5002</v>
      </c>
      <c r="S331" s="780" t="s">
        <v>4670</v>
      </c>
      <c r="T331" s="769"/>
      <c r="U331" s="798"/>
      <c r="V331" s="847"/>
      <c r="W331" s="847"/>
      <c r="X331" s="847"/>
      <c r="Y331" s="847"/>
      <c r="Z331" s="847"/>
      <c r="AA331" s="847"/>
      <c r="AB331" s="847"/>
    </row>
    <row r="332" spans="1:28" ht="24" hidden="1" customHeight="1">
      <c r="A332" s="779"/>
      <c r="B332" s="769" t="s">
        <v>1162</v>
      </c>
      <c r="C332" s="882" t="s">
        <v>4979</v>
      </c>
      <c r="D332" s="882" t="s">
        <v>131</v>
      </c>
      <c r="E332" s="882">
        <v>1</v>
      </c>
      <c r="F332" s="769" t="s">
        <v>34</v>
      </c>
      <c r="G332" s="769" t="s">
        <v>32</v>
      </c>
      <c r="H332" s="769" t="s">
        <v>33</v>
      </c>
      <c r="I332" s="882" t="s">
        <v>6888</v>
      </c>
      <c r="J332" s="769" t="s">
        <v>5001</v>
      </c>
      <c r="K332" s="882" t="s">
        <v>4774</v>
      </c>
      <c r="L332" s="857">
        <v>47566.371681415898</v>
      </c>
      <c r="M332" s="883">
        <v>23783.185840708</v>
      </c>
      <c r="N332" s="360">
        <v>2019.08</v>
      </c>
      <c r="O332" s="769" t="s">
        <v>5003</v>
      </c>
      <c r="P332" s="793" t="s">
        <v>6992</v>
      </c>
      <c r="Q332" s="884" t="s">
        <v>6993</v>
      </c>
      <c r="R332" s="793" t="s">
        <v>5002</v>
      </c>
      <c r="S332" s="780" t="s">
        <v>4670</v>
      </c>
      <c r="T332" s="769"/>
      <c r="U332" s="798"/>
      <c r="V332" s="847"/>
      <c r="W332" s="847"/>
      <c r="X332" s="847"/>
      <c r="Y332" s="847"/>
      <c r="Z332" s="847"/>
      <c r="AA332" s="847"/>
      <c r="AB332" s="847"/>
    </row>
    <row r="333" spans="1:28" ht="24" hidden="1" customHeight="1">
      <c r="A333" s="779"/>
      <c r="B333" s="769" t="s">
        <v>1162</v>
      </c>
      <c r="C333" s="882" t="s">
        <v>4952</v>
      </c>
      <c r="D333" s="882" t="s">
        <v>131</v>
      </c>
      <c r="E333" s="882">
        <v>1</v>
      </c>
      <c r="F333" s="769" t="s">
        <v>34</v>
      </c>
      <c r="G333" s="769" t="s">
        <v>32</v>
      </c>
      <c r="H333" s="769" t="s">
        <v>33</v>
      </c>
      <c r="I333" s="882" t="s">
        <v>6888</v>
      </c>
      <c r="J333" s="769" t="s">
        <v>5001</v>
      </c>
      <c r="K333" s="882" t="s">
        <v>4774</v>
      </c>
      <c r="L333" s="857">
        <v>25486.725663716799</v>
      </c>
      <c r="M333" s="883">
        <v>12743.3628318584</v>
      </c>
      <c r="N333" s="360">
        <v>2019.08</v>
      </c>
      <c r="O333" s="769" t="s">
        <v>5003</v>
      </c>
      <c r="P333" s="793" t="s">
        <v>6992</v>
      </c>
      <c r="Q333" s="884" t="s">
        <v>6993</v>
      </c>
      <c r="R333" s="793" t="s">
        <v>5002</v>
      </c>
      <c r="S333" s="780" t="s">
        <v>4670</v>
      </c>
      <c r="T333" s="769"/>
      <c r="U333" s="798"/>
      <c r="V333" s="847"/>
      <c r="W333" s="847"/>
      <c r="X333" s="847"/>
      <c r="Y333" s="847"/>
      <c r="Z333" s="847"/>
      <c r="AA333" s="847"/>
      <c r="AB333" s="847"/>
    </row>
    <row r="334" spans="1:28" ht="24" hidden="1" customHeight="1">
      <c r="A334" s="779"/>
      <c r="B334" s="769" t="s">
        <v>1162</v>
      </c>
      <c r="C334" s="882" t="s">
        <v>4979</v>
      </c>
      <c r="D334" s="882" t="s">
        <v>131</v>
      </c>
      <c r="E334" s="882">
        <v>1</v>
      </c>
      <c r="F334" s="769" t="s">
        <v>34</v>
      </c>
      <c r="G334" s="769" t="s">
        <v>32</v>
      </c>
      <c r="H334" s="769" t="s">
        <v>33</v>
      </c>
      <c r="I334" s="882" t="s">
        <v>6888</v>
      </c>
      <c r="J334" s="769" t="s">
        <v>5001</v>
      </c>
      <c r="K334" s="882" t="s">
        <v>4774</v>
      </c>
      <c r="L334" s="857">
        <v>51327.433628318598</v>
      </c>
      <c r="M334" s="883">
        <v>25663.716814159299</v>
      </c>
      <c r="N334" s="360">
        <v>2019.08</v>
      </c>
      <c r="O334" s="769" t="s">
        <v>5003</v>
      </c>
      <c r="P334" s="793" t="s">
        <v>6992</v>
      </c>
      <c r="Q334" s="884" t="s">
        <v>6993</v>
      </c>
      <c r="R334" s="793" t="s">
        <v>5002</v>
      </c>
      <c r="S334" s="780" t="s">
        <v>4670</v>
      </c>
      <c r="T334" s="769"/>
      <c r="U334" s="798"/>
      <c r="V334" s="847"/>
      <c r="W334" s="847"/>
      <c r="X334" s="847"/>
      <c r="Y334" s="847"/>
      <c r="Z334" s="847"/>
      <c r="AA334" s="847"/>
      <c r="AB334" s="847"/>
    </row>
    <row r="335" spans="1:28" ht="24" hidden="1" customHeight="1">
      <c r="A335" s="779"/>
      <c r="B335" s="769" t="s">
        <v>1162</v>
      </c>
      <c r="C335" s="882" t="s">
        <v>4952</v>
      </c>
      <c r="D335" s="882" t="s">
        <v>131</v>
      </c>
      <c r="E335" s="882">
        <v>1</v>
      </c>
      <c r="F335" s="769" t="s">
        <v>34</v>
      </c>
      <c r="G335" s="769" t="s">
        <v>32</v>
      </c>
      <c r="H335" s="769" t="s">
        <v>33</v>
      </c>
      <c r="I335" s="882" t="s">
        <v>6888</v>
      </c>
      <c r="J335" s="769" t="s">
        <v>5001</v>
      </c>
      <c r="K335" s="882" t="s">
        <v>4774</v>
      </c>
      <c r="L335" s="857">
        <v>27876.106194690299</v>
      </c>
      <c r="M335" s="883">
        <v>13938.053097345201</v>
      </c>
      <c r="N335" s="360">
        <v>2019.08</v>
      </c>
      <c r="O335" s="769" t="s">
        <v>5003</v>
      </c>
      <c r="P335" s="793" t="s">
        <v>6992</v>
      </c>
      <c r="Q335" s="884" t="s">
        <v>6993</v>
      </c>
      <c r="R335" s="793" t="s">
        <v>5002</v>
      </c>
      <c r="S335" s="780" t="s">
        <v>4670</v>
      </c>
      <c r="T335" s="769"/>
      <c r="U335" s="798"/>
      <c r="V335" s="847"/>
      <c r="W335" s="847"/>
      <c r="X335" s="847"/>
      <c r="Y335" s="847"/>
      <c r="Z335" s="847"/>
      <c r="AA335" s="847"/>
      <c r="AB335" s="847"/>
    </row>
    <row r="336" spans="1:28" ht="24" hidden="1" customHeight="1">
      <c r="A336" s="779"/>
      <c r="B336" s="769" t="s">
        <v>1162</v>
      </c>
      <c r="C336" s="882" t="s">
        <v>5004</v>
      </c>
      <c r="D336" s="882" t="s">
        <v>131</v>
      </c>
      <c r="E336" s="882">
        <v>6</v>
      </c>
      <c r="F336" s="769" t="s">
        <v>34</v>
      </c>
      <c r="G336" s="769" t="s">
        <v>32</v>
      </c>
      <c r="H336" s="769" t="s">
        <v>33</v>
      </c>
      <c r="I336" s="882" t="s">
        <v>6888</v>
      </c>
      <c r="J336" s="769" t="s">
        <v>5001</v>
      </c>
      <c r="K336" s="882" t="s">
        <v>4774</v>
      </c>
      <c r="L336" s="857">
        <v>96637.168141593007</v>
      </c>
      <c r="M336" s="883">
        <v>48318.584070796402</v>
      </c>
      <c r="N336" s="360">
        <v>2019.08</v>
      </c>
      <c r="O336" s="769" t="s">
        <v>5003</v>
      </c>
      <c r="P336" s="793" t="s">
        <v>6992</v>
      </c>
      <c r="Q336" s="884" t="s">
        <v>6993</v>
      </c>
      <c r="R336" s="793" t="s">
        <v>5002</v>
      </c>
      <c r="S336" s="780" t="s">
        <v>4670</v>
      </c>
      <c r="T336" s="769"/>
      <c r="U336" s="798"/>
      <c r="V336" s="847"/>
      <c r="W336" s="847"/>
      <c r="X336" s="847"/>
      <c r="Y336" s="847"/>
      <c r="Z336" s="847"/>
      <c r="AA336" s="847"/>
      <c r="AB336" s="847"/>
    </row>
    <row r="337" spans="1:28" ht="24" hidden="1" customHeight="1">
      <c r="A337" s="779"/>
      <c r="B337" s="769" t="s">
        <v>1162</v>
      </c>
      <c r="C337" s="885" t="s">
        <v>4995</v>
      </c>
      <c r="D337" s="882" t="s">
        <v>79</v>
      </c>
      <c r="E337" s="882">
        <v>1</v>
      </c>
      <c r="F337" s="769" t="s">
        <v>34</v>
      </c>
      <c r="G337" s="769" t="s">
        <v>32</v>
      </c>
      <c r="H337" s="769" t="s">
        <v>33</v>
      </c>
      <c r="I337" s="882" t="s">
        <v>6888</v>
      </c>
      <c r="J337" s="769" t="s">
        <v>5001</v>
      </c>
      <c r="K337" s="882" t="s">
        <v>4774</v>
      </c>
      <c r="L337" s="857">
        <v>25044.247787610599</v>
      </c>
      <c r="M337" s="883">
        <v>12522.123893805299</v>
      </c>
      <c r="N337" s="360">
        <v>2019.08</v>
      </c>
      <c r="O337" s="769" t="s">
        <v>5003</v>
      </c>
      <c r="P337" s="793" t="s">
        <v>6992</v>
      </c>
      <c r="Q337" s="884" t="s">
        <v>6993</v>
      </c>
      <c r="R337" s="793" t="s">
        <v>5002</v>
      </c>
      <c r="S337" s="780" t="s">
        <v>4670</v>
      </c>
      <c r="T337" s="769"/>
      <c r="U337" s="798"/>
      <c r="V337" s="847"/>
      <c r="W337" s="847"/>
      <c r="X337" s="847"/>
      <c r="Y337" s="847"/>
      <c r="Z337" s="847"/>
      <c r="AA337" s="847"/>
      <c r="AB337" s="847"/>
    </row>
    <row r="338" spans="1:28" ht="24" hidden="1" customHeight="1">
      <c r="A338" s="779"/>
      <c r="B338" s="769" t="s">
        <v>1162</v>
      </c>
      <c r="C338" s="769" t="s">
        <v>5005</v>
      </c>
      <c r="D338" s="769" t="s">
        <v>79</v>
      </c>
      <c r="E338" s="769">
        <v>15</v>
      </c>
      <c r="F338" s="769" t="s">
        <v>34</v>
      </c>
      <c r="G338" s="769" t="s">
        <v>32</v>
      </c>
      <c r="H338" s="769" t="s">
        <v>33</v>
      </c>
      <c r="I338" s="882" t="s">
        <v>6888</v>
      </c>
      <c r="J338" s="769" t="s">
        <v>5001</v>
      </c>
      <c r="K338" s="882" t="s">
        <v>4774</v>
      </c>
      <c r="L338" s="857">
        <v>169911.50442477901</v>
      </c>
      <c r="M338" s="883">
        <v>84955.752212389503</v>
      </c>
      <c r="N338" s="360">
        <v>2019.08</v>
      </c>
      <c r="O338" s="769" t="s">
        <v>5003</v>
      </c>
      <c r="P338" s="793" t="s">
        <v>6992</v>
      </c>
      <c r="Q338" s="884" t="s">
        <v>6993</v>
      </c>
      <c r="R338" s="793" t="s">
        <v>5002</v>
      </c>
      <c r="S338" s="780" t="s">
        <v>4670</v>
      </c>
      <c r="T338" s="769"/>
      <c r="U338" s="798"/>
      <c r="V338" s="847"/>
      <c r="W338" s="847"/>
      <c r="X338" s="847"/>
      <c r="Y338" s="847"/>
      <c r="Z338" s="847"/>
      <c r="AA338" s="847"/>
      <c r="AB338" s="847"/>
    </row>
    <row r="339" spans="1:28" ht="24" hidden="1" customHeight="1">
      <c r="A339" s="779"/>
      <c r="B339" s="769" t="s">
        <v>1162</v>
      </c>
      <c r="C339" s="769" t="s">
        <v>5006</v>
      </c>
      <c r="D339" s="769" t="s">
        <v>79</v>
      </c>
      <c r="E339" s="769">
        <v>3</v>
      </c>
      <c r="F339" s="769" t="s">
        <v>34</v>
      </c>
      <c r="G339" s="769" t="s">
        <v>32</v>
      </c>
      <c r="H339" s="769" t="s">
        <v>33</v>
      </c>
      <c r="I339" s="882" t="s">
        <v>6888</v>
      </c>
      <c r="J339" s="769" t="s">
        <v>5001</v>
      </c>
      <c r="K339" s="882" t="s">
        <v>4774</v>
      </c>
      <c r="L339" s="857">
        <v>29203.539823008799</v>
      </c>
      <c r="M339" s="883">
        <v>14601.7699115045</v>
      </c>
      <c r="N339" s="360">
        <v>2019.08</v>
      </c>
      <c r="O339" s="769" t="s">
        <v>5003</v>
      </c>
      <c r="P339" s="793" t="s">
        <v>6992</v>
      </c>
      <c r="Q339" s="884" t="s">
        <v>6993</v>
      </c>
      <c r="R339" s="793" t="s">
        <v>5002</v>
      </c>
      <c r="S339" s="780" t="s">
        <v>4670</v>
      </c>
      <c r="T339" s="769"/>
      <c r="U339" s="798"/>
    </row>
    <row r="340" spans="1:28" ht="24" hidden="1" customHeight="1">
      <c r="A340" s="779"/>
      <c r="B340" s="769" t="s">
        <v>1162</v>
      </c>
      <c r="C340" s="769" t="s">
        <v>5007</v>
      </c>
      <c r="D340" s="769" t="s">
        <v>79</v>
      </c>
      <c r="E340" s="769">
        <v>3</v>
      </c>
      <c r="F340" s="769" t="s">
        <v>34</v>
      </c>
      <c r="G340" s="769" t="s">
        <v>32</v>
      </c>
      <c r="H340" s="769" t="s">
        <v>33</v>
      </c>
      <c r="I340" s="882" t="s">
        <v>6888</v>
      </c>
      <c r="J340" s="769" t="s">
        <v>5001</v>
      </c>
      <c r="K340" s="882" t="s">
        <v>4774</v>
      </c>
      <c r="L340" s="857">
        <v>2389.3805309734498</v>
      </c>
      <c r="M340" s="883">
        <v>1194.6902654867199</v>
      </c>
      <c r="N340" s="360">
        <v>2019.08</v>
      </c>
      <c r="O340" s="769" t="s">
        <v>6991</v>
      </c>
      <c r="P340" s="793" t="s">
        <v>6992</v>
      </c>
      <c r="Q340" s="884" t="s">
        <v>6993</v>
      </c>
      <c r="R340" s="793" t="s">
        <v>5002</v>
      </c>
      <c r="S340" s="780" t="s">
        <v>4670</v>
      </c>
      <c r="T340" s="769"/>
      <c r="U340" s="798"/>
    </row>
    <row r="341" spans="1:28" ht="24" hidden="1" customHeight="1">
      <c r="A341" s="779"/>
      <c r="B341" s="769" t="s">
        <v>1162</v>
      </c>
      <c r="C341" s="769" t="s">
        <v>5008</v>
      </c>
      <c r="D341" s="769" t="s">
        <v>79</v>
      </c>
      <c r="E341" s="769">
        <v>3</v>
      </c>
      <c r="F341" s="769" t="s">
        <v>34</v>
      </c>
      <c r="G341" s="769" t="s">
        <v>32</v>
      </c>
      <c r="H341" s="769" t="s">
        <v>33</v>
      </c>
      <c r="I341" s="882" t="s">
        <v>6888</v>
      </c>
      <c r="J341" s="769" t="s">
        <v>5001</v>
      </c>
      <c r="K341" s="882" t="s">
        <v>4774</v>
      </c>
      <c r="L341" s="857">
        <v>1327.4336283185901</v>
      </c>
      <c r="M341" s="883">
        <v>663.71681415928697</v>
      </c>
      <c r="N341" s="360">
        <v>2019.08</v>
      </c>
      <c r="O341" s="769" t="s">
        <v>6991</v>
      </c>
      <c r="P341" s="793" t="s">
        <v>6992</v>
      </c>
      <c r="Q341" s="884" t="s">
        <v>6993</v>
      </c>
      <c r="R341" s="793" t="s">
        <v>5002</v>
      </c>
      <c r="S341" s="780" t="s">
        <v>4670</v>
      </c>
      <c r="T341" s="769"/>
      <c r="U341" s="798"/>
    </row>
    <row r="342" spans="1:28" ht="24" hidden="1" customHeight="1">
      <c r="A342" s="779"/>
      <c r="B342" s="769" t="s">
        <v>1162</v>
      </c>
      <c r="C342" s="769" t="s">
        <v>5009</v>
      </c>
      <c r="D342" s="769" t="s">
        <v>79</v>
      </c>
      <c r="E342" s="769">
        <v>1</v>
      </c>
      <c r="F342" s="769" t="s">
        <v>34</v>
      </c>
      <c r="G342" s="769" t="s">
        <v>32</v>
      </c>
      <c r="H342" s="769" t="s">
        <v>33</v>
      </c>
      <c r="I342" s="882" t="s">
        <v>6888</v>
      </c>
      <c r="J342" s="769" t="s">
        <v>5001</v>
      </c>
      <c r="K342" s="882" t="s">
        <v>4774</v>
      </c>
      <c r="L342" s="857">
        <v>16460.176991150402</v>
      </c>
      <c r="M342" s="883">
        <v>8230.0884955752008</v>
      </c>
      <c r="N342" s="360">
        <v>2019.09</v>
      </c>
      <c r="O342" s="769" t="s">
        <v>6991</v>
      </c>
      <c r="P342" s="793" t="s">
        <v>6992</v>
      </c>
      <c r="Q342" s="884" t="s">
        <v>6993</v>
      </c>
      <c r="R342" s="793" t="s">
        <v>5002</v>
      </c>
      <c r="S342" s="780" t="s">
        <v>4670</v>
      </c>
      <c r="T342" s="769"/>
      <c r="U342" s="798"/>
    </row>
    <row r="343" spans="1:28" ht="24" hidden="1" customHeight="1">
      <c r="A343" s="779"/>
      <c r="B343" s="769" t="s">
        <v>1162</v>
      </c>
      <c r="C343" s="769" t="s">
        <v>5004</v>
      </c>
      <c r="D343" s="769" t="s">
        <v>4006</v>
      </c>
      <c r="E343" s="769">
        <v>1</v>
      </c>
      <c r="F343" s="769" t="s">
        <v>34</v>
      </c>
      <c r="G343" s="769" t="s">
        <v>32</v>
      </c>
      <c r="H343" s="769" t="s">
        <v>33</v>
      </c>
      <c r="I343" s="882" t="s">
        <v>6888</v>
      </c>
      <c r="J343" s="769" t="s">
        <v>5001</v>
      </c>
      <c r="K343" s="882" t="s">
        <v>4774</v>
      </c>
      <c r="L343" s="857">
        <v>35663.716814159299</v>
      </c>
      <c r="M343" s="883">
        <v>17831.858407079701</v>
      </c>
      <c r="N343" s="360">
        <v>2019.09</v>
      </c>
      <c r="O343" s="769" t="s">
        <v>6991</v>
      </c>
      <c r="P343" s="793" t="s">
        <v>6992</v>
      </c>
      <c r="Q343" s="884" t="s">
        <v>6993</v>
      </c>
      <c r="R343" s="793" t="s">
        <v>5002</v>
      </c>
      <c r="S343" s="780" t="s">
        <v>4670</v>
      </c>
      <c r="T343" s="769"/>
      <c r="U343" s="798"/>
    </row>
    <row r="344" spans="1:28" ht="24" hidden="1" customHeight="1">
      <c r="A344" s="779"/>
      <c r="B344" s="769" t="s">
        <v>1162</v>
      </c>
      <c r="C344" s="769" t="s">
        <v>5010</v>
      </c>
      <c r="D344" s="769" t="s">
        <v>1193</v>
      </c>
      <c r="E344" s="769">
        <v>85</v>
      </c>
      <c r="F344" s="769" t="s">
        <v>34</v>
      </c>
      <c r="G344" s="769" t="s">
        <v>32</v>
      </c>
      <c r="H344" s="769" t="s">
        <v>33</v>
      </c>
      <c r="I344" s="882" t="s">
        <v>6888</v>
      </c>
      <c r="J344" s="769" t="s">
        <v>5001</v>
      </c>
      <c r="K344" s="882" t="s">
        <v>4774</v>
      </c>
      <c r="L344" s="857">
        <v>12411.504424778699</v>
      </c>
      <c r="M344" s="883">
        <v>6205.7522123894296</v>
      </c>
      <c r="N344" s="360">
        <v>2019.09</v>
      </c>
      <c r="O344" s="769" t="s">
        <v>6991</v>
      </c>
      <c r="P344" s="793" t="s">
        <v>6992</v>
      </c>
      <c r="Q344" s="884" t="s">
        <v>6993</v>
      </c>
      <c r="R344" s="793" t="s">
        <v>5002</v>
      </c>
      <c r="S344" s="780" t="s">
        <v>4670</v>
      </c>
      <c r="T344" s="769"/>
      <c r="U344" s="798"/>
    </row>
    <row r="345" spans="1:28" ht="24" hidden="1" customHeight="1">
      <c r="A345" s="779"/>
      <c r="B345" s="769" t="s">
        <v>1162</v>
      </c>
      <c r="C345" s="769"/>
      <c r="D345" s="769" t="s">
        <v>79</v>
      </c>
      <c r="E345" s="769">
        <v>85</v>
      </c>
      <c r="F345" s="769" t="s">
        <v>34</v>
      </c>
      <c r="G345" s="769" t="s">
        <v>32</v>
      </c>
      <c r="H345" s="769" t="s">
        <v>33</v>
      </c>
      <c r="I345" s="882" t="s">
        <v>6888</v>
      </c>
      <c r="J345" s="769" t="s">
        <v>5001</v>
      </c>
      <c r="K345" s="882" t="s">
        <v>4774</v>
      </c>
      <c r="L345" s="857">
        <v>9778.7610619469306</v>
      </c>
      <c r="M345" s="883">
        <v>4889.3805309734298</v>
      </c>
      <c r="N345" s="360">
        <v>2019.09</v>
      </c>
      <c r="O345" s="769" t="s">
        <v>6991</v>
      </c>
      <c r="P345" s="793" t="s">
        <v>6992</v>
      </c>
      <c r="Q345" s="884" t="s">
        <v>6993</v>
      </c>
      <c r="R345" s="793" t="s">
        <v>5002</v>
      </c>
      <c r="S345" s="780" t="s">
        <v>4670</v>
      </c>
      <c r="T345" s="769"/>
      <c r="U345" s="798"/>
    </row>
    <row r="346" spans="1:28" ht="24" hidden="1" customHeight="1">
      <c r="A346" s="779"/>
      <c r="B346" s="769" t="s">
        <v>1162</v>
      </c>
      <c r="C346" s="882" t="s">
        <v>4952</v>
      </c>
      <c r="D346" s="882" t="s">
        <v>131</v>
      </c>
      <c r="E346" s="882">
        <v>28</v>
      </c>
      <c r="F346" s="769" t="s">
        <v>34</v>
      </c>
      <c r="G346" s="769" t="s">
        <v>32</v>
      </c>
      <c r="H346" s="769" t="s">
        <v>33</v>
      </c>
      <c r="I346" s="882" t="s">
        <v>6888</v>
      </c>
      <c r="J346" s="769" t="s">
        <v>5001</v>
      </c>
      <c r="K346" s="882" t="s">
        <v>4774</v>
      </c>
      <c r="L346" s="857">
        <v>346902.65486725798</v>
      </c>
      <c r="M346" s="883">
        <v>173451.327433628</v>
      </c>
      <c r="N346" s="360">
        <v>2019.09</v>
      </c>
      <c r="O346" s="769" t="s">
        <v>6991</v>
      </c>
      <c r="P346" s="793" t="s">
        <v>6992</v>
      </c>
      <c r="Q346" s="884" t="s">
        <v>6993</v>
      </c>
      <c r="R346" s="793" t="s">
        <v>5002</v>
      </c>
      <c r="S346" s="780" t="s">
        <v>4670</v>
      </c>
      <c r="T346" s="769"/>
      <c r="U346" s="798"/>
    </row>
    <row r="347" spans="1:28" ht="24" hidden="1" customHeight="1">
      <c r="A347" s="779"/>
      <c r="B347" s="769" t="s">
        <v>1162</v>
      </c>
      <c r="C347" s="882" t="s">
        <v>4952</v>
      </c>
      <c r="D347" s="882" t="s">
        <v>131</v>
      </c>
      <c r="E347" s="882">
        <v>1</v>
      </c>
      <c r="F347" s="769" t="s">
        <v>34</v>
      </c>
      <c r="G347" s="769" t="s">
        <v>32</v>
      </c>
      <c r="H347" s="769" t="s">
        <v>33</v>
      </c>
      <c r="I347" s="882" t="s">
        <v>6888</v>
      </c>
      <c r="J347" s="769" t="s">
        <v>5001</v>
      </c>
      <c r="K347" s="882" t="s">
        <v>4774</v>
      </c>
      <c r="L347" s="857">
        <v>19500</v>
      </c>
      <c r="M347" s="883">
        <v>9750</v>
      </c>
      <c r="N347" s="360">
        <v>2019.09</v>
      </c>
      <c r="O347" s="769" t="s">
        <v>6991</v>
      </c>
      <c r="P347" s="793" t="s">
        <v>6992</v>
      </c>
      <c r="Q347" s="884" t="s">
        <v>6993</v>
      </c>
      <c r="R347" s="793" t="s">
        <v>5002</v>
      </c>
      <c r="S347" s="780" t="s">
        <v>4670</v>
      </c>
      <c r="T347" s="769"/>
      <c r="U347" s="798"/>
    </row>
    <row r="348" spans="1:28" ht="24" hidden="1" customHeight="1">
      <c r="A348" s="779"/>
      <c r="B348" s="769" t="s">
        <v>1162</v>
      </c>
      <c r="C348" s="882" t="s">
        <v>4952</v>
      </c>
      <c r="D348" s="882" t="s">
        <v>131</v>
      </c>
      <c r="E348" s="882">
        <v>26</v>
      </c>
      <c r="F348" s="769" t="s">
        <v>34</v>
      </c>
      <c r="G348" s="769" t="s">
        <v>32</v>
      </c>
      <c r="H348" s="769" t="s">
        <v>33</v>
      </c>
      <c r="I348" s="882" t="s">
        <v>6888</v>
      </c>
      <c r="J348" s="769" t="s">
        <v>5001</v>
      </c>
      <c r="K348" s="882" t="s">
        <v>4774</v>
      </c>
      <c r="L348" s="857">
        <v>322123.88</v>
      </c>
      <c r="M348" s="294">
        <v>161061.94</v>
      </c>
      <c r="N348" s="360">
        <v>2020.11</v>
      </c>
      <c r="O348" s="769" t="s">
        <v>6991</v>
      </c>
      <c r="P348" s="793" t="s">
        <v>6992</v>
      </c>
      <c r="Q348" s="884" t="s">
        <v>6993</v>
      </c>
      <c r="R348" s="793" t="s">
        <v>5002</v>
      </c>
      <c r="S348" s="780" t="s">
        <v>4670</v>
      </c>
      <c r="T348" s="769"/>
      <c r="U348" s="798"/>
    </row>
    <row r="349" spans="1:28" ht="24" hidden="1" customHeight="1">
      <c r="A349" s="779"/>
      <c r="B349" s="769" t="s">
        <v>1162</v>
      </c>
      <c r="C349" s="882" t="s">
        <v>4952</v>
      </c>
      <c r="D349" s="882" t="s">
        <v>131</v>
      </c>
      <c r="E349" s="882">
        <v>1</v>
      </c>
      <c r="F349" s="769" t="s">
        <v>34</v>
      </c>
      <c r="G349" s="769" t="s">
        <v>32</v>
      </c>
      <c r="H349" s="769" t="s">
        <v>33</v>
      </c>
      <c r="I349" s="882" t="s">
        <v>6888</v>
      </c>
      <c r="J349" s="769" t="s">
        <v>5001</v>
      </c>
      <c r="K349" s="882" t="s">
        <v>4774</v>
      </c>
      <c r="L349" s="857">
        <v>24115.040000000001</v>
      </c>
      <c r="M349" s="294">
        <v>12057.52</v>
      </c>
      <c r="N349" s="360">
        <v>2020.11</v>
      </c>
      <c r="O349" s="769" t="s">
        <v>6991</v>
      </c>
      <c r="P349" s="793" t="s">
        <v>6992</v>
      </c>
      <c r="Q349" s="884" t="s">
        <v>6993</v>
      </c>
      <c r="R349" s="793" t="s">
        <v>5002</v>
      </c>
      <c r="S349" s="780" t="s">
        <v>4670</v>
      </c>
      <c r="T349" s="769"/>
      <c r="U349" s="798"/>
    </row>
    <row r="350" spans="1:28" ht="24" hidden="1" customHeight="1">
      <c r="A350" s="779"/>
      <c r="B350" s="769" t="s">
        <v>1162</v>
      </c>
      <c r="C350" s="882" t="s">
        <v>5011</v>
      </c>
      <c r="D350" s="882" t="s">
        <v>161</v>
      </c>
      <c r="E350" s="882">
        <v>84</v>
      </c>
      <c r="F350" s="769" t="s">
        <v>34</v>
      </c>
      <c r="G350" s="769" t="s">
        <v>32</v>
      </c>
      <c r="H350" s="769" t="s">
        <v>33</v>
      </c>
      <c r="I350" s="882" t="s">
        <v>6888</v>
      </c>
      <c r="J350" s="769" t="s">
        <v>5001</v>
      </c>
      <c r="K350" s="882" t="s">
        <v>4774</v>
      </c>
      <c r="L350" s="857">
        <v>52035.48</v>
      </c>
      <c r="M350" s="294">
        <v>26017.78</v>
      </c>
      <c r="N350" s="360">
        <v>2020.11</v>
      </c>
      <c r="O350" s="769" t="s">
        <v>6991</v>
      </c>
      <c r="P350" s="793" t="s">
        <v>6992</v>
      </c>
      <c r="Q350" s="884" t="s">
        <v>6993</v>
      </c>
      <c r="R350" s="793" t="s">
        <v>5002</v>
      </c>
      <c r="S350" s="780" t="s">
        <v>4670</v>
      </c>
      <c r="T350" s="769"/>
      <c r="U350" s="798"/>
    </row>
    <row r="351" spans="1:28" ht="24" hidden="1" customHeight="1">
      <c r="A351" s="779"/>
      <c r="B351" s="769" t="s">
        <v>1162</v>
      </c>
      <c r="C351" s="882" t="s">
        <v>5012</v>
      </c>
      <c r="D351" s="882" t="s">
        <v>161</v>
      </c>
      <c r="E351" s="882">
        <v>84</v>
      </c>
      <c r="F351" s="769" t="s">
        <v>34</v>
      </c>
      <c r="G351" s="769" t="s">
        <v>32</v>
      </c>
      <c r="H351" s="769" t="s">
        <v>33</v>
      </c>
      <c r="I351" s="882" t="s">
        <v>6888</v>
      </c>
      <c r="J351" s="769" t="s">
        <v>5001</v>
      </c>
      <c r="K351" s="882" t="s">
        <v>4774</v>
      </c>
      <c r="L351" s="857">
        <v>29734.32</v>
      </c>
      <c r="M351" s="294">
        <v>14867.16</v>
      </c>
      <c r="N351" s="360">
        <v>2020.11</v>
      </c>
      <c r="O351" s="769" t="s">
        <v>6991</v>
      </c>
      <c r="P351" s="793" t="s">
        <v>6992</v>
      </c>
      <c r="Q351" s="884" t="s">
        <v>6993</v>
      </c>
      <c r="R351" s="793" t="s">
        <v>5002</v>
      </c>
      <c r="S351" s="780" t="s">
        <v>4670</v>
      </c>
      <c r="T351" s="769"/>
      <c r="U351" s="798"/>
    </row>
    <row r="352" spans="1:28" ht="24" hidden="1" customHeight="1">
      <c r="A352" s="779"/>
      <c r="B352" s="769" t="s">
        <v>1162</v>
      </c>
      <c r="C352" s="882" t="s">
        <v>5013</v>
      </c>
      <c r="D352" s="882" t="s">
        <v>79</v>
      </c>
      <c r="E352" s="882">
        <v>4</v>
      </c>
      <c r="F352" s="769" t="s">
        <v>34</v>
      </c>
      <c r="G352" s="769" t="s">
        <v>32</v>
      </c>
      <c r="H352" s="769" t="s">
        <v>33</v>
      </c>
      <c r="I352" s="882" t="s">
        <v>6888</v>
      </c>
      <c r="J352" s="769" t="s">
        <v>5001</v>
      </c>
      <c r="K352" s="882" t="s">
        <v>4774</v>
      </c>
      <c r="L352" s="857">
        <v>31150.44</v>
      </c>
      <c r="M352" s="294">
        <v>15575.22</v>
      </c>
      <c r="N352" s="360">
        <v>2020.11</v>
      </c>
      <c r="O352" s="769" t="s">
        <v>6991</v>
      </c>
      <c r="P352" s="793" t="s">
        <v>6992</v>
      </c>
      <c r="Q352" s="884" t="s">
        <v>6993</v>
      </c>
      <c r="R352" s="793" t="s">
        <v>5002</v>
      </c>
      <c r="S352" s="780" t="s">
        <v>4670</v>
      </c>
      <c r="T352" s="769"/>
      <c r="U352" s="798"/>
    </row>
    <row r="353" spans="1:23" ht="24" hidden="1" customHeight="1">
      <c r="A353" s="779"/>
      <c r="B353" s="769" t="s">
        <v>1162</v>
      </c>
      <c r="C353" s="769" t="s">
        <v>5014</v>
      </c>
      <c r="D353" s="769" t="s">
        <v>1165</v>
      </c>
      <c r="E353" s="769">
        <v>21</v>
      </c>
      <c r="F353" s="769" t="s">
        <v>34</v>
      </c>
      <c r="G353" s="769" t="s">
        <v>32</v>
      </c>
      <c r="H353" s="769" t="s">
        <v>33</v>
      </c>
      <c r="I353" s="769" t="s">
        <v>6888</v>
      </c>
      <c r="J353" s="769" t="s">
        <v>34</v>
      </c>
      <c r="K353" s="776" t="s">
        <v>4774</v>
      </c>
      <c r="L353" s="857">
        <v>594827.59</v>
      </c>
      <c r="M353" s="886">
        <v>237931.03448275899</v>
      </c>
      <c r="N353" s="360">
        <v>2018.01</v>
      </c>
      <c r="O353" s="769" t="s">
        <v>6982</v>
      </c>
      <c r="P353" s="793" t="s">
        <v>4684</v>
      </c>
      <c r="Q353" s="770">
        <v>15034117366</v>
      </c>
      <c r="R353" s="793" t="s">
        <v>6994</v>
      </c>
      <c r="S353" s="780" t="s">
        <v>4670</v>
      </c>
      <c r="T353" s="769"/>
      <c r="U353" s="774"/>
    </row>
    <row r="354" spans="1:23" ht="24" hidden="1" customHeight="1">
      <c r="A354" s="779"/>
      <c r="B354" s="769" t="s">
        <v>1162</v>
      </c>
      <c r="C354" s="769" t="s">
        <v>5015</v>
      </c>
      <c r="D354" s="769" t="s">
        <v>1165</v>
      </c>
      <c r="E354" s="769">
        <v>2</v>
      </c>
      <c r="F354" s="769" t="s">
        <v>34</v>
      </c>
      <c r="G354" s="769" t="s">
        <v>32</v>
      </c>
      <c r="H354" s="769" t="s">
        <v>33</v>
      </c>
      <c r="I354" s="769" t="s">
        <v>6888</v>
      </c>
      <c r="J354" s="769" t="s">
        <v>34</v>
      </c>
      <c r="K354" s="776" t="s">
        <v>4774</v>
      </c>
      <c r="L354" s="857">
        <v>79310.34</v>
      </c>
      <c r="M354" s="886">
        <v>31724.1379310345</v>
      </c>
      <c r="N354" s="360">
        <v>2018.01</v>
      </c>
      <c r="O354" s="769" t="s">
        <v>6982</v>
      </c>
      <c r="P354" s="793" t="s">
        <v>4684</v>
      </c>
      <c r="Q354" s="770">
        <v>15034117366</v>
      </c>
      <c r="R354" s="793" t="s">
        <v>6994</v>
      </c>
      <c r="S354" s="780" t="s">
        <v>4670</v>
      </c>
      <c r="T354" s="769"/>
      <c r="U354" s="774"/>
    </row>
    <row r="355" spans="1:23" ht="24" hidden="1" customHeight="1">
      <c r="A355" s="779"/>
      <c r="B355" s="769" t="s">
        <v>1162</v>
      </c>
      <c r="C355" s="769" t="s">
        <v>5016</v>
      </c>
      <c r="D355" s="769" t="s">
        <v>1165</v>
      </c>
      <c r="E355" s="769">
        <v>1</v>
      </c>
      <c r="F355" s="769" t="s">
        <v>34</v>
      </c>
      <c r="G355" s="769" t="s">
        <v>32</v>
      </c>
      <c r="H355" s="769" t="s">
        <v>33</v>
      </c>
      <c r="I355" s="769" t="s">
        <v>6888</v>
      </c>
      <c r="J355" s="769" t="s">
        <v>34</v>
      </c>
      <c r="K355" s="776" t="s">
        <v>4774</v>
      </c>
      <c r="L355" s="857">
        <v>79310.34</v>
      </c>
      <c r="M355" s="886">
        <v>31724.1379310345</v>
      </c>
      <c r="N355" s="360">
        <v>2018.01</v>
      </c>
      <c r="O355" s="769" t="s">
        <v>6982</v>
      </c>
      <c r="P355" s="793" t="s">
        <v>4684</v>
      </c>
      <c r="Q355" s="770">
        <v>15034117366</v>
      </c>
      <c r="R355" s="793" t="s">
        <v>6994</v>
      </c>
      <c r="S355" s="780" t="s">
        <v>4670</v>
      </c>
      <c r="T355" s="769"/>
      <c r="U355" s="774"/>
    </row>
    <row r="356" spans="1:23" ht="24" hidden="1" customHeight="1">
      <c r="A356" s="779"/>
      <c r="B356" s="769" t="s">
        <v>1162</v>
      </c>
      <c r="C356" s="769" t="s">
        <v>5014</v>
      </c>
      <c r="D356" s="769" t="s">
        <v>1165</v>
      </c>
      <c r="E356" s="769">
        <v>1</v>
      </c>
      <c r="F356" s="769" t="s">
        <v>34</v>
      </c>
      <c r="G356" s="769" t="s">
        <v>32</v>
      </c>
      <c r="H356" s="769" t="s">
        <v>33</v>
      </c>
      <c r="I356" s="769" t="s">
        <v>6888</v>
      </c>
      <c r="J356" s="769" t="s">
        <v>34</v>
      </c>
      <c r="K356" s="776" t="s">
        <v>4774</v>
      </c>
      <c r="L356" s="857">
        <v>22844.83</v>
      </c>
      <c r="M356" s="886">
        <v>9137.9310344827099</v>
      </c>
      <c r="N356" s="360">
        <v>2018.01</v>
      </c>
      <c r="O356" s="769" t="s">
        <v>6982</v>
      </c>
      <c r="P356" s="793" t="s">
        <v>4684</v>
      </c>
      <c r="Q356" s="770">
        <v>15034117366</v>
      </c>
      <c r="R356" s="793" t="s">
        <v>6994</v>
      </c>
      <c r="S356" s="780" t="s">
        <v>4670</v>
      </c>
      <c r="T356" s="769"/>
      <c r="U356" s="774"/>
    </row>
    <row r="357" spans="1:23" ht="24" hidden="1" customHeight="1">
      <c r="A357" s="779"/>
      <c r="B357" s="769" t="s">
        <v>1162</v>
      </c>
      <c r="C357" s="769" t="s">
        <v>5014</v>
      </c>
      <c r="D357" s="769" t="s">
        <v>1165</v>
      </c>
      <c r="E357" s="769">
        <v>1</v>
      </c>
      <c r="F357" s="769" t="s">
        <v>34</v>
      </c>
      <c r="G357" s="769" t="s">
        <v>32</v>
      </c>
      <c r="H357" s="769" t="s">
        <v>33</v>
      </c>
      <c r="I357" s="769" t="s">
        <v>6888</v>
      </c>
      <c r="J357" s="769" t="s">
        <v>34</v>
      </c>
      <c r="K357" s="776" t="s">
        <v>4774</v>
      </c>
      <c r="L357" s="857">
        <v>30862.07</v>
      </c>
      <c r="M357" s="886">
        <v>12344.8275862069</v>
      </c>
      <c r="N357" s="360">
        <v>2018.01</v>
      </c>
      <c r="O357" s="769" t="s">
        <v>6982</v>
      </c>
      <c r="P357" s="793" t="s">
        <v>4684</v>
      </c>
      <c r="Q357" s="770">
        <v>15034117366</v>
      </c>
      <c r="R357" s="793" t="s">
        <v>6994</v>
      </c>
      <c r="S357" s="780" t="s">
        <v>4670</v>
      </c>
      <c r="T357" s="769"/>
      <c r="U357" s="774"/>
    </row>
    <row r="358" spans="1:23" ht="24" hidden="1" customHeight="1">
      <c r="A358" s="779"/>
      <c r="B358" s="769" t="s">
        <v>1162</v>
      </c>
      <c r="C358" s="769" t="s">
        <v>5014</v>
      </c>
      <c r="D358" s="769" t="s">
        <v>1165</v>
      </c>
      <c r="E358" s="769">
        <v>1</v>
      </c>
      <c r="F358" s="769" t="s">
        <v>34</v>
      </c>
      <c r="G358" s="769" t="s">
        <v>32</v>
      </c>
      <c r="H358" s="769" t="s">
        <v>33</v>
      </c>
      <c r="I358" s="769" t="s">
        <v>6888</v>
      </c>
      <c r="J358" s="769" t="s">
        <v>34</v>
      </c>
      <c r="K358" s="776" t="s">
        <v>4774</v>
      </c>
      <c r="L358" s="857">
        <v>30431.03</v>
      </c>
      <c r="M358" s="886">
        <v>12172.4137931034</v>
      </c>
      <c r="N358" s="360">
        <v>2018.01</v>
      </c>
      <c r="O358" s="769" t="s">
        <v>6982</v>
      </c>
      <c r="P358" s="793" t="s">
        <v>4684</v>
      </c>
      <c r="Q358" s="770">
        <v>15034117366</v>
      </c>
      <c r="R358" s="793" t="s">
        <v>6994</v>
      </c>
      <c r="S358" s="780" t="s">
        <v>4670</v>
      </c>
      <c r="T358" s="769"/>
      <c r="U358" s="774"/>
    </row>
    <row r="359" spans="1:23" ht="24" hidden="1" customHeight="1">
      <c r="A359" s="779"/>
      <c r="B359" s="769" t="s">
        <v>1162</v>
      </c>
      <c r="C359" s="769" t="s">
        <v>5014</v>
      </c>
      <c r="D359" s="769" t="s">
        <v>1165</v>
      </c>
      <c r="E359" s="769">
        <v>1</v>
      </c>
      <c r="F359" s="769" t="s">
        <v>34</v>
      </c>
      <c r="G359" s="769" t="s">
        <v>32</v>
      </c>
      <c r="H359" s="769" t="s">
        <v>33</v>
      </c>
      <c r="I359" s="769" t="s">
        <v>6888</v>
      </c>
      <c r="J359" s="769" t="s">
        <v>34</v>
      </c>
      <c r="K359" s="776" t="s">
        <v>4774</v>
      </c>
      <c r="L359" s="857">
        <v>31293.1</v>
      </c>
      <c r="M359" s="886">
        <v>12517.241379310301</v>
      </c>
      <c r="N359" s="360">
        <v>2018.01</v>
      </c>
      <c r="O359" s="769" t="s">
        <v>6982</v>
      </c>
      <c r="P359" s="793" t="s">
        <v>4684</v>
      </c>
      <c r="Q359" s="770">
        <v>15034117366</v>
      </c>
      <c r="R359" s="793" t="s">
        <v>6994</v>
      </c>
      <c r="S359" s="780" t="s">
        <v>4670</v>
      </c>
      <c r="T359" s="769"/>
      <c r="U359" s="774"/>
    </row>
    <row r="360" spans="1:23" ht="24" hidden="1" customHeight="1">
      <c r="A360" s="779"/>
      <c r="B360" s="769" t="s">
        <v>1162</v>
      </c>
      <c r="C360" s="769" t="s">
        <v>5017</v>
      </c>
      <c r="D360" s="769" t="s">
        <v>79</v>
      </c>
      <c r="E360" s="769">
        <v>2</v>
      </c>
      <c r="F360" s="769" t="s">
        <v>34</v>
      </c>
      <c r="G360" s="769" t="s">
        <v>32</v>
      </c>
      <c r="H360" s="769" t="s">
        <v>33</v>
      </c>
      <c r="I360" s="769" t="s">
        <v>6888</v>
      </c>
      <c r="J360" s="769" t="s">
        <v>34</v>
      </c>
      <c r="K360" s="776" t="s">
        <v>4774</v>
      </c>
      <c r="L360" s="857">
        <v>31034.48</v>
      </c>
      <c r="M360" s="887">
        <v>12413.793103448201</v>
      </c>
      <c r="N360" s="360">
        <v>2018.01</v>
      </c>
      <c r="O360" s="769" t="s">
        <v>6982</v>
      </c>
      <c r="P360" s="793" t="s">
        <v>4684</v>
      </c>
      <c r="Q360" s="770">
        <v>15034117366</v>
      </c>
      <c r="R360" s="793" t="s">
        <v>6994</v>
      </c>
      <c r="S360" s="780" t="s">
        <v>4670</v>
      </c>
      <c r="T360" s="769"/>
      <c r="U360" s="774"/>
    </row>
    <row r="361" spans="1:23" ht="24" hidden="1" customHeight="1">
      <c r="A361" s="779"/>
      <c r="B361" s="769" t="s">
        <v>1162</v>
      </c>
      <c r="C361" s="769" t="s">
        <v>5018</v>
      </c>
      <c r="D361" s="769" t="s">
        <v>79</v>
      </c>
      <c r="E361" s="769">
        <v>1</v>
      </c>
      <c r="F361" s="769" t="s">
        <v>34</v>
      </c>
      <c r="G361" s="769" t="s">
        <v>32</v>
      </c>
      <c r="H361" s="769" t="s">
        <v>33</v>
      </c>
      <c r="I361" s="769" t="s">
        <v>6888</v>
      </c>
      <c r="J361" s="769" t="s">
        <v>34</v>
      </c>
      <c r="K361" s="776" t="s">
        <v>4774</v>
      </c>
      <c r="L361" s="857">
        <v>8189.66</v>
      </c>
      <c r="M361" s="887">
        <v>3275.8620689655099</v>
      </c>
      <c r="N361" s="360">
        <v>2018.01</v>
      </c>
      <c r="O361" s="769" t="s">
        <v>6982</v>
      </c>
      <c r="P361" s="793" t="s">
        <v>4684</v>
      </c>
      <c r="Q361" s="770">
        <v>15034117366</v>
      </c>
      <c r="R361" s="793" t="s">
        <v>6994</v>
      </c>
      <c r="S361" s="780" t="s">
        <v>4670</v>
      </c>
      <c r="T361" s="769"/>
      <c r="U361" s="774"/>
    </row>
    <row r="362" spans="1:23" ht="24" hidden="1" customHeight="1">
      <c r="A362" s="779"/>
      <c r="B362" s="769" t="s">
        <v>1162</v>
      </c>
      <c r="C362" s="769" t="s">
        <v>3100</v>
      </c>
      <c r="D362" s="769" t="s">
        <v>2724</v>
      </c>
      <c r="E362" s="769">
        <v>81</v>
      </c>
      <c r="F362" s="769" t="s">
        <v>34</v>
      </c>
      <c r="G362" s="769" t="s">
        <v>32</v>
      </c>
      <c r="H362" s="769" t="s">
        <v>33</v>
      </c>
      <c r="I362" s="769" t="s">
        <v>6888</v>
      </c>
      <c r="J362" s="769" t="s">
        <v>34</v>
      </c>
      <c r="K362" s="776" t="s">
        <v>4774</v>
      </c>
      <c r="L362" s="857">
        <v>48879.31</v>
      </c>
      <c r="M362" s="886">
        <v>19551.724137931</v>
      </c>
      <c r="N362" s="360">
        <v>2018.01</v>
      </c>
      <c r="O362" s="769" t="s">
        <v>6982</v>
      </c>
      <c r="P362" s="793" t="s">
        <v>4684</v>
      </c>
      <c r="Q362" s="770">
        <v>15034117366</v>
      </c>
      <c r="R362" s="793" t="s">
        <v>6994</v>
      </c>
      <c r="S362" s="780" t="s">
        <v>4670</v>
      </c>
      <c r="T362" s="769"/>
      <c r="U362" s="774"/>
    </row>
    <row r="363" spans="1:23" ht="24" hidden="1" customHeight="1">
      <c r="A363" s="779"/>
      <c r="B363" s="769" t="s">
        <v>1162</v>
      </c>
      <c r="C363" s="769" t="s">
        <v>5019</v>
      </c>
      <c r="D363" s="769" t="s">
        <v>2724</v>
      </c>
      <c r="E363" s="769">
        <v>45</v>
      </c>
      <c r="F363" s="769" t="s">
        <v>34</v>
      </c>
      <c r="G363" s="769" t="s">
        <v>32</v>
      </c>
      <c r="H363" s="769" t="s">
        <v>33</v>
      </c>
      <c r="I363" s="769" t="s">
        <v>6888</v>
      </c>
      <c r="J363" s="769" t="s">
        <v>34</v>
      </c>
      <c r="K363" s="776" t="s">
        <v>4774</v>
      </c>
      <c r="L363" s="857">
        <v>15517.24</v>
      </c>
      <c r="M363" s="886">
        <v>6206.8965517241404</v>
      </c>
      <c r="N363" s="360">
        <v>2018.01</v>
      </c>
      <c r="O363" s="769" t="s">
        <v>6982</v>
      </c>
      <c r="P363" s="793" t="s">
        <v>4684</v>
      </c>
      <c r="Q363" s="770">
        <v>15034117366</v>
      </c>
      <c r="R363" s="793" t="s">
        <v>6994</v>
      </c>
      <c r="S363" s="780" t="s">
        <v>4670</v>
      </c>
      <c r="T363" s="769"/>
      <c r="U363" s="774"/>
    </row>
    <row r="364" spans="1:23" ht="24" hidden="1" customHeight="1">
      <c r="A364" s="779"/>
      <c r="B364" s="769" t="s">
        <v>1162</v>
      </c>
      <c r="C364" s="888" t="s">
        <v>5020</v>
      </c>
      <c r="D364" s="888" t="s">
        <v>131</v>
      </c>
      <c r="E364" s="889">
        <v>1</v>
      </c>
      <c r="F364" s="782" t="s">
        <v>34</v>
      </c>
      <c r="G364" s="360" t="s">
        <v>32</v>
      </c>
      <c r="H364" s="791" t="s">
        <v>33</v>
      </c>
      <c r="I364" s="782" t="s">
        <v>34</v>
      </c>
      <c r="J364" s="783" t="s">
        <v>34</v>
      </c>
      <c r="K364" s="783" t="s">
        <v>34</v>
      </c>
      <c r="L364" s="857">
        <v>31470</v>
      </c>
      <c r="M364" s="1283">
        <v>9441</v>
      </c>
      <c r="N364" s="360">
        <v>2019.08</v>
      </c>
      <c r="O364" s="783" t="s">
        <v>5021</v>
      </c>
      <c r="P364" s="801" t="s">
        <v>5022</v>
      </c>
      <c r="Q364" s="890">
        <v>18811021868</v>
      </c>
      <c r="R364" s="793" t="s">
        <v>6995</v>
      </c>
      <c r="S364" s="891" t="s">
        <v>4670</v>
      </c>
      <c r="T364" s="769"/>
      <c r="U364" s="798"/>
    </row>
    <row r="365" spans="1:23" ht="24" hidden="1" customHeight="1">
      <c r="A365" s="779"/>
      <c r="B365" s="769" t="s">
        <v>1162</v>
      </c>
      <c r="C365" s="888" t="s">
        <v>5023</v>
      </c>
      <c r="D365" s="888" t="s">
        <v>131</v>
      </c>
      <c r="E365" s="889">
        <v>8</v>
      </c>
      <c r="F365" s="782" t="s">
        <v>34</v>
      </c>
      <c r="G365" s="360" t="s">
        <v>32</v>
      </c>
      <c r="H365" s="791" t="s">
        <v>33</v>
      </c>
      <c r="I365" s="782" t="s">
        <v>34</v>
      </c>
      <c r="J365" s="783" t="s">
        <v>34</v>
      </c>
      <c r="K365" s="783" t="s">
        <v>34</v>
      </c>
      <c r="L365" s="857">
        <v>106960</v>
      </c>
      <c r="M365" s="1283">
        <v>32088</v>
      </c>
      <c r="N365" s="360">
        <v>2019.08</v>
      </c>
      <c r="O365" s="783" t="s">
        <v>5021</v>
      </c>
      <c r="P365" s="801" t="s">
        <v>5022</v>
      </c>
      <c r="Q365" s="890">
        <v>18811021868</v>
      </c>
      <c r="R365" s="793" t="s">
        <v>6995</v>
      </c>
      <c r="S365" s="891" t="s">
        <v>4670</v>
      </c>
      <c r="T365" s="769"/>
      <c r="U365" s="798"/>
      <c r="W365" s="892"/>
    </row>
    <row r="366" spans="1:23" ht="24" hidden="1" customHeight="1">
      <c r="A366" s="779"/>
      <c r="B366" s="769" t="s">
        <v>1162</v>
      </c>
      <c r="C366" s="888" t="s">
        <v>5023</v>
      </c>
      <c r="D366" s="888" t="s">
        <v>131</v>
      </c>
      <c r="E366" s="889">
        <v>2</v>
      </c>
      <c r="F366" s="782" t="s">
        <v>34</v>
      </c>
      <c r="G366" s="360" t="s">
        <v>32</v>
      </c>
      <c r="H366" s="791" t="s">
        <v>33</v>
      </c>
      <c r="I366" s="782" t="s">
        <v>34</v>
      </c>
      <c r="J366" s="783" t="s">
        <v>34</v>
      </c>
      <c r="K366" s="783" t="s">
        <v>34</v>
      </c>
      <c r="L366" s="857">
        <v>18840</v>
      </c>
      <c r="M366" s="1283">
        <v>5652</v>
      </c>
      <c r="N366" s="360">
        <v>2019.08</v>
      </c>
      <c r="O366" s="783" t="s">
        <v>5021</v>
      </c>
      <c r="P366" s="801" t="s">
        <v>5022</v>
      </c>
      <c r="Q366" s="890">
        <v>18811021868</v>
      </c>
      <c r="R366" s="793" t="s">
        <v>6995</v>
      </c>
      <c r="S366" s="891" t="s">
        <v>4670</v>
      </c>
      <c r="T366" s="769"/>
      <c r="U366" s="798"/>
      <c r="W366" s="892"/>
    </row>
    <row r="367" spans="1:23" ht="24" hidden="1" customHeight="1">
      <c r="A367" s="779"/>
      <c r="B367" s="769" t="s">
        <v>1162</v>
      </c>
      <c r="C367" s="888" t="s">
        <v>5024</v>
      </c>
      <c r="D367" s="888" t="s">
        <v>131</v>
      </c>
      <c r="E367" s="889">
        <v>17</v>
      </c>
      <c r="F367" s="782" t="s">
        <v>34</v>
      </c>
      <c r="G367" s="360" t="s">
        <v>32</v>
      </c>
      <c r="H367" s="791" t="s">
        <v>33</v>
      </c>
      <c r="I367" s="782" t="s">
        <v>34</v>
      </c>
      <c r="J367" s="783" t="s">
        <v>34</v>
      </c>
      <c r="K367" s="783" t="s">
        <v>34</v>
      </c>
      <c r="L367" s="857">
        <v>337025</v>
      </c>
      <c r="M367" s="1283">
        <v>101107.5</v>
      </c>
      <c r="N367" s="360">
        <v>2019.08</v>
      </c>
      <c r="O367" s="783" t="s">
        <v>5021</v>
      </c>
      <c r="P367" s="801" t="s">
        <v>5022</v>
      </c>
      <c r="Q367" s="890">
        <v>18811021868</v>
      </c>
      <c r="R367" s="793" t="s">
        <v>6995</v>
      </c>
      <c r="S367" s="891" t="s">
        <v>4670</v>
      </c>
      <c r="T367" s="769"/>
      <c r="U367" s="798"/>
      <c r="W367" s="892"/>
    </row>
    <row r="368" spans="1:23" ht="24" hidden="1" customHeight="1">
      <c r="A368" s="779"/>
      <c r="B368" s="769" t="s">
        <v>1162</v>
      </c>
      <c r="C368" s="888" t="s">
        <v>5025</v>
      </c>
      <c r="D368" s="888" t="s">
        <v>1369</v>
      </c>
      <c r="E368" s="889">
        <v>2</v>
      </c>
      <c r="F368" s="782" t="s">
        <v>34</v>
      </c>
      <c r="G368" s="360" t="s">
        <v>32</v>
      </c>
      <c r="H368" s="791" t="s">
        <v>33</v>
      </c>
      <c r="I368" s="782" t="s">
        <v>34</v>
      </c>
      <c r="J368" s="783" t="s">
        <v>34</v>
      </c>
      <c r="K368" s="783" t="s">
        <v>34</v>
      </c>
      <c r="L368" s="857">
        <v>18120</v>
      </c>
      <c r="M368" s="1283">
        <v>5436</v>
      </c>
      <c r="N368" s="360">
        <v>2019.08</v>
      </c>
      <c r="O368" s="783" t="s">
        <v>5021</v>
      </c>
      <c r="P368" s="801" t="s">
        <v>5022</v>
      </c>
      <c r="Q368" s="890">
        <v>18811021868</v>
      </c>
      <c r="R368" s="793" t="s">
        <v>6995</v>
      </c>
      <c r="S368" s="891" t="s">
        <v>4670</v>
      </c>
      <c r="T368" s="769"/>
      <c r="U368" s="798"/>
      <c r="W368" s="892"/>
    </row>
    <row r="369" spans="1:23" ht="24" hidden="1" customHeight="1">
      <c r="A369" s="779"/>
      <c r="B369" s="769" t="s">
        <v>1162</v>
      </c>
      <c r="C369" s="888" t="s">
        <v>5026</v>
      </c>
      <c r="D369" s="888" t="s">
        <v>1369</v>
      </c>
      <c r="E369" s="889">
        <v>4.5</v>
      </c>
      <c r="F369" s="782" t="s">
        <v>34</v>
      </c>
      <c r="G369" s="360" t="s">
        <v>32</v>
      </c>
      <c r="H369" s="791" t="s">
        <v>33</v>
      </c>
      <c r="I369" s="782" t="s">
        <v>34</v>
      </c>
      <c r="J369" s="783" t="s">
        <v>34</v>
      </c>
      <c r="K369" s="783" t="s">
        <v>34</v>
      </c>
      <c r="L369" s="857">
        <v>3375</v>
      </c>
      <c r="M369" s="1283">
        <v>1012.5</v>
      </c>
      <c r="N369" s="360">
        <v>2019.08</v>
      </c>
      <c r="O369" s="783" t="s">
        <v>5021</v>
      </c>
      <c r="P369" s="801" t="s">
        <v>5022</v>
      </c>
      <c r="Q369" s="890">
        <v>18811021868</v>
      </c>
      <c r="R369" s="793" t="s">
        <v>6995</v>
      </c>
      <c r="S369" s="891" t="s">
        <v>4670</v>
      </c>
      <c r="T369" s="769"/>
      <c r="U369" s="798"/>
      <c r="W369" s="892"/>
    </row>
    <row r="370" spans="1:23" ht="24" hidden="1" customHeight="1">
      <c r="A370" s="779"/>
      <c r="B370" s="769" t="s">
        <v>1162</v>
      </c>
      <c r="C370" s="893" t="s">
        <v>5027</v>
      </c>
      <c r="D370" s="893" t="s">
        <v>1369</v>
      </c>
      <c r="E370" s="889">
        <v>4</v>
      </c>
      <c r="F370" s="782" t="s">
        <v>34</v>
      </c>
      <c r="G370" s="360" t="s">
        <v>32</v>
      </c>
      <c r="H370" s="791" t="s">
        <v>33</v>
      </c>
      <c r="I370" s="782" t="s">
        <v>34</v>
      </c>
      <c r="J370" s="783" t="s">
        <v>34</v>
      </c>
      <c r="K370" s="783" t="s">
        <v>34</v>
      </c>
      <c r="L370" s="857">
        <v>1206.8966</v>
      </c>
      <c r="M370" s="1283">
        <v>362.06898000000001</v>
      </c>
      <c r="N370" s="360">
        <v>2019.08</v>
      </c>
      <c r="O370" s="783" t="s">
        <v>5021</v>
      </c>
      <c r="P370" s="801" t="s">
        <v>5022</v>
      </c>
      <c r="Q370" s="890">
        <v>18811021868</v>
      </c>
      <c r="R370" s="793" t="s">
        <v>6995</v>
      </c>
      <c r="S370" s="891" t="s">
        <v>4670</v>
      </c>
      <c r="T370" s="769"/>
      <c r="U370" s="798"/>
      <c r="W370" s="892"/>
    </row>
    <row r="371" spans="1:23" ht="24" hidden="1" customHeight="1">
      <c r="A371" s="779"/>
      <c r="B371" s="769" t="s">
        <v>1162</v>
      </c>
      <c r="C371" s="894" t="s">
        <v>5028</v>
      </c>
      <c r="D371" s="894" t="s">
        <v>1165</v>
      </c>
      <c r="E371" s="889">
        <v>1</v>
      </c>
      <c r="F371" s="782" t="s">
        <v>34</v>
      </c>
      <c r="G371" s="360" t="s">
        <v>32</v>
      </c>
      <c r="H371" s="791" t="s">
        <v>33</v>
      </c>
      <c r="I371" s="782" t="s">
        <v>34</v>
      </c>
      <c r="J371" s="783" t="s">
        <v>34</v>
      </c>
      <c r="K371" s="783" t="s">
        <v>34</v>
      </c>
      <c r="L371" s="857">
        <v>16379.310299999999</v>
      </c>
      <c r="M371" s="1283">
        <v>4913.7930900000001</v>
      </c>
      <c r="N371" s="360">
        <v>2019.08</v>
      </c>
      <c r="O371" s="783" t="s">
        <v>5021</v>
      </c>
      <c r="P371" s="801" t="s">
        <v>5022</v>
      </c>
      <c r="Q371" s="890">
        <v>18811021868</v>
      </c>
      <c r="R371" s="793" t="s">
        <v>6995</v>
      </c>
      <c r="S371" s="891" t="s">
        <v>4670</v>
      </c>
      <c r="T371" s="769"/>
      <c r="U371" s="798"/>
      <c r="W371" s="892"/>
    </row>
    <row r="372" spans="1:23" ht="24" hidden="1" customHeight="1">
      <c r="A372" s="779"/>
      <c r="B372" s="769" t="s">
        <v>1162</v>
      </c>
      <c r="C372" s="888" t="s">
        <v>5029</v>
      </c>
      <c r="D372" s="888" t="s">
        <v>1369</v>
      </c>
      <c r="E372" s="889">
        <v>64</v>
      </c>
      <c r="F372" s="782" t="s">
        <v>34</v>
      </c>
      <c r="G372" s="360" t="s">
        <v>32</v>
      </c>
      <c r="H372" s="791" t="s">
        <v>33</v>
      </c>
      <c r="I372" s="782" t="s">
        <v>34</v>
      </c>
      <c r="J372" s="783" t="s">
        <v>34</v>
      </c>
      <c r="K372" s="783" t="s">
        <v>34</v>
      </c>
      <c r="L372" s="857">
        <v>1489.6551999999999</v>
      </c>
      <c r="M372" s="1283">
        <v>446.89656000000002</v>
      </c>
      <c r="N372" s="360">
        <v>2019.08</v>
      </c>
      <c r="O372" s="783" t="s">
        <v>5021</v>
      </c>
      <c r="P372" s="801" t="s">
        <v>5022</v>
      </c>
      <c r="Q372" s="890">
        <v>18811021868</v>
      </c>
      <c r="R372" s="793" t="s">
        <v>6995</v>
      </c>
      <c r="S372" s="891" t="s">
        <v>4670</v>
      </c>
      <c r="T372" s="769"/>
      <c r="U372" s="798"/>
      <c r="W372" s="892"/>
    </row>
    <row r="373" spans="1:23" ht="24" hidden="1" customHeight="1">
      <c r="A373" s="779"/>
      <c r="B373" s="769" t="s">
        <v>1162</v>
      </c>
      <c r="C373" s="888" t="s">
        <v>5030</v>
      </c>
      <c r="D373" s="888" t="s">
        <v>1369</v>
      </c>
      <c r="E373" s="889">
        <v>30</v>
      </c>
      <c r="F373" s="782" t="s">
        <v>34</v>
      </c>
      <c r="G373" s="360" t="s">
        <v>32</v>
      </c>
      <c r="H373" s="791" t="s">
        <v>33</v>
      </c>
      <c r="I373" s="782" t="s">
        <v>34</v>
      </c>
      <c r="J373" s="783" t="s">
        <v>34</v>
      </c>
      <c r="K373" s="783" t="s">
        <v>34</v>
      </c>
      <c r="L373" s="857">
        <v>2198.2759000000001</v>
      </c>
      <c r="M373" s="1283">
        <v>659.48276999999996</v>
      </c>
      <c r="N373" s="360">
        <v>2019.08</v>
      </c>
      <c r="O373" s="783" t="s">
        <v>5021</v>
      </c>
      <c r="P373" s="801" t="s">
        <v>5022</v>
      </c>
      <c r="Q373" s="890">
        <v>18811021868</v>
      </c>
      <c r="R373" s="793" t="s">
        <v>6995</v>
      </c>
      <c r="S373" s="891" t="s">
        <v>4670</v>
      </c>
      <c r="T373" s="769"/>
      <c r="U373" s="798"/>
      <c r="W373" s="892"/>
    </row>
    <row r="374" spans="1:23" ht="24" hidden="1" customHeight="1">
      <c r="A374" s="779"/>
      <c r="B374" s="769" t="s">
        <v>1162</v>
      </c>
      <c r="C374" s="888" t="s">
        <v>5031</v>
      </c>
      <c r="D374" s="888" t="s">
        <v>79</v>
      </c>
      <c r="E374" s="889">
        <v>2</v>
      </c>
      <c r="F374" s="782" t="s">
        <v>34</v>
      </c>
      <c r="G374" s="360" t="s">
        <v>32</v>
      </c>
      <c r="H374" s="791" t="s">
        <v>33</v>
      </c>
      <c r="I374" s="782" t="s">
        <v>34</v>
      </c>
      <c r="J374" s="783" t="s">
        <v>34</v>
      </c>
      <c r="K374" s="783" t="s">
        <v>34</v>
      </c>
      <c r="L374" s="857">
        <v>39655.172400000003</v>
      </c>
      <c r="M374" s="1283">
        <v>11896.551719999999</v>
      </c>
      <c r="N374" s="360">
        <v>2019.08</v>
      </c>
      <c r="O374" s="783" t="s">
        <v>5021</v>
      </c>
      <c r="P374" s="801" t="s">
        <v>5022</v>
      </c>
      <c r="Q374" s="890">
        <v>18811021868</v>
      </c>
      <c r="R374" s="793" t="s">
        <v>6995</v>
      </c>
      <c r="S374" s="891" t="s">
        <v>4670</v>
      </c>
      <c r="T374" s="769"/>
      <c r="U374" s="798"/>
      <c r="W374" s="892"/>
    </row>
    <row r="375" spans="1:23" ht="24" hidden="1" customHeight="1">
      <c r="A375" s="779"/>
      <c r="B375" s="769" t="s">
        <v>1162</v>
      </c>
      <c r="C375" s="888" t="s">
        <v>5024</v>
      </c>
      <c r="D375" s="888" t="s">
        <v>131</v>
      </c>
      <c r="E375" s="889">
        <v>9</v>
      </c>
      <c r="F375" s="782" t="s">
        <v>34</v>
      </c>
      <c r="G375" s="360" t="s">
        <v>32</v>
      </c>
      <c r="H375" s="791" t="s">
        <v>33</v>
      </c>
      <c r="I375" s="782" t="s">
        <v>34</v>
      </c>
      <c r="J375" s="783" t="s">
        <v>34</v>
      </c>
      <c r="K375" s="783" t="s">
        <v>34</v>
      </c>
      <c r="L375" s="857">
        <v>178448.27590000001</v>
      </c>
      <c r="M375" s="1283">
        <v>53534.482770000002</v>
      </c>
      <c r="N375" s="360">
        <v>2019.08</v>
      </c>
      <c r="O375" s="783" t="s">
        <v>5021</v>
      </c>
      <c r="P375" s="801" t="s">
        <v>5022</v>
      </c>
      <c r="Q375" s="890">
        <v>18811021868</v>
      </c>
      <c r="R375" s="793" t="s">
        <v>6995</v>
      </c>
      <c r="S375" s="891" t="s">
        <v>4670</v>
      </c>
      <c r="T375" s="769"/>
      <c r="U375" s="798"/>
      <c r="W375" s="892"/>
    </row>
    <row r="376" spans="1:23" ht="24" hidden="1" customHeight="1">
      <c r="A376" s="779"/>
      <c r="B376" s="769" t="s">
        <v>1162</v>
      </c>
      <c r="C376" s="888" t="s">
        <v>5032</v>
      </c>
      <c r="D376" s="888" t="s">
        <v>1369</v>
      </c>
      <c r="E376" s="889">
        <v>21.6</v>
      </c>
      <c r="F376" s="782" t="s">
        <v>34</v>
      </c>
      <c r="G376" s="360" t="s">
        <v>32</v>
      </c>
      <c r="H376" s="791" t="s">
        <v>33</v>
      </c>
      <c r="I376" s="782" t="s">
        <v>34</v>
      </c>
      <c r="J376" s="783" t="s">
        <v>34</v>
      </c>
      <c r="K376" s="783" t="s">
        <v>34</v>
      </c>
      <c r="L376" s="857">
        <v>1582.7585999999999</v>
      </c>
      <c r="M376" s="1283">
        <v>474.82758000000001</v>
      </c>
      <c r="N376" s="360">
        <v>2019.08</v>
      </c>
      <c r="O376" s="783" t="s">
        <v>5021</v>
      </c>
      <c r="P376" s="801" t="s">
        <v>5022</v>
      </c>
      <c r="Q376" s="890">
        <v>18811021868</v>
      </c>
      <c r="R376" s="793" t="s">
        <v>6995</v>
      </c>
      <c r="S376" s="891" t="s">
        <v>4670</v>
      </c>
      <c r="T376" s="769"/>
      <c r="U376" s="798"/>
      <c r="W376" s="892"/>
    </row>
    <row r="377" spans="1:23" ht="24" hidden="1" customHeight="1">
      <c r="A377" s="779"/>
      <c r="B377" s="769" t="s">
        <v>1162</v>
      </c>
      <c r="C377" s="888" t="s">
        <v>5033</v>
      </c>
      <c r="D377" s="888" t="s">
        <v>31</v>
      </c>
      <c r="E377" s="889">
        <v>104</v>
      </c>
      <c r="F377" s="782" t="s">
        <v>34</v>
      </c>
      <c r="G377" s="360" t="s">
        <v>32</v>
      </c>
      <c r="H377" s="791" t="s">
        <v>33</v>
      </c>
      <c r="I377" s="782" t="s">
        <v>34</v>
      </c>
      <c r="J377" s="783" t="s">
        <v>34</v>
      </c>
      <c r="K377" s="783" t="s">
        <v>34</v>
      </c>
      <c r="L377" s="857">
        <v>4482.7586000000001</v>
      </c>
      <c r="M377" s="1283">
        <v>1344.8275799999999</v>
      </c>
      <c r="N377" s="360">
        <v>2019.08</v>
      </c>
      <c r="O377" s="783" t="s">
        <v>5021</v>
      </c>
      <c r="P377" s="801" t="s">
        <v>5022</v>
      </c>
      <c r="Q377" s="890">
        <v>18811021868</v>
      </c>
      <c r="R377" s="793" t="s">
        <v>6995</v>
      </c>
      <c r="S377" s="891" t="s">
        <v>4670</v>
      </c>
      <c r="T377" s="769"/>
      <c r="U377" s="798"/>
      <c r="W377" s="892"/>
    </row>
    <row r="378" spans="1:23" ht="24" hidden="1" customHeight="1">
      <c r="A378" s="779"/>
      <c r="B378" s="769" t="s">
        <v>1162</v>
      </c>
      <c r="C378" s="888" t="s">
        <v>5020</v>
      </c>
      <c r="D378" s="888" t="s">
        <v>131</v>
      </c>
      <c r="E378" s="889">
        <v>1</v>
      </c>
      <c r="F378" s="782" t="s">
        <v>34</v>
      </c>
      <c r="G378" s="360" t="s">
        <v>32</v>
      </c>
      <c r="H378" s="791" t="s">
        <v>33</v>
      </c>
      <c r="I378" s="782" t="s">
        <v>34</v>
      </c>
      <c r="J378" s="783" t="s">
        <v>34</v>
      </c>
      <c r="K378" s="783" t="s">
        <v>34</v>
      </c>
      <c r="L378" s="857">
        <v>33189.655200000001</v>
      </c>
      <c r="M378" s="1283">
        <v>9956.8965599999992</v>
      </c>
      <c r="N378" s="360">
        <v>2019.08</v>
      </c>
      <c r="O378" s="783" t="s">
        <v>5021</v>
      </c>
      <c r="P378" s="801" t="s">
        <v>5022</v>
      </c>
      <c r="Q378" s="890">
        <v>18811021868</v>
      </c>
      <c r="R378" s="793" t="s">
        <v>6995</v>
      </c>
      <c r="S378" s="891" t="s">
        <v>4670</v>
      </c>
      <c r="T378" s="769"/>
      <c r="U378" s="798"/>
      <c r="W378" s="892"/>
    </row>
    <row r="379" spans="1:23" ht="24" hidden="1" customHeight="1">
      <c r="A379" s="779"/>
      <c r="B379" s="769" t="s">
        <v>1162</v>
      </c>
      <c r="C379" s="888" t="s">
        <v>5031</v>
      </c>
      <c r="D379" s="888" t="s">
        <v>79</v>
      </c>
      <c r="E379" s="889">
        <v>2</v>
      </c>
      <c r="F379" s="782" t="s">
        <v>34</v>
      </c>
      <c r="G379" s="360" t="s">
        <v>32</v>
      </c>
      <c r="H379" s="791" t="s">
        <v>33</v>
      </c>
      <c r="I379" s="782" t="s">
        <v>34</v>
      </c>
      <c r="J379" s="783" t="s">
        <v>34</v>
      </c>
      <c r="K379" s="783" t="s">
        <v>34</v>
      </c>
      <c r="L379" s="857">
        <v>51206.8966</v>
      </c>
      <c r="M379" s="1283">
        <v>15362.06898</v>
      </c>
      <c r="N379" s="360">
        <v>2019.08</v>
      </c>
      <c r="O379" s="783" t="s">
        <v>5021</v>
      </c>
      <c r="P379" s="801" t="s">
        <v>5022</v>
      </c>
      <c r="Q379" s="890">
        <v>18811021868</v>
      </c>
      <c r="R379" s="793" t="s">
        <v>6995</v>
      </c>
      <c r="S379" s="891" t="s">
        <v>4670</v>
      </c>
      <c r="T379" s="769"/>
      <c r="U379" s="798"/>
      <c r="W379" s="892"/>
    </row>
    <row r="380" spans="1:23" ht="24" hidden="1" customHeight="1">
      <c r="A380" s="779"/>
      <c r="B380" s="769" t="s">
        <v>1162</v>
      </c>
      <c r="C380" s="888" t="s">
        <v>5034</v>
      </c>
      <c r="D380" s="888" t="s">
        <v>1369</v>
      </c>
      <c r="E380" s="889">
        <v>1</v>
      </c>
      <c r="F380" s="782" t="s">
        <v>34</v>
      </c>
      <c r="G380" s="360" t="s">
        <v>32</v>
      </c>
      <c r="H380" s="791" t="s">
        <v>33</v>
      </c>
      <c r="I380" s="782" t="s">
        <v>34</v>
      </c>
      <c r="J380" s="783" t="s">
        <v>34</v>
      </c>
      <c r="K380" s="783" t="s">
        <v>34</v>
      </c>
      <c r="L380" s="857">
        <v>23448.275900000001</v>
      </c>
      <c r="M380" s="1283">
        <v>7034.4827699999996</v>
      </c>
      <c r="N380" s="360">
        <v>2019.08</v>
      </c>
      <c r="O380" s="783" t="s">
        <v>5021</v>
      </c>
      <c r="P380" s="801" t="s">
        <v>5022</v>
      </c>
      <c r="Q380" s="890">
        <v>18811021868</v>
      </c>
      <c r="R380" s="793" t="s">
        <v>6995</v>
      </c>
      <c r="S380" s="891" t="s">
        <v>4670</v>
      </c>
      <c r="T380" s="769"/>
      <c r="U380" s="798"/>
      <c r="W380" s="892"/>
    </row>
    <row r="381" spans="1:23" ht="24" hidden="1" customHeight="1">
      <c r="A381" s="779"/>
      <c r="B381" s="769" t="s">
        <v>1162</v>
      </c>
      <c r="C381" s="888" t="s">
        <v>5035</v>
      </c>
      <c r="D381" s="888" t="s">
        <v>3821</v>
      </c>
      <c r="E381" s="889">
        <v>88</v>
      </c>
      <c r="F381" s="782" t="s">
        <v>34</v>
      </c>
      <c r="G381" s="360" t="s">
        <v>32</v>
      </c>
      <c r="H381" s="791" t="s">
        <v>33</v>
      </c>
      <c r="I381" s="782" t="s">
        <v>34</v>
      </c>
      <c r="J381" s="783" t="s">
        <v>34</v>
      </c>
      <c r="K381" s="783" t="s">
        <v>34</v>
      </c>
      <c r="L381" s="857">
        <v>23517.241399999999</v>
      </c>
      <c r="M381" s="1283">
        <v>7055.1724199999999</v>
      </c>
      <c r="N381" s="360">
        <v>2019.08</v>
      </c>
      <c r="O381" s="783" t="s">
        <v>5021</v>
      </c>
      <c r="P381" s="801" t="s">
        <v>5022</v>
      </c>
      <c r="Q381" s="890">
        <v>18811021868</v>
      </c>
      <c r="R381" s="793" t="s">
        <v>6995</v>
      </c>
      <c r="S381" s="891" t="s">
        <v>4670</v>
      </c>
      <c r="T381" s="769"/>
      <c r="U381" s="798"/>
      <c r="W381" s="892"/>
    </row>
    <row r="382" spans="1:23" ht="24" hidden="1" customHeight="1">
      <c r="A382" s="779"/>
      <c r="B382" s="769" t="s">
        <v>1162</v>
      </c>
      <c r="C382" s="888" t="s">
        <v>5031</v>
      </c>
      <c r="D382" s="888" t="s">
        <v>79</v>
      </c>
      <c r="E382" s="889">
        <v>4</v>
      </c>
      <c r="F382" s="782" t="s">
        <v>34</v>
      </c>
      <c r="G382" s="360" t="s">
        <v>32</v>
      </c>
      <c r="H382" s="791" t="s">
        <v>33</v>
      </c>
      <c r="I382" s="782" t="s">
        <v>34</v>
      </c>
      <c r="J382" s="783" t="s">
        <v>34</v>
      </c>
      <c r="K382" s="783" t="s">
        <v>34</v>
      </c>
      <c r="L382" s="857">
        <v>79310.344800000006</v>
      </c>
      <c r="M382" s="1283">
        <v>23793.103439999999</v>
      </c>
      <c r="N382" s="360">
        <v>2019.08</v>
      </c>
      <c r="O382" s="783" t="s">
        <v>5021</v>
      </c>
      <c r="P382" s="801" t="s">
        <v>5022</v>
      </c>
      <c r="Q382" s="890">
        <v>18811021868</v>
      </c>
      <c r="R382" s="793" t="s">
        <v>6995</v>
      </c>
      <c r="S382" s="891" t="s">
        <v>4670</v>
      </c>
      <c r="T382" s="769"/>
      <c r="U382" s="798"/>
      <c r="W382" s="892"/>
    </row>
    <row r="383" spans="1:23" ht="24" hidden="1" customHeight="1">
      <c r="A383" s="779"/>
      <c r="B383" s="769" t="s">
        <v>1162</v>
      </c>
      <c r="C383" s="888" t="s">
        <v>5036</v>
      </c>
      <c r="D383" s="888" t="s">
        <v>79</v>
      </c>
      <c r="E383" s="889">
        <v>3</v>
      </c>
      <c r="F383" s="782" t="s">
        <v>34</v>
      </c>
      <c r="G383" s="360" t="s">
        <v>32</v>
      </c>
      <c r="H383" s="791" t="s">
        <v>33</v>
      </c>
      <c r="I383" s="782" t="s">
        <v>34</v>
      </c>
      <c r="J383" s="783" t="s">
        <v>34</v>
      </c>
      <c r="K383" s="783" t="s">
        <v>34</v>
      </c>
      <c r="L383" s="857">
        <v>59482.758600000001</v>
      </c>
      <c r="M383" s="1283">
        <v>17844.827580000001</v>
      </c>
      <c r="N383" s="360">
        <v>2019.08</v>
      </c>
      <c r="O383" s="783" t="s">
        <v>5021</v>
      </c>
      <c r="P383" s="801" t="s">
        <v>5022</v>
      </c>
      <c r="Q383" s="890">
        <v>18811021868</v>
      </c>
      <c r="R383" s="793" t="s">
        <v>6995</v>
      </c>
      <c r="S383" s="891" t="s">
        <v>4670</v>
      </c>
      <c r="T383" s="769"/>
      <c r="U383" s="798"/>
      <c r="W383" s="892"/>
    </row>
    <row r="384" spans="1:23" ht="24" hidden="1" customHeight="1">
      <c r="A384" s="779"/>
      <c r="B384" s="769" t="s">
        <v>1162</v>
      </c>
      <c r="C384" s="888" t="s">
        <v>5027</v>
      </c>
      <c r="D384" s="888" t="s">
        <v>1369</v>
      </c>
      <c r="E384" s="889">
        <v>4</v>
      </c>
      <c r="F384" s="782" t="s">
        <v>34</v>
      </c>
      <c r="G384" s="360" t="s">
        <v>32</v>
      </c>
      <c r="H384" s="791" t="s">
        <v>33</v>
      </c>
      <c r="I384" s="782" t="s">
        <v>34</v>
      </c>
      <c r="J384" s="783" t="s">
        <v>34</v>
      </c>
      <c r="K384" s="783" t="s">
        <v>34</v>
      </c>
      <c r="L384" s="857">
        <v>1206.8966</v>
      </c>
      <c r="M384" s="1283">
        <v>362.06898000000001</v>
      </c>
      <c r="N384" s="360">
        <v>2019.08</v>
      </c>
      <c r="O384" s="783" t="s">
        <v>5021</v>
      </c>
      <c r="P384" s="801" t="s">
        <v>5022</v>
      </c>
      <c r="Q384" s="890">
        <v>18811021868</v>
      </c>
      <c r="R384" s="793" t="s">
        <v>6995</v>
      </c>
      <c r="S384" s="891" t="s">
        <v>4670</v>
      </c>
      <c r="T384" s="769"/>
      <c r="U384" s="798"/>
      <c r="W384" s="892"/>
    </row>
    <row r="385" spans="1:23" ht="24" hidden="1" customHeight="1">
      <c r="A385" s="779"/>
      <c r="B385" s="769" t="s">
        <v>1162</v>
      </c>
      <c r="C385" s="888" t="s">
        <v>5028</v>
      </c>
      <c r="D385" s="888" t="s">
        <v>1165</v>
      </c>
      <c r="E385" s="889">
        <v>1</v>
      </c>
      <c r="F385" s="782" t="s">
        <v>34</v>
      </c>
      <c r="G385" s="360" t="s">
        <v>32</v>
      </c>
      <c r="H385" s="791" t="s">
        <v>33</v>
      </c>
      <c r="I385" s="782" t="s">
        <v>34</v>
      </c>
      <c r="J385" s="783" t="s">
        <v>34</v>
      </c>
      <c r="K385" s="783" t="s">
        <v>34</v>
      </c>
      <c r="L385" s="857">
        <v>16379.310299999999</v>
      </c>
      <c r="M385" s="1283">
        <v>4913.7930900000001</v>
      </c>
      <c r="N385" s="360">
        <v>2019.08</v>
      </c>
      <c r="O385" s="783" t="s">
        <v>5021</v>
      </c>
      <c r="P385" s="801" t="s">
        <v>5022</v>
      </c>
      <c r="Q385" s="890">
        <v>18811021868</v>
      </c>
      <c r="R385" s="793" t="s">
        <v>6995</v>
      </c>
      <c r="S385" s="891" t="s">
        <v>4670</v>
      </c>
      <c r="T385" s="769"/>
      <c r="U385" s="798"/>
      <c r="W385" s="892"/>
    </row>
    <row r="386" spans="1:23" ht="24" hidden="1" customHeight="1">
      <c r="A386" s="779"/>
      <c r="B386" s="769" t="s">
        <v>1162</v>
      </c>
      <c r="C386" s="888" t="s">
        <v>5037</v>
      </c>
      <c r="D386" s="888" t="s">
        <v>1369</v>
      </c>
      <c r="E386" s="889">
        <v>64</v>
      </c>
      <c r="F386" s="782" t="s">
        <v>34</v>
      </c>
      <c r="G386" s="360" t="s">
        <v>32</v>
      </c>
      <c r="H386" s="791" t="s">
        <v>33</v>
      </c>
      <c r="I386" s="782" t="s">
        <v>34</v>
      </c>
      <c r="J386" s="783" t="s">
        <v>34</v>
      </c>
      <c r="K386" s="783" t="s">
        <v>34</v>
      </c>
      <c r="L386" s="857">
        <v>1489.6551999999999</v>
      </c>
      <c r="M386" s="1283">
        <v>446.89656000000002</v>
      </c>
      <c r="N386" s="360">
        <v>2019.08</v>
      </c>
      <c r="O386" s="783" t="s">
        <v>5021</v>
      </c>
      <c r="P386" s="801" t="s">
        <v>5022</v>
      </c>
      <c r="Q386" s="890">
        <v>18811021868</v>
      </c>
      <c r="R386" s="793" t="s">
        <v>6995</v>
      </c>
      <c r="S386" s="891" t="s">
        <v>4670</v>
      </c>
      <c r="T386" s="769"/>
      <c r="U386" s="798"/>
      <c r="W386" s="892"/>
    </row>
    <row r="387" spans="1:23" ht="24" hidden="1" customHeight="1">
      <c r="A387" s="779"/>
      <c r="B387" s="769" t="s">
        <v>1162</v>
      </c>
      <c r="C387" s="888" t="s">
        <v>5038</v>
      </c>
      <c r="D387" s="888" t="s">
        <v>1369</v>
      </c>
      <c r="E387" s="889">
        <v>30</v>
      </c>
      <c r="F387" s="782" t="s">
        <v>34</v>
      </c>
      <c r="G387" s="360" t="s">
        <v>32</v>
      </c>
      <c r="H387" s="791" t="s">
        <v>33</v>
      </c>
      <c r="I387" s="782" t="s">
        <v>34</v>
      </c>
      <c r="J387" s="783" t="s">
        <v>34</v>
      </c>
      <c r="K387" s="783" t="s">
        <v>34</v>
      </c>
      <c r="L387" s="857">
        <v>2198.2759000000001</v>
      </c>
      <c r="M387" s="1283">
        <v>659.48276999999996</v>
      </c>
      <c r="N387" s="360">
        <v>2019.08</v>
      </c>
      <c r="O387" s="783" t="s">
        <v>5021</v>
      </c>
      <c r="P387" s="801" t="s">
        <v>5022</v>
      </c>
      <c r="Q387" s="890">
        <v>18811021868</v>
      </c>
      <c r="R387" s="793" t="s">
        <v>6995</v>
      </c>
      <c r="S387" s="891" t="s">
        <v>4670</v>
      </c>
      <c r="T387" s="769"/>
      <c r="U387" s="798"/>
      <c r="W387" s="892"/>
    </row>
    <row r="388" spans="1:23" ht="24" hidden="1" customHeight="1">
      <c r="A388" s="779"/>
      <c r="B388" s="769" t="s">
        <v>1162</v>
      </c>
      <c r="C388" s="888" t="s">
        <v>5039</v>
      </c>
      <c r="D388" s="888" t="s">
        <v>79</v>
      </c>
      <c r="E388" s="889">
        <v>2</v>
      </c>
      <c r="F388" s="782" t="s">
        <v>34</v>
      </c>
      <c r="G388" s="360" t="s">
        <v>32</v>
      </c>
      <c r="H388" s="791" t="s">
        <v>33</v>
      </c>
      <c r="I388" s="782" t="s">
        <v>34</v>
      </c>
      <c r="J388" s="783" t="s">
        <v>34</v>
      </c>
      <c r="K388" s="783" t="s">
        <v>34</v>
      </c>
      <c r="L388" s="857">
        <v>25517.241399999999</v>
      </c>
      <c r="M388" s="1283">
        <v>7655.1724199999999</v>
      </c>
      <c r="N388" s="360">
        <v>2019.08</v>
      </c>
      <c r="O388" s="783" t="s">
        <v>5021</v>
      </c>
      <c r="P388" s="801" t="s">
        <v>5022</v>
      </c>
      <c r="Q388" s="890">
        <v>18811021868</v>
      </c>
      <c r="R388" s="793" t="s">
        <v>6995</v>
      </c>
      <c r="S388" s="891" t="s">
        <v>4670</v>
      </c>
      <c r="T388" s="769"/>
      <c r="U388" s="798"/>
      <c r="W388" s="892"/>
    </row>
    <row r="389" spans="1:23" ht="24" hidden="1" customHeight="1">
      <c r="A389" s="779"/>
      <c r="B389" s="769" t="s">
        <v>1162</v>
      </c>
      <c r="C389" s="888" t="s">
        <v>5031</v>
      </c>
      <c r="D389" s="888" t="s">
        <v>79</v>
      </c>
      <c r="E389" s="889">
        <v>2</v>
      </c>
      <c r="F389" s="782" t="s">
        <v>34</v>
      </c>
      <c r="G389" s="360" t="s">
        <v>32</v>
      </c>
      <c r="H389" s="791" t="s">
        <v>33</v>
      </c>
      <c r="I389" s="782" t="s">
        <v>34</v>
      </c>
      <c r="J389" s="783" t="s">
        <v>34</v>
      </c>
      <c r="K389" s="783" t="s">
        <v>34</v>
      </c>
      <c r="L389" s="857">
        <v>39655.172400000003</v>
      </c>
      <c r="M389" s="1283">
        <v>11896.551719999999</v>
      </c>
      <c r="N389" s="360">
        <v>2019.08</v>
      </c>
      <c r="O389" s="783" t="s">
        <v>5021</v>
      </c>
      <c r="P389" s="801" t="s">
        <v>5022</v>
      </c>
      <c r="Q389" s="890">
        <v>18811021868</v>
      </c>
      <c r="R389" s="793" t="s">
        <v>6995</v>
      </c>
      <c r="S389" s="891" t="s">
        <v>4670</v>
      </c>
      <c r="T389" s="769"/>
      <c r="U389" s="798"/>
      <c r="W389" s="892"/>
    </row>
    <row r="390" spans="1:23" ht="24" hidden="1" customHeight="1">
      <c r="A390" s="779"/>
      <c r="B390" s="769" t="s">
        <v>1162</v>
      </c>
      <c r="C390" s="888" t="s">
        <v>5024</v>
      </c>
      <c r="D390" s="888" t="s">
        <v>131</v>
      </c>
      <c r="E390" s="889">
        <v>9</v>
      </c>
      <c r="F390" s="782" t="s">
        <v>34</v>
      </c>
      <c r="G390" s="360" t="s">
        <v>32</v>
      </c>
      <c r="H390" s="791" t="s">
        <v>33</v>
      </c>
      <c r="I390" s="782" t="s">
        <v>34</v>
      </c>
      <c r="J390" s="783" t="s">
        <v>34</v>
      </c>
      <c r="K390" s="783" t="s">
        <v>34</v>
      </c>
      <c r="L390" s="857">
        <v>178448.27590000001</v>
      </c>
      <c r="M390" s="1283">
        <v>53534.482770000002</v>
      </c>
      <c r="N390" s="360">
        <v>2019.08</v>
      </c>
      <c r="O390" s="783" t="s">
        <v>5021</v>
      </c>
      <c r="P390" s="801" t="s">
        <v>5022</v>
      </c>
      <c r="Q390" s="890">
        <v>18811021868</v>
      </c>
      <c r="R390" s="793" t="s">
        <v>6995</v>
      </c>
      <c r="S390" s="891" t="s">
        <v>4670</v>
      </c>
      <c r="T390" s="769"/>
      <c r="U390" s="798"/>
      <c r="W390" s="892"/>
    </row>
    <row r="391" spans="1:23" ht="24" hidden="1" customHeight="1">
      <c r="A391" s="779"/>
      <c r="B391" s="769" t="s">
        <v>1162</v>
      </c>
      <c r="C391" s="888" t="s">
        <v>5040</v>
      </c>
      <c r="D391" s="888" t="s">
        <v>1369</v>
      </c>
      <c r="E391" s="889">
        <v>21.6</v>
      </c>
      <c r="F391" s="782" t="s">
        <v>34</v>
      </c>
      <c r="G391" s="360" t="s">
        <v>32</v>
      </c>
      <c r="H391" s="791" t="s">
        <v>33</v>
      </c>
      <c r="I391" s="782" t="s">
        <v>34</v>
      </c>
      <c r="J391" s="783" t="s">
        <v>34</v>
      </c>
      <c r="K391" s="783" t="s">
        <v>34</v>
      </c>
      <c r="L391" s="857">
        <v>1582.7585999999999</v>
      </c>
      <c r="M391" s="1283">
        <v>474.82758000000001</v>
      </c>
      <c r="N391" s="360">
        <v>2019.08</v>
      </c>
      <c r="O391" s="783" t="s">
        <v>5021</v>
      </c>
      <c r="P391" s="801" t="s">
        <v>5022</v>
      </c>
      <c r="Q391" s="890">
        <v>18811021868</v>
      </c>
      <c r="R391" s="793" t="s">
        <v>6995</v>
      </c>
      <c r="S391" s="891" t="s">
        <v>4670</v>
      </c>
      <c r="T391" s="769"/>
      <c r="U391" s="798"/>
      <c r="W391" s="892"/>
    </row>
    <row r="392" spans="1:23" ht="24" hidden="1" customHeight="1">
      <c r="A392" s="779"/>
      <c r="B392" s="769" t="s">
        <v>1162</v>
      </c>
      <c r="C392" s="888" t="s">
        <v>5041</v>
      </c>
      <c r="D392" s="888" t="s">
        <v>31</v>
      </c>
      <c r="E392" s="889">
        <v>104</v>
      </c>
      <c r="F392" s="782" t="s">
        <v>34</v>
      </c>
      <c r="G392" s="360" t="s">
        <v>32</v>
      </c>
      <c r="H392" s="791" t="s">
        <v>33</v>
      </c>
      <c r="I392" s="782" t="s">
        <v>34</v>
      </c>
      <c r="J392" s="783" t="s">
        <v>34</v>
      </c>
      <c r="K392" s="783" t="s">
        <v>34</v>
      </c>
      <c r="L392" s="857">
        <v>4482.7586000000001</v>
      </c>
      <c r="M392" s="1283">
        <v>1344.8275799999999</v>
      </c>
      <c r="N392" s="360">
        <v>2019.08</v>
      </c>
      <c r="O392" s="783" t="s">
        <v>5021</v>
      </c>
      <c r="P392" s="801" t="s">
        <v>5022</v>
      </c>
      <c r="Q392" s="890">
        <v>18811021868</v>
      </c>
      <c r="R392" s="793" t="s">
        <v>6995</v>
      </c>
      <c r="S392" s="891" t="s">
        <v>4670</v>
      </c>
      <c r="T392" s="769"/>
      <c r="U392" s="798"/>
      <c r="W392" s="892"/>
    </row>
    <row r="393" spans="1:23" ht="24" hidden="1" customHeight="1">
      <c r="A393" s="779"/>
      <c r="B393" s="769" t="s">
        <v>1162</v>
      </c>
      <c r="C393" s="888" t="s">
        <v>5020</v>
      </c>
      <c r="D393" s="888" t="s">
        <v>131</v>
      </c>
      <c r="E393" s="889">
        <v>1</v>
      </c>
      <c r="F393" s="782" t="s">
        <v>34</v>
      </c>
      <c r="G393" s="360" t="s">
        <v>32</v>
      </c>
      <c r="H393" s="791" t="s">
        <v>33</v>
      </c>
      <c r="I393" s="782" t="s">
        <v>34</v>
      </c>
      <c r="J393" s="783" t="s">
        <v>34</v>
      </c>
      <c r="K393" s="783" t="s">
        <v>34</v>
      </c>
      <c r="L393" s="857">
        <v>33189.655200000001</v>
      </c>
      <c r="M393" s="1283">
        <v>9956.8965599999992</v>
      </c>
      <c r="N393" s="360">
        <v>2019.08</v>
      </c>
      <c r="O393" s="783" t="s">
        <v>5021</v>
      </c>
      <c r="P393" s="801" t="s">
        <v>5022</v>
      </c>
      <c r="Q393" s="890">
        <v>18811021868</v>
      </c>
      <c r="R393" s="793" t="s">
        <v>6995</v>
      </c>
      <c r="S393" s="891" t="s">
        <v>4670</v>
      </c>
      <c r="T393" s="769"/>
      <c r="U393" s="798"/>
      <c r="W393" s="892"/>
    </row>
    <row r="394" spans="1:23" ht="24" hidden="1" customHeight="1">
      <c r="A394" s="779"/>
      <c r="B394" s="769" t="s">
        <v>1162</v>
      </c>
      <c r="C394" s="888" t="s">
        <v>5031</v>
      </c>
      <c r="D394" s="888" t="s">
        <v>79</v>
      </c>
      <c r="E394" s="889">
        <v>2</v>
      </c>
      <c r="F394" s="782" t="s">
        <v>34</v>
      </c>
      <c r="G394" s="360" t="s">
        <v>32</v>
      </c>
      <c r="H394" s="791" t="s">
        <v>33</v>
      </c>
      <c r="I394" s="782" t="s">
        <v>34</v>
      </c>
      <c r="J394" s="783" t="s">
        <v>34</v>
      </c>
      <c r="K394" s="783" t="s">
        <v>34</v>
      </c>
      <c r="L394" s="857">
        <v>51206.8966</v>
      </c>
      <c r="M394" s="1283">
        <v>15362.06898</v>
      </c>
      <c r="N394" s="360">
        <v>2019.08</v>
      </c>
      <c r="O394" s="783" t="s">
        <v>5021</v>
      </c>
      <c r="P394" s="801" t="s">
        <v>5022</v>
      </c>
      <c r="Q394" s="890">
        <v>18811021868</v>
      </c>
      <c r="R394" s="793" t="s">
        <v>6995</v>
      </c>
      <c r="S394" s="891" t="s">
        <v>4670</v>
      </c>
      <c r="T394" s="769"/>
      <c r="U394" s="798"/>
      <c r="W394" s="892"/>
    </row>
    <row r="395" spans="1:23" ht="24" hidden="1" customHeight="1">
      <c r="A395" s="779"/>
      <c r="B395" s="769" t="s">
        <v>1162</v>
      </c>
      <c r="C395" s="888" t="s">
        <v>5034</v>
      </c>
      <c r="D395" s="888" t="s">
        <v>1369</v>
      </c>
      <c r="E395" s="889">
        <v>1</v>
      </c>
      <c r="F395" s="782" t="s">
        <v>34</v>
      </c>
      <c r="G395" s="360" t="s">
        <v>32</v>
      </c>
      <c r="H395" s="791" t="s">
        <v>33</v>
      </c>
      <c r="I395" s="782" t="s">
        <v>34</v>
      </c>
      <c r="J395" s="783" t="s">
        <v>34</v>
      </c>
      <c r="K395" s="783" t="s">
        <v>34</v>
      </c>
      <c r="L395" s="857">
        <v>23448.275900000001</v>
      </c>
      <c r="M395" s="1283">
        <v>7034.4827699999996</v>
      </c>
      <c r="N395" s="360">
        <v>2019.08</v>
      </c>
      <c r="O395" s="783" t="s">
        <v>5021</v>
      </c>
      <c r="P395" s="801" t="s">
        <v>5022</v>
      </c>
      <c r="Q395" s="890">
        <v>18811021868</v>
      </c>
      <c r="R395" s="793" t="s">
        <v>6995</v>
      </c>
      <c r="S395" s="891" t="s">
        <v>4670</v>
      </c>
      <c r="T395" s="769"/>
      <c r="U395" s="798"/>
      <c r="W395" s="892"/>
    </row>
    <row r="396" spans="1:23" ht="24" hidden="1" customHeight="1">
      <c r="A396" s="779"/>
      <c r="B396" s="769" t="s">
        <v>1162</v>
      </c>
      <c r="C396" s="888" t="s">
        <v>5035</v>
      </c>
      <c r="D396" s="888" t="s">
        <v>3821</v>
      </c>
      <c r="E396" s="889">
        <v>88</v>
      </c>
      <c r="F396" s="782" t="s">
        <v>34</v>
      </c>
      <c r="G396" s="360" t="s">
        <v>32</v>
      </c>
      <c r="H396" s="791" t="s">
        <v>33</v>
      </c>
      <c r="I396" s="782" t="s">
        <v>34</v>
      </c>
      <c r="J396" s="783" t="s">
        <v>34</v>
      </c>
      <c r="K396" s="783" t="s">
        <v>34</v>
      </c>
      <c r="L396" s="857">
        <v>23517.241399999999</v>
      </c>
      <c r="M396" s="1283">
        <v>7055.1724199999999</v>
      </c>
      <c r="N396" s="360">
        <v>2019.08</v>
      </c>
      <c r="O396" s="783" t="s">
        <v>5021</v>
      </c>
      <c r="P396" s="801" t="s">
        <v>5022</v>
      </c>
      <c r="Q396" s="890">
        <v>18811021868</v>
      </c>
      <c r="R396" s="793" t="s">
        <v>6995</v>
      </c>
      <c r="S396" s="891" t="s">
        <v>4670</v>
      </c>
      <c r="T396" s="769"/>
      <c r="U396" s="798"/>
      <c r="W396" s="892"/>
    </row>
    <row r="397" spans="1:23" ht="24" hidden="1" customHeight="1">
      <c r="A397" s="779"/>
      <c r="B397" s="769" t="s">
        <v>1162</v>
      </c>
      <c r="C397" s="888" t="s">
        <v>5031</v>
      </c>
      <c r="D397" s="888" t="s">
        <v>79</v>
      </c>
      <c r="E397" s="889">
        <v>4</v>
      </c>
      <c r="F397" s="782" t="s">
        <v>34</v>
      </c>
      <c r="G397" s="360" t="s">
        <v>32</v>
      </c>
      <c r="H397" s="791" t="s">
        <v>33</v>
      </c>
      <c r="I397" s="782" t="s">
        <v>34</v>
      </c>
      <c r="J397" s="783" t="s">
        <v>34</v>
      </c>
      <c r="K397" s="783" t="s">
        <v>34</v>
      </c>
      <c r="L397" s="857">
        <v>79310.344800000006</v>
      </c>
      <c r="M397" s="1283">
        <v>23793.103439999999</v>
      </c>
      <c r="N397" s="360">
        <v>2019.08</v>
      </c>
      <c r="O397" s="783" t="s">
        <v>5021</v>
      </c>
      <c r="P397" s="801" t="s">
        <v>5022</v>
      </c>
      <c r="Q397" s="890">
        <v>18811021868</v>
      </c>
      <c r="R397" s="793" t="s">
        <v>6995</v>
      </c>
      <c r="S397" s="891" t="s">
        <v>4670</v>
      </c>
      <c r="T397" s="769"/>
      <c r="U397" s="798"/>
      <c r="W397" s="892"/>
    </row>
    <row r="398" spans="1:23" ht="24" hidden="1" customHeight="1">
      <c r="A398" s="779"/>
      <c r="B398" s="769" t="s">
        <v>1162</v>
      </c>
      <c r="C398" s="888" t="s">
        <v>5036</v>
      </c>
      <c r="D398" s="888" t="s">
        <v>79</v>
      </c>
      <c r="E398" s="889">
        <v>3</v>
      </c>
      <c r="F398" s="782" t="s">
        <v>34</v>
      </c>
      <c r="G398" s="360" t="s">
        <v>32</v>
      </c>
      <c r="H398" s="791" t="s">
        <v>33</v>
      </c>
      <c r="I398" s="782" t="s">
        <v>34</v>
      </c>
      <c r="J398" s="783" t="s">
        <v>34</v>
      </c>
      <c r="K398" s="783" t="s">
        <v>34</v>
      </c>
      <c r="L398" s="857">
        <v>59482.758600000001</v>
      </c>
      <c r="M398" s="1283">
        <v>17844.827580000001</v>
      </c>
      <c r="N398" s="360">
        <v>2019.08</v>
      </c>
      <c r="O398" s="783" t="s">
        <v>5021</v>
      </c>
      <c r="P398" s="801" t="s">
        <v>5022</v>
      </c>
      <c r="Q398" s="890">
        <v>18811021868</v>
      </c>
      <c r="R398" s="793" t="s">
        <v>6995</v>
      </c>
      <c r="S398" s="891" t="s">
        <v>4670</v>
      </c>
      <c r="T398" s="769"/>
      <c r="U398" s="798"/>
      <c r="W398" s="892"/>
    </row>
    <row r="399" spans="1:23" ht="24" hidden="1" customHeight="1">
      <c r="A399" s="779"/>
      <c r="B399" s="769" t="s">
        <v>1162</v>
      </c>
      <c r="C399" s="888" t="s">
        <v>5039</v>
      </c>
      <c r="D399" s="888" t="s">
        <v>79</v>
      </c>
      <c r="E399" s="889">
        <v>2</v>
      </c>
      <c r="F399" s="782" t="s">
        <v>34</v>
      </c>
      <c r="G399" s="360" t="s">
        <v>32</v>
      </c>
      <c r="H399" s="791" t="s">
        <v>33</v>
      </c>
      <c r="I399" s="782" t="s">
        <v>34</v>
      </c>
      <c r="J399" s="783" t="s">
        <v>34</v>
      </c>
      <c r="K399" s="783" t="s">
        <v>34</v>
      </c>
      <c r="L399" s="857">
        <v>25517.241399999999</v>
      </c>
      <c r="M399" s="1283">
        <v>7655.1724199999999</v>
      </c>
      <c r="N399" s="360">
        <v>2019.08</v>
      </c>
      <c r="O399" s="783" t="s">
        <v>5021</v>
      </c>
      <c r="P399" s="801" t="s">
        <v>5022</v>
      </c>
      <c r="Q399" s="890">
        <v>18811021868</v>
      </c>
      <c r="R399" s="793" t="s">
        <v>6995</v>
      </c>
      <c r="S399" s="891" t="s">
        <v>4670</v>
      </c>
      <c r="T399" s="769"/>
      <c r="U399" s="798"/>
      <c r="W399" s="892"/>
    </row>
    <row r="400" spans="1:23" ht="24" hidden="1" customHeight="1">
      <c r="A400" s="779"/>
      <c r="B400" s="769" t="s">
        <v>1162</v>
      </c>
      <c r="C400" s="888" t="s">
        <v>5042</v>
      </c>
      <c r="D400" s="888" t="s">
        <v>1477</v>
      </c>
      <c r="E400" s="889">
        <v>1</v>
      </c>
      <c r="F400" s="782" t="s">
        <v>34</v>
      </c>
      <c r="G400" s="360" t="s">
        <v>32</v>
      </c>
      <c r="H400" s="791" t="s">
        <v>33</v>
      </c>
      <c r="I400" s="782" t="s">
        <v>34</v>
      </c>
      <c r="J400" s="783" t="s">
        <v>34</v>
      </c>
      <c r="K400" s="783" t="s">
        <v>34</v>
      </c>
      <c r="L400" s="857">
        <v>15533.980600000001</v>
      </c>
      <c r="M400" s="1283">
        <v>4660.1941800000004</v>
      </c>
      <c r="N400" s="360">
        <v>2019.08</v>
      </c>
      <c r="O400" s="783" t="s">
        <v>5021</v>
      </c>
      <c r="P400" s="801" t="s">
        <v>5022</v>
      </c>
      <c r="Q400" s="890">
        <v>18811021868</v>
      </c>
      <c r="R400" s="793" t="s">
        <v>6995</v>
      </c>
      <c r="S400" s="891" t="s">
        <v>4670</v>
      </c>
      <c r="T400" s="769"/>
      <c r="U400" s="798"/>
      <c r="W400" s="892"/>
    </row>
    <row r="401" spans="1:23" ht="24" hidden="1" customHeight="1">
      <c r="A401" s="779"/>
      <c r="B401" s="769" t="s">
        <v>1162</v>
      </c>
      <c r="C401" s="888" t="s">
        <v>5043</v>
      </c>
      <c r="D401" s="888" t="s">
        <v>79</v>
      </c>
      <c r="E401" s="889">
        <v>11</v>
      </c>
      <c r="F401" s="782" t="s">
        <v>34</v>
      </c>
      <c r="G401" s="360" t="s">
        <v>32</v>
      </c>
      <c r="H401" s="791" t="s">
        <v>33</v>
      </c>
      <c r="I401" s="782" t="s">
        <v>34</v>
      </c>
      <c r="J401" s="783" t="s">
        <v>34</v>
      </c>
      <c r="K401" s="783" t="s">
        <v>34</v>
      </c>
      <c r="L401" s="857">
        <v>150884.9558</v>
      </c>
      <c r="M401" s="1283">
        <v>45265.48674</v>
      </c>
      <c r="N401" s="360">
        <v>2019.08</v>
      </c>
      <c r="O401" s="783" t="s">
        <v>5021</v>
      </c>
      <c r="P401" s="801" t="s">
        <v>5022</v>
      </c>
      <c r="Q401" s="890">
        <v>18811021868</v>
      </c>
      <c r="R401" s="793" t="s">
        <v>6995</v>
      </c>
      <c r="S401" s="891" t="s">
        <v>4670</v>
      </c>
      <c r="T401" s="769"/>
      <c r="U401" s="798"/>
      <c r="W401" s="892"/>
    </row>
    <row r="402" spans="1:23" ht="24" hidden="1" customHeight="1">
      <c r="A402" s="779"/>
      <c r="B402" s="769" t="s">
        <v>1162</v>
      </c>
      <c r="C402" s="888" t="s">
        <v>5044</v>
      </c>
      <c r="D402" s="888" t="s">
        <v>131</v>
      </c>
      <c r="E402" s="889">
        <v>2</v>
      </c>
      <c r="F402" s="782" t="s">
        <v>34</v>
      </c>
      <c r="G402" s="360" t="s">
        <v>32</v>
      </c>
      <c r="H402" s="791" t="s">
        <v>33</v>
      </c>
      <c r="I402" s="782" t="s">
        <v>34</v>
      </c>
      <c r="J402" s="783" t="s">
        <v>34</v>
      </c>
      <c r="K402" s="783" t="s">
        <v>34</v>
      </c>
      <c r="L402" s="857">
        <v>40530.9735</v>
      </c>
      <c r="M402" s="1283">
        <v>12159.29205</v>
      </c>
      <c r="N402" s="360">
        <v>2019.08</v>
      </c>
      <c r="O402" s="783" t="s">
        <v>5021</v>
      </c>
      <c r="P402" s="801" t="s">
        <v>5022</v>
      </c>
      <c r="Q402" s="890">
        <v>18811021868</v>
      </c>
      <c r="R402" s="793" t="s">
        <v>6995</v>
      </c>
      <c r="S402" s="891" t="s">
        <v>4670</v>
      </c>
      <c r="T402" s="769"/>
      <c r="U402" s="798"/>
      <c r="W402" s="892"/>
    </row>
    <row r="403" spans="1:23" ht="24" hidden="1" customHeight="1">
      <c r="A403" s="779"/>
      <c r="B403" s="769" t="s">
        <v>1162</v>
      </c>
      <c r="C403" s="888" t="s">
        <v>5044</v>
      </c>
      <c r="D403" s="888" t="s">
        <v>131</v>
      </c>
      <c r="E403" s="889">
        <v>2</v>
      </c>
      <c r="F403" s="782" t="s">
        <v>34</v>
      </c>
      <c r="G403" s="360" t="s">
        <v>32</v>
      </c>
      <c r="H403" s="791" t="s">
        <v>33</v>
      </c>
      <c r="I403" s="782" t="s">
        <v>34</v>
      </c>
      <c r="J403" s="783" t="s">
        <v>34</v>
      </c>
      <c r="K403" s="783" t="s">
        <v>34</v>
      </c>
      <c r="L403" s="857">
        <v>40530.9735</v>
      </c>
      <c r="M403" s="1283">
        <v>12159.29205</v>
      </c>
      <c r="N403" s="360">
        <v>2019.08</v>
      </c>
      <c r="O403" s="783" t="s">
        <v>5021</v>
      </c>
      <c r="P403" s="801" t="s">
        <v>5022</v>
      </c>
      <c r="Q403" s="890">
        <v>18811021868</v>
      </c>
      <c r="R403" s="793" t="s">
        <v>6995</v>
      </c>
      <c r="S403" s="891" t="s">
        <v>4670</v>
      </c>
      <c r="T403" s="769"/>
      <c r="U403" s="798"/>
      <c r="W403" s="892"/>
    </row>
    <row r="404" spans="1:23" ht="24" hidden="1" customHeight="1">
      <c r="A404" s="779"/>
      <c r="B404" s="769" t="s">
        <v>1162</v>
      </c>
      <c r="C404" s="888" t="s">
        <v>5044</v>
      </c>
      <c r="D404" s="888" t="s">
        <v>131</v>
      </c>
      <c r="E404" s="889">
        <v>1</v>
      </c>
      <c r="F404" s="782" t="s">
        <v>34</v>
      </c>
      <c r="G404" s="360" t="s">
        <v>32</v>
      </c>
      <c r="H404" s="791" t="s">
        <v>33</v>
      </c>
      <c r="I404" s="782" t="s">
        <v>34</v>
      </c>
      <c r="J404" s="783" t="s">
        <v>34</v>
      </c>
      <c r="K404" s="783" t="s">
        <v>34</v>
      </c>
      <c r="L404" s="857">
        <v>30707.964599999999</v>
      </c>
      <c r="M404" s="1283">
        <v>9212.3893800000005</v>
      </c>
      <c r="N404" s="360">
        <v>2019.08</v>
      </c>
      <c r="O404" s="783" t="s">
        <v>5021</v>
      </c>
      <c r="P404" s="801" t="s">
        <v>5022</v>
      </c>
      <c r="Q404" s="890">
        <v>18811021868</v>
      </c>
      <c r="R404" s="793" t="s">
        <v>6995</v>
      </c>
      <c r="S404" s="891" t="s">
        <v>4670</v>
      </c>
      <c r="T404" s="769"/>
      <c r="U404" s="798"/>
      <c r="W404" s="892"/>
    </row>
    <row r="405" spans="1:23" ht="24" hidden="1" customHeight="1">
      <c r="A405" s="779"/>
      <c r="B405" s="769" t="s">
        <v>1162</v>
      </c>
      <c r="C405" s="888" t="s">
        <v>5044</v>
      </c>
      <c r="D405" s="888" t="s">
        <v>131</v>
      </c>
      <c r="E405" s="889">
        <v>1</v>
      </c>
      <c r="F405" s="782" t="s">
        <v>34</v>
      </c>
      <c r="G405" s="360" t="s">
        <v>32</v>
      </c>
      <c r="H405" s="791" t="s">
        <v>33</v>
      </c>
      <c r="I405" s="782" t="s">
        <v>34</v>
      </c>
      <c r="J405" s="783" t="s">
        <v>34</v>
      </c>
      <c r="K405" s="783" t="s">
        <v>34</v>
      </c>
      <c r="L405" s="857">
        <v>30796.460200000001</v>
      </c>
      <c r="M405" s="1283">
        <v>9238.9380600000004</v>
      </c>
      <c r="N405" s="360">
        <v>2019.08</v>
      </c>
      <c r="O405" s="783" t="s">
        <v>5021</v>
      </c>
      <c r="P405" s="801" t="s">
        <v>5022</v>
      </c>
      <c r="Q405" s="890">
        <v>18811021868</v>
      </c>
      <c r="R405" s="793" t="s">
        <v>6995</v>
      </c>
      <c r="S405" s="891" t="s">
        <v>4670</v>
      </c>
      <c r="T405" s="769"/>
      <c r="U405" s="798"/>
      <c r="W405" s="892"/>
    </row>
    <row r="406" spans="1:23" ht="24" hidden="1" customHeight="1">
      <c r="A406" s="779"/>
      <c r="B406" s="769" t="s">
        <v>1162</v>
      </c>
      <c r="C406" s="888" t="s">
        <v>5045</v>
      </c>
      <c r="D406" s="888" t="s">
        <v>131</v>
      </c>
      <c r="E406" s="889">
        <v>2</v>
      </c>
      <c r="F406" s="782" t="s">
        <v>34</v>
      </c>
      <c r="G406" s="360" t="s">
        <v>32</v>
      </c>
      <c r="H406" s="791" t="s">
        <v>33</v>
      </c>
      <c r="I406" s="782" t="s">
        <v>34</v>
      </c>
      <c r="J406" s="783" t="s">
        <v>34</v>
      </c>
      <c r="K406" s="783" t="s">
        <v>34</v>
      </c>
      <c r="L406" s="857">
        <v>5840.7079999999996</v>
      </c>
      <c r="M406" s="1283">
        <v>1752.2123999999999</v>
      </c>
      <c r="N406" s="360">
        <v>2019.08</v>
      </c>
      <c r="O406" s="783" t="s">
        <v>5021</v>
      </c>
      <c r="P406" s="801" t="s">
        <v>5022</v>
      </c>
      <c r="Q406" s="890">
        <v>18811021868</v>
      </c>
      <c r="R406" s="793" t="s">
        <v>6995</v>
      </c>
      <c r="S406" s="891" t="s">
        <v>4670</v>
      </c>
      <c r="T406" s="769"/>
      <c r="U406" s="798"/>
      <c r="W406" s="892"/>
    </row>
    <row r="407" spans="1:23" ht="24" hidden="1" customHeight="1">
      <c r="A407" s="779"/>
      <c r="B407" s="769" t="s">
        <v>1162</v>
      </c>
      <c r="C407" s="888" t="s">
        <v>5044</v>
      </c>
      <c r="D407" s="888" t="s">
        <v>131</v>
      </c>
      <c r="E407" s="889">
        <v>1</v>
      </c>
      <c r="F407" s="782" t="s">
        <v>34</v>
      </c>
      <c r="G407" s="360" t="s">
        <v>32</v>
      </c>
      <c r="H407" s="791" t="s">
        <v>33</v>
      </c>
      <c r="I407" s="782" t="s">
        <v>34</v>
      </c>
      <c r="J407" s="783" t="s">
        <v>34</v>
      </c>
      <c r="K407" s="783" t="s">
        <v>34</v>
      </c>
      <c r="L407" s="857">
        <v>18584.070800000001</v>
      </c>
      <c r="M407" s="1283">
        <v>5575.2212399999999</v>
      </c>
      <c r="N407" s="360">
        <v>2019.08</v>
      </c>
      <c r="O407" s="783" t="s">
        <v>6996</v>
      </c>
      <c r="P407" s="801" t="s">
        <v>5022</v>
      </c>
      <c r="Q407" s="890">
        <v>18811021868</v>
      </c>
      <c r="R407" s="793" t="s">
        <v>6995</v>
      </c>
      <c r="S407" s="891" t="s">
        <v>4670</v>
      </c>
      <c r="T407" s="769"/>
      <c r="U407" s="798"/>
      <c r="W407" s="892"/>
    </row>
    <row r="408" spans="1:23" ht="24" hidden="1" customHeight="1">
      <c r="A408" s="779"/>
      <c r="B408" s="769" t="s">
        <v>1162</v>
      </c>
      <c r="C408" s="888" t="s">
        <v>5044</v>
      </c>
      <c r="D408" s="888" t="s">
        <v>131</v>
      </c>
      <c r="E408" s="889">
        <v>2</v>
      </c>
      <c r="F408" s="782" t="s">
        <v>34</v>
      </c>
      <c r="G408" s="360" t="s">
        <v>32</v>
      </c>
      <c r="H408" s="791" t="s">
        <v>33</v>
      </c>
      <c r="I408" s="782" t="s">
        <v>34</v>
      </c>
      <c r="J408" s="783" t="s">
        <v>34</v>
      </c>
      <c r="K408" s="783" t="s">
        <v>34</v>
      </c>
      <c r="L408" s="857">
        <v>66371.681400000001</v>
      </c>
      <c r="M408" s="1283">
        <v>19911.504420000001</v>
      </c>
      <c r="N408" s="360">
        <v>2019.08</v>
      </c>
      <c r="O408" s="783" t="s">
        <v>5021</v>
      </c>
      <c r="P408" s="801" t="s">
        <v>5022</v>
      </c>
      <c r="Q408" s="890">
        <v>18811021868</v>
      </c>
      <c r="R408" s="793" t="s">
        <v>6995</v>
      </c>
      <c r="S408" s="891" t="s">
        <v>4670</v>
      </c>
      <c r="T408" s="769"/>
      <c r="U408" s="798"/>
      <c r="W408" s="892"/>
    </row>
    <row r="409" spans="1:23" ht="24" hidden="1" customHeight="1">
      <c r="A409" s="779"/>
      <c r="B409" s="769" t="s">
        <v>1162</v>
      </c>
      <c r="C409" s="888" t="s">
        <v>5036</v>
      </c>
      <c r="D409" s="888" t="s">
        <v>79</v>
      </c>
      <c r="E409" s="889">
        <v>1</v>
      </c>
      <c r="F409" s="782" t="s">
        <v>34</v>
      </c>
      <c r="G409" s="360" t="s">
        <v>32</v>
      </c>
      <c r="H409" s="791" t="s">
        <v>33</v>
      </c>
      <c r="I409" s="782" t="s">
        <v>34</v>
      </c>
      <c r="J409" s="783" t="s">
        <v>34</v>
      </c>
      <c r="K409" s="783" t="s">
        <v>34</v>
      </c>
      <c r="L409" s="857">
        <v>29115.0442</v>
      </c>
      <c r="M409" s="1283">
        <v>8734.5132599999997</v>
      </c>
      <c r="N409" s="360">
        <v>2019.08</v>
      </c>
      <c r="O409" s="783" t="s">
        <v>5021</v>
      </c>
      <c r="P409" s="801" t="s">
        <v>5022</v>
      </c>
      <c r="Q409" s="890">
        <v>18811021868</v>
      </c>
      <c r="R409" s="793" t="s">
        <v>6995</v>
      </c>
      <c r="S409" s="891" t="s">
        <v>4670</v>
      </c>
      <c r="T409" s="769"/>
      <c r="U409" s="798"/>
      <c r="W409" s="892"/>
    </row>
    <row r="410" spans="1:23" ht="24" hidden="1" customHeight="1">
      <c r="A410" s="779"/>
      <c r="B410" s="769" t="s">
        <v>1162</v>
      </c>
      <c r="C410" s="888" t="s">
        <v>5044</v>
      </c>
      <c r="D410" s="888" t="s">
        <v>131</v>
      </c>
      <c r="E410" s="889">
        <v>4</v>
      </c>
      <c r="F410" s="782" t="s">
        <v>34</v>
      </c>
      <c r="G410" s="360" t="s">
        <v>32</v>
      </c>
      <c r="H410" s="791" t="s">
        <v>33</v>
      </c>
      <c r="I410" s="782" t="s">
        <v>34</v>
      </c>
      <c r="J410" s="783" t="s">
        <v>34</v>
      </c>
      <c r="K410" s="783" t="s">
        <v>34</v>
      </c>
      <c r="L410" s="857">
        <v>81061.946899999995</v>
      </c>
      <c r="M410" s="1283">
        <v>24318.584070000001</v>
      </c>
      <c r="N410" s="360">
        <v>2019.08</v>
      </c>
      <c r="O410" s="783" t="s">
        <v>5021</v>
      </c>
      <c r="P410" s="801" t="s">
        <v>5022</v>
      </c>
      <c r="Q410" s="890">
        <v>18811021868</v>
      </c>
      <c r="R410" s="793" t="s">
        <v>6995</v>
      </c>
      <c r="S410" s="891" t="s">
        <v>4670</v>
      </c>
      <c r="T410" s="769"/>
      <c r="U410" s="798"/>
      <c r="W410" s="892"/>
    </row>
    <row r="411" spans="1:23" ht="24" hidden="1" customHeight="1">
      <c r="A411" s="779"/>
      <c r="B411" s="769" t="s">
        <v>1162</v>
      </c>
      <c r="C411" s="888" t="s">
        <v>5024</v>
      </c>
      <c r="D411" s="888" t="s">
        <v>131</v>
      </c>
      <c r="E411" s="889">
        <v>1</v>
      </c>
      <c r="F411" s="782" t="s">
        <v>34</v>
      </c>
      <c r="G411" s="360" t="s">
        <v>32</v>
      </c>
      <c r="H411" s="791" t="s">
        <v>33</v>
      </c>
      <c r="I411" s="782" t="s">
        <v>34</v>
      </c>
      <c r="J411" s="783" t="s">
        <v>34</v>
      </c>
      <c r="K411" s="783" t="s">
        <v>34</v>
      </c>
      <c r="L411" s="857">
        <v>14489.380499999999</v>
      </c>
      <c r="M411" s="1283">
        <v>4346.8141500000002</v>
      </c>
      <c r="N411" s="360">
        <v>2019.08</v>
      </c>
      <c r="O411" s="783" t="s">
        <v>5021</v>
      </c>
      <c r="P411" s="801" t="s">
        <v>5022</v>
      </c>
      <c r="Q411" s="890">
        <v>18811021868</v>
      </c>
      <c r="R411" s="793" t="s">
        <v>6995</v>
      </c>
      <c r="S411" s="891" t="s">
        <v>4670</v>
      </c>
      <c r="T411" s="769"/>
      <c r="U411" s="798"/>
      <c r="W411" s="892"/>
    </row>
    <row r="412" spans="1:23" ht="24" hidden="1" customHeight="1">
      <c r="A412" s="779"/>
      <c r="B412" s="769" t="s">
        <v>1162</v>
      </c>
      <c r="C412" s="824" t="s">
        <v>5044</v>
      </c>
      <c r="D412" s="888" t="s">
        <v>131</v>
      </c>
      <c r="E412" s="889">
        <v>1</v>
      </c>
      <c r="F412" s="782" t="s">
        <v>34</v>
      </c>
      <c r="G412" s="360" t="s">
        <v>32</v>
      </c>
      <c r="H412" s="791" t="s">
        <v>33</v>
      </c>
      <c r="I412" s="782" t="s">
        <v>34</v>
      </c>
      <c r="J412" s="783" t="s">
        <v>34</v>
      </c>
      <c r="K412" s="783" t="s">
        <v>34</v>
      </c>
      <c r="L412" s="857">
        <v>31415.929199999999</v>
      </c>
      <c r="M412" s="1283">
        <v>9424.7787599999992</v>
      </c>
      <c r="N412" s="360">
        <v>2019.08</v>
      </c>
      <c r="O412" s="783" t="s">
        <v>5021</v>
      </c>
      <c r="P412" s="801" t="s">
        <v>5022</v>
      </c>
      <c r="Q412" s="890">
        <v>18811021868</v>
      </c>
      <c r="R412" s="793" t="s">
        <v>6995</v>
      </c>
      <c r="S412" s="891" t="s">
        <v>4670</v>
      </c>
      <c r="T412" s="769"/>
      <c r="U412" s="798"/>
      <c r="W412" s="892"/>
    </row>
    <row r="413" spans="1:23" ht="24" hidden="1" customHeight="1">
      <c r="A413" s="779"/>
      <c r="B413" s="769" t="s">
        <v>1162</v>
      </c>
      <c r="C413" s="824" t="s">
        <v>5044</v>
      </c>
      <c r="D413" s="888" t="s">
        <v>131</v>
      </c>
      <c r="E413" s="889">
        <v>4</v>
      </c>
      <c r="F413" s="782" t="s">
        <v>34</v>
      </c>
      <c r="G413" s="360" t="s">
        <v>32</v>
      </c>
      <c r="H413" s="791" t="s">
        <v>33</v>
      </c>
      <c r="I413" s="782" t="s">
        <v>34</v>
      </c>
      <c r="J413" s="783" t="s">
        <v>34</v>
      </c>
      <c r="K413" s="783" t="s">
        <v>34</v>
      </c>
      <c r="L413" s="857">
        <v>115398.2301</v>
      </c>
      <c r="M413" s="1283">
        <v>34619.46903</v>
      </c>
      <c r="N413" s="360">
        <v>2019.08</v>
      </c>
      <c r="O413" s="783" t="s">
        <v>5021</v>
      </c>
      <c r="P413" s="801" t="s">
        <v>5022</v>
      </c>
      <c r="Q413" s="890">
        <v>18811021868</v>
      </c>
      <c r="R413" s="793" t="s">
        <v>6995</v>
      </c>
      <c r="S413" s="891" t="s">
        <v>4670</v>
      </c>
      <c r="T413" s="769"/>
      <c r="U413" s="798"/>
      <c r="W413" s="892"/>
    </row>
    <row r="414" spans="1:23" ht="24" hidden="1" customHeight="1">
      <c r="A414" s="779"/>
      <c r="B414" s="769" t="s">
        <v>1162</v>
      </c>
      <c r="C414" s="824" t="s">
        <v>5043</v>
      </c>
      <c r="D414" s="888" t="s">
        <v>79</v>
      </c>
      <c r="E414" s="889">
        <v>6</v>
      </c>
      <c r="F414" s="782" t="s">
        <v>34</v>
      </c>
      <c r="G414" s="360" t="s">
        <v>32</v>
      </c>
      <c r="H414" s="791" t="s">
        <v>33</v>
      </c>
      <c r="I414" s="782" t="s">
        <v>34</v>
      </c>
      <c r="J414" s="783" t="s">
        <v>34</v>
      </c>
      <c r="K414" s="783" t="s">
        <v>34</v>
      </c>
      <c r="L414" s="857">
        <v>121592.9204</v>
      </c>
      <c r="M414" s="1283">
        <v>36477.876120000001</v>
      </c>
      <c r="N414" s="360">
        <v>2019.08</v>
      </c>
      <c r="O414" s="783" t="s">
        <v>5021</v>
      </c>
      <c r="P414" s="801" t="s">
        <v>5022</v>
      </c>
      <c r="Q414" s="890">
        <v>18811021868</v>
      </c>
      <c r="R414" s="793" t="s">
        <v>6995</v>
      </c>
      <c r="S414" s="891" t="s">
        <v>4670</v>
      </c>
      <c r="T414" s="769"/>
      <c r="U414" s="798"/>
      <c r="W414" s="892"/>
    </row>
    <row r="415" spans="1:23" ht="24" hidden="1" customHeight="1">
      <c r="A415" s="779"/>
      <c r="B415" s="769" t="s">
        <v>1162</v>
      </c>
      <c r="C415" s="824" t="s">
        <v>5044</v>
      </c>
      <c r="D415" s="888" t="s">
        <v>131</v>
      </c>
      <c r="E415" s="889">
        <v>7</v>
      </c>
      <c r="F415" s="782" t="s">
        <v>34</v>
      </c>
      <c r="G415" s="360" t="s">
        <v>32</v>
      </c>
      <c r="H415" s="791" t="s">
        <v>33</v>
      </c>
      <c r="I415" s="782" t="s">
        <v>34</v>
      </c>
      <c r="J415" s="783" t="s">
        <v>34</v>
      </c>
      <c r="K415" s="783" t="s">
        <v>34</v>
      </c>
      <c r="L415" s="857">
        <v>141858.40710000001</v>
      </c>
      <c r="M415" s="1283">
        <v>42557.522129999998</v>
      </c>
      <c r="N415" s="360">
        <v>2019.08</v>
      </c>
      <c r="O415" s="783" t="s">
        <v>5021</v>
      </c>
      <c r="P415" s="801" t="s">
        <v>5022</v>
      </c>
      <c r="Q415" s="890">
        <v>18811021868</v>
      </c>
      <c r="R415" s="793" t="s">
        <v>6995</v>
      </c>
      <c r="S415" s="891" t="s">
        <v>4670</v>
      </c>
      <c r="T415" s="769"/>
      <c r="U415" s="798"/>
      <c r="W415" s="892"/>
    </row>
    <row r="416" spans="1:23" ht="24" hidden="1" customHeight="1">
      <c r="A416" s="779"/>
      <c r="B416" s="769" t="s">
        <v>1162</v>
      </c>
      <c r="C416" s="824" t="s">
        <v>5046</v>
      </c>
      <c r="D416" s="888" t="s">
        <v>79</v>
      </c>
      <c r="E416" s="889">
        <v>8</v>
      </c>
      <c r="F416" s="782" t="s">
        <v>34</v>
      </c>
      <c r="G416" s="360" t="s">
        <v>32</v>
      </c>
      <c r="H416" s="791" t="s">
        <v>33</v>
      </c>
      <c r="I416" s="782" t="s">
        <v>34</v>
      </c>
      <c r="J416" s="783" t="s">
        <v>34</v>
      </c>
      <c r="K416" s="783" t="s">
        <v>34</v>
      </c>
      <c r="L416" s="857">
        <v>66187.6106</v>
      </c>
      <c r="M416" s="1283">
        <v>19856.283179999999</v>
      </c>
      <c r="N416" s="360">
        <v>2019.08</v>
      </c>
      <c r="O416" s="783" t="s">
        <v>5021</v>
      </c>
      <c r="P416" s="801" t="s">
        <v>5022</v>
      </c>
      <c r="Q416" s="890">
        <v>18811021868</v>
      </c>
      <c r="R416" s="793" t="s">
        <v>6995</v>
      </c>
      <c r="S416" s="891" t="s">
        <v>4670</v>
      </c>
      <c r="T416" s="769"/>
      <c r="U416" s="798"/>
      <c r="W416" s="892"/>
    </row>
    <row r="417" spans="1:23" ht="24" hidden="1" customHeight="1">
      <c r="A417" s="779"/>
      <c r="B417" s="769" t="s">
        <v>1162</v>
      </c>
      <c r="C417" s="824" t="s">
        <v>5047</v>
      </c>
      <c r="D417" s="888" t="s">
        <v>5048</v>
      </c>
      <c r="E417" s="889">
        <v>11.2</v>
      </c>
      <c r="F417" s="782" t="s">
        <v>34</v>
      </c>
      <c r="G417" s="360" t="s">
        <v>32</v>
      </c>
      <c r="H417" s="791" t="s">
        <v>33</v>
      </c>
      <c r="I417" s="782" t="s">
        <v>34</v>
      </c>
      <c r="J417" s="783" t="s">
        <v>34</v>
      </c>
      <c r="K417" s="783" t="s">
        <v>34</v>
      </c>
      <c r="L417" s="857">
        <v>2174.7573000000002</v>
      </c>
      <c r="M417" s="1283">
        <v>652.42719</v>
      </c>
      <c r="N417" s="360">
        <v>2019.08</v>
      </c>
      <c r="O417" s="783" t="s">
        <v>5021</v>
      </c>
      <c r="P417" s="801" t="s">
        <v>5022</v>
      </c>
      <c r="Q417" s="890">
        <v>18811021868</v>
      </c>
      <c r="R417" s="793" t="s">
        <v>6995</v>
      </c>
      <c r="S417" s="891" t="s">
        <v>4670</v>
      </c>
      <c r="T417" s="769"/>
      <c r="U417" s="798"/>
      <c r="W417" s="892"/>
    </row>
    <row r="418" spans="1:23" ht="24" hidden="1" customHeight="1">
      <c r="A418" s="779"/>
      <c r="B418" s="769" t="s">
        <v>1162</v>
      </c>
      <c r="C418" s="824" t="s">
        <v>5049</v>
      </c>
      <c r="D418" s="888" t="s">
        <v>131</v>
      </c>
      <c r="E418" s="889">
        <v>2</v>
      </c>
      <c r="F418" s="782" t="s">
        <v>34</v>
      </c>
      <c r="G418" s="360" t="s">
        <v>32</v>
      </c>
      <c r="H418" s="791" t="s">
        <v>33</v>
      </c>
      <c r="I418" s="782" t="s">
        <v>34</v>
      </c>
      <c r="J418" s="783" t="s">
        <v>34</v>
      </c>
      <c r="K418" s="783" t="s">
        <v>34</v>
      </c>
      <c r="L418" s="857">
        <v>9320.3883999999998</v>
      </c>
      <c r="M418" s="1283">
        <v>2796.11652</v>
      </c>
      <c r="N418" s="360">
        <v>2019.08</v>
      </c>
      <c r="O418" s="783" t="s">
        <v>5021</v>
      </c>
      <c r="P418" s="801" t="s">
        <v>5022</v>
      </c>
      <c r="Q418" s="890">
        <v>18811021868</v>
      </c>
      <c r="R418" s="793" t="s">
        <v>6995</v>
      </c>
      <c r="S418" s="891" t="s">
        <v>4670</v>
      </c>
      <c r="T418" s="769"/>
      <c r="U418" s="798"/>
      <c r="W418" s="892"/>
    </row>
    <row r="419" spans="1:23" ht="24" hidden="1" customHeight="1">
      <c r="A419" s="779"/>
      <c r="B419" s="769" t="s">
        <v>1162</v>
      </c>
      <c r="C419" s="824" t="s">
        <v>5050</v>
      </c>
      <c r="D419" s="888" t="s">
        <v>1369</v>
      </c>
      <c r="E419" s="889">
        <v>23.4</v>
      </c>
      <c r="F419" s="782" t="s">
        <v>34</v>
      </c>
      <c r="G419" s="360" t="s">
        <v>32</v>
      </c>
      <c r="H419" s="791" t="s">
        <v>33</v>
      </c>
      <c r="I419" s="782" t="s">
        <v>34</v>
      </c>
      <c r="J419" s="783" t="s">
        <v>34</v>
      </c>
      <c r="K419" s="783" t="s">
        <v>34</v>
      </c>
      <c r="L419" s="857">
        <v>6361.165</v>
      </c>
      <c r="M419" s="1283">
        <v>1908.3495</v>
      </c>
      <c r="N419" s="360">
        <v>2019.08</v>
      </c>
      <c r="O419" s="783" t="s">
        <v>5021</v>
      </c>
      <c r="P419" s="801" t="s">
        <v>5022</v>
      </c>
      <c r="Q419" s="890">
        <v>18811021868</v>
      </c>
      <c r="R419" s="793" t="s">
        <v>6995</v>
      </c>
      <c r="S419" s="891" t="s">
        <v>4670</v>
      </c>
      <c r="T419" s="769"/>
      <c r="U419" s="798"/>
      <c r="W419" s="892"/>
    </row>
    <row r="420" spans="1:23" ht="24" hidden="1" customHeight="1">
      <c r="A420" s="779"/>
      <c r="B420" s="769" t="s">
        <v>1162</v>
      </c>
      <c r="C420" s="824" t="s">
        <v>5051</v>
      </c>
      <c r="D420" s="888" t="s">
        <v>131</v>
      </c>
      <c r="E420" s="889">
        <v>1</v>
      </c>
      <c r="F420" s="782" t="s">
        <v>34</v>
      </c>
      <c r="G420" s="360" t="s">
        <v>32</v>
      </c>
      <c r="H420" s="791" t="s">
        <v>33</v>
      </c>
      <c r="I420" s="782" t="s">
        <v>34</v>
      </c>
      <c r="J420" s="783" t="s">
        <v>34</v>
      </c>
      <c r="K420" s="783" t="s">
        <v>34</v>
      </c>
      <c r="L420" s="857">
        <v>7281.5533999999998</v>
      </c>
      <c r="M420" s="1283">
        <v>2184.4660199999998</v>
      </c>
      <c r="N420" s="360">
        <v>2019.08</v>
      </c>
      <c r="O420" s="783" t="s">
        <v>5021</v>
      </c>
      <c r="P420" s="801" t="s">
        <v>5022</v>
      </c>
      <c r="Q420" s="890">
        <v>18811021868</v>
      </c>
      <c r="R420" s="793" t="s">
        <v>6995</v>
      </c>
      <c r="S420" s="891" t="s">
        <v>4670</v>
      </c>
      <c r="T420" s="769"/>
      <c r="U420" s="798"/>
      <c r="W420" s="892"/>
    </row>
    <row r="421" spans="1:23" ht="24" hidden="1" customHeight="1">
      <c r="A421" s="779"/>
      <c r="B421" s="769" t="s">
        <v>1162</v>
      </c>
      <c r="C421" s="824" t="s">
        <v>5052</v>
      </c>
      <c r="D421" s="888" t="s">
        <v>131</v>
      </c>
      <c r="E421" s="889">
        <v>2</v>
      </c>
      <c r="F421" s="782" t="s">
        <v>34</v>
      </c>
      <c r="G421" s="360" t="s">
        <v>32</v>
      </c>
      <c r="H421" s="791" t="s">
        <v>33</v>
      </c>
      <c r="I421" s="782" t="s">
        <v>34</v>
      </c>
      <c r="J421" s="783" t="s">
        <v>34</v>
      </c>
      <c r="K421" s="783" t="s">
        <v>34</v>
      </c>
      <c r="L421" s="857">
        <v>16118.9655</v>
      </c>
      <c r="M421" s="1283">
        <v>4835.6896500000003</v>
      </c>
      <c r="N421" s="360">
        <v>2019.08</v>
      </c>
      <c r="O421" s="783" t="s">
        <v>5021</v>
      </c>
      <c r="P421" s="801" t="s">
        <v>5022</v>
      </c>
      <c r="Q421" s="890">
        <v>18811021868</v>
      </c>
      <c r="R421" s="793" t="s">
        <v>6995</v>
      </c>
      <c r="S421" s="891" t="s">
        <v>4670</v>
      </c>
      <c r="T421" s="769"/>
      <c r="U421" s="798"/>
      <c r="W421" s="892"/>
    </row>
    <row r="422" spans="1:23" ht="24" hidden="1" customHeight="1">
      <c r="A422" s="779"/>
      <c r="B422" s="769" t="s">
        <v>1162</v>
      </c>
      <c r="C422" s="824" t="s">
        <v>5052</v>
      </c>
      <c r="D422" s="888" t="s">
        <v>131</v>
      </c>
      <c r="E422" s="889">
        <v>8</v>
      </c>
      <c r="F422" s="782" t="s">
        <v>34</v>
      </c>
      <c r="G422" s="360" t="s">
        <v>32</v>
      </c>
      <c r="H422" s="791" t="s">
        <v>33</v>
      </c>
      <c r="I422" s="782" t="s">
        <v>34</v>
      </c>
      <c r="J422" s="783" t="s">
        <v>34</v>
      </c>
      <c r="K422" s="783" t="s">
        <v>34</v>
      </c>
      <c r="L422" s="857">
        <v>106896.5517</v>
      </c>
      <c r="M422" s="1283">
        <v>32068.965510000002</v>
      </c>
      <c r="N422" s="360">
        <v>2019.08</v>
      </c>
      <c r="O422" s="783" t="s">
        <v>5021</v>
      </c>
      <c r="P422" s="801" t="s">
        <v>5022</v>
      </c>
      <c r="Q422" s="890">
        <v>18811021868</v>
      </c>
      <c r="R422" s="793" t="s">
        <v>6995</v>
      </c>
      <c r="S422" s="891" t="s">
        <v>4670</v>
      </c>
      <c r="T422" s="769"/>
      <c r="U422" s="798"/>
      <c r="W422" s="892"/>
    </row>
    <row r="423" spans="1:23" ht="24" hidden="1" customHeight="1">
      <c r="A423" s="779"/>
      <c r="B423" s="769" t="s">
        <v>1162</v>
      </c>
      <c r="C423" s="824" t="s">
        <v>5051</v>
      </c>
      <c r="D423" s="888" t="s">
        <v>131</v>
      </c>
      <c r="E423" s="889">
        <v>1</v>
      </c>
      <c r="F423" s="782" t="s">
        <v>34</v>
      </c>
      <c r="G423" s="360" t="s">
        <v>32</v>
      </c>
      <c r="H423" s="791" t="s">
        <v>33</v>
      </c>
      <c r="I423" s="782" t="s">
        <v>34</v>
      </c>
      <c r="J423" s="783" t="s">
        <v>34</v>
      </c>
      <c r="K423" s="783" t="s">
        <v>34</v>
      </c>
      <c r="L423" s="857">
        <v>7281.5533999999998</v>
      </c>
      <c r="M423" s="1283">
        <v>2184.4660199999998</v>
      </c>
      <c r="N423" s="360">
        <v>2019.08</v>
      </c>
      <c r="O423" s="783" t="s">
        <v>5021</v>
      </c>
      <c r="P423" s="801" t="s">
        <v>5022</v>
      </c>
      <c r="Q423" s="890">
        <v>18811021868</v>
      </c>
      <c r="R423" s="793" t="s">
        <v>6995</v>
      </c>
      <c r="S423" s="891" t="s">
        <v>4670</v>
      </c>
      <c r="T423" s="769"/>
      <c r="U423" s="798"/>
      <c r="W423" s="892"/>
    </row>
    <row r="424" spans="1:23" ht="24" hidden="1" customHeight="1">
      <c r="A424" s="779"/>
      <c r="B424" s="769" t="s">
        <v>1162</v>
      </c>
      <c r="C424" s="824" t="s">
        <v>5053</v>
      </c>
      <c r="D424" s="889"/>
      <c r="E424" s="889">
        <v>14</v>
      </c>
      <c r="F424" s="782" t="s">
        <v>34</v>
      </c>
      <c r="G424" s="360" t="s">
        <v>32</v>
      </c>
      <c r="H424" s="791" t="s">
        <v>33</v>
      </c>
      <c r="I424" s="782" t="s">
        <v>6888</v>
      </c>
      <c r="J424" s="783" t="s">
        <v>6888</v>
      </c>
      <c r="K424" s="783" t="s">
        <v>5054</v>
      </c>
      <c r="L424" s="857">
        <v>93702.97</v>
      </c>
      <c r="M424" s="810">
        <v>56080</v>
      </c>
      <c r="N424" s="360">
        <v>2020.11</v>
      </c>
      <c r="O424" s="783" t="s">
        <v>6997</v>
      </c>
      <c r="P424" s="793" t="s">
        <v>5055</v>
      </c>
      <c r="Q424" s="770">
        <v>13847129712</v>
      </c>
      <c r="R424" s="793" t="s">
        <v>5056</v>
      </c>
      <c r="S424" s="891" t="s">
        <v>4670</v>
      </c>
      <c r="T424" s="769"/>
      <c r="U424" s="798"/>
      <c r="W424" s="892"/>
    </row>
    <row r="425" spans="1:23" ht="24" hidden="1" customHeight="1">
      <c r="A425" s="779"/>
      <c r="B425" s="769" t="s">
        <v>1162</v>
      </c>
      <c r="C425" s="360" t="s">
        <v>5057</v>
      </c>
      <c r="D425" s="360" t="s">
        <v>131</v>
      </c>
      <c r="E425" s="360">
        <v>1</v>
      </c>
      <c r="F425" s="360" t="s">
        <v>34</v>
      </c>
      <c r="G425" s="360" t="s">
        <v>32</v>
      </c>
      <c r="H425" s="360" t="s">
        <v>33</v>
      </c>
      <c r="I425" s="360" t="s">
        <v>34</v>
      </c>
      <c r="J425" s="360" t="s">
        <v>34</v>
      </c>
      <c r="K425" s="360" t="s">
        <v>5058</v>
      </c>
      <c r="L425" s="857">
        <v>9500</v>
      </c>
      <c r="M425" s="857">
        <v>6750</v>
      </c>
      <c r="N425" s="360">
        <v>2021.01</v>
      </c>
      <c r="O425" s="360" t="s">
        <v>6998</v>
      </c>
      <c r="P425" s="793" t="s">
        <v>6999</v>
      </c>
      <c r="Q425" s="811">
        <v>13848648288</v>
      </c>
      <c r="R425" s="793" t="s">
        <v>7000</v>
      </c>
      <c r="S425" s="360" t="s">
        <v>4670</v>
      </c>
      <c r="T425" s="769"/>
      <c r="U425" s="798"/>
      <c r="W425" s="892"/>
    </row>
    <row r="426" spans="1:23" ht="24" hidden="1" customHeight="1">
      <c r="A426" s="779"/>
      <c r="B426" s="769" t="s">
        <v>1162</v>
      </c>
      <c r="C426" s="360" t="s">
        <v>5059</v>
      </c>
      <c r="D426" s="360" t="s">
        <v>131</v>
      </c>
      <c r="E426" s="360">
        <v>1</v>
      </c>
      <c r="F426" s="360" t="s">
        <v>34</v>
      </c>
      <c r="G426" s="360" t="s">
        <v>32</v>
      </c>
      <c r="H426" s="360" t="s">
        <v>33</v>
      </c>
      <c r="I426" s="360" t="s">
        <v>34</v>
      </c>
      <c r="J426" s="360" t="s">
        <v>34</v>
      </c>
      <c r="K426" s="360" t="s">
        <v>5058</v>
      </c>
      <c r="L426" s="857">
        <v>6500</v>
      </c>
      <c r="M426" s="857">
        <v>4618.4399999999996</v>
      </c>
      <c r="N426" s="360">
        <v>2021.01</v>
      </c>
      <c r="O426" s="360" t="s">
        <v>5060</v>
      </c>
      <c r="P426" s="793" t="s">
        <v>6999</v>
      </c>
      <c r="Q426" s="811">
        <v>13848648288</v>
      </c>
      <c r="R426" s="793" t="s">
        <v>7000</v>
      </c>
      <c r="S426" s="360" t="s">
        <v>4670</v>
      </c>
      <c r="T426" s="769"/>
      <c r="U426" s="798"/>
      <c r="W426" s="892"/>
    </row>
    <row r="427" spans="1:23" ht="24" hidden="1" customHeight="1">
      <c r="A427" s="779"/>
      <c r="B427" s="769" t="s">
        <v>1162</v>
      </c>
      <c r="C427" s="360" t="s">
        <v>5061</v>
      </c>
      <c r="D427" s="360" t="s">
        <v>79</v>
      </c>
      <c r="E427" s="360">
        <v>2</v>
      </c>
      <c r="F427" s="360" t="s">
        <v>6888</v>
      </c>
      <c r="G427" s="360" t="s">
        <v>32</v>
      </c>
      <c r="H427" s="360" t="s">
        <v>6904</v>
      </c>
      <c r="I427" s="360" t="s">
        <v>6888</v>
      </c>
      <c r="J427" s="360" t="s">
        <v>6888</v>
      </c>
      <c r="K427" s="360" t="s">
        <v>4774</v>
      </c>
      <c r="L427" s="857">
        <f>109970</f>
        <v>109970</v>
      </c>
      <c r="M427" s="857">
        <v>46187.4</v>
      </c>
      <c r="N427" s="360">
        <v>2020.04</v>
      </c>
      <c r="O427" s="360" t="s">
        <v>7001</v>
      </c>
      <c r="P427" s="793" t="s">
        <v>5062</v>
      </c>
      <c r="Q427" s="811">
        <v>13546320660</v>
      </c>
      <c r="R427" s="793" t="s">
        <v>5063</v>
      </c>
      <c r="S427" s="360" t="s">
        <v>4670</v>
      </c>
      <c r="T427" s="769"/>
      <c r="U427" s="798"/>
      <c r="W427" s="892"/>
    </row>
    <row r="428" spans="1:23" ht="24" hidden="1" customHeight="1">
      <c r="A428" s="779"/>
      <c r="B428" s="769" t="s">
        <v>1162</v>
      </c>
      <c r="C428" s="1283" t="s">
        <v>7002</v>
      </c>
      <c r="D428" s="1283" t="s">
        <v>1165</v>
      </c>
      <c r="E428" s="360">
        <v>1</v>
      </c>
      <c r="F428" s="360" t="s">
        <v>34</v>
      </c>
      <c r="G428" s="895" t="s">
        <v>32</v>
      </c>
      <c r="H428" s="895" t="s">
        <v>33</v>
      </c>
      <c r="I428" s="895" t="s">
        <v>6888</v>
      </c>
      <c r="J428" s="360" t="s">
        <v>6888</v>
      </c>
      <c r="K428" s="360" t="s">
        <v>5064</v>
      </c>
      <c r="L428" s="857">
        <v>26548.67</v>
      </c>
      <c r="M428" s="857">
        <v>26548.67</v>
      </c>
      <c r="N428" s="360">
        <v>2021.06</v>
      </c>
      <c r="O428" s="360" t="s">
        <v>5065</v>
      </c>
      <c r="P428" s="360" t="s">
        <v>5066</v>
      </c>
      <c r="Q428" s="811">
        <v>15635397648</v>
      </c>
      <c r="R428" s="360" t="s">
        <v>5067</v>
      </c>
      <c r="S428" s="895" t="s">
        <v>4670</v>
      </c>
      <c r="T428" s="769"/>
      <c r="U428" s="798"/>
      <c r="W428" s="892"/>
    </row>
    <row r="429" spans="1:23" ht="24" hidden="1" customHeight="1">
      <c r="A429" s="779"/>
      <c r="B429" s="769" t="s">
        <v>6954</v>
      </c>
      <c r="C429" s="1283" t="s">
        <v>7003</v>
      </c>
      <c r="D429" s="1283" t="s">
        <v>1165</v>
      </c>
      <c r="E429" s="360">
        <v>1</v>
      </c>
      <c r="F429" s="360" t="s">
        <v>34</v>
      </c>
      <c r="G429" s="895" t="s">
        <v>32</v>
      </c>
      <c r="H429" s="895" t="s">
        <v>33</v>
      </c>
      <c r="I429" s="895" t="s">
        <v>6888</v>
      </c>
      <c r="J429" s="360" t="s">
        <v>6888</v>
      </c>
      <c r="K429" s="360" t="s">
        <v>5064</v>
      </c>
      <c r="L429" s="857">
        <v>25221.24</v>
      </c>
      <c r="M429" s="857">
        <v>25221.24</v>
      </c>
      <c r="N429" s="360">
        <v>2021.06</v>
      </c>
      <c r="O429" s="360" t="s">
        <v>5065</v>
      </c>
      <c r="P429" s="360" t="s">
        <v>5066</v>
      </c>
      <c r="Q429" s="811">
        <v>15635397648</v>
      </c>
      <c r="R429" s="360" t="s">
        <v>5067</v>
      </c>
      <c r="S429" s="895" t="s">
        <v>4670</v>
      </c>
      <c r="T429" s="769"/>
      <c r="U429" s="798"/>
      <c r="W429" s="892"/>
    </row>
    <row r="430" spans="1:23" ht="24" hidden="1" customHeight="1">
      <c r="A430" s="779"/>
      <c r="B430" s="792" t="s">
        <v>6954</v>
      </c>
      <c r="C430" s="792" t="s">
        <v>7004</v>
      </c>
      <c r="D430" s="896" t="s">
        <v>131</v>
      </c>
      <c r="E430" s="360">
        <v>1</v>
      </c>
      <c r="F430" s="360"/>
      <c r="G430" s="817" t="s">
        <v>3560</v>
      </c>
      <c r="H430" s="817" t="s">
        <v>33</v>
      </c>
      <c r="I430" s="360" t="s">
        <v>6888</v>
      </c>
      <c r="J430" s="360" t="s">
        <v>6888</v>
      </c>
      <c r="K430" s="360" t="s">
        <v>6888</v>
      </c>
      <c r="L430" s="857">
        <v>21467</v>
      </c>
      <c r="M430" s="857">
        <v>17339.150000000001</v>
      </c>
      <c r="N430" s="360">
        <v>2021.07</v>
      </c>
      <c r="O430" s="360" t="s">
        <v>7005</v>
      </c>
      <c r="P430" s="817" t="s">
        <v>7006</v>
      </c>
      <c r="Q430" s="360">
        <v>18033772730</v>
      </c>
      <c r="R430" s="789" t="s">
        <v>5068</v>
      </c>
      <c r="S430" s="789" t="s">
        <v>6892</v>
      </c>
      <c r="T430" s="897"/>
      <c r="U430" s="798"/>
      <c r="W430" s="892"/>
    </row>
    <row r="431" spans="1:23" ht="24" hidden="1" customHeight="1">
      <c r="A431" s="779"/>
      <c r="B431" s="792" t="s">
        <v>6954</v>
      </c>
      <c r="C431" s="898" t="s">
        <v>7007</v>
      </c>
      <c r="D431" s="898" t="s">
        <v>1165</v>
      </c>
      <c r="E431" s="898">
        <v>1</v>
      </c>
      <c r="F431" s="360"/>
      <c r="G431" s="817" t="s">
        <v>32</v>
      </c>
      <c r="H431" s="817" t="s">
        <v>33</v>
      </c>
      <c r="I431" s="360" t="s">
        <v>34</v>
      </c>
      <c r="J431" s="784" t="s">
        <v>4714</v>
      </c>
      <c r="K431" s="899" t="s">
        <v>5069</v>
      </c>
      <c r="L431" s="857">
        <v>8058.25</v>
      </c>
      <c r="M431" s="857">
        <v>805.83</v>
      </c>
      <c r="N431" s="810" t="s">
        <v>7008</v>
      </c>
      <c r="O431" s="810" t="s">
        <v>4720</v>
      </c>
      <c r="P431" s="810" t="s">
        <v>4717</v>
      </c>
      <c r="Q431" s="811">
        <v>13306050175</v>
      </c>
      <c r="R431" s="810" t="s">
        <v>4718</v>
      </c>
      <c r="S431" s="810" t="s">
        <v>4670</v>
      </c>
      <c r="T431" s="769"/>
      <c r="U431" s="774"/>
    </row>
    <row r="432" spans="1:23" ht="24" hidden="1" customHeight="1">
      <c r="A432" s="779"/>
      <c r="B432" s="792" t="s">
        <v>6954</v>
      </c>
      <c r="C432" s="898" t="s">
        <v>7009</v>
      </c>
      <c r="D432" s="898" t="s">
        <v>1165</v>
      </c>
      <c r="E432" s="898">
        <v>1</v>
      </c>
      <c r="F432" s="360"/>
      <c r="G432" s="817" t="s">
        <v>32</v>
      </c>
      <c r="H432" s="817" t="s">
        <v>33</v>
      </c>
      <c r="I432" s="360" t="s">
        <v>34</v>
      </c>
      <c r="J432" s="784" t="s">
        <v>4714</v>
      </c>
      <c r="K432" s="899" t="s">
        <v>5069</v>
      </c>
      <c r="L432" s="857">
        <v>8349.51</v>
      </c>
      <c r="M432" s="857">
        <v>834.95</v>
      </c>
      <c r="N432" s="810" t="s">
        <v>7008</v>
      </c>
      <c r="O432" s="810" t="s">
        <v>4720</v>
      </c>
      <c r="P432" s="810" t="s">
        <v>4717</v>
      </c>
      <c r="Q432" s="811">
        <v>13306050175</v>
      </c>
      <c r="R432" s="810" t="s">
        <v>4718</v>
      </c>
      <c r="S432" s="810" t="s">
        <v>4670</v>
      </c>
      <c r="T432" s="769"/>
      <c r="U432" s="774"/>
    </row>
    <row r="433" spans="1:21" ht="24" hidden="1" customHeight="1">
      <c r="A433" s="779"/>
      <c r="B433" s="792" t="s">
        <v>6954</v>
      </c>
      <c r="C433" s="898" t="s">
        <v>7010</v>
      </c>
      <c r="D433" s="898" t="s">
        <v>1165</v>
      </c>
      <c r="E433" s="898">
        <v>3</v>
      </c>
      <c r="F433" s="360"/>
      <c r="G433" s="817" t="s">
        <v>32</v>
      </c>
      <c r="H433" s="817" t="s">
        <v>33</v>
      </c>
      <c r="I433" s="360" t="s">
        <v>34</v>
      </c>
      <c r="J433" s="784" t="s">
        <v>4714</v>
      </c>
      <c r="K433" s="899" t="s">
        <v>5069</v>
      </c>
      <c r="L433" s="857">
        <v>37281.550000000003</v>
      </c>
      <c r="M433" s="857">
        <v>3728.16</v>
      </c>
      <c r="N433" s="810" t="s">
        <v>7008</v>
      </c>
      <c r="O433" s="810" t="s">
        <v>4720</v>
      </c>
      <c r="P433" s="810" t="s">
        <v>4717</v>
      </c>
      <c r="Q433" s="811">
        <v>13306050175</v>
      </c>
      <c r="R433" s="810" t="s">
        <v>4718</v>
      </c>
      <c r="S433" s="810" t="s">
        <v>4670</v>
      </c>
      <c r="T433" s="769"/>
      <c r="U433" s="774"/>
    </row>
    <row r="434" spans="1:21" ht="24" hidden="1" customHeight="1">
      <c r="A434" s="779"/>
      <c r="B434" s="792" t="s">
        <v>6954</v>
      </c>
      <c r="C434" s="900" t="s">
        <v>7011</v>
      </c>
      <c r="D434" s="898" t="s">
        <v>1165</v>
      </c>
      <c r="E434" s="900">
        <v>1</v>
      </c>
      <c r="F434" s="360"/>
      <c r="G434" s="817" t="s">
        <v>32</v>
      </c>
      <c r="H434" s="817" t="s">
        <v>33</v>
      </c>
      <c r="I434" s="360" t="s">
        <v>34</v>
      </c>
      <c r="J434" s="784" t="s">
        <v>4714</v>
      </c>
      <c r="K434" s="899" t="s">
        <v>5069</v>
      </c>
      <c r="L434" s="857">
        <v>8834.9500000000007</v>
      </c>
      <c r="M434" s="857">
        <v>883.5</v>
      </c>
      <c r="N434" s="810" t="s">
        <v>7008</v>
      </c>
      <c r="O434" s="810" t="s">
        <v>4720</v>
      </c>
      <c r="P434" s="810" t="s">
        <v>4717</v>
      </c>
      <c r="Q434" s="811">
        <v>13306050175</v>
      </c>
      <c r="R434" s="810" t="s">
        <v>4718</v>
      </c>
      <c r="S434" s="810" t="s">
        <v>4670</v>
      </c>
      <c r="T434" s="769"/>
      <c r="U434" s="774"/>
    </row>
    <row r="435" spans="1:21" ht="24" hidden="1" customHeight="1">
      <c r="A435" s="779"/>
      <c r="B435" s="792" t="s">
        <v>6954</v>
      </c>
      <c r="C435" s="360" t="s">
        <v>5070</v>
      </c>
      <c r="D435" s="360" t="s">
        <v>131</v>
      </c>
      <c r="E435" s="360">
        <v>1</v>
      </c>
      <c r="F435" s="360" t="s">
        <v>34</v>
      </c>
      <c r="G435" s="360" t="s">
        <v>32</v>
      </c>
      <c r="H435" s="360" t="s">
        <v>33</v>
      </c>
      <c r="I435" s="360" t="s">
        <v>34</v>
      </c>
      <c r="J435" s="360" t="s">
        <v>34</v>
      </c>
      <c r="K435" s="360" t="s">
        <v>4774</v>
      </c>
      <c r="L435" s="857">
        <v>3008.83</v>
      </c>
      <c r="M435" s="810">
        <v>2496.8307791462998</v>
      </c>
      <c r="N435" s="360">
        <v>2019.03</v>
      </c>
      <c r="O435" s="360" t="s">
        <v>4780</v>
      </c>
      <c r="P435" s="360" t="s">
        <v>6889</v>
      </c>
      <c r="Q435" s="360">
        <v>15635397648</v>
      </c>
      <c r="R435" s="360" t="s">
        <v>4781</v>
      </c>
      <c r="S435" s="360" t="s">
        <v>4670</v>
      </c>
      <c r="T435" s="769"/>
      <c r="U435" s="774"/>
    </row>
    <row r="436" spans="1:21" ht="24" hidden="1" customHeight="1">
      <c r="A436" s="779"/>
      <c r="B436" s="792" t="s">
        <v>6954</v>
      </c>
      <c r="C436" s="360" t="s">
        <v>5071</v>
      </c>
      <c r="D436" s="360" t="s">
        <v>131</v>
      </c>
      <c r="E436" s="360">
        <v>2</v>
      </c>
      <c r="F436" s="360" t="s">
        <v>34</v>
      </c>
      <c r="G436" s="360" t="s">
        <v>32</v>
      </c>
      <c r="H436" s="360" t="s">
        <v>33</v>
      </c>
      <c r="I436" s="360" t="s">
        <v>34</v>
      </c>
      <c r="J436" s="360" t="s">
        <v>34</v>
      </c>
      <c r="K436" s="360" t="s">
        <v>4774</v>
      </c>
      <c r="L436" s="857">
        <v>4203.55</v>
      </c>
      <c r="M436" s="810">
        <v>3488.25058965792</v>
      </c>
      <c r="N436" s="360">
        <v>2019.03</v>
      </c>
      <c r="O436" s="360" t="s">
        <v>4780</v>
      </c>
      <c r="P436" s="360" t="s">
        <v>6889</v>
      </c>
      <c r="Q436" s="360">
        <v>15635397648</v>
      </c>
      <c r="R436" s="360" t="s">
        <v>4781</v>
      </c>
      <c r="S436" s="360" t="s">
        <v>4670</v>
      </c>
      <c r="T436" s="769"/>
      <c r="U436" s="774"/>
    </row>
    <row r="437" spans="1:21" ht="24" hidden="1" customHeight="1">
      <c r="A437" s="779"/>
      <c r="B437" s="792" t="s">
        <v>6954</v>
      </c>
      <c r="C437" s="360" t="s">
        <v>5072</v>
      </c>
      <c r="D437" s="360" t="s">
        <v>888</v>
      </c>
      <c r="E437" s="360">
        <v>78</v>
      </c>
      <c r="F437" s="360" t="s">
        <v>34</v>
      </c>
      <c r="G437" s="360" t="s">
        <v>32</v>
      </c>
      <c r="H437" s="360" t="s">
        <v>33</v>
      </c>
      <c r="I437" s="360" t="s">
        <v>34</v>
      </c>
      <c r="J437" s="360" t="s">
        <v>34</v>
      </c>
      <c r="K437" s="360" t="s">
        <v>4774</v>
      </c>
      <c r="L437" s="857">
        <v>3950.43</v>
      </c>
      <c r="M437" s="810">
        <v>3278.20289443503</v>
      </c>
      <c r="N437" s="360">
        <v>2019.03</v>
      </c>
      <c r="O437" s="360" t="s">
        <v>4780</v>
      </c>
      <c r="P437" s="360" t="s">
        <v>6889</v>
      </c>
      <c r="Q437" s="360">
        <v>15635397648</v>
      </c>
      <c r="R437" s="360" t="s">
        <v>4781</v>
      </c>
      <c r="S437" s="360" t="s">
        <v>4670</v>
      </c>
      <c r="T437" s="769"/>
      <c r="U437" s="774"/>
    </row>
    <row r="438" spans="1:21" ht="24" hidden="1" customHeight="1">
      <c r="A438" s="779"/>
      <c r="B438" s="792" t="s">
        <v>6954</v>
      </c>
      <c r="C438" s="360" t="s">
        <v>5070</v>
      </c>
      <c r="D438" s="360" t="s">
        <v>131</v>
      </c>
      <c r="E438" s="360">
        <v>4</v>
      </c>
      <c r="F438" s="360" t="s">
        <v>34</v>
      </c>
      <c r="G438" s="360" t="s">
        <v>32</v>
      </c>
      <c r="H438" s="360" t="s">
        <v>33</v>
      </c>
      <c r="I438" s="360" t="s">
        <v>34</v>
      </c>
      <c r="J438" s="360" t="s">
        <v>34</v>
      </c>
      <c r="K438" s="360" t="s">
        <v>4774</v>
      </c>
      <c r="L438" s="857">
        <v>43620.69</v>
      </c>
      <c r="M438" s="810">
        <v>36197.951163608297</v>
      </c>
      <c r="N438" s="360">
        <v>2019.03</v>
      </c>
      <c r="O438" s="360" t="s">
        <v>4780</v>
      </c>
      <c r="P438" s="360" t="s">
        <v>6889</v>
      </c>
      <c r="Q438" s="360">
        <v>15635397648</v>
      </c>
      <c r="R438" s="360" t="s">
        <v>4781</v>
      </c>
      <c r="S438" s="360" t="s">
        <v>4670</v>
      </c>
      <c r="T438" s="769"/>
      <c r="U438" s="774"/>
    </row>
    <row r="439" spans="1:21" ht="24" hidden="1" customHeight="1">
      <c r="A439" s="779"/>
      <c r="B439" s="792" t="s">
        <v>6954</v>
      </c>
      <c r="C439" s="360" t="s">
        <v>5071</v>
      </c>
      <c r="D439" s="360" t="s">
        <v>131</v>
      </c>
      <c r="E439" s="360">
        <v>1</v>
      </c>
      <c r="F439" s="360" t="s">
        <v>34</v>
      </c>
      <c r="G439" s="360" t="s">
        <v>32</v>
      </c>
      <c r="H439" s="360" t="s">
        <v>33</v>
      </c>
      <c r="I439" s="360" t="s">
        <v>34</v>
      </c>
      <c r="J439" s="360" t="s">
        <v>34</v>
      </c>
      <c r="K439" s="360" t="s">
        <v>4774</v>
      </c>
      <c r="L439" s="857">
        <v>16508.62</v>
      </c>
      <c r="M439" s="810">
        <v>13699.4215483195</v>
      </c>
      <c r="N439" s="360">
        <v>2019.03</v>
      </c>
      <c r="O439" s="360" t="s">
        <v>4780</v>
      </c>
      <c r="P439" s="360" t="s">
        <v>6889</v>
      </c>
      <c r="Q439" s="360">
        <v>15635397648</v>
      </c>
      <c r="R439" s="360" t="s">
        <v>4781</v>
      </c>
      <c r="S439" s="360" t="s">
        <v>4670</v>
      </c>
      <c r="T439" s="769"/>
      <c r="U439" s="774"/>
    </row>
    <row r="440" spans="1:21" ht="24" hidden="1" customHeight="1">
      <c r="A440" s="779"/>
      <c r="B440" s="792" t="s">
        <v>6954</v>
      </c>
      <c r="C440" s="360" t="s">
        <v>5073</v>
      </c>
      <c r="D440" s="360" t="s">
        <v>131</v>
      </c>
      <c r="E440" s="360">
        <v>1</v>
      </c>
      <c r="F440" s="360" t="s">
        <v>34</v>
      </c>
      <c r="G440" s="360" t="s">
        <v>32</v>
      </c>
      <c r="H440" s="360" t="s">
        <v>33</v>
      </c>
      <c r="I440" s="360" t="s">
        <v>34</v>
      </c>
      <c r="J440" s="360" t="s">
        <v>34</v>
      </c>
      <c r="K440" s="360" t="s">
        <v>4774</v>
      </c>
      <c r="L440" s="857">
        <v>15301.72</v>
      </c>
      <c r="M440" s="810">
        <v>12697.894354243501</v>
      </c>
      <c r="N440" s="360">
        <v>2019.03</v>
      </c>
      <c r="O440" s="360" t="s">
        <v>4780</v>
      </c>
      <c r="P440" s="360" t="s">
        <v>6889</v>
      </c>
      <c r="Q440" s="360">
        <v>15635397648</v>
      </c>
      <c r="R440" s="360" t="s">
        <v>4781</v>
      </c>
      <c r="S440" s="360" t="s">
        <v>4670</v>
      </c>
      <c r="T440" s="769"/>
      <c r="U440" s="774"/>
    </row>
    <row r="441" spans="1:21" ht="24" hidden="1" customHeight="1">
      <c r="A441" s="779"/>
      <c r="B441" s="792" t="s">
        <v>6954</v>
      </c>
      <c r="C441" s="360" t="s">
        <v>7012</v>
      </c>
      <c r="D441" s="360" t="s">
        <v>79</v>
      </c>
      <c r="E441" s="360">
        <v>1</v>
      </c>
      <c r="F441" s="360" t="s">
        <v>34</v>
      </c>
      <c r="G441" s="360" t="s">
        <v>32</v>
      </c>
      <c r="H441" s="360" t="s">
        <v>33</v>
      </c>
      <c r="I441" s="360" t="s">
        <v>34</v>
      </c>
      <c r="J441" s="360" t="s">
        <v>34</v>
      </c>
      <c r="K441" s="360" t="s">
        <v>4774</v>
      </c>
      <c r="L441" s="857">
        <v>8017.24</v>
      </c>
      <c r="M441" s="810">
        <v>6652.9819218111097</v>
      </c>
      <c r="N441" s="360">
        <v>2019.03</v>
      </c>
      <c r="O441" s="360" t="s">
        <v>4780</v>
      </c>
      <c r="P441" s="360" t="s">
        <v>6889</v>
      </c>
      <c r="Q441" s="360">
        <v>15635397648</v>
      </c>
      <c r="R441" s="360" t="s">
        <v>4781</v>
      </c>
      <c r="S441" s="360" t="s">
        <v>4670</v>
      </c>
      <c r="T441" s="769"/>
      <c r="U441" s="774"/>
    </row>
    <row r="442" spans="1:21" ht="24" hidden="1" customHeight="1">
      <c r="A442" s="779"/>
      <c r="B442" s="792" t="s">
        <v>6954</v>
      </c>
      <c r="C442" s="360" t="s">
        <v>7013</v>
      </c>
      <c r="D442" s="360" t="s">
        <v>79</v>
      </c>
      <c r="E442" s="360">
        <v>1</v>
      </c>
      <c r="F442" s="360" t="s">
        <v>34</v>
      </c>
      <c r="G442" s="360" t="s">
        <v>32</v>
      </c>
      <c r="H442" s="360" t="s">
        <v>33</v>
      </c>
      <c r="I442" s="360" t="s">
        <v>34</v>
      </c>
      <c r="J442" s="360" t="s">
        <v>34</v>
      </c>
      <c r="K442" s="360" t="s">
        <v>4774</v>
      </c>
      <c r="L442" s="857">
        <v>12068.95</v>
      </c>
      <c r="M442" s="810">
        <v>10015.230449037599</v>
      </c>
      <c r="N442" s="360">
        <v>2019.03</v>
      </c>
      <c r="O442" s="360" t="s">
        <v>4780</v>
      </c>
      <c r="P442" s="360" t="s">
        <v>6889</v>
      </c>
      <c r="Q442" s="360">
        <v>15635397648</v>
      </c>
      <c r="R442" s="360" t="s">
        <v>4781</v>
      </c>
      <c r="S442" s="360" t="s">
        <v>4670</v>
      </c>
      <c r="T442" s="769"/>
      <c r="U442" s="774"/>
    </row>
    <row r="443" spans="1:21" ht="24" hidden="1" customHeight="1">
      <c r="A443" s="779"/>
      <c r="B443" s="792" t="s">
        <v>6954</v>
      </c>
      <c r="C443" s="360" t="s">
        <v>7014</v>
      </c>
      <c r="D443" s="360" t="s">
        <v>131</v>
      </c>
      <c r="E443" s="360">
        <v>1</v>
      </c>
      <c r="F443" s="360" t="s">
        <v>34</v>
      </c>
      <c r="G443" s="360" t="s">
        <v>32</v>
      </c>
      <c r="H443" s="360" t="s">
        <v>33</v>
      </c>
      <c r="I443" s="360" t="s">
        <v>34</v>
      </c>
      <c r="J443" s="360" t="s">
        <v>34</v>
      </c>
      <c r="K443" s="360" t="s">
        <v>4774</v>
      </c>
      <c r="L443" s="857">
        <v>1551.72</v>
      </c>
      <c r="M443" s="810">
        <v>1287.6707080881599</v>
      </c>
      <c r="N443" s="360">
        <v>2019.03</v>
      </c>
      <c r="O443" s="360" t="s">
        <v>4780</v>
      </c>
      <c r="P443" s="360" t="s">
        <v>6889</v>
      </c>
      <c r="Q443" s="360">
        <v>15635397648</v>
      </c>
      <c r="R443" s="360" t="s">
        <v>4781</v>
      </c>
      <c r="S443" s="360" t="s">
        <v>4670</v>
      </c>
      <c r="T443" s="769"/>
      <c r="U443" s="774"/>
    </row>
    <row r="444" spans="1:21" ht="24" hidden="1" customHeight="1">
      <c r="A444" s="779"/>
      <c r="B444" s="792" t="s">
        <v>6954</v>
      </c>
      <c r="C444" s="360" t="s">
        <v>7015</v>
      </c>
      <c r="D444" s="360" t="s">
        <v>79</v>
      </c>
      <c r="E444" s="360">
        <v>1</v>
      </c>
      <c r="F444" s="360" t="s">
        <v>34</v>
      </c>
      <c r="G444" s="360" t="s">
        <v>32</v>
      </c>
      <c r="H444" s="360" t="s">
        <v>33</v>
      </c>
      <c r="I444" s="360" t="s">
        <v>34</v>
      </c>
      <c r="J444" s="360" t="s">
        <v>34</v>
      </c>
      <c r="K444" s="360" t="s">
        <v>4774</v>
      </c>
      <c r="L444" s="857">
        <v>4094.83</v>
      </c>
      <c r="M444" s="810">
        <v>3398.0309885808301</v>
      </c>
      <c r="N444" s="360">
        <v>2019.03</v>
      </c>
      <c r="O444" s="360" t="s">
        <v>4780</v>
      </c>
      <c r="P444" s="360" t="s">
        <v>6889</v>
      </c>
      <c r="Q444" s="360">
        <v>15635397648</v>
      </c>
      <c r="R444" s="360" t="s">
        <v>4781</v>
      </c>
      <c r="S444" s="360" t="s">
        <v>4670</v>
      </c>
      <c r="T444" s="769"/>
      <c r="U444" s="774"/>
    </row>
    <row r="445" spans="1:21" ht="24" hidden="1" customHeight="1">
      <c r="A445" s="779"/>
      <c r="B445" s="792" t="s">
        <v>6954</v>
      </c>
      <c r="C445" s="360" t="s">
        <v>7016</v>
      </c>
      <c r="D445" s="360" t="s">
        <v>888</v>
      </c>
      <c r="E445" s="360">
        <v>7.2</v>
      </c>
      <c r="F445" s="360" t="s">
        <v>34</v>
      </c>
      <c r="G445" s="360" t="s">
        <v>32</v>
      </c>
      <c r="H445" s="360" t="s">
        <v>33</v>
      </c>
      <c r="I445" s="360" t="s">
        <v>34</v>
      </c>
      <c r="J445" s="360" t="s">
        <v>34</v>
      </c>
      <c r="K445" s="360" t="s">
        <v>4774</v>
      </c>
      <c r="L445" s="857">
        <v>2606.89</v>
      </c>
      <c r="M445" s="810">
        <v>2163.2871215218902</v>
      </c>
      <c r="N445" s="360">
        <v>2019.03</v>
      </c>
      <c r="O445" s="360" t="s">
        <v>4780</v>
      </c>
      <c r="P445" s="360" t="s">
        <v>6889</v>
      </c>
      <c r="Q445" s="360">
        <v>15635397648</v>
      </c>
      <c r="R445" s="360" t="s">
        <v>4781</v>
      </c>
      <c r="S445" s="360" t="s">
        <v>4670</v>
      </c>
      <c r="T445" s="769"/>
      <c r="U445" s="774"/>
    </row>
    <row r="446" spans="1:21" ht="24" hidden="1" customHeight="1">
      <c r="A446" s="779"/>
      <c r="B446" s="792" t="s">
        <v>6954</v>
      </c>
      <c r="C446" s="360" t="s">
        <v>5074</v>
      </c>
      <c r="D446" s="360" t="s">
        <v>131</v>
      </c>
      <c r="E446" s="360">
        <v>17</v>
      </c>
      <c r="F446" s="360" t="s">
        <v>34</v>
      </c>
      <c r="G446" s="360" t="s">
        <v>32</v>
      </c>
      <c r="H446" s="360" t="s">
        <v>33</v>
      </c>
      <c r="I446" s="360" t="s">
        <v>34</v>
      </c>
      <c r="J446" s="360" t="s">
        <v>34</v>
      </c>
      <c r="K446" s="360" t="s">
        <v>4774</v>
      </c>
      <c r="L446" s="857">
        <v>115043.1</v>
      </c>
      <c r="M446" s="810">
        <v>95466.727268874005</v>
      </c>
      <c r="N446" s="360">
        <v>2019.03</v>
      </c>
      <c r="O446" s="360" t="s">
        <v>4780</v>
      </c>
      <c r="P446" s="360" t="s">
        <v>6889</v>
      </c>
      <c r="Q446" s="360">
        <v>15635397648</v>
      </c>
      <c r="R446" s="360" t="s">
        <v>4781</v>
      </c>
      <c r="S446" s="360" t="s">
        <v>4670</v>
      </c>
      <c r="T446" s="769"/>
      <c r="U446" s="774"/>
    </row>
    <row r="447" spans="1:21" ht="24" hidden="1" customHeight="1">
      <c r="A447" s="779"/>
      <c r="B447" s="792" t="s">
        <v>6954</v>
      </c>
      <c r="C447" s="360" t="s">
        <v>5075</v>
      </c>
      <c r="D447" s="360" t="s">
        <v>131</v>
      </c>
      <c r="E447" s="360">
        <v>2</v>
      </c>
      <c r="F447" s="360" t="s">
        <v>34</v>
      </c>
      <c r="G447" s="360" t="s">
        <v>32</v>
      </c>
      <c r="H447" s="360" t="s">
        <v>33</v>
      </c>
      <c r="I447" s="360" t="s">
        <v>34</v>
      </c>
      <c r="J447" s="360" t="s">
        <v>34</v>
      </c>
      <c r="K447" s="360" t="s">
        <v>4774</v>
      </c>
      <c r="L447" s="857">
        <v>10862.07</v>
      </c>
      <c r="M447" s="810">
        <v>9013.7198516505396</v>
      </c>
      <c r="N447" s="360">
        <v>2019.03</v>
      </c>
      <c r="O447" s="360" t="s">
        <v>4780</v>
      </c>
      <c r="P447" s="360" t="s">
        <v>6889</v>
      </c>
      <c r="Q447" s="360">
        <v>15635397648</v>
      </c>
      <c r="R447" s="360" t="s">
        <v>4781</v>
      </c>
      <c r="S447" s="360" t="s">
        <v>4670</v>
      </c>
      <c r="T447" s="769"/>
      <c r="U447" s="774"/>
    </row>
    <row r="448" spans="1:21" ht="24" hidden="1" customHeight="1">
      <c r="A448" s="779"/>
      <c r="B448" s="792" t="s">
        <v>6954</v>
      </c>
      <c r="C448" s="360" t="s">
        <v>5076</v>
      </c>
      <c r="D448" s="360" t="s">
        <v>131</v>
      </c>
      <c r="E448" s="360">
        <v>22</v>
      </c>
      <c r="F448" s="360" t="s">
        <v>34</v>
      </c>
      <c r="G448" s="360" t="s">
        <v>32</v>
      </c>
      <c r="H448" s="360" t="s">
        <v>33</v>
      </c>
      <c r="I448" s="360" t="s">
        <v>34</v>
      </c>
      <c r="J448" s="360" t="s">
        <v>34</v>
      </c>
      <c r="K448" s="360" t="s">
        <v>4774</v>
      </c>
      <c r="L448" s="857">
        <v>222844.83</v>
      </c>
      <c r="M448" s="810">
        <v>184924.31626832599</v>
      </c>
      <c r="N448" s="360">
        <v>2019.03</v>
      </c>
      <c r="O448" s="360" t="s">
        <v>4780</v>
      </c>
      <c r="P448" s="360" t="s">
        <v>6889</v>
      </c>
      <c r="Q448" s="360">
        <v>15635397648</v>
      </c>
      <c r="R448" s="360" t="s">
        <v>4781</v>
      </c>
      <c r="S448" s="360" t="s">
        <v>4670</v>
      </c>
      <c r="T448" s="769"/>
      <c r="U448" s="774"/>
    </row>
    <row r="449" spans="1:21" ht="24" hidden="1" customHeight="1">
      <c r="A449" s="779"/>
      <c r="B449" s="792" t="s">
        <v>6954</v>
      </c>
      <c r="C449" s="360" t="s">
        <v>7017</v>
      </c>
      <c r="D449" s="360" t="s">
        <v>131</v>
      </c>
      <c r="E449" s="360">
        <v>35</v>
      </c>
      <c r="F449" s="360" t="s">
        <v>34</v>
      </c>
      <c r="G449" s="360" t="s">
        <v>32</v>
      </c>
      <c r="H449" s="360" t="s">
        <v>33</v>
      </c>
      <c r="I449" s="360" t="s">
        <v>34</v>
      </c>
      <c r="J449" s="360" t="s">
        <v>34</v>
      </c>
      <c r="K449" s="360" t="s">
        <v>4774</v>
      </c>
      <c r="L449" s="360">
        <v>526548.67256637104</v>
      </c>
      <c r="M449" s="360">
        <v>436948.22651407501</v>
      </c>
      <c r="N449" s="360">
        <v>2021.12</v>
      </c>
      <c r="O449" s="360" t="s">
        <v>4780</v>
      </c>
      <c r="P449" s="360" t="s">
        <v>6889</v>
      </c>
      <c r="Q449" s="360">
        <v>15635397648</v>
      </c>
      <c r="R449" s="360" t="s">
        <v>4781</v>
      </c>
      <c r="S449" s="360" t="s">
        <v>4670</v>
      </c>
      <c r="T449" s="769"/>
      <c r="U449" s="774"/>
    </row>
    <row r="450" spans="1:21" ht="24" hidden="1" customHeight="1">
      <c r="A450" s="779"/>
      <c r="B450" s="792" t="s">
        <v>6954</v>
      </c>
      <c r="C450" s="360" t="s">
        <v>7018</v>
      </c>
      <c r="D450" s="360" t="s">
        <v>131</v>
      </c>
      <c r="E450" s="360">
        <v>1</v>
      </c>
      <c r="F450" s="360" t="s">
        <v>34</v>
      </c>
      <c r="G450" s="360" t="s">
        <v>32</v>
      </c>
      <c r="H450" s="360" t="s">
        <v>33</v>
      </c>
      <c r="I450" s="360" t="s">
        <v>34</v>
      </c>
      <c r="J450" s="360" t="s">
        <v>34</v>
      </c>
      <c r="K450" s="360" t="s">
        <v>4774</v>
      </c>
      <c r="L450" s="360">
        <v>36902.654867256599</v>
      </c>
      <c r="M450" s="360">
        <v>30623.094194347799</v>
      </c>
      <c r="N450" s="360">
        <v>2021.12</v>
      </c>
      <c r="O450" s="360" t="s">
        <v>4780</v>
      </c>
      <c r="P450" s="360" t="s">
        <v>6889</v>
      </c>
      <c r="Q450" s="360">
        <v>15635397648</v>
      </c>
      <c r="R450" s="360" t="s">
        <v>4781</v>
      </c>
      <c r="S450" s="360" t="s">
        <v>4670</v>
      </c>
      <c r="T450" s="769"/>
      <c r="U450" s="774"/>
    </row>
    <row r="451" spans="1:21" ht="24" hidden="1" customHeight="1">
      <c r="A451" s="779"/>
      <c r="B451" s="792" t="s">
        <v>6954</v>
      </c>
      <c r="C451" s="360" t="s">
        <v>7019</v>
      </c>
      <c r="D451" s="360" t="s">
        <v>131</v>
      </c>
      <c r="E451" s="360">
        <v>2</v>
      </c>
      <c r="F451" s="360" t="s">
        <v>34</v>
      </c>
      <c r="G451" s="360" t="s">
        <v>32</v>
      </c>
      <c r="H451" s="360" t="s">
        <v>33</v>
      </c>
      <c r="I451" s="360" t="s">
        <v>34</v>
      </c>
      <c r="J451" s="360" t="s">
        <v>34</v>
      </c>
      <c r="K451" s="360" t="s">
        <v>4774</v>
      </c>
      <c r="L451" s="360">
        <v>59646.017699115102</v>
      </c>
      <c r="M451" s="360">
        <v>49496.320112686903</v>
      </c>
      <c r="N451" s="360">
        <v>2021.12</v>
      </c>
      <c r="O451" s="360" t="s">
        <v>4780</v>
      </c>
      <c r="P451" s="360" t="s">
        <v>6889</v>
      </c>
      <c r="Q451" s="360">
        <v>15635397648</v>
      </c>
      <c r="R451" s="360" t="s">
        <v>4781</v>
      </c>
      <c r="S451" s="360" t="s">
        <v>4670</v>
      </c>
      <c r="T451" s="769"/>
      <c r="U451" s="774"/>
    </row>
    <row r="452" spans="1:21" ht="24" hidden="1" customHeight="1">
      <c r="A452" s="779"/>
      <c r="B452" s="792" t="s">
        <v>6954</v>
      </c>
      <c r="C452" s="360" t="s">
        <v>7020</v>
      </c>
      <c r="D452" s="360" t="s">
        <v>131</v>
      </c>
      <c r="E452" s="360">
        <v>1</v>
      </c>
      <c r="F452" s="360" t="s">
        <v>34</v>
      </c>
      <c r="G452" s="360" t="s">
        <v>32</v>
      </c>
      <c r="H452" s="360" t="s">
        <v>33</v>
      </c>
      <c r="I452" s="360" t="s">
        <v>34</v>
      </c>
      <c r="J452" s="360" t="s">
        <v>34</v>
      </c>
      <c r="K452" s="360" t="s">
        <v>4774</v>
      </c>
      <c r="L452" s="360">
        <v>73451.327433628307</v>
      </c>
      <c r="M452" s="360">
        <v>60952.441681795397</v>
      </c>
      <c r="N452" s="360">
        <v>2021.12</v>
      </c>
      <c r="O452" s="360" t="s">
        <v>4780</v>
      </c>
      <c r="P452" s="360" t="s">
        <v>6889</v>
      </c>
      <c r="Q452" s="360">
        <v>15635397648</v>
      </c>
      <c r="R452" s="360" t="s">
        <v>4781</v>
      </c>
      <c r="S452" s="360" t="s">
        <v>4670</v>
      </c>
      <c r="T452" s="769"/>
      <c r="U452" s="774"/>
    </row>
    <row r="453" spans="1:21" ht="24" hidden="1" customHeight="1">
      <c r="A453" s="779"/>
      <c r="B453" s="792" t="s">
        <v>6954</v>
      </c>
      <c r="C453" s="360" t="s">
        <v>7021</v>
      </c>
      <c r="D453" s="360" t="s">
        <v>131</v>
      </c>
      <c r="E453" s="360">
        <v>1</v>
      </c>
      <c r="F453" s="360" t="s">
        <v>34</v>
      </c>
      <c r="G453" s="360" t="s">
        <v>32</v>
      </c>
      <c r="H453" s="360" t="s">
        <v>33</v>
      </c>
      <c r="I453" s="360" t="s">
        <v>34</v>
      </c>
      <c r="J453" s="360" t="s">
        <v>34</v>
      </c>
      <c r="K453" s="360" t="s">
        <v>4774</v>
      </c>
      <c r="L453" s="360">
        <v>132743.36283185799</v>
      </c>
      <c r="M453" s="360">
        <v>110155.015087582</v>
      </c>
      <c r="N453" s="360">
        <v>2021.12</v>
      </c>
      <c r="O453" s="360" t="s">
        <v>4780</v>
      </c>
      <c r="P453" s="360" t="s">
        <v>6889</v>
      </c>
      <c r="Q453" s="360">
        <v>15635397648</v>
      </c>
      <c r="R453" s="360" t="s">
        <v>4781</v>
      </c>
      <c r="S453" s="360" t="s">
        <v>4670</v>
      </c>
      <c r="T453" s="769"/>
      <c r="U453" s="774"/>
    </row>
    <row r="454" spans="1:21" ht="24" hidden="1" customHeight="1">
      <c r="A454" s="779"/>
      <c r="B454" s="792" t="s">
        <v>6954</v>
      </c>
      <c r="C454" s="360" t="s">
        <v>7022</v>
      </c>
      <c r="D454" s="360" t="s">
        <v>131</v>
      </c>
      <c r="E454" s="360">
        <v>2</v>
      </c>
      <c r="F454" s="360" t="s">
        <v>34</v>
      </c>
      <c r="G454" s="360" t="s">
        <v>32</v>
      </c>
      <c r="H454" s="360" t="s">
        <v>33</v>
      </c>
      <c r="I454" s="360" t="s">
        <v>34</v>
      </c>
      <c r="J454" s="360" t="s">
        <v>34</v>
      </c>
      <c r="K454" s="360" t="s">
        <v>4774</v>
      </c>
      <c r="L454" s="360">
        <v>33628.318584070803</v>
      </c>
      <c r="M454" s="360">
        <v>27905.937155520802</v>
      </c>
      <c r="N454" s="360">
        <v>2021.12</v>
      </c>
      <c r="O454" s="360" t="s">
        <v>4780</v>
      </c>
      <c r="P454" s="360" t="s">
        <v>6889</v>
      </c>
      <c r="Q454" s="360">
        <v>15635397648</v>
      </c>
      <c r="R454" s="360" t="s">
        <v>4781</v>
      </c>
      <c r="S454" s="360" t="s">
        <v>4670</v>
      </c>
      <c r="T454" s="769"/>
      <c r="U454" s="774"/>
    </row>
    <row r="455" spans="1:21" ht="24" hidden="1" customHeight="1">
      <c r="A455" s="779"/>
      <c r="B455" s="792" t="s">
        <v>6954</v>
      </c>
      <c r="C455" s="360" t="s">
        <v>7023</v>
      </c>
      <c r="D455" s="360" t="s">
        <v>131</v>
      </c>
      <c r="E455" s="360">
        <v>1</v>
      </c>
      <c r="F455" s="360" t="s">
        <v>34</v>
      </c>
      <c r="G455" s="360" t="s">
        <v>32</v>
      </c>
      <c r="H455" s="360" t="s">
        <v>33</v>
      </c>
      <c r="I455" s="360" t="s">
        <v>34</v>
      </c>
      <c r="J455" s="360" t="s">
        <v>34</v>
      </c>
      <c r="K455" s="360" t="s">
        <v>4774</v>
      </c>
      <c r="L455" s="360">
        <v>19469.026548672598</v>
      </c>
      <c r="M455" s="360">
        <v>16156.0688795121</v>
      </c>
      <c r="N455" s="360">
        <v>2021.12</v>
      </c>
      <c r="O455" s="360" t="s">
        <v>4780</v>
      </c>
      <c r="P455" s="360" t="s">
        <v>6889</v>
      </c>
      <c r="Q455" s="360">
        <v>15635397648</v>
      </c>
      <c r="R455" s="360" t="s">
        <v>4781</v>
      </c>
      <c r="S455" s="360" t="s">
        <v>4670</v>
      </c>
      <c r="T455" s="769"/>
      <c r="U455" s="774"/>
    </row>
    <row r="456" spans="1:21" ht="24" hidden="1" customHeight="1">
      <c r="A456" s="779"/>
      <c r="B456" s="792" t="s">
        <v>6954</v>
      </c>
      <c r="C456" s="360" t="s">
        <v>7024</v>
      </c>
      <c r="D456" s="360" t="s">
        <v>131</v>
      </c>
      <c r="E456" s="360">
        <v>1</v>
      </c>
      <c r="F456" s="360" t="s">
        <v>34</v>
      </c>
      <c r="G456" s="360" t="s">
        <v>32</v>
      </c>
      <c r="H456" s="360" t="s">
        <v>33</v>
      </c>
      <c r="I456" s="360" t="s">
        <v>34</v>
      </c>
      <c r="J456" s="360" t="s">
        <v>34</v>
      </c>
      <c r="K456" s="360" t="s">
        <v>4774</v>
      </c>
      <c r="L456" s="360">
        <v>11327.4336283186</v>
      </c>
      <c r="M456" s="360">
        <v>9399.8946208070192</v>
      </c>
      <c r="N456" s="360">
        <v>2021.12</v>
      </c>
      <c r="O456" s="360" t="s">
        <v>4780</v>
      </c>
      <c r="P456" s="360" t="s">
        <v>6889</v>
      </c>
      <c r="Q456" s="360">
        <v>15635397648</v>
      </c>
      <c r="R456" s="360" t="s">
        <v>4781</v>
      </c>
      <c r="S456" s="360" t="s">
        <v>4670</v>
      </c>
      <c r="T456" s="769"/>
      <c r="U456" s="774"/>
    </row>
    <row r="457" spans="1:21" ht="24" hidden="1" customHeight="1">
      <c r="A457" s="779"/>
      <c r="B457" s="792" t="s">
        <v>6954</v>
      </c>
      <c r="C457" s="360" t="s">
        <v>7025</v>
      </c>
      <c r="D457" s="360" t="s">
        <v>131</v>
      </c>
      <c r="E457" s="360">
        <v>1</v>
      </c>
      <c r="F457" s="360" t="s">
        <v>34</v>
      </c>
      <c r="G457" s="360" t="s">
        <v>32</v>
      </c>
      <c r="H457" s="360" t="s">
        <v>33</v>
      </c>
      <c r="I457" s="360" t="s">
        <v>34</v>
      </c>
      <c r="J457" s="360" t="s">
        <v>34</v>
      </c>
      <c r="K457" s="360" t="s">
        <v>4774</v>
      </c>
      <c r="L457" s="360">
        <v>6327.4336283185803</v>
      </c>
      <c r="M457" s="360">
        <v>5250.72238584141</v>
      </c>
      <c r="N457" s="360">
        <v>2021.12</v>
      </c>
      <c r="O457" s="360" t="s">
        <v>4780</v>
      </c>
      <c r="P457" s="360" t="s">
        <v>6889</v>
      </c>
      <c r="Q457" s="360">
        <v>15635397648</v>
      </c>
      <c r="R457" s="360" t="s">
        <v>4781</v>
      </c>
      <c r="S457" s="360" t="s">
        <v>4670</v>
      </c>
      <c r="T457" s="769"/>
      <c r="U457" s="774"/>
    </row>
    <row r="458" spans="1:21" ht="24" hidden="1" customHeight="1">
      <c r="A458" s="779"/>
      <c r="B458" s="792" t="s">
        <v>6954</v>
      </c>
      <c r="C458" s="360" t="s">
        <v>7026</v>
      </c>
      <c r="D458" s="360" t="s">
        <v>131</v>
      </c>
      <c r="E458" s="360">
        <v>1</v>
      </c>
      <c r="F458" s="360" t="s">
        <v>34</v>
      </c>
      <c r="G458" s="360" t="s">
        <v>32</v>
      </c>
      <c r="H458" s="360" t="s">
        <v>33</v>
      </c>
      <c r="I458" s="360" t="s">
        <v>34</v>
      </c>
      <c r="J458" s="360" t="s">
        <v>34</v>
      </c>
      <c r="K458" s="360" t="s">
        <v>4774</v>
      </c>
      <c r="L458" s="360">
        <v>28141.592920354</v>
      </c>
      <c r="M458" s="360">
        <v>23352.8631985674</v>
      </c>
      <c r="N458" s="360">
        <v>2021.12</v>
      </c>
      <c r="O458" s="360" t="s">
        <v>4780</v>
      </c>
      <c r="P458" s="360" t="s">
        <v>6889</v>
      </c>
      <c r="Q458" s="360">
        <v>15635397648</v>
      </c>
      <c r="R458" s="360" t="s">
        <v>4781</v>
      </c>
      <c r="S458" s="360" t="s">
        <v>4670</v>
      </c>
      <c r="T458" s="769"/>
      <c r="U458" s="774"/>
    </row>
    <row r="459" spans="1:21" ht="24" hidden="1" customHeight="1">
      <c r="A459" s="779"/>
      <c r="B459" s="792" t="s">
        <v>6954</v>
      </c>
      <c r="C459" s="360" t="s">
        <v>7027</v>
      </c>
      <c r="D459" s="360" t="s">
        <v>131</v>
      </c>
      <c r="E459" s="360">
        <v>1</v>
      </c>
      <c r="F459" s="360" t="s">
        <v>34</v>
      </c>
      <c r="G459" s="360" t="s">
        <v>32</v>
      </c>
      <c r="H459" s="360" t="s">
        <v>33</v>
      </c>
      <c r="I459" s="360" t="s">
        <v>34</v>
      </c>
      <c r="J459" s="360" t="s">
        <v>34</v>
      </c>
      <c r="K459" s="360" t="s">
        <v>4774</v>
      </c>
      <c r="L459" s="360">
        <v>29646.017699115</v>
      </c>
      <c r="M459" s="360">
        <v>24601.2867028933</v>
      </c>
      <c r="N459" s="360">
        <v>2021.12</v>
      </c>
      <c r="O459" s="360" t="s">
        <v>4780</v>
      </c>
      <c r="P459" s="360" t="s">
        <v>6889</v>
      </c>
      <c r="Q459" s="360">
        <v>15635397648</v>
      </c>
      <c r="R459" s="360" t="s">
        <v>4781</v>
      </c>
      <c r="S459" s="360" t="s">
        <v>4670</v>
      </c>
      <c r="T459" s="769"/>
      <c r="U459" s="774"/>
    </row>
    <row r="460" spans="1:21" ht="24" hidden="1" customHeight="1">
      <c r="A460" s="779"/>
      <c r="B460" s="792" t="s">
        <v>6954</v>
      </c>
      <c r="C460" s="360" t="s">
        <v>7028</v>
      </c>
      <c r="D460" s="360" t="s">
        <v>131</v>
      </c>
      <c r="E460" s="360">
        <v>2</v>
      </c>
      <c r="F460" s="360" t="s">
        <v>34</v>
      </c>
      <c r="G460" s="360" t="s">
        <v>32</v>
      </c>
      <c r="H460" s="360" t="s">
        <v>33</v>
      </c>
      <c r="I460" s="360" t="s">
        <v>34</v>
      </c>
      <c r="J460" s="360" t="s">
        <v>34</v>
      </c>
      <c r="K460" s="360" t="s">
        <v>4774</v>
      </c>
      <c r="L460" s="360">
        <v>57522.123893805299</v>
      </c>
      <c r="M460" s="360">
        <v>47733.8398712856</v>
      </c>
      <c r="N460" s="360">
        <v>2021.12</v>
      </c>
      <c r="O460" s="360" t="s">
        <v>4780</v>
      </c>
      <c r="P460" s="360" t="s">
        <v>6889</v>
      </c>
      <c r="Q460" s="360">
        <v>15635397648</v>
      </c>
      <c r="R460" s="360" t="s">
        <v>4781</v>
      </c>
      <c r="S460" s="360" t="s">
        <v>4670</v>
      </c>
      <c r="T460" s="769"/>
      <c r="U460" s="774"/>
    </row>
    <row r="461" spans="1:21" ht="24" hidden="1" customHeight="1">
      <c r="A461" s="779"/>
      <c r="B461" s="792" t="s">
        <v>6954</v>
      </c>
      <c r="C461" s="360" t="s">
        <v>7029</v>
      </c>
      <c r="D461" s="360" t="s">
        <v>131</v>
      </c>
      <c r="E461" s="360">
        <v>1</v>
      </c>
      <c r="F461" s="360" t="s">
        <v>34</v>
      </c>
      <c r="G461" s="360" t="s">
        <v>32</v>
      </c>
      <c r="H461" s="360" t="s">
        <v>33</v>
      </c>
      <c r="I461" s="360" t="s">
        <v>34</v>
      </c>
      <c r="J461" s="360" t="s">
        <v>34</v>
      </c>
      <c r="K461" s="360" t="s">
        <v>4774</v>
      </c>
      <c r="L461" s="360">
        <v>29203.539823008901</v>
      </c>
      <c r="M461" s="360">
        <v>24234.103319268099</v>
      </c>
      <c r="N461" s="360">
        <v>2021.12</v>
      </c>
      <c r="O461" s="360" t="s">
        <v>4780</v>
      </c>
      <c r="P461" s="360" t="s">
        <v>6889</v>
      </c>
      <c r="Q461" s="360">
        <v>15635397648</v>
      </c>
      <c r="R461" s="360" t="s">
        <v>4781</v>
      </c>
      <c r="S461" s="360" t="s">
        <v>4670</v>
      </c>
      <c r="T461" s="769"/>
      <c r="U461" s="774"/>
    </row>
    <row r="462" spans="1:21" ht="24" hidden="1" customHeight="1">
      <c r="A462" s="779"/>
      <c r="B462" s="792" t="s">
        <v>6954</v>
      </c>
      <c r="C462" s="360" t="s">
        <v>7030</v>
      </c>
      <c r="D462" s="360" t="s">
        <v>131</v>
      </c>
      <c r="E462" s="360">
        <v>1</v>
      </c>
      <c r="F462" s="360" t="s">
        <v>34</v>
      </c>
      <c r="G462" s="360" t="s">
        <v>32</v>
      </c>
      <c r="H462" s="360" t="s">
        <v>33</v>
      </c>
      <c r="I462" s="360" t="s">
        <v>34</v>
      </c>
      <c r="J462" s="360" t="s">
        <v>34</v>
      </c>
      <c r="K462" s="360" t="s">
        <v>4774</v>
      </c>
      <c r="L462" s="360">
        <v>27433.628318584098</v>
      </c>
      <c r="M462" s="360">
        <v>22765.369784767001</v>
      </c>
      <c r="N462" s="360">
        <v>2021.12</v>
      </c>
      <c r="O462" s="360" t="s">
        <v>4780</v>
      </c>
      <c r="P462" s="360" t="s">
        <v>6889</v>
      </c>
      <c r="Q462" s="360">
        <v>15635397648</v>
      </c>
      <c r="R462" s="360" t="s">
        <v>4781</v>
      </c>
      <c r="S462" s="360" t="s">
        <v>4670</v>
      </c>
      <c r="T462" s="769"/>
      <c r="U462" s="774"/>
    </row>
    <row r="463" spans="1:21" ht="24" hidden="1" customHeight="1">
      <c r="A463" s="779"/>
      <c r="B463" s="792" t="s">
        <v>6954</v>
      </c>
      <c r="C463" s="360" t="s">
        <v>7031</v>
      </c>
      <c r="D463" s="360" t="s">
        <v>131</v>
      </c>
      <c r="E463" s="360">
        <v>2</v>
      </c>
      <c r="F463" s="360" t="s">
        <v>34</v>
      </c>
      <c r="G463" s="360" t="s">
        <v>32</v>
      </c>
      <c r="H463" s="360" t="s">
        <v>33</v>
      </c>
      <c r="I463" s="360" t="s">
        <v>34</v>
      </c>
      <c r="J463" s="360" t="s">
        <v>34</v>
      </c>
      <c r="K463" s="360" t="s">
        <v>4774</v>
      </c>
      <c r="L463" s="360">
        <v>52212.389380531</v>
      </c>
      <c r="M463" s="360">
        <v>43327.639267782302</v>
      </c>
      <c r="N463" s="360">
        <v>2021.12</v>
      </c>
      <c r="O463" s="360" t="s">
        <v>4780</v>
      </c>
      <c r="P463" s="360" t="s">
        <v>6889</v>
      </c>
      <c r="Q463" s="360">
        <v>15635397648</v>
      </c>
      <c r="R463" s="360" t="s">
        <v>4781</v>
      </c>
      <c r="S463" s="360" t="s">
        <v>4670</v>
      </c>
      <c r="T463" s="769"/>
      <c r="U463" s="774"/>
    </row>
    <row r="464" spans="1:21" ht="24" hidden="1" customHeight="1">
      <c r="A464" s="779"/>
      <c r="B464" s="792" t="s">
        <v>6954</v>
      </c>
      <c r="C464" s="360" t="s">
        <v>7032</v>
      </c>
      <c r="D464" s="360" t="s">
        <v>131</v>
      </c>
      <c r="E464" s="360">
        <v>1</v>
      </c>
      <c r="F464" s="360" t="s">
        <v>34</v>
      </c>
      <c r="G464" s="360" t="s">
        <v>32</v>
      </c>
      <c r="H464" s="360" t="s">
        <v>33</v>
      </c>
      <c r="I464" s="360" t="s">
        <v>34</v>
      </c>
      <c r="J464" s="360" t="s">
        <v>34</v>
      </c>
      <c r="K464" s="360" t="s">
        <v>4774</v>
      </c>
      <c r="L464" s="360">
        <v>1637.1681415929199</v>
      </c>
      <c r="M464" s="360">
        <v>1358.5785194135101</v>
      </c>
      <c r="N464" s="360">
        <v>2021.12</v>
      </c>
      <c r="O464" s="360" t="s">
        <v>4780</v>
      </c>
      <c r="P464" s="360" t="s">
        <v>6889</v>
      </c>
      <c r="Q464" s="360">
        <v>15635397648</v>
      </c>
      <c r="R464" s="360" t="s">
        <v>4781</v>
      </c>
      <c r="S464" s="360" t="s">
        <v>4670</v>
      </c>
      <c r="T464" s="769"/>
      <c r="U464" s="774"/>
    </row>
    <row r="465" spans="1:21" ht="24" hidden="1" customHeight="1">
      <c r="A465" s="779"/>
      <c r="B465" s="792" t="s">
        <v>6954</v>
      </c>
      <c r="C465" s="360" t="s">
        <v>7033</v>
      </c>
      <c r="D465" s="360" t="s">
        <v>131</v>
      </c>
      <c r="E465" s="360">
        <v>20</v>
      </c>
      <c r="F465" s="360" t="s">
        <v>34</v>
      </c>
      <c r="G465" s="360" t="s">
        <v>32</v>
      </c>
      <c r="H465" s="360" t="s">
        <v>33</v>
      </c>
      <c r="I465" s="360" t="s">
        <v>34</v>
      </c>
      <c r="J465" s="360" t="s">
        <v>34</v>
      </c>
      <c r="K465" s="360" t="s">
        <v>4774</v>
      </c>
      <c r="L465" s="360">
        <v>208849.557522124</v>
      </c>
      <c r="M465" s="360">
        <v>173310.55707112901</v>
      </c>
      <c r="N465" s="360">
        <v>2021.12</v>
      </c>
      <c r="O465" s="360" t="s">
        <v>4780</v>
      </c>
      <c r="P465" s="360" t="s">
        <v>6889</v>
      </c>
      <c r="Q465" s="360">
        <v>15635397648</v>
      </c>
      <c r="R465" s="360" t="s">
        <v>4781</v>
      </c>
      <c r="S465" s="360" t="s">
        <v>4670</v>
      </c>
      <c r="T465" s="769"/>
      <c r="U465" s="774"/>
    </row>
    <row r="466" spans="1:21" ht="24" hidden="1" customHeight="1">
      <c r="A466" s="779"/>
      <c r="B466" s="792" t="s">
        <v>6954</v>
      </c>
      <c r="C466" s="360" t="s">
        <v>7034</v>
      </c>
      <c r="D466" s="360" t="s">
        <v>131</v>
      </c>
      <c r="E466" s="360">
        <v>8</v>
      </c>
      <c r="F466" s="360" t="s">
        <v>34</v>
      </c>
      <c r="G466" s="360" t="s">
        <v>32</v>
      </c>
      <c r="H466" s="360" t="s">
        <v>33</v>
      </c>
      <c r="I466" s="360" t="s">
        <v>34</v>
      </c>
      <c r="J466" s="360" t="s">
        <v>34</v>
      </c>
      <c r="K466" s="360" t="s">
        <v>4774</v>
      </c>
      <c r="L466" s="360">
        <v>69380.530973451299</v>
      </c>
      <c r="M466" s="360">
        <v>57574.354552442899</v>
      </c>
      <c r="N466" s="360">
        <v>2021.12</v>
      </c>
      <c r="O466" s="360" t="s">
        <v>4780</v>
      </c>
      <c r="P466" s="360" t="s">
        <v>6889</v>
      </c>
      <c r="Q466" s="360">
        <v>15635397648</v>
      </c>
      <c r="R466" s="360" t="s">
        <v>4781</v>
      </c>
      <c r="S466" s="360" t="s">
        <v>4670</v>
      </c>
      <c r="T466" s="769"/>
      <c r="U466" s="774"/>
    </row>
    <row r="467" spans="1:21" ht="24" hidden="1" customHeight="1">
      <c r="A467" s="779"/>
      <c r="B467" s="792" t="s">
        <v>6954</v>
      </c>
      <c r="C467" s="360" t="s">
        <v>7035</v>
      </c>
      <c r="D467" s="360" t="s">
        <v>888</v>
      </c>
      <c r="E467" s="360">
        <v>21.6</v>
      </c>
      <c r="F467" s="360" t="s">
        <v>34</v>
      </c>
      <c r="G467" s="360" t="s">
        <v>32</v>
      </c>
      <c r="H467" s="360" t="s">
        <v>33</v>
      </c>
      <c r="I467" s="360" t="s">
        <v>34</v>
      </c>
      <c r="J467" s="360" t="s">
        <v>34</v>
      </c>
      <c r="K467" s="360" t="s">
        <v>4774</v>
      </c>
      <c r="L467" s="360">
        <v>13380.530973451299</v>
      </c>
      <c r="M467" s="360">
        <v>11103.6255208283</v>
      </c>
      <c r="N467" s="360">
        <v>2021.12</v>
      </c>
      <c r="O467" s="360" t="s">
        <v>4780</v>
      </c>
      <c r="P467" s="360" t="s">
        <v>6889</v>
      </c>
      <c r="Q467" s="360">
        <v>15635397648</v>
      </c>
      <c r="R467" s="360" t="s">
        <v>4781</v>
      </c>
      <c r="S467" s="360" t="s">
        <v>4670</v>
      </c>
      <c r="T467" s="769"/>
      <c r="U467" s="774"/>
    </row>
    <row r="468" spans="1:21" ht="24" hidden="1" customHeight="1">
      <c r="A468" s="779"/>
      <c r="B468" s="792" t="s">
        <v>6954</v>
      </c>
      <c r="C468" s="789" t="s">
        <v>7036</v>
      </c>
      <c r="D468" s="360" t="s">
        <v>888</v>
      </c>
      <c r="E468" s="360">
        <v>426</v>
      </c>
      <c r="F468" s="360" t="s">
        <v>34</v>
      </c>
      <c r="G468" s="360" t="s">
        <v>32</v>
      </c>
      <c r="H468" s="360" t="s">
        <v>33</v>
      </c>
      <c r="I468" s="360" t="s">
        <v>34</v>
      </c>
      <c r="J468" s="360" t="s">
        <v>34</v>
      </c>
      <c r="K468" s="360" t="s">
        <v>4774</v>
      </c>
      <c r="L468" s="360">
        <v>218654.86725663699</v>
      </c>
      <c r="M468" s="360">
        <v>181447.34085226501</v>
      </c>
      <c r="N468" s="360">
        <v>2021.12</v>
      </c>
      <c r="O468" s="360" t="s">
        <v>4780</v>
      </c>
      <c r="P468" s="360" t="s">
        <v>6889</v>
      </c>
      <c r="Q468" s="360">
        <v>15635397648</v>
      </c>
      <c r="R468" s="360" t="s">
        <v>4781</v>
      </c>
      <c r="S468" s="360" t="s">
        <v>4670</v>
      </c>
      <c r="T468" s="769"/>
      <c r="U468" s="774"/>
    </row>
    <row r="469" spans="1:21" ht="24" hidden="1" customHeight="1">
      <c r="A469" s="779"/>
      <c r="B469" s="792" t="s">
        <v>6954</v>
      </c>
      <c r="C469" s="360" t="s">
        <v>7037</v>
      </c>
      <c r="D469" s="360" t="s">
        <v>888</v>
      </c>
      <c r="E469" s="360">
        <v>14.2</v>
      </c>
      <c r="F469" s="360" t="s">
        <v>34</v>
      </c>
      <c r="G469" s="360" t="s">
        <v>32</v>
      </c>
      <c r="H469" s="360" t="s">
        <v>33</v>
      </c>
      <c r="I469" s="360" t="s">
        <v>34</v>
      </c>
      <c r="J469" s="360" t="s">
        <v>34</v>
      </c>
      <c r="K469" s="360" t="s">
        <v>4774</v>
      </c>
      <c r="L469" s="360">
        <v>10053.097345132701</v>
      </c>
      <c r="M469" s="360">
        <v>8342.4064759661796</v>
      </c>
      <c r="N469" s="360">
        <v>2021.12</v>
      </c>
      <c r="O469" s="360" t="s">
        <v>4780</v>
      </c>
      <c r="P469" s="360" t="s">
        <v>6889</v>
      </c>
      <c r="Q469" s="360">
        <v>15635397648</v>
      </c>
      <c r="R469" s="360" t="s">
        <v>4781</v>
      </c>
      <c r="S469" s="360" t="s">
        <v>4670</v>
      </c>
      <c r="T469" s="769"/>
      <c r="U469" s="774"/>
    </row>
    <row r="470" spans="1:21" ht="24" hidden="1" customHeight="1">
      <c r="A470" s="779"/>
      <c r="B470" s="792" t="s">
        <v>6954</v>
      </c>
      <c r="C470" s="360" t="s">
        <v>7038</v>
      </c>
      <c r="D470" s="360" t="s">
        <v>888</v>
      </c>
      <c r="E470" s="360">
        <v>17.5</v>
      </c>
      <c r="F470" s="360" t="s">
        <v>34</v>
      </c>
      <c r="G470" s="360" t="s">
        <v>32</v>
      </c>
      <c r="H470" s="360" t="s">
        <v>33</v>
      </c>
      <c r="I470" s="360" t="s">
        <v>34</v>
      </c>
      <c r="J470" s="360" t="s">
        <v>34</v>
      </c>
      <c r="K470" s="360" t="s">
        <v>4774</v>
      </c>
      <c r="L470" s="360">
        <v>10623.893805309701</v>
      </c>
      <c r="M470" s="360">
        <v>8816.0730408427899</v>
      </c>
      <c r="N470" s="360">
        <v>2021.12</v>
      </c>
      <c r="O470" s="360" t="s">
        <v>4780</v>
      </c>
      <c r="P470" s="360" t="s">
        <v>6889</v>
      </c>
      <c r="Q470" s="360">
        <v>15635397648</v>
      </c>
      <c r="R470" s="360" t="s">
        <v>4781</v>
      </c>
      <c r="S470" s="360" t="s">
        <v>4670</v>
      </c>
      <c r="T470" s="769"/>
      <c r="U470" s="774"/>
    </row>
    <row r="471" spans="1:21" ht="24" hidden="1" customHeight="1">
      <c r="A471" s="779"/>
      <c r="B471" s="792" t="s">
        <v>6954</v>
      </c>
      <c r="C471" s="360" t="s">
        <v>7039</v>
      </c>
      <c r="D471" s="360" t="s">
        <v>2724</v>
      </c>
      <c r="E471" s="360">
        <v>17</v>
      </c>
      <c r="F471" s="360" t="s">
        <v>34</v>
      </c>
      <c r="G471" s="360" t="s">
        <v>32</v>
      </c>
      <c r="H471" s="360" t="s">
        <v>33</v>
      </c>
      <c r="I471" s="360" t="s">
        <v>34</v>
      </c>
      <c r="J471" s="360" t="s">
        <v>34</v>
      </c>
      <c r="K471" s="360" t="s">
        <v>4774</v>
      </c>
      <c r="L471" s="360">
        <v>4061.94690265487</v>
      </c>
      <c r="M471" s="360">
        <v>3370.7434616800101</v>
      </c>
      <c r="N471" s="360">
        <v>2021.12</v>
      </c>
      <c r="O471" s="360" t="s">
        <v>4780</v>
      </c>
      <c r="P471" s="360" t="s">
        <v>6889</v>
      </c>
      <c r="Q471" s="360">
        <v>15635397648</v>
      </c>
      <c r="R471" s="360" t="s">
        <v>4781</v>
      </c>
      <c r="S471" s="360" t="s">
        <v>4670</v>
      </c>
      <c r="T471" s="769"/>
      <c r="U471" s="774"/>
    </row>
    <row r="472" spans="1:21" ht="24" hidden="1" customHeight="1">
      <c r="A472" s="779"/>
      <c r="B472" s="653" t="s">
        <v>1162</v>
      </c>
      <c r="C472" s="653" t="s">
        <v>5061</v>
      </c>
      <c r="D472" s="653" t="s">
        <v>79</v>
      </c>
      <c r="E472" s="653">
        <v>1</v>
      </c>
      <c r="F472" s="360"/>
      <c r="G472" s="360" t="s">
        <v>7040</v>
      </c>
      <c r="H472" s="360" t="s">
        <v>7041</v>
      </c>
      <c r="I472" s="360" t="s">
        <v>6888</v>
      </c>
      <c r="J472" s="360" t="s">
        <v>6888</v>
      </c>
      <c r="K472" s="360"/>
      <c r="L472" s="652">
        <v>27492.5</v>
      </c>
      <c r="M472" s="901">
        <v>26894.83695652174</v>
      </c>
      <c r="N472" s="360">
        <v>2021.12</v>
      </c>
      <c r="O472" s="789" t="s">
        <v>7042</v>
      </c>
      <c r="P472" s="360" t="s">
        <v>7043</v>
      </c>
      <c r="Q472" s="789">
        <v>18335831522</v>
      </c>
      <c r="R472" s="789" t="s">
        <v>7044</v>
      </c>
      <c r="S472" s="789" t="s">
        <v>7045</v>
      </c>
      <c r="T472" s="769"/>
      <c r="U472" s="774"/>
    </row>
    <row r="473" spans="1:21" ht="24" hidden="1" customHeight="1">
      <c r="A473" s="779"/>
      <c r="B473" s="792" t="s">
        <v>6954</v>
      </c>
      <c r="C473" s="653" t="s">
        <v>7046</v>
      </c>
      <c r="D473" s="653" t="s">
        <v>1477</v>
      </c>
      <c r="E473" s="653">
        <v>2</v>
      </c>
      <c r="F473" s="360"/>
      <c r="G473" s="360" t="s">
        <v>7040</v>
      </c>
      <c r="H473" s="360" t="s">
        <v>7041</v>
      </c>
      <c r="I473" s="360" t="s">
        <v>6888</v>
      </c>
      <c r="J473" s="360" t="s">
        <v>6888</v>
      </c>
      <c r="K473" s="360"/>
      <c r="L473" s="652">
        <v>2376.2399999999998</v>
      </c>
      <c r="M473" s="901">
        <v>2324.5826086956522</v>
      </c>
      <c r="N473" s="360">
        <v>2021.12</v>
      </c>
      <c r="O473" s="789" t="s">
        <v>7042</v>
      </c>
      <c r="P473" s="360" t="s">
        <v>7043</v>
      </c>
      <c r="Q473" s="789">
        <v>18335831522</v>
      </c>
      <c r="R473" s="789" t="s">
        <v>7044</v>
      </c>
      <c r="S473" s="789" t="s">
        <v>7045</v>
      </c>
      <c r="T473" s="769"/>
      <c r="U473" s="774"/>
    </row>
    <row r="474" spans="1:21" ht="24" hidden="1" customHeight="1">
      <c r="A474" s="779"/>
      <c r="B474" s="653" t="s">
        <v>1162</v>
      </c>
      <c r="C474" s="1576" t="s">
        <v>4903</v>
      </c>
      <c r="D474" s="1285" t="s">
        <v>131</v>
      </c>
      <c r="E474" s="904">
        <v>12</v>
      </c>
      <c r="F474" s="905"/>
      <c r="G474" s="906" t="s">
        <v>32</v>
      </c>
      <c r="H474" s="906" t="s">
        <v>33</v>
      </c>
      <c r="I474" s="905" t="s">
        <v>34</v>
      </c>
      <c r="J474" s="905" t="s">
        <v>34</v>
      </c>
      <c r="K474" s="906" t="s">
        <v>4774</v>
      </c>
      <c r="L474" s="904">
        <v>185840.70796460201</v>
      </c>
      <c r="M474" s="907">
        <v>119867.256637168</v>
      </c>
      <c r="N474" s="906" t="s">
        <v>5077</v>
      </c>
      <c r="O474" s="906" t="s">
        <v>4791</v>
      </c>
      <c r="P474" s="906" t="s">
        <v>4789</v>
      </c>
      <c r="Q474" s="906">
        <v>13834686587</v>
      </c>
      <c r="R474" s="906" t="s">
        <v>4790</v>
      </c>
      <c r="S474" s="908"/>
      <c r="T474" s="769"/>
      <c r="U474" s="774"/>
    </row>
    <row r="475" spans="1:21" ht="24" hidden="1" customHeight="1">
      <c r="A475" s="779"/>
      <c r="B475" s="792" t="s">
        <v>6954</v>
      </c>
      <c r="C475" s="1576" t="s">
        <v>4925</v>
      </c>
      <c r="D475" s="1285" t="s">
        <v>131</v>
      </c>
      <c r="E475" s="904">
        <v>1</v>
      </c>
      <c r="F475" s="905"/>
      <c r="G475" s="906" t="s">
        <v>32</v>
      </c>
      <c r="H475" s="906" t="s">
        <v>33</v>
      </c>
      <c r="I475" s="905" t="s">
        <v>34</v>
      </c>
      <c r="J475" s="905" t="s">
        <v>34</v>
      </c>
      <c r="K475" s="906" t="s">
        <v>4774</v>
      </c>
      <c r="L475" s="904">
        <v>30973.451327433599</v>
      </c>
      <c r="M475" s="907">
        <v>19977.876106194701</v>
      </c>
      <c r="N475" s="906" t="s">
        <v>5077</v>
      </c>
      <c r="O475" s="906" t="s">
        <v>4791</v>
      </c>
      <c r="P475" s="906" t="s">
        <v>4789</v>
      </c>
      <c r="Q475" s="906">
        <v>13834686587</v>
      </c>
      <c r="R475" s="906" t="s">
        <v>4790</v>
      </c>
      <c r="S475" s="908"/>
      <c r="T475" s="769"/>
      <c r="U475" s="774"/>
    </row>
    <row r="476" spans="1:21" ht="24" hidden="1" customHeight="1">
      <c r="A476" s="779"/>
      <c r="B476" s="653" t="s">
        <v>1162</v>
      </c>
      <c r="C476" s="1576" t="s">
        <v>4907</v>
      </c>
      <c r="D476" s="1285" t="s">
        <v>131</v>
      </c>
      <c r="E476" s="904">
        <v>2</v>
      </c>
      <c r="F476" s="905"/>
      <c r="G476" s="906" t="s">
        <v>32</v>
      </c>
      <c r="H476" s="906" t="s">
        <v>33</v>
      </c>
      <c r="I476" s="905" t="s">
        <v>34</v>
      </c>
      <c r="J476" s="905" t="s">
        <v>34</v>
      </c>
      <c r="K476" s="906" t="s">
        <v>4774</v>
      </c>
      <c r="L476" s="904">
        <v>95044.247787610599</v>
      </c>
      <c r="M476" s="907">
        <v>61303.539823008898</v>
      </c>
      <c r="N476" s="906" t="s">
        <v>5077</v>
      </c>
      <c r="O476" s="906" t="s">
        <v>4791</v>
      </c>
      <c r="P476" s="906" t="s">
        <v>4789</v>
      </c>
      <c r="Q476" s="906">
        <v>13834686587</v>
      </c>
      <c r="R476" s="906" t="s">
        <v>4790</v>
      </c>
      <c r="S476" s="908"/>
      <c r="T476" s="769"/>
      <c r="U476" s="774"/>
    </row>
    <row r="477" spans="1:21" ht="24" hidden="1" customHeight="1">
      <c r="A477" s="779"/>
      <c r="B477" s="792" t="s">
        <v>6954</v>
      </c>
      <c r="C477" s="1576" t="s">
        <v>4994</v>
      </c>
      <c r="D477" s="1285" t="s">
        <v>131</v>
      </c>
      <c r="E477" s="904">
        <v>4</v>
      </c>
      <c r="F477" s="905"/>
      <c r="G477" s="906" t="s">
        <v>32</v>
      </c>
      <c r="H477" s="906" t="s">
        <v>33</v>
      </c>
      <c r="I477" s="905" t="s">
        <v>34</v>
      </c>
      <c r="J477" s="905" t="s">
        <v>34</v>
      </c>
      <c r="K477" s="906" t="s">
        <v>4774</v>
      </c>
      <c r="L477" s="904">
        <v>60884.955752212401</v>
      </c>
      <c r="M477" s="907">
        <v>39270.796460177</v>
      </c>
      <c r="N477" s="906" t="s">
        <v>5077</v>
      </c>
      <c r="O477" s="906" t="s">
        <v>4791</v>
      </c>
      <c r="P477" s="906" t="s">
        <v>4789</v>
      </c>
      <c r="Q477" s="906">
        <v>13834686587</v>
      </c>
      <c r="R477" s="906" t="s">
        <v>4790</v>
      </c>
      <c r="S477" s="908"/>
      <c r="T477" s="769"/>
      <c r="U477" s="774"/>
    </row>
    <row r="478" spans="1:21" ht="24" hidden="1" customHeight="1">
      <c r="A478" s="779"/>
      <c r="B478" s="653" t="s">
        <v>1162</v>
      </c>
      <c r="C478" s="1577" t="s">
        <v>4995</v>
      </c>
      <c r="D478" s="1285" t="s">
        <v>1437</v>
      </c>
      <c r="E478" s="904">
        <v>1</v>
      </c>
      <c r="F478" s="905"/>
      <c r="G478" s="906" t="s">
        <v>32</v>
      </c>
      <c r="H478" s="906" t="s">
        <v>33</v>
      </c>
      <c r="I478" s="905" t="s">
        <v>34</v>
      </c>
      <c r="J478" s="905" t="s">
        <v>34</v>
      </c>
      <c r="K478" s="906" t="s">
        <v>4774</v>
      </c>
      <c r="L478" s="904">
        <v>15628.318584070799</v>
      </c>
      <c r="M478" s="907">
        <v>10080.265486725701</v>
      </c>
      <c r="N478" s="906" t="s">
        <v>5077</v>
      </c>
      <c r="O478" s="906" t="s">
        <v>4791</v>
      </c>
      <c r="P478" s="906" t="s">
        <v>4789</v>
      </c>
      <c r="Q478" s="906">
        <v>13834686587</v>
      </c>
      <c r="R478" s="906" t="s">
        <v>4790</v>
      </c>
      <c r="S478" s="908"/>
      <c r="T478" s="769"/>
      <c r="U478" s="774"/>
    </row>
    <row r="479" spans="1:21" ht="24" hidden="1" customHeight="1">
      <c r="A479" s="779"/>
      <c r="B479" s="792" t="s">
        <v>6954</v>
      </c>
      <c r="C479" s="1577" t="s">
        <v>4903</v>
      </c>
      <c r="D479" s="1285" t="s">
        <v>131</v>
      </c>
      <c r="E479" s="904">
        <v>14</v>
      </c>
      <c r="F479" s="905"/>
      <c r="G479" s="906" t="s">
        <v>32</v>
      </c>
      <c r="H479" s="906" t="s">
        <v>33</v>
      </c>
      <c r="I479" s="905" t="s">
        <v>34</v>
      </c>
      <c r="J479" s="905" t="s">
        <v>34</v>
      </c>
      <c r="K479" s="906" t="s">
        <v>4774</v>
      </c>
      <c r="L479" s="904">
        <v>208141.59292035401</v>
      </c>
      <c r="M479" s="907">
        <v>134251.327433628</v>
      </c>
      <c r="N479" s="906" t="s">
        <v>5077</v>
      </c>
      <c r="O479" s="906" t="s">
        <v>4791</v>
      </c>
      <c r="P479" s="906" t="s">
        <v>4789</v>
      </c>
      <c r="Q479" s="906">
        <v>13834686587</v>
      </c>
      <c r="R479" s="906" t="s">
        <v>4790</v>
      </c>
      <c r="S479" s="908"/>
      <c r="T479" s="769"/>
      <c r="U479" s="774"/>
    </row>
    <row r="480" spans="1:21" ht="24" hidden="1" customHeight="1">
      <c r="A480" s="779"/>
      <c r="B480" s="653" t="s">
        <v>1162</v>
      </c>
      <c r="C480" s="1577" t="s">
        <v>4910</v>
      </c>
      <c r="D480" s="1285" t="s">
        <v>131</v>
      </c>
      <c r="E480" s="904">
        <v>2</v>
      </c>
      <c r="F480" s="905"/>
      <c r="G480" s="906" t="s">
        <v>32</v>
      </c>
      <c r="H480" s="906" t="s">
        <v>33</v>
      </c>
      <c r="I480" s="905" t="s">
        <v>34</v>
      </c>
      <c r="J480" s="905" t="s">
        <v>34</v>
      </c>
      <c r="K480" s="906" t="s">
        <v>4774</v>
      </c>
      <c r="L480" s="904">
        <v>29734.513274336299</v>
      </c>
      <c r="M480" s="907">
        <v>19178.761061946901</v>
      </c>
      <c r="N480" s="906" t="s">
        <v>5077</v>
      </c>
      <c r="O480" s="906" t="s">
        <v>4791</v>
      </c>
      <c r="P480" s="906" t="s">
        <v>4789</v>
      </c>
      <c r="Q480" s="906">
        <v>13834686587</v>
      </c>
      <c r="R480" s="906" t="s">
        <v>4790</v>
      </c>
      <c r="S480" s="908"/>
      <c r="T480" s="769"/>
      <c r="U480" s="774"/>
    </row>
    <row r="481" spans="1:21" ht="24" hidden="1" customHeight="1">
      <c r="A481" s="779"/>
      <c r="B481" s="792" t="s">
        <v>6954</v>
      </c>
      <c r="C481" s="1577" t="s">
        <v>4907</v>
      </c>
      <c r="D481" s="1285" t="s">
        <v>131</v>
      </c>
      <c r="E481" s="904">
        <v>1</v>
      </c>
      <c r="F481" s="905"/>
      <c r="G481" s="906" t="s">
        <v>32</v>
      </c>
      <c r="H481" s="906" t="s">
        <v>33</v>
      </c>
      <c r="I481" s="905" t="s">
        <v>34</v>
      </c>
      <c r="J481" s="905" t="s">
        <v>34</v>
      </c>
      <c r="K481" s="906" t="s">
        <v>4774</v>
      </c>
      <c r="L481" s="904">
        <v>45663.716814159299</v>
      </c>
      <c r="M481" s="907">
        <v>29453.097345132701</v>
      </c>
      <c r="N481" s="906" t="s">
        <v>5077</v>
      </c>
      <c r="O481" s="906" t="s">
        <v>4791</v>
      </c>
      <c r="P481" s="906" t="s">
        <v>4789</v>
      </c>
      <c r="Q481" s="906">
        <v>13834686587</v>
      </c>
      <c r="R481" s="906" t="s">
        <v>4790</v>
      </c>
      <c r="S481" s="908"/>
      <c r="T481" s="769"/>
      <c r="U481" s="774"/>
    </row>
    <row r="482" spans="1:21" ht="24" hidden="1" customHeight="1">
      <c r="A482" s="779"/>
      <c r="B482" s="653" t="s">
        <v>1162</v>
      </c>
      <c r="C482" s="1577" t="s">
        <v>4907</v>
      </c>
      <c r="D482" s="1285" t="s">
        <v>131</v>
      </c>
      <c r="E482" s="904">
        <v>1</v>
      </c>
      <c r="F482" s="905"/>
      <c r="G482" s="906" t="s">
        <v>32</v>
      </c>
      <c r="H482" s="906" t="s">
        <v>33</v>
      </c>
      <c r="I482" s="905" t="s">
        <v>34</v>
      </c>
      <c r="J482" s="905" t="s">
        <v>34</v>
      </c>
      <c r="K482" s="906" t="s">
        <v>4774</v>
      </c>
      <c r="L482" s="904">
        <v>44601.769911504402</v>
      </c>
      <c r="M482" s="907">
        <v>28768.141592920401</v>
      </c>
      <c r="N482" s="906" t="s">
        <v>5077</v>
      </c>
      <c r="O482" s="906" t="s">
        <v>4791</v>
      </c>
      <c r="P482" s="906" t="s">
        <v>4789</v>
      </c>
      <c r="Q482" s="906">
        <v>13834686587</v>
      </c>
      <c r="R482" s="906" t="s">
        <v>4790</v>
      </c>
      <c r="S482" s="908"/>
      <c r="T482" s="769"/>
      <c r="U482" s="774"/>
    </row>
    <row r="483" spans="1:21" ht="24" hidden="1" customHeight="1">
      <c r="A483" s="779"/>
      <c r="B483" s="792" t="s">
        <v>6954</v>
      </c>
      <c r="C483" s="1577" t="s">
        <v>4918</v>
      </c>
      <c r="D483" s="1285" t="s">
        <v>131</v>
      </c>
      <c r="E483" s="904">
        <v>1</v>
      </c>
      <c r="F483" s="905"/>
      <c r="G483" s="906" t="s">
        <v>32</v>
      </c>
      <c r="H483" s="906" t="s">
        <v>33</v>
      </c>
      <c r="I483" s="905" t="s">
        <v>34</v>
      </c>
      <c r="J483" s="905" t="s">
        <v>34</v>
      </c>
      <c r="K483" s="906" t="s">
        <v>4774</v>
      </c>
      <c r="L483" s="904">
        <v>29380.530973451299</v>
      </c>
      <c r="M483" s="907">
        <v>18950.442477876099</v>
      </c>
      <c r="N483" s="906" t="s">
        <v>5077</v>
      </c>
      <c r="O483" s="906" t="s">
        <v>4791</v>
      </c>
      <c r="P483" s="906" t="s">
        <v>4789</v>
      </c>
      <c r="Q483" s="906">
        <v>13834686587</v>
      </c>
      <c r="R483" s="906" t="s">
        <v>4790</v>
      </c>
      <c r="S483" s="908"/>
      <c r="T483" s="769"/>
      <c r="U483" s="774"/>
    </row>
    <row r="484" spans="1:21" ht="24" hidden="1" customHeight="1">
      <c r="A484" s="779"/>
      <c r="B484" s="653" t="s">
        <v>1162</v>
      </c>
      <c r="C484" s="1577" t="s">
        <v>4997</v>
      </c>
      <c r="D484" s="1285" t="s">
        <v>131</v>
      </c>
      <c r="E484" s="904">
        <v>1</v>
      </c>
      <c r="F484" s="905"/>
      <c r="G484" s="906" t="s">
        <v>32</v>
      </c>
      <c r="H484" s="906" t="s">
        <v>33</v>
      </c>
      <c r="I484" s="905" t="s">
        <v>34</v>
      </c>
      <c r="J484" s="905" t="s">
        <v>34</v>
      </c>
      <c r="K484" s="906" t="s">
        <v>4774</v>
      </c>
      <c r="L484" s="904">
        <v>30796.460176991201</v>
      </c>
      <c r="M484" s="907">
        <v>19863.716814159299</v>
      </c>
      <c r="N484" s="906" t="s">
        <v>5077</v>
      </c>
      <c r="O484" s="906" t="s">
        <v>4791</v>
      </c>
      <c r="P484" s="906" t="s">
        <v>4789</v>
      </c>
      <c r="Q484" s="906">
        <v>13834686587</v>
      </c>
      <c r="R484" s="906" t="s">
        <v>4790</v>
      </c>
      <c r="S484" s="908"/>
      <c r="T484" s="769"/>
      <c r="U484" s="774"/>
    </row>
    <row r="485" spans="1:21" ht="24" hidden="1" customHeight="1">
      <c r="A485" s="779"/>
      <c r="B485" s="792" t="s">
        <v>6954</v>
      </c>
      <c r="C485" s="1577" t="s">
        <v>5078</v>
      </c>
      <c r="D485" s="1285" t="s">
        <v>888</v>
      </c>
      <c r="E485" s="904">
        <v>192</v>
      </c>
      <c r="F485" s="905"/>
      <c r="G485" s="906" t="s">
        <v>32</v>
      </c>
      <c r="H485" s="906" t="s">
        <v>33</v>
      </c>
      <c r="I485" s="905" t="s">
        <v>34</v>
      </c>
      <c r="J485" s="905" t="s">
        <v>34</v>
      </c>
      <c r="K485" s="906" t="s">
        <v>4774</v>
      </c>
      <c r="L485" s="904">
        <v>98548.672566371693</v>
      </c>
      <c r="M485" s="907">
        <v>63563.893805309701</v>
      </c>
      <c r="N485" s="906" t="s">
        <v>5077</v>
      </c>
      <c r="O485" s="906" t="s">
        <v>4791</v>
      </c>
      <c r="P485" s="906" t="s">
        <v>4789</v>
      </c>
      <c r="Q485" s="906">
        <v>13834686587</v>
      </c>
      <c r="R485" s="906" t="s">
        <v>4790</v>
      </c>
      <c r="S485" s="908"/>
      <c r="T485" s="769"/>
      <c r="U485" s="774"/>
    </row>
    <row r="486" spans="1:21" ht="24" hidden="1" customHeight="1">
      <c r="A486" s="779"/>
      <c r="B486" s="653" t="s">
        <v>1162</v>
      </c>
      <c r="C486" s="1576" t="s">
        <v>4903</v>
      </c>
      <c r="D486" s="1285" t="s">
        <v>131</v>
      </c>
      <c r="E486" s="904">
        <v>1</v>
      </c>
      <c r="F486" s="905"/>
      <c r="G486" s="906" t="s">
        <v>32</v>
      </c>
      <c r="H486" s="906" t="s">
        <v>33</v>
      </c>
      <c r="I486" s="905" t="s">
        <v>34</v>
      </c>
      <c r="J486" s="905" t="s">
        <v>34</v>
      </c>
      <c r="K486" s="906" t="s">
        <v>4774</v>
      </c>
      <c r="L486" s="904">
        <v>31415.929203539799</v>
      </c>
      <c r="M486" s="907">
        <v>20263.274336283201</v>
      </c>
      <c r="N486" s="906" t="s">
        <v>5077</v>
      </c>
      <c r="O486" s="906" t="s">
        <v>4791</v>
      </c>
      <c r="P486" s="906" t="s">
        <v>4789</v>
      </c>
      <c r="Q486" s="906">
        <v>13834686587</v>
      </c>
      <c r="R486" s="906" t="s">
        <v>4790</v>
      </c>
      <c r="S486" s="908"/>
      <c r="T486" s="769"/>
      <c r="U486" s="774"/>
    </row>
    <row r="487" spans="1:21" ht="24" hidden="1" customHeight="1">
      <c r="A487" s="779"/>
      <c r="B487" s="792" t="s">
        <v>6954</v>
      </c>
      <c r="C487" s="1576" t="s">
        <v>4903</v>
      </c>
      <c r="D487" s="1285" t="s">
        <v>131</v>
      </c>
      <c r="E487" s="904">
        <v>1</v>
      </c>
      <c r="F487" s="905"/>
      <c r="G487" s="906" t="s">
        <v>32</v>
      </c>
      <c r="H487" s="906" t="s">
        <v>33</v>
      </c>
      <c r="I487" s="905" t="s">
        <v>34</v>
      </c>
      <c r="J487" s="905" t="s">
        <v>34</v>
      </c>
      <c r="K487" s="906" t="s">
        <v>4774</v>
      </c>
      <c r="L487" s="904">
        <v>28938.053097345099</v>
      </c>
      <c r="M487" s="907">
        <v>18665.044247787599</v>
      </c>
      <c r="N487" s="906" t="s">
        <v>5077</v>
      </c>
      <c r="O487" s="906" t="s">
        <v>4791</v>
      </c>
      <c r="P487" s="906" t="s">
        <v>4789</v>
      </c>
      <c r="Q487" s="906">
        <v>13834686587</v>
      </c>
      <c r="R487" s="906" t="s">
        <v>4790</v>
      </c>
      <c r="S487" s="908"/>
      <c r="T487" s="769"/>
      <c r="U487" s="774"/>
    </row>
    <row r="488" spans="1:21" ht="24" hidden="1" customHeight="1">
      <c r="A488" s="779"/>
      <c r="B488" s="653" t="s">
        <v>1162</v>
      </c>
      <c r="C488" s="1576" t="s">
        <v>4903</v>
      </c>
      <c r="D488" s="1285" t="s">
        <v>131</v>
      </c>
      <c r="E488" s="904">
        <v>1</v>
      </c>
      <c r="F488" s="905"/>
      <c r="G488" s="906" t="s">
        <v>32</v>
      </c>
      <c r="H488" s="906" t="s">
        <v>33</v>
      </c>
      <c r="I488" s="905" t="s">
        <v>34</v>
      </c>
      <c r="J488" s="905" t="s">
        <v>34</v>
      </c>
      <c r="K488" s="906" t="s">
        <v>4774</v>
      </c>
      <c r="L488" s="904">
        <v>28053.097345132701</v>
      </c>
      <c r="M488" s="907">
        <v>18094.247787610599</v>
      </c>
      <c r="N488" s="906" t="s">
        <v>5077</v>
      </c>
      <c r="O488" s="906" t="s">
        <v>4791</v>
      </c>
      <c r="P488" s="906" t="s">
        <v>4789</v>
      </c>
      <c r="Q488" s="906">
        <v>13834686587</v>
      </c>
      <c r="R488" s="906" t="s">
        <v>4790</v>
      </c>
      <c r="S488" s="908"/>
      <c r="T488" s="769"/>
      <c r="U488" s="774"/>
    </row>
    <row r="489" spans="1:21" ht="24" hidden="1" customHeight="1">
      <c r="A489" s="779"/>
      <c r="B489" s="792" t="s">
        <v>6954</v>
      </c>
      <c r="C489" s="1576" t="s">
        <v>4903</v>
      </c>
      <c r="D489" s="1285" t="s">
        <v>131</v>
      </c>
      <c r="E489" s="904">
        <v>1</v>
      </c>
      <c r="F489" s="905"/>
      <c r="G489" s="906" t="s">
        <v>32</v>
      </c>
      <c r="H489" s="906" t="s">
        <v>33</v>
      </c>
      <c r="I489" s="905" t="s">
        <v>34</v>
      </c>
      <c r="J489" s="905" t="s">
        <v>34</v>
      </c>
      <c r="K489" s="906" t="s">
        <v>4774</v>
      </c>
      <c r="L489" s="904">
        <v>30000</v>
      </c>
      <c r="M489" s="907">
        <v>19350</v>
      </c>
      <c r="N489" s="906" t="s">
        <v>5077</v>
      </c>
      <c r="O489" s="906" t="s">
        <v>4791</v>
      </c>
      <c r="P489" s="906" t="s">
        <v>4789</v>
      </c>
      <c r="Q489" s="906">
        <v>13834686587</v>
      </c>
      <c r="R489" s="906" t="s">
        <v>4790</v>
      </c>
      <c r="S489" s="908"/>
      <c r="T489" s="769"/>
      <c r="U489" s="774"/>
    </row>
    <row r="490" spans="1:21" ht="24" hidden="1" customHeight="1">
      <c r="A490" s="779"/>
      <c r="B490" s="653" t="s">
        <v>1162</v>
      </c>
      <c r="C490" s="1576" t="s">
        <v>4925</v>
      </c>
      <c r="D490" s="1285" t="s">
        <v>131</v>
      </c>
      <c r="E490" s="904">
        <v>1</v>
      </c>
      <c r="F490" s="905"/>
      <c r="G490" s="906" t="s">
        <v>32</v>
      </c>
      <c r="H490" s="906" t="s">
        <v>33</v>
      </c>
      <c r="I490" s="905" t="s">
        <v>34</v>
      </c>
      <c r="J490" s="905" t="s">
        <v>34</v>
      </c>
      <c r="K490" s="906" t="s">
        <v>4774</v>
      </c>
      <c r="L490" s="904">
        <v>58849.557522123898</v>
      </c>
      <c r="M490" s="907">
        <v>37957.964601769898</v>
      </c>
      <c r="N490" s="906" t="s">
        <v>5077</v>
      </c>
      <c r="O490" s="906" t="s">
        <v>4791</v>
      </c>
      <c r="P490" s="906" t="s">
        <v>4789</v>
      </c>
      <c r="Q490" s="906">
        <v>13834686587</v>
      </c>
      <c r="R490" s="906" t="s">
        <v>4790</v>
      </c>
      <c r="S490" s="908"/>
      <c r="T490" s="769"/>
      <c r="U490" s="774"/>
    </row>
    <row r="491" spans="1:21" ht="24" hidden="1" customHeight="1">
      <c r="A491" s="779"/>
      <c r="B491" s="792" t="s">
        <v>6954</v>
      </c>
      <c r="C491" s="1576" t="s">
        <v>4903</v>
      </c>
      <c r="D491" s="1285" t="s">
        <v>131</v>
      </c>
      <c r="E491" s="904">
        <v>2</v>
      </c>
      <c r="F491" s="905"/>
      <c r="G491" s="906" t="s">
        <v>32</v>
      </c>
      <c r="H491" s="906" t="s">
        <v>33</v>
      </c>
      <c r="I491" s="905" t="s">
        <v>34</v>
      </c>
      <c r="J491" s="905" t="s">
        <v>34</v>
      </c>
      <c r="K491" s="906" t="s">
        <v>4774</v>
      </c>
      <c r="L491" s="904">
        <v>30973.451327433599</v>
      </c>
      <c r="M491" s="907">
        <v>19977.876106194701</v>
      </c>
      <c r="N491" s="906" t="s">
        <v>5077</v>
      </c>
      <c r="O491" s="906" t="s">
        <v>4791</v>
      </c>
      <c r="P491" s="906" t="s">
        <v>4789</v>
      </c>
      <c r="Q491" s="906">
        <v>13834686587</v>
      </c>
      <c r="R491" s="906" t="s">
        <v>4790</v>
      </c>
      <c r="S491" s="908"/>
      <c r="T491" s="769"/>
      <c r="U491" s="774"/>
    </row>
    <row r="492" spans="1:21" ht="24" hidden="1" customHeight="1">
      <c r="A492" s="779"/>
      <c r="B492" s="653" t="s">
        <v>1162</v>
      </c>
      <c r="C492" s="1576" t="s">
        <v>5079</v>
      </c>
      <c r="D492" s="1285" t="s">
        <v>79</v>
      </c>
      <c r="E492" s="904">
        <v>14</v>
      </c>
      <c r="F492" s="905"/>
      <c r="G492" s="906" t="s">
        <v>32</v>
      </c>
      <c r="H492" s="906" t="s">
        <v>33</v>
      </c>
      <c r="I492" s="905" t="s">
        <v>34</v>
      </c>
      <c r="J492" s="905" t="s">
        <v>34</v>
      </c>
      <c r="K492" s="906" t="s">
        <v>4774</v>
      </c>
      <c r="L492" s="904">
        <v>158584.07079646</v>
      </c>
      <c r="M492" s="907">
        <v>102286.72566371701</v>
      </c>
      <c r="N492" s="906" t="s">
        <v>5077</v>
      </c>
      <c r="O492" s="906" t="s">
        <v>4791</v>
      </c>
      <c r="P492" s="906" t="s">
        <v>4789</v>
      </c>
      <c r="Q492" s="906">
        <v>13834686587</v>
      </c>
      <c r="R492" s="906" t="s">
        <v>4790</v>
      </c>
      <c r="S492" s="908"/>
      <c r="T492" s="769"/>
      <c r="U492" s="774"/>
    </row>
    <row r="493" spans="1:21" ht="24" hidden="1" customHeight="1">
      <c r="A493" s="779"/>
      <c r="B493" s="792" t="s">
        <v>6954</v>
      </c>
      <c r="C493" s="1576" t="s">
        <v>4998</v>
      </c>
      <c r="D493" s="1285" t="s">
        <v>79</v>
      </c>
      <c r="E493" s="904">
        <v>4</v>
      </c>
      <c r="F493" s="905"/>
      <c r="G493" s="906" t="s">
        <v>32</v>
      </c>
      <c r="H493" s="906" t="s">
        <v>33</v>
      </c>
      <c r="I493" s="905" t="s">
        <v>34</v>
      </c>
      <c r="J493" s="905" t="s">
        <v>34</v>
      </c>
      <c r="K493" s="906" t="s">
        <v>4774</v>
      </c>
      <c r="L493" s="904">
        <v>38938.053097345102</v>
      </c>
      <c r="M493" s="907">
        <v>25115.044247787599</v>
      </c>
      <c r="N493" s="906" t="s">
        <v>5077</v>
      </c>
      <c r="O493" s="906" t="s">
        <v>4791</v>
      </c>
      <c r="P493" s="906" t="s">
        <v>4789</v>
      </c>
      <c r="Q493" s="906">
        <v>13834686587</v>
      </c>
      <c r="R493" s="906" t="s">
        <v>4790</v>
      </c>
      <c r="S493" s="908"/>
      <c r="T493" s="769"/>
      <c r="U493" s="774"/>
    </row>
    <row r="494" spans="1:21" ht="24" hidden="1" customHeight="1">
      <c r="A494" s="779"/>
      <c r="B494" s="653" t="s">
        <v>1162</v>
      </c>
      <c r="C494" s="1576" t="s">
        <v>5080</v>
      </c>
      <c r="D494" s="1285" t="s">
        <v>79</v>
      </c>
      <c r="E494" s="904">
        <v>2</v>
      </c>
      <c r="F494" s="905"/>
      <c r="G494" s="906" t="s">
        <v>32</v>
      </c>
      <c r="H494" s="906" t="s">
        <v>33</v>
      </c>
      <c r="I494" s="905" t="s">
        <v>34</v>
      </c>
      <c r="J494" s="905" t="s">
        <v>34</v>
      </c>
      <c r="K494" s="906" t="s">
        <v>4774</v>
      </c>
      <c r="L494" s="904">
        <v>3716.8141592920401</v>
      </c>
      <c r="M494" s="907">
        <v>2397.34513274336</v>
      </c>
      <c r="N494" s="906" t="s">
        <v>5077</v>
      </c>
      <c r="O494" s="906" t="s">
        <v>4791</v>
      </c>
      <c r="P494" s="906" t="s">
        <v>4789</v>
      </c>
      <c r="Q494" s="906">
        <v>13834686587</v>
      </c>
      <c r="R494" s="906" t="s">
        <v>4790</v>
      </c>
      <c r="S494" s="908"/>
      <c r="T494" s="769"/>
      <c r="U494" s="774"/>
    </row>
    <row r="495" spans="1:21" ht="24" hidden="1" customHeight="1">
      <c r="A495" s="779"/>
      <c r="B495" s="792" t="s">
        <v>6954</v>
      </c>
      <c r="C495" s="1577" t="s">
        <v>5081</v>
      </c>
      <c r="D495" s="1285" t="s">
        <v>79</v>
      </c>
      <c r="E495" s="904">
        <v>2</v>
      </c>
      <c r="F495" s="905"/>
      <c r="G495" s="906" t="s">
        <v>32</v>
      </c>
      <c r="H495" s="906" t="s">
        <v>33</v>
      </c>
      <c r="I495" s="905" t="s">
        <v>34</v>
      </c>
      <c r="J495" s="905" t="s">
        <v>34</v>
      </c>
      <c r="K495" s="906" t="s">
        <v>4774</v>
      </c>
      <c r="L495" s="904">
        <v>1592.9203539823</v>
      </c>
      <c r="M495" s="907">
        <v>1027.4336283185801</v>
      </c>
      <c r="N495" s="906" t="s">
        <v>5077</v>
      </c>
      <c r="O495" s="906" t="s">
        <v>4791</v>
      </c>
      <c r="P495" s="906" t="s">
        <v>4789</v>
      </c>
      <c r="Q495" s="906">
        <v>13834686587</v>
      </c>
      <c r="R495" s="906" t="s">
        <v>4790</v>
      </c>
      <c r="S495" s="908"/>
      <c r="T495" s="769"/>
      <c r="U495" s="774"/>
    </row>
    <row r="496" spans="1:21" ht="24" hidden="1" customHeight="1">
      <c r="A496" s="779"/>
      <c r="B496" s="653" t="s">
        <v>1162</v>
      </c>
      <c r="C496" s="1576"/>
      <c r="D496" s="1285" t="s">
        <v>79</v>
      </c>
      <c r="E496" s="904">
        <v>74</v>
      </c>
      <c r="F496" s="905"/>
      <c r="G496" s="906" t="s">
        <v>32</v>
      </c>
      <c r="H496" s="906" t="s">
        <v>33</v>
      </c>
      <c r="I496" s="905" t="s">
        <v>34</v>
      </c>
      <c r="J496" s="905" t="s">
        <v>34</v>
      </c>
      <c r="K496" s="906" t="s">
        <v>4774</v>
      </c>
      <c r="L496" s="904">
        <v>12115.0442477876</v>
      </c>
      <c r="M496" s="907">
        <v>7814.20353982301</v>
      </c>
      <c r="N496" s="906" t="s">
        <v>5077</v>
      </c>
      <c r="O496" s="906" t="s">
        <v>4791</v>
      </c>
      <c r="P496" s="906" t="s">
        <v>4789</v>
      </c>
      <c r="Q496" s="906">
        <v>13834686587</v>
      </c>
      <c r="R496" s="906" t="s">
        <v>4790</v>
      </c>
      <c r="S496" s="908"/>
      <c r="T496" s="769"/>
      <c r="U496" s="774"/>
    </row>
    <row r="497" spans="1:21" ht="24" hidden="1" customHeight="1">
      <c r="A497" s="779"/>
      <c r="B497" s="792" t="s">
        <v>6954</v>
      </c>
      <c r="C497" s="1576" t="s">
        <v>5082</v>
      </c>
      <c r="D497" s="1285" t="s">
        <v>79</v>
      </c>
      <c r="E497" s="904">
        <v>1</v>
      </c>
      <c r="F497" s="905"/>
      <c r="G497" s="906" t="s">
        <v>32</v>
      </c>
      <c r="H497" s="906" t="s">
        <v>33</v>
      </c>
      <c r="I497" s="905" t="s">
        <v>34</v>
      </c>
      <c r="J497" s="905" t="s">
        <v>34</v>
      </c>
      <c r="K497" s="906" t="s">
        <v>4774</v>
      </c>
      <c r="L497" s="904">
        <v>156283.185840708</v>
      </c>
      <c r="M497" s="907">
        <v>100802.65486725701</v>
      </c>
      <c r="N497" s="906" t="s">
        <v>5077</v>
      </c>
      <c r="O497" s="906" t="s">
        <v>4791</v>
      </c>
      <c r="P497" s="906" t="s">
        <v>4789</v>
      </c>
      <c r="Q497" s="906">
        <v>13834686587</v>
      </c>
      <c r="R497" s="906" t="s">
        <v>4790</v>
      </c>
      <c r="S497" s="908"/>
      <c r="T497" s="769"/>
      <c r="U497" s="774"/>
    </row>
    <row r="498" spans="1:21" ht="24" hidden="1" customHeight="1">
      <c r="A498" s="779"/>
      <c r="B498" s="653" t="s">
        <v>1162</v>
      </c>
      <c r="C498" s="1576" t="s">
        <v>5083</v>
      </c>
      <c r="D498" s="1285" t="s">
        <v>79</v>
      </c>
      <c r="E498" s="904">
        <v>1</v>
      </c>
      <c r="F498" s="905"/>
      <c r="G498" s="906" t="s">
        <v>32</v>
      </c>
      <c r="H498" s="906" t="s">
        <v>33</v>
      </c>
      <c r="I498" s="905" t="s">
        <v>34</v>
      </c>
      <c r="J498" s="905" t="s">
        <v>34</v>
      </c>
      <c r="K498" s="906" t="s">
        <v>4774</v>
      </c>
      <c r="L498" s="904">
        <v>104159.292035398</v>
      </c>
      <c r="M498" s="907">
        <v>67182.743362831898</v>
      </c>
      <c r="N498" s="906" t="s">
        <v>5077</v>
      </c>
      <c r="O498" s="906" t="s">
        <v>4791</v>
      </c>
      <c r="P498" s="906" t="s">
        <v>4789</v>
      </c>
      <c r="Q498" s="906">
        <v>13834686587</v>
      </c>
      <c r="R498" s="906" t="s">
        <v>4790</v>
      </c>
      <c r="S498" s="908"/>
      <c r="T498" s="769"/>
      <c r="U498" s="774"/>
    </row>
    <row r="499" spans="1:21" ht="24" hidden="1" customHeight="1">
      <c r="A499" s="779"/>
      <c r="B499" s="792" t="s">
        <v>6954</v>
      </c>
      <c r="C499" s="1576" t="s">
        <v>5084</v>
      </c>
      <c r="D499" s="1285" t="s">
        <v>79</v>
      </c>
      <c r="E499" s="904">
        <v>1</v>
      </c>
      <c r="F499" s="905"/>
      <c r="G499" s="906" t="s">
        <v>32</v>
      </c>
      <c r="H499" s="906" t="s">
        <v>33</v>
      </c>
      <c r="I499" s="905" t="s">
        <v>34</v>
      </c>
      <c r="J499" s="905" t="s">
        <v>34</v>
      </c>
      <c r="K499" s="906" t="s">
        <v>4774</v>
      </c>
      <c r="L499" s="904">
        <v>52920.353982300898</v>
      </c>
      <c r="M499" s="907">
        <v>34133.628318584102</v>
      </c>
      <c r="N499" s="906" t="s">
        <v>5077</v>
      </c>
      <c r="O499" s="906" t="s">
        <v>4791</v>
      </c>
      <c r="P499" s="906" t="s">
        <v>4789</v>
      </c>
      <c r="Q499" s="906">
        <v>13834686587</v>
      </c>
      <c r="R499" s="906" t="s">
        <v>4790</v>
      </c>
      <c r="S499" s="908"/>
      <c r="T499" s="769"/>
      <c r="U499" s="774"/>
    </row>
    <row r="500" spans="1:21" ht="24" hidden="1" customHeight="1">
      <c r="A500" s="779"/>
      <c r="B500" s="653" t="s">
        <v>1162</v>
      </c>
      <c r="C500" s="1577" t="s">
        <v>5085</v>
      </c>
      <c r="D500" s="1285" t="s">
        <v>79</v>
      </c>
      <c r="E500" s="904">
        <v>3</v>
      </c>
      <c r="F500" s="905"/>
      <c r="G500" s="906" t="s">
        <v>32</v>
      </c>
      <c r="H500" s="906" t="s">
        <v>33</v>
      </c>
      <c r="I500" s="905" t="s">
        <v>34</v>
      </c>
      <c r="J500" s="905" t="s">
        <v>34</v>
      </c>
      <c r="K500" s="906" t="s">
        <v>4774</v>
      </c>
      <c r="L500" s="904">
        <v>9026.5486725663704</v>
      </c>
      <c r="M500" s="907">
        <v>5822.1238938053102</v>
      </c>
      <c r="N500" s="906" t="s">
        <v>5077</v>
      </c>
      <c r="O500" s="906" t="s">
        <v>4791</v>
      </c>
      <c r="P500" s="906" t="s">
        <v>4789</v>
      </c>
      <c r="Q500" s="906">
        <v>13834686587</v>
      </c>
      <c r="R500" s="906" t="s">
        <v>4790</v>
      </c>
      <c r="S500" s="908"/>
      <c r="T500" s="769"/>
      <c r="U500" s="774"/>
    </row>
    <row r="501" spans="1:21" ht="24" hidden="1" customHeight="1">
      <c r="A501" s="779"/>
      <c r="B501" s="792" t="s">
        <v>6954</v>
      </c>
      <c r="C501" s="1576"/>
      <c r="D501" s="1285" t="s">
        <v>79</v>
      </c>
      <c r="E501" s="904">
        <v>12</v>
      </c>
      <c r="F501" s="905"/>
      <c r="G501" s="906" t="s">
        <v>32</v>
      </c>
      <c r="H501" s="906" t="s">
        <v>33</v>
      </c>
      <c r="I501" s="905" t="s">
        <v>34</v>
      </c>
      <c r="J501" s="905" t="s">
        <v>34</v>
      </c>
      <c r="K501" s="906" t="s">
        <v>4774</v>
      </c>
      <c r="L501" s="904">
        <v>2495.5752212389398</v>
      </c>
      <c r="M501" s="907">
        <v>1609.64601769912</v>
      </c>
      <c r="N501" s="906" t="s">
        <v>5077</v>
      </c>
      <c r="O501" s="906" t="s">
        <v>4791</v>
      </c>
      <c r="P501" s="906" t="s">
        <v>4789</v>
      </c>
      <c r="Q501" s="906">
        <v>13834686587</v>
      </c>
      <c r="R501" s="906" t="s">
        <v>4790</v>
      </c>
      <c r="S501" s="908"/>
      <c r="T501" s="769"/>
      <c r="U501" s="774"/>
    </row>
    <row r="502" spans="1:21" ht="24" hidden="1" customHeight="1">
      <c r="A502" s="779"/>
      <c r="B502" s="653" t="s">
        <v>1162</v>
      </c>
      <c r="C502" s="1576"/>
      <c r="D502" s="1285" t="s">
        <v>888</v>
      </c>
      <c r="E502" s="904">
        <v>8.4</v>
      </c>
      <c r="F502" s="905"/>
      <c r="G502" s="906" t="s">
        <v>32</v>
      </c>
      <c r="H502" s="906" t="s">
        <v>33</v>
      </c>
      <c r="I502" s="905" t="s">
        <v>34</v>
      </c>
      <c r="J502" s="905" t="s">
        <v>34</v>
      </c>
      <c r="K502" s="906" t="s">
        <v>4774</v>
      </c>
      <c r="L502" s="904">
        <v>4311.50442477876</v>
      </c>
      <c r="M502" s="907">
        <v>2780.9203539823002</v>
      </c>
      <c r="N502" s="906" t="s">
        <v>5077</v>
      </c>
      <c r="O502" s="906" t="s">
        <v>4791</v>
      </c>
      <c r="P502" s="906" t="s">
        <v>4789</v>
      </c>
      <c r="Q502" s="906">
        <v>13834686587</v>
      </c>
      <c r="R502" s="906" t="s">
        <v>4790</v>
      </c>
      <c r="S502" s="908"/>
      <c r="T502" s="769"/>
      <c r="U502" s="774"/>
    </row>
    <row r="503" spans="1:21" ht="24" hidden="1" customHeight="1">
      <c r="A503" s="779"/>
      <c r="B503" s="792" t="s">
        <v>6954</v>
      </c>
      <c r="C503" s="1576"/>
      <c r="D503" s="1285" t="s">
        <v>888</v>
      </c>
      <c r="E503" s="904">
        <v>7</v>
      </c>
      <c r="F503" s="905"/>
      <c r="G503" s="906" t="s">
        <v>32</v>
      </c>
      <c r="H503" s="906" t="s">
        <v>33</v>
      </c>
      <c r="I503" s="905" t="s">
        <v>34</v>
      </c>
      <c r="J503" s="905" t="s">
        <v>34</v>
      </c>
      <c r="K503" s="906" t="s">
        <v>4774</v>
      </c>
      <c r="L503" s="904">
        <v>3592.9203539823002</v>
      </c>
      <c r="M503" s="907">
        <v>2317.4336283185798</v>
      </c>
      <c r="N503" s="906" t="s">
        <v>5077</v>
      </c>
      <c r="O503" s="906" t="s">
        <v>4791</v>
      </c>
      <c r="P503" s="906" t="s">
        <v>4789</v>
      </c>
      <c r="Q503" s="906">
        <v>13834686587</v>
      </c>
      <c r="R503" s="906" t="s">
        <v>4790</v>
      </c>
      <c r="S503" s="908"/>
      <c r="T503" s="769"/>
      <c r="U503" s="774"/>
    </row>
    <row r="504" spans="1:21" ht="24" hidden="1" customHeight="1">
      <c r="A504" s="779"/>
      <c r="B504" s="653" t="s">
        <v>1162</v>
      </c>
      <c r="C504" s="1577" t="s">
        <v>5086</v>
      </c>
      <c r="D504" s="1285" t="s">
        <v>79</v>
      </c>
      <c r="E504" s="904">
        <v>1</v>
      </c>
      <c r="F504" s="905"/>
      <c r="G504" s="906" t="s">
        <v>32</v>
      </c>
      <c r="H504" s="906" t="s">
        <v>33</v>
      </c>
      <c r="I504" s="905" t="s">
        <v>34</v>
      </c>
      <c r="J504" s="905" t="s">
        <v>34</v>
      </c>
      <c r="K504" s="906" t="s">
        <v>4774</v>
      </c>
      <c r="L504" s="904">
        <v>3008.84955752212</v>
      </c>
      <c r="M504" s="907">
        <v>1940.7079646017701</v>
      </c>
      <c r="N504" s="906" t="s">
        <v>5077</v>
      </c>
      <c r="O504" s="906" t="s">
        <v>4791</v>
      </c>
      <c r="P504" s="906" t="s">
        <v>4789</v>
      </c>
      <c r="Q504" s="906">
        <v>13834686587</v>
      </c>
      <c r="R504" s="906" t="s">
        <v>4790</v>
      </c>
      <c r="S504" s="908"/>
      <c r="T504" s="769"/>
      <c r="U504" s="774"/>
    </row>
    <row r="505" spans="1:21" ht="24" hidden="1" customHeight="1">
      <c r="A505" s="779"/>
      <c r="B505" s="792" t="s">
        <v>6954</v>
      </c>
      <c r="C505" s="1577" t="s">
        <v>5087</v>
      </c>
      <c r="D505" s="1285" t="s">
        <v>79</v>
      </c>
      <c r="E505" s="904">
        <v>1</v>
      </c>
      <c r="F505" s="905"/>
      <c r="G505" s="906" t="s">
        <v>32</v>
      </c>
      <c r="H505" s="906" t="s">
        <v>33</v>
      </c>
      <c r="I505" s="905" t="s">
        <v>34</v>
      </c>
      <c r="J505" s="905" t="s">
        <v>34</v>
      </c>
      <c r="K505" s="906" t="s">
        <v>4774</v>
      </c>
      <c r="L505" s="904">
        <v>6017.69911504425</v>
      </c>
      <c r="M505" s="907">
        <v>3881.4159292035401</v>
      </c>
      <c r="N505" s="906" t="s">
        <v>5077</v>
      </c>
      <c r="O505" s="906" t="s">
        <v>4791</v>
      </c>
      <c r="P505" s="906" t="s">
        <v>4789</v>
      </c>
      <c r="Q505" s="906">
        <v>13834686587</v>
      </c>
      <c r="R505" s="906" t="s">
        <v>4790</v>
      </c>
      <c r="S505" s="908"/>
      <c r="T505" s="769"/>
      <c r="U505" s="774"/>
    </row>
    <row r="506" spans="1:21" ht="24" hidden="1" customHeight="1">
      <c r="A506" s="779"/>
      <c r="B506" s="653" t="s">
        <v>1162</v>
      </c>
      <c r="C506" s="1577" t="s">
        <v>5088</v>
      </c>
      <c r="D506" s="1285" t="s">
        <v>79</v>
      </c>
      <c r="E506" s="904">
        <v>2</v>
      </c>
      <c r="F506" s="905"/>
      <c r="G506" s="906" t="s">
        <v>32</v>
      </c>
      <c r="H506" s="906" t="s">
        <v>33</v>
      </c>
      <c r="I506" s="905" t="s">
        <v>34</v>
      </c>
      <c r="J506" s="905" t="s">
        <v>34</v>
      </c>
      <c r="K506" s="906" t="s">
        <v>4774</v>
      </c>
      <c r="L506" s="904">
        <v>849.55752212389405</v>
      </c>
      <c r="M506" s="907">
        <v>547.96460176991195</v>
      </c>
      <c r="N506" s="906" t="s">
        <v>5077</v>
      </c>
      <c r="O506" s="906" t="s">
        <v>4791</v>
      </c>
      <c r="P506" s="906" t="s">
        <v>4789</v>
      </c>
      <c r="Q506" s="906">
        <v>13834686587</v>
      </c>
      <c r="R506" s="906" t="s">
        <v>4790</v>
      </c>
      <c r="S506" s="908"/>
      <c r="T506" s="769"/>
      <c r="U506" s="774"/>
    </row>
    <row r="507" spans="1:21" ht="24" hidden="1" customHeight="1">
      <c r="A507" s="779"/>
      <c r="B507" s="792" t="s">
        <v>6954</v>
      </c>
      <c r="C507" s="1577" t="s">
        <v>5089</v>
      </c>
      <c r="D507" s="1285" t="s">
        <v>79</v>
      </c>
      <c r="E507" s="904">
        <v>1</v>
      </c>
      <c r="F507" s="905"/>
      <c r="G507" s="906" t="s">
        <v>32</v>
      </c>
      <c r="H507" s="906" t="s">
        <v>33</v>
      </c>
      <c r="I507" s="905" t="s">
        <v>34</v>
      </c>
      <c r="J507" s="905" t="s">
        <v>34</v>
      </c>
      <c r="K507" s="906" t="s">
        <v>4774</v>
      </c>
      <c r="L507" s="904">
        <v>16814.159292035401</v>
      </c>
      <c r="M507" s="907">
        <v>10845.132743362799</v>
      </c>
      <c r="N507" s="906" t="s">
        <v>5077</v>
      </c>
      <c r="O507" s="906" t="s">
        <v>4791</v>
      </c>
      <c r="P507" s="906" t="s">
        <v>4789</v>
      </c>
      <c r="Q507" s="906">
        <v>13834686587</v>
      </c>
      <c r="R507" s="906" t="s">
        <v>4790</v>
      </c>
      <c r="S507" s="908"/>
      <c r="T507" s="769"/>
      <c r="U507" s="774"/>
    </row>
    <row r="508" spans="1:21" ht="24" hidden="1" customHeight="1">
      <c r="A508" s="779"/>
      <c r="B508" s="653" t="s">
        <v>1162</v>
      </c>
      <c r="C508" s="1577"/>
      <c r="D508" s="1285" t="s">
        <v>79</v>
      </c>
      <c r="E508" s="904">
        <v>2</v>
      </c>
      <c r="F508" s="905"/>
      <c r="G508" s="906" t="s">
        <v>32</v>
      </c>
      <c r="H508" s="906" t="s">
        <v>33</v>
      </c>
      <c r="I508" s="905" t="s">
        <v>34</v>
      </c>
      <c r="J508" s="905" t="s">
        <v>34</v>
      </c>
      <c r="K508" s="906" t="s">
        <v>4774</v>
      </c>
      <c r="L508" s="904">
        <v>2654.8672566371702</v>
      </c>
      <c r="M508" s="907">
        <v>1712.3893805309699</v>
      </c>
      <c r="N508" s="906" t="s">
        <v>5077</v>
      </c>
      <c r="O508" s="906" t="s">
        <v>4791</v>
      </c>
      <c r="P508" s="906" t="s">
        <v>4789</v>
      </c>
      <c r="Q508" s="906">
        <v>13834686587</v>
      </c>
      <c r="R508" s="906" t="s">
        <v>4790</v>
      </c>
      <c r="S508" s="908"/>
      <c r="T508" s="769"/>
      <c r="U508" s="774"/>
    </row>
    <row r="509" spans="1:21" ht="24" hidden="1" customHeight="1">
      <c r="A509" s="779"/>
      <c r="B509" s="792" t="s">
        <v>6954</v>
      </c>
      <c r="C509" s="1577"/>
      <c r="D509" s="1285" t="s">
        <v>79</v>
      </c>
      <c r="E509" s="904">
        <v>1</v>
      </c>
      <c r="F509" s="905"/>
      <c r="G509" s="906" t="s">
        <v>32</v>
      </c>
      <c r="H509" s="906" t="s">
        <v>33</v>
      </c>
      <c r="I509" s="905" t="s">
        <v>34</v>
      </c>
      <c r="J509" s="905" t="s">
        <v>34</v>
      </c>
      <c r="K509" s="906" t="s">
        <v>4774</v>
      </c>
      <c r="L509" s="904">
        <v>4000</v>
      </c>
      <c r="M509" s="907">
        <v>2580</v>
      </c>
      <c r="N509" s="906" t="s">
        <v>5077</v>
      </c>
      <c r="O509" s="906" t="s">
        <v>4791</v>
      </c>
      <c r="P509" s="906" t="s">
        <v>4789</v>
      </c>
      <c r="Q509" s="906">
        <v>13834686587</v>
      </c>
      <c r="R509" s="906" t="s">
        <v>4790</v>
      </c>
      <c r="S509" s="908"/>
      <c r="T509" s="769"/>
      <c r="U509" s="774"/>
    </row>
    <row r="510" spans="1:21" ht="24" hidden="1" customHeight="1">
      <c r="A510" s="779"/>
      <c r="B510" s="653" t="s">
        <v>1162</v>
      </c>
      <c r="C510" s="1577" t="s">
        <v>5090</v>
      </c>
      <c r="D510" s="1285" t="s">
        <v>79</v>
      </c>
      <c r="E510" s="904">
        <v>1</v>
      </c>
      <c r="F510" s="905"/>
      <c r="G510" s="906" t="s">
        <v>32</v>
      </c>
      <c r="H510" s="906" t="s">
        <v>33</v>
      </c>
      <c r="I510" s="905" t="s">
        <v>34</v>
      </c>
      <c r="J510" s="905" t="s">
        <v>34</v>
      </c>
      <c r="K510" s="906" t="s">
        <v>4774</v>
      </c>
      <c r="L510" s="904">
        <v>3097.34513274336</v>
      </c>
      <c r="M510" s="907">
        <v>1997.7876106194699</v>
      </c>
      <c r="N510" s="906" t="s">
        <v>5077</v>
      </c>
      <c r="O510" s="906" t="s">
        <v>4791</v>
      </c>
      <c r="P510" s="906" t="s">
        <v>4789</v>
      </c>
      <c r="Q510" s="906">
        <v>13834686587</v>
      </c>
      <c r="R510" s="906" t="s">
        <v>4790</v>
      </c>
      <c r="S510" s="908"/>
      <c r="T510" s="769"/>
      <c r="U510" s="774"/>
    </row>
    <row r="511" spans="1:21" ht="24" hidden="1" customHeight="1">
      <c r="A511" s="779"/>
      <c r="B511" s="792" t="s">
        <v>6954</v>
      </c>
      <c r="C511" s="1577" t="s">
        <v>5091</v>
      </c>
      <c r="D511" s="1285" t="s">
        <v>79</v>
      </c>
      <c r="E511" s="904">
        <v>5</v>
      </c>
      <c r="F511" s="905"/>
      <c r="G511" s="906" t="s">
        <v>32</v>
      </c>
      <c r="H511" s="906" t="s">
        <v>33</v>
      </c>
      <c r="I511" s="905" t="s">
        <v>34</v>
      </c>
      <c r="J511" s="905" t="s">
        <v>34</v>
      </c>
      <c r="K511" s="906" t="s">
        <v>4774</v>
      </c>
      <c r="L511" s="904">
        <v>8849.5575221238905</v>
      </c>
      <c r="M511" s="907">
        <v>5707.9646017699097</v>
      </c>
      <c r="N511" s="906" t="s">
        <v>5077</v>
      </c>
      <c r="O511" s="906" t="s">
        <v>4791</v>
      </c>
      <c r="P511" s="906" t="s">
        <v>4789</v>
      </c>
      <c r="Q511" s="906">
        <v>13834686587</v>
      </c>
      <c r="R511" s="906" t="s">
        <v>4790</v>
      </c>
      <c r="S511" s="908"/>
      <c r="T511" s="769"/>
      <c r="U511" s="774"/>
    </row>
    <row r="512" spans="1:21" ht="24" hidden="1" customHeight="1">
      <c r="A512" s="779"/>
      <c r="B512" s="792" t="s">
        <v>6954</v>
      </c>
      <c r="C512" s="1578" t="s">
        <v>4953</v>
      </c>
      <c r="D512" s="1285" t="s">
        <v>1165</v>
      </c>
      <c r="E512" s="904">
        <v>4</v>
      </c>
      <c r="F512" s="906" t="s">
        <v>34</v>
      </c>
      <c r="G512" s="906" t="s">
        <v>32</v>
      </c>
      <c r="H512" s="906" t="s">
        <v>33</v>
      </c>
      <c r="I512" s="906" t="s">
        <v>34</v>
      </c>
      <c r="J512" s="906" t="s">
        <v>34</v>
      </c>
      <c r="K512" s="909" t="s">
        <v>5092</v>
      </c>
      <c r="L512" s="907">
        <v>40517.241379310297</v>
      </c>
      <c r="M512" s="907">
        <v>35250</v>
      </c>
      <c r="N512" s="906" t="s">
        <v>5093</v>
      </c>
      <c r="O512" s="906" t="s">
        <v>4791</v>
      </c>
      <c r="P512" s="906" t="s">
        <v>4789</v>
      </c>
      <c r="Q512" s="906">
        <v>13834686592</v>
      </c>
      <c r="R512" s="906" t="s">
        <v>4790</v>
      </c>
      <c r="S512" s="908"/>
      <c r="T512" s="769"/>
      <c r="U512" s="774"/>
    </row>
    <row r="513" spans="1:21" ht="24" hidden="1" customHeight="1">
      <c r="A513" s="779"/>
      <c r="B513" s="792" t="s">
        <v>6954</v>
      </c>
      <c r="C513" s="1579" t="s">
        <v>1222</v>
      </c>
      <c r="D513" s="910" t="s">
        <v>131</v>
      </c>
      <c r="E513" s="911">
        <v>6</v>
      </c>
      <c r="F513" s="457" t="s">
        <v>34</v>
      </c>
      <c r="G513" s="457" t="s">
        <v>32</v>
      </c>
      <c r="H513" s="457" t="s">
        <v>33</v>
      </c>
      <c r="I513" s="457" t="s">
        <v>34</v>
      </c>
      <c r="J513" s="457" t="s">
        <v>34</v>
      </c>
      <c r="K513" s="457" t="s">
        <v>4957</v>
      </c>
      <c r="L513" s="912">
        <v>92920.353982300905</v>
      </c>
      <c r="M513" s="912">
        <v>80840.707964601796</v>
      </c>
      <c r="N513" s="457" t="s">
        <v>4904</v>
      </c>
      <c r="O513" s="457" t="s">
        <v>4791</v>
      </c>
      <c r="P513" s="457" t="s">
        <v>4789</v>
      </c>
      <c r="Q513" s="457">
        <v>13834686587</v>
      </c>
      <c r="R513" s="457" t="s">
        <v>4790</v>
      </c>
      <c r="S513" s="908"/>
      <c r="T513" s="769"/>
      <c r="U513" s="774"/>
    </row>
    <row r="514" spans="1:21" ht="24" hidden="1" customHeight="1">
      <c r="A514" s="779"/>
      <c r="B514" s="792" t="s">
        <v>6954</v>
      </c>
      <c r="C514" s="1579" t="s">
        <v>5094</v>
      </c>
      <c r="D514" s="910" t="s">
        <v>5095</v>
      </c>
      <c r="E514" s="911">
        <v>88.8</v>
      </c>
      <c r="F514" s="457" t="s">
        <v>34</v>
      </c>
      <c r="G514" s="457" t="s">
        <v>32</v>
      </c>
      <c r="H514" s="457" t="s">
        <v>33</v>
      </c>
      <c r="I514" s="457" t="s">
        <v>34</v>
      </c>
      <c r="J514" s="457" t="s">
        <v>34</v>
      </c>
      <c r="K514" s="457" t="s">
        <v>4957</v>
      </c>
      <c r="L514" s="912">
        <v>45578.761061946898</v>
      </c>
      <c r="M514" s="912">
        <v>39653.522123893803</v>
      </c>
      <c r="N514" s="457" t="s">
        <v>4904</v>
      </c>
      <c r="O514" s="457" t="s">
        <v>4791</v>
      </c>
      <c r="P514" s="457" t="s">
        <v>4789</v>
      </c>
      <c r="Q514" s="457">
        <v>13834686587</v>
      </c>
      <c r="R514" s="457" t="s">
        <v>4790</v>
      </c>
      <c r="S514" s="908"/>
      <c r="T514" s="769"/>
      <c r="U514" s="774"/>
    </row>
    <row r="515" spans="1:21" ht="24" hidden="1" customHeight="1">
      <c r="A515" s="779">
        <v>3</v>
      </c>
      <c r="B515" s="769" t="s">
        <v>7047</v>
      </c>
      <c r="C515" s="769"/>
      <c r="D515" s="769"/>
      <c r="E515" s="769"/>
      <c r="F515" s="769"/>
      <c r="G515" s="817"/>
      <c r="H515" s="817"/>
      <c r="I515" s="769"/>
      <c r="J515" s="769"/>
      <c r="K515" s="776"/>
      <c r="L515" s="857"/>
      <c r="M515" s="857"/>
      <c r="N515" s="772"/>
      <c r="O515" s="769"/>
      <c r="P515" s="793"/>
      <c r="Q515" s="770"/>
      <c r="R515" s="793"/>
      <c r="S515" s="778"/>
      <c r="T515" s="769"/>
      <c r="U515" s="798"/>
    </row>
    <row r="516" spans="1:21" s="831" customFormat="1" ht="24" hidden="1" customHeight="1">
      <c r="A516" s="779"/>
      <c r="B516" s="769" t="s">
        <v>1362</v>
      </c>
      <c r="C516" s="824" t="s">
        <v>5096</v>
      </c>
      <c r="D516" s="769" t="s">
        <v>888</v>
      </c>
      <c r="E516" s="1580">
        <v>201.47</v>
      </c>
      <c r="F516" s="769" t="s">
        <v>34</v>
      </c>
      <c r="G516" s="817" t="s">
        <v>32</v>
      </c>
      <c r="H516" s="817" t="s">
        <v>33</v>
      </c>
      <c r="I516" s="827" t="s">
        <v>34</v>
      </c>
      <c r="J516" s="827" t="s">
        <v>5097</v>
      </c>
      <c r="K516" s="827" t="s">
        <v>5097</v>
      </c>
      <c r="L516" s="858">
        <v>45107.118300000002</v>
      </c>
      <c r="M516" s="858">
        <v>14633.17777</v>
      </c>
      <c r="N516" s="769">
        <v>2019.08</v>
      </c>
      <c r="O516" s="769" t="s">
        <v>7048</v>
      </c>
      <c r="P516" s="793" t="s">
        <v>5098</v>
      </c>
      <c r="Q516" s="770">
        <v>17535124721</v>
      </c>
      <c r="R516" s="793" t="s">
        <v>4678</v>
      </c>
      <c r="S516" s="830" t="s">
        <v>4670</v>
      </c>
      <c r="T516" s="769"/>
      <c r="U516" s="798"/>
    </row>
    <row r="517" spans="1:21" s="831" customFormat="1" ht="24" hidden="1" customHeight="1">
      <c r="A517" s="779"/>
      <c r="B517" s="769" t="s">
        <v>1362</v>
      </c>
      <c r="C517" s="824" t="s">
        <v>5099</v>
      </c>
      <c r="D517" s="769" t="s">
        <v>888</v>
      </c>
      <c r="E517" s="1580">
        <v>268.3</v>
      </c>
      <c r="F517" s="769" t="s">
        <v>34</v>
      </c>
      <c r="G517" s="817" t="s">
        <v>32</v>
      </c>
      <c r="H517" s="817" t="s">
        <v>33</v>
      </c>
      <c r="I517" s="827" t="s">
        <v>34</v>
      </c>
      <c r="J517" s="827" t="s">
        <v>5097</v>
      </c>
      <c r="K517" s="827" t="s">
        <v>5097</v>
      </c>
      <c r="L517" s="858">
        <v>60069.686999999998</v>
      </c>
      <c r="M517" s="858">
        <v>19487.176179999999</v>
      </c>
      <c r="N517" s="769">
        <v>2019.08</v>
      </c>
      <c r="O517" s="769" t="s">
        <v>5100</v>
      </c>
      <c r="P517" s="793" t="s">
        <v>5098</v>
      </c>
      <c r="Q517" s="770">
        <v>17535124721</v>
      </c>
      <c r="R517" s="793" t="s">
        <v>4678</v>
      </c>
      <c r="S517" s="830" t="s">
        <v>4670</v>
      </c>
      <c r="T517" s="769"/>
      <c r="U517" s="798"/>
    </row>
    <row r="518" spans="1:21" s="831" customFormat="1" ht="24" hidden="1" customHeight="1">
      <c r="A518" s="779"/>
      <c r="B518" s="769" t="s">
        <v>1362</v>
      </c>
      <c r="C518" s="824" t="s">
        <v>5101</v>
      </c>
      <c r="D518" s="769" t="s">
        <v>888</v>
      </c>
      <c r="E518" s="1580">
        <v>23.26</v>
      </c>
      <c r="F518" s="769" t="s">
        <v>34</v>
      </c>
      <c r="G518" s="817" t="s">
        <v>32</v>
      </c>
      <c r="H518" s="817" t="s">
        <v>33</v>
      </c>
      <c r="I518" s="827" t="s">
        <v>34</v>
      </c>
      <c r="J518" s="827" t="s">
        <v>5097</v>
      </c>
      <c r="K518" s="827" t="s">
        <v>5097</v>
      </c>
      <c r="L518" s="858">
        <v>5207.6814000000004</v>
      </c>
      <c r="M518" s="858">
        <v>1689.417551</v>
      </c>
      <c r="N518" s="769">
        <v>2019.08</v>
      </c>
      <c r="O518" s="769" t="s">
        <v>5100</v>
      </c>
      <c r="P518" s="793" t="s">
        <v>5098</v>
      </c>
      <c r="Q518" s="770">
        <v>17535124721</v>
      </c>
      <c r="R518" s="793" t="s">
        <v>4678</v>
      </c>
      <c r="S518" s="830" t="s">
        <v>4670</v>
      </c>
      <c r="T518" s="769"/>
      <c r="U518" s="798"/>
    </row>
    <row r="519" spans="1:21" s="831" customFormat="1" ht="24" hidden="1" customHeight="1">
      <c r="A519" s="779"/>
      <c r="B519" s="769" t="s">
        <v>1362</v>
      </c>
      <c r="C519" s="824" t="s">
        <v>5102</v>
      </c>
      <c r="D519" s="769" t="s">
        <v>888</v>
      </c>
      <c r="E519" s="1580">
        <v>1507</v>
      </c>
      <c r="F519" s="769" t="s">
        <v>34</v>
      </c>
      <c r="G519" s="817" t="s">
        <v>32</v>
      </c>
      <c r="H519" s="817" t="s">
        <v>33</v>
      </c>
      <c r="I519" s="827" t="s">
        <v>34</v>
      </c>
      <c r="J519" s="827" t="s">
        <v>5097</v>
      </c>
      <c r="K519" s="827" t="s">
        <v>5097</v>
      </c>
      <c r="L519" s="858">
        <v>337402.23</v>
      </c>
      <c r="M519" s="858">
        <v>109456.48820000001</v>
      </c>
      <c r="N519" s="769">
        <v>2019.08</v>
      </c>
      <c r="O519" s="769" t="s">
        <v>5100</v>
      </c>
      <c r="P519" s="793" t="s">
        <v>5098</v>
      </c>
      <c r="Q519" s="770">
        <v>17535124721</v>
      </c>
      <c r="R519" s="793" t="s">
        <v>4678</v>
      </c>
      <c r="S519" s="830" t="s">
        <v>4670</v>
      </c>
      <c r="T519" s="769"/>
      <c r="U519" s="798"/>
    </row>
    <row r="520" spans="1:21" s="831" customFormat="1" ht="24" hidden="1" customHeight="1">
      <c r="A520" s="779"/>
      <c r="B520" s="769" t="s">
        <v>1362</v>
      </c>
      <c r="C520" s="824" t="s">
        <v>5103</v>
      </c>
      <c r="D520" s="769" t="s">
        <v>888</v>
      </c>
      <c r="E520" s="1580">
        <v>380.66</v>
      </c>
      <c r="F520" s="769" t="s">
        <v>34</v>
      </c>
      <c r="G520" s="817" t="s">
        <v>32</v>
      </c>
      <c r="H520" s="817" t="s">
        <v>33</v>
      </c>
      <c r="I520" s="827" t="s">
        <v>34</v>
      </c>
      <c r="J520" s="827" t="s">
        <v>5097</v>
      </c>
      <c r="K520" s="827" t="s">
        <v>5097</v>
      </c>
      <c r="L520" s="858">
        <v>85225.967399999994</v>
      </c>
      <c r="M520" s="858">
        <v>27648.110509999999</v>
      </c>
      <c r="N520" s="769">
        <v>2019.08</v>
      </c>
      <c r="O520" s="769" t="s">
        <v>5100</v>
      </c>
      <c r="P520" s="793" t="s">
        <v>5098</v>
      </c>
      <c r="Q520" s="770">
        <v>17535124721</v>
      </c>
      <c r="R520" s="793" t="s">
        <v>4678</v>
      </c>
      <c r="S520" s="830" t="s">
        <v>4670</v>
      </c>
      <c r="T520" s="769"/>
      <c r="U520" s="798"/>
    </row>
    <row r="521" spans="1:21" s="831" customFormat="1" ht="24" hidden="1" customHeight="1">
      <c r="A521" s="779"/>
      <c r="B521" s="769" t="s">
        <v>1362</v>
      </c>
      <c r="C521" s="824" t="s">
        <v>5104</v>
      </c>
      <c r="D521" s="769" t="s">
        <v>888</v>
      </c>
      <c r="E521" s="1580">
        <v>335.62</v>
      </c>
      <c r="F521" s="769" t="s">
        <v>34</v>
      </c>
      <c r="G521" s="817" t="s">
        <v>32</v>
      </c>
      <c r="H521" s="817" t="s">
        <v>33</v>
      </c>
      <c r="I521" s="827" t="s">
        <v>34</v>
      </c>
      <c r="J521" s="827" t="s">
        <v>5097</v>
      </c>
      <c r="K521" s="827" t="s">
        <v>5097</v>
      </c>
      <c r="L521" s="858">
        <v>75141.961800000005</v>
      </c>
      <c r="M521" s="858">
        <v>24376.770860000001</v>
      </c>
      <c r="N521" s="769">
        <v>2019.08</v>
      </c>
      <c r="O521" s="769" t="s">
        <v>5100</v>
      </c>
      <c r="P521" s="793" t="s">
        <v>5098</v>
      </c>
      <c r="Q521" s="770">
        <v>17535124721</v>
      </c>
      <c r="R521" s="793" t="s">
        <v>4678</v>
      </c>
      <c r="S521" s="830" t="s">
        <v>4670</v>
      </c>
      <c r="T521" s="769"/>
      <c r="U521" s="798"/>
    </row>
    <row r="522" spans="1:21" s="831" customFormat="1" ht="24" hidden="1" customHeight="1">
      <c r="A522" s="779"/>
      <c r="B522" s="769" t="s">
        <v>1362</v>
      </c>
      <c r="C522" s="824" t="s">
        <v>5105</v>
      </c>
      <c r="D522" s="769" t="s">
        <v>888</v>
      </c>
      <c r="E522" s="1580">
        <v>465.77</v>
      </c>
      <c r="F522" s="769" t="s">
        <v>34</v>
      </c>
      <c r="G522" s="817" t="s">
        <v>32</v>
      </c>
      <c r="H522" s="817" t="s">
        <v>33</v>
      </c>
      <c r="I522" s="827" t="s">
        <v>34</v>
      </c>
      <c r="J522" s="827" t="s">
        <v>5097</v>
      </c>
      <c r="K522" s="827" t="s">
        <v>5097</v>
      </c>
      <c r="L522" s="858">
        <v>104281.2453</v>
      </c>
      <c r="M522" s="858">
        <v>33829.830560000002</v>
      </c>
      <c r="N522" s="769">
        <v>2019.08</v>
      </c>
      <c r="O522" s="769" t="s">
        <v>5100</v>
      </c>
      <c r="P522" s="793" t="s">
        <v>5098</v>
      </c>
      <c r="Q522" s="770">
        <v>17535124721</v>
      </c>
      <c r="R522" s="793" t="s">
        <v>4678</v>
      </c>
      <c r="S522" s="830" t="s">
        <v>4670</v>
      </c>
      <c r="T522" s="769"/>
      <c r="U522" s="798"/>
    </row>
    <row r="523" spans="1:21" s="831" customFormat="1" ht="24" hidden="1" customHeight="1">
      <c r="A523" s="779"/>
      <c r="B523" s="769" t="s">
        <v>1362</v>
      </c>
      <c r="C523" s="824" t="s">
        <v>34</v>
      </c>
      <c r="D523" s="769" t="s">
        <v>888</v>
      </c>
      <c r="E523" s="1580">
        <v>8.56</v>
      </c>
      <c r="F523" s="769" t="s">
        <v>34</v>
      </c>
      <c r="G523" s="817" t="s">
        <v>32</v>
      </c>
      <c r="H523" s="817" t="s">
        <v>33</v>
      </c>
      <c r="I523" s="827" t="s">
        <v>34</v>
      </c>
      <c r="J523" s="827" t="s">
        <v>5097</v>
      </c>
      <c r="K523" s="827" t="s">
        <v>5097</v>
      </c>
      <c r="L523" s="858">
        <v>1916.4983999999999</v>
      </c>
      <c r="M523" s="858">
        <v>621.72963200000004</v>
      </c>
      <c r="N523" s="769">
        <v>2019.08</v>
      </c>
      <c r="O523" s="769" t="s">
        <v>5100</v>
      </c>
      <c r="P523" s="793" t="s">
        <v>5098</v>
      </c>
      <c r="Q523" s="770">
        <v>17535124721</v>
      </c>
      <c r="R523" s="793" t="s">
        <v>4678</v>
      </c>
      <c r="S523" s="830" t="s">
        <v>4670</v>
      </c>
      <c r="T523" s="769"/>
      <c r="U523" s="798"/>
    </row>
    <row r="524" spans="1:21" s="831" customFormat="1" ht="24" hidden="1" customHeight="1">
      <c r="A524" s="779"/>
      <c r="B524" s="769" t="s">
        <v>1362</v>
      </c>
      <c r="C524" s="824" t="s">
        <v>34</v>
      </c>
      <c r="D524" s="769" t="s">
        <v>888</v>
      </c>
      <c r="E524" s="1580">
        <v>24.02</v>
      </c>
      <c r="F524" s="769" t="s">
        <v>34</v>
      </c>
      <c r="G524" s="817" t="s">
        <v>32</v>
      </c>
      <c r="H524" s="817" t="s">
        <v>33</v>
      </c>
      <c r="I524" s="827" t="s">
        <v>34</v>
      </c>
      <c r="J524" s="827" t="s">
        <v>5097</v>
      </c>
      <c r="K524" s="827" t="s">
        <v>5097</v>
      </c>
      <c r="L524" s="858">
        <v>5377.8378000000002</v>
      </c>
      <c r="M524" s="858">
        <v>1744.623593</v>
      </c>
      <c r="N524" s="769">
        <v>2019.08</v>
      </c>
      <c r="O524" s="769" t="s">
        <v>5100</v>
      </c>
      <c r="P524" s="793" t="s">
        <v>5098</v>
      </c>
      <c r="Q524" s="770">
        <v>17535124721</v>
      </c>
      <c r="R524" s="793" t="s">
        <v>4678</v>
      </c>
      <c r="S524" s="830" t="s">
        <v>4670</v>
      </c>
      <c r="T524" s="769"/>
      <c r="U524" s="798"/>
    </row>
    <row r="525" spans="1:21" s="831" customFormat="1" ht="24" hidden="1" customHeight="1">
      <c r="A525" s="779"/>
      <c r="B525" s="769" t="s">
        <v>1362</v>
      </c>
      <c r="C525" s="827" t="s">
        <v>5105</v>
      </c>
      <c r="D525" s="827" t="s">
        <v>888</v>
      </c>
      <c r="E525" s="827">
        <v>223.89</v>
      </c>
      <c r="F525" s="769" t="s">
        <v>34</v>
      </c>
      <c r="G525" s="817" t="s">
        <v>32</v>
      </c>
      <c r="H525" s="817" t="s">
        <v>33</v>
      </c>
      <c r="I525" s="827" t="s">
        <v>34</v>
      </c>
      <c r="J525" s="827" t="s">
        <v>5097</v>
      </c>
      <c r="K525" s="827" t="s">
        <v>5097</v>
      </c>
      <c r="L525" s="858">
        <v>287682.97769999999</v>
      </c>
      <c r="M525" s="858">
        <v>93327.094100000002</v>
      </c>
      <c r="N525" s="769">
        <v>2019.11</v>
      </c>
      <c r="O525" s="769" t="s">
        <v>5100</v>
      </c>
      <c r="P525" s="793" t="s">
        <v>5098</v>
      </c>
      <c r="Q525" s="770">
        <v>17535124721</v>
      </c>
      <c r="R525" s="793" t="s">
        <v>4678</v>
      </c>
      <c r="S525" s="830" t="s">
        <v>4670</v>
      </c>
      <c r="T525" s="769"/>
      <c r="U525" s="798"/>
    </row>
    <row r="526" spans="1:21" s="831" customFormat="1" ht="24" hidden="1" customHeight="1">
      <c r="A526" s="779"/>
      <c r="B526" s="769" t="s">
        <v>1362</v>
      </c>
      <c r="C526" s="827" t="s">
        <v>34</v>
      </c>
      <c r="D526" s="827" t="s">
        <v>888</v>
      </c>
      <c r="E526" s="827">
        <v>223.89</v>
      </c>
      <c r="F526" s="769" t="s">
        <v>34</v>
      </c>
      <c r="G526" s="817" t="s">
        <v>32</v>
      </c>
      <c r="H526" s="817" t="s">
        <v>33</v>
      </c>
      <c r="I526" s="827" t="s">
        <v>34</v>
      </c>
      <c r="J526" s="827" t="s">
        <v>5097</v>
      </c>
      <c r="K526" s="827" t="s">
        <v>5097</v>
      </c>
      <c r="L526" s="858">
        <v>9582.4920000000002</v>
      </c>
      <c r="M526" s="858">
        <v>3108.6481600000002</v>
      </c>
      <c r="N526" s="769">
        <v>2019.11</v>
      </c>
      <c r="O526" s="769" t="s">
        <v>5100</v>
      </c>
      <c r="P526" s="793" t="s">
        <v>5098</v>
      </c>
      <c r="Q526" s="770">
        <v>17535124721</v>
      </c>
      <c r="R526" s="793" t="s">
        <v>4678</v>
      </c>
      <c r="S526" s="830" t="s">
        <v>4670</v>
      </c>
      <c r="T526" s="769"/>
      <c r="U526" s="798"/>
    </row>
    <row r="527" spans="1:21" ht="24" hidden="1" customHeight="1">
      <c r="A527" s="779"/>
      <c r="B527" s="769" t="s">
        <v>1362</v>
      </c>
      <c r="C527" s="827" t="s">
        <v>7049</v>
      </c>
      <c r="D527" s="810" t="s">
        <v>888</v>
      </c>
      <c r="E527" s="810">
        <v>552.5</v>
      </c>
      <c r="F527" s="360" t="s">
        <v>34</v>
      </c>
      <c r="G527" s="817" t="s">
        <v>32</v>
      </c>
      <c r="H527" s="817" t="s">
        <v>33</v>
      </c>
      <c r="I527" s="360" t="s">
        <v>6888</v>
      </c>
      <c r="J527" s="360" t="s">
        <v>4805</v>
      </c>
      <c r="K527" s="360" t="s">
        <v>4957</v>
      </c>
      <c r="L527" s="810">
        <v>139347.34513274301</v>
      </c>
      <c r="M527" s="652">
        <v>104510.50884955699</v>
      </c>
      <c r="N527" s="810">
        <v>2021.08</v>
      </c>
      <c r="O527" s="360" t="s">
        <v>4807</v>
      </c>
      <c r="P527" s="793" t="s">
        <v>7050</v>
      </c>
      <c r="Q527" s="360">
        <v>13008762258</v>
      </c>
      <c r="R527" s="793" t="s">
        <v>4808</v>
      </c>
      <c r="S527" s="360" t="s">
        <v>4670</v>
      </c>
      <c r="T527" s="769"/>
      <c r="U527" s="798"/>
    </row>
    <row r="528" spans="1:21" ht="24" hidden="1" customHeight="1">
      <c r="A528" s="779"/>
      <c r="B528" s="769" t="s">
        <v>1362</v>
      </c>
      <c r="C528" s="827" t="s">
        <v>7051</v>
      </c>
      <c r="D528" s="810" t="s">
        <v>888</v>
      </c>
      <c r="E528" s="810">
        <v>284.67</v>
      </c>
      <c r="F528" s="360" t="s">
        <v>34</v>
      </c>
      <c r="G528" s="817" t="s">
        <v>32</v>
      </c>
      <c r="H528" s="817" t="s">
        <v>33</v>
      </c>
      <c r="I528" s="360" t="s">
        <v>6888</v>
      </c>
      <c r="J528" s="360" t="s">
        <v>4805</v>
      </c>
      <c r="K528" s="360" t="s">
        <v>4957</v>
      </c>
      <c r="L528" s="810">
        <v>73056.902654867299</v>
      </c>
      <c r="M528" s="652">
        <v>54792.676991150503</v>
      </c>
      <c r="N528" s="810">
        <v>2021.08</v>
      </c>
      <c r="O528" s="360" t="s">
        <v>4807</v>
      </c>
      <c r="P528" s="793" t="s">
        <v>7050</v>
      </c>
      <c r="Q528" s="360">
        <v>13008762258</v>
      </c>
      <c r="R528" s="793" t="s">
        <v>4808</v>
      </c>
      <c r="S528" s="360" t="s">
        <v>4670</v>
      </c>
      <c r="T528" s="769"/>
      <c r="U528" s="798"/>
    </row>
    <row r="529" spans="1:23" ht="24" hidden="1" customHeight="1">
      <c r="A529" s="779"/>
      <c r="B529" s="769" t="s">
        <v>1362</v>
      </c>
      <c r="C529" s="827" t="s">
        <v>7052</v>
      </c>
      <c r="D529" s="810" t="s">
        <v>888</v>
      </c>
      <c r="E529" s="810">
        <v>35</v>
      </c>
      <c r="F529" s="360" t="s">
        <v>34</v>
      </c>
      <c r="G529" s="817" t="s">
        <v>32</v>
      </c>
      <c r="H529" s="817" t="s">
        <v>33</v>
      </c>
      <c r="I529" s="360" t="s">
        <v>6888</v>
      </c>
      <c r="J529" s="360" t="s">
        <v>4805</v>
      </c>
      <c r="K529" s="360" t="s">
        <v>4957</v>
      </c>
      <c r="L529" s="810">
        <v>9756.6371681415894</v>
      </c>
      <c r="M529" s="652">
        <v>7317.4778761061998</v>
      </c>
      <c r="N529" s="810">
        <v>2021.08</v>
      </c>
      <c r="O529" s="360" t="s">
        <v>4807</v>
      </c>
      <c r="P529" s="793" t="s">
        <v>7050</v>
      </c>
      <c r="Q529" s="360">
        <v>13008762258</v>
      </c>
      <c r="R529" s="793" t="s">
        <v>4808</v>
      </c>
      <c r="S529" s="360" t="s">
        <v>4670</v>
      </c>
      <c r="T529" s="769"/>
      <c r="U529" s="798"/>
    </row>
    <row r="530" spans="1:23" ht="24" hidden="1" customHeight="1">
      <c r="A530" s="779"/>
      <c r="B530" s="769" t="s">
        <v>1362</v>
      </c>
      <c r="C530" s="827" t="s">
        <v>7053</v>
      </c>
      <c r="D530" s="810" t="s">
        <v>888</v>
      </c>
      <c r="E530" s="810">
        <v>113.71</v>
      </c>
      <c r="F530" s="360" t="s">
        <v>34</v>
      </c>
      <c r="G530" s="817" t="s">
        <v>32</v>
      </c>
      <c r="H530" s="817" t="s">
        <v>33</v>
      </c>
      <c r="I530" s="360" t="s">
        <v>6888</v>
      </c>
      <c r="J530" s="360" t="s">
        <v>4805</v>
      </c>
      <c r="K530" s="360" t="s">
        <v>4957</v>
      </c>
      <c r="L530" s="810">
        <v>33207.345132743401</v>
      </c>
      <c r="M530" s="652">
        <v>24905.5088495575</v>
      </c>
      <c r="N530" s="810">
        <v>2021.08</v>
      </c>
      <c r="O530" s="360" t="s">
        <v>4807</v>
      </c>
      <c r="P530" s="793" t="s">
        <v>7050</v>
      </c>
      <c r="Q530" s="360">
        <v>13008762258</v>
      </c>
      <c r="R530" s="793" t="s">
        <v>4808</v>
      </c>
      <c r="S530" s="360" t="s">
        <v>4670</v>
      </c>
      <c r="T530" s="769"/>
      <c r="U530" s="798"/>
    </row>
    <row r="531" spans="1:23" ht="24" hidden="1" customHeight="1">
      <c r="A531" s="779"/>
      <c r="B531" s="769" t="s">
        <v>1362</v>
      </c>
      <c r="C531" s="827" t="s">
        <v>7054</v>
      </c>
      <c r="D531" s="810" t="s">
        <v>888</v>
      </c>
      <c r="E531" s="810">
        <v>749.12</v>
      </c>
      <c r="F531" s="360" t="s">
        <v>34</v>
      </c>
      <c r="G531" s="817" t="s">
        <v>32</v>
      </c>
      <c r="H531" s="817" t="s">
        <v>33</v>
      </c>
      <c r="I531" s="360" t="s">
        <v>6888</v>
      </c>
      <c r="J531" s="360" t="s">
        <v>4805</v>
      </c>
      <c r="K531" s="360" t="s">
        <v>4957</v>
      </c>
      <c r="L531" s="810">
        <v>36461.592920354</v>
      </c>
      <c r="M531" s="652">
        <v>27346.1946902655</v>
      </c>
      <c r="N531" s="810">
        <v>2021.08</v>
      </c>
      <c r="O531" s="360" t="s">
        <v>4807</v>
      </c>
      <c r="P531" s="793" t="s">
        <v>7050</v>
      </c>
      <c r="Q531" s="360">
        <v>13008762258</v>
      </c>
      <c r="R531" s="793" t="s">
        <v>4808</v>
      </c>
      <c r="S531" s="360" t="s">
        <v>4670</v>
      </c>
      <c r="T531" s="769"/>
      <c r="U531" s="798"/>
    </row>
    <row r="532" spans="1:23" ht="24" hidden="1" customHeight="1">
      <c r="A532" s="779"/>
      <c r="B532" s="769" t="s">
        <v>1362</v>
      </c>
      <c r="C532" s="827" t="s">
        <v>7055</v>
      </c>
      <c r="D532" s="810" t="s">
        <v>888</v>
      </c>
      <c r="E532" s="810">
        <v>955</v>
      </c>
      <c r="F532" s="360" t="s">
        <v>34</v>
      </c>
      <c r="G532" s="817" t="s">
        <v>32</v>
      </c>
      <c r="H532" s="817" t="s">
        <v>33</v>
      </c>
      <c r="I532" s="360" t="s">
        <v>6888</v>
      </c>
      <c r="J532" s="360" t="s">
        <v>4805</v>
      </c>
      <c r="K532" s="360" t="s">
        <v>4957</v>
      </c>
      <c r="L532" s="810">
        <v>12676.9911504425</v>
      </c>
      <c r="M532" s="652">
        <v>9507.7433628318595</v>
      </c>
      <c r="N532" s="810">
        <v>2021.08</v>
      </c>
      <c r="O532" s="360" t="s">
        <v>4807</v>
      </c>
      <c r="P532" s="793" t="s">
        <v>7050</v>
      </c>
      <c r="Q532" s="360">
        <v>13008762258</v>
      </c>
      <c r="R532" s="793" t="s">
        <v>4808</v>
      </c>
      <c r="S532" s="360" t="s">
        <v>4670</v>
      </c>
      <c r="T532" s="769"/>
      <c r="U532" s="798"/>
    </row>
    <row r="533" spans="1:23" ht="24" hidden="1" customHeight="1">
      <c r="A533" s="779"/>
      <c r="B533" s="769" t="s">
        <v>1362</v>
      </c>
      <c r="C533" s="827" t="s">
        <v>34</v>
      </c>
      <c r="D533" s="882" t="s">
        <v>888</v>
      </c>
      <c r="E533" s="913">
        <f>1003.98-298.12</f>
        <v>705.86</v>
      </c>
      <c r="F533" s="914" t="s">
        <v>34</v>
      </c>
      <c r="G533" s="817" t="s">
        <v>32</v>
      </c>
      <c r="H533" s="817" t="s">
        <v>33</v>
      </c>
      <c r="I533" s="914" t="s">
        <v>34</v>
      </c>
      <c r="J533" s="850" t="s">
        <v>4682</v>
      </c>
      <c r="K533" s="915" t="s">
        <v>5106</v>
      </c>
      <c r="L533" s="857">
        <v>187396.19469026499</v>
      </c>
      <c r="M533" s="857">
        <v>46849.05</v>
      </c>
      <c r="N533" s="769">
        <v>2020.04</v>
      </c>
      <c r="O533" s="916" t="s">
        <v>6982</v>
      </c>
      <c r="P533" s="793" t="s">
        <v>4684</v>
      </c>
      <c r="Q533" s="917">
        <v>15034117366</v>
      </c>
      <c r="R533" s="793" t="s">
        <v>4682</v>
      </c>
      <c r="S533" s="918" t="s">
        <v>4670</v>
      </c>
      <c r="T533" s="769"/>
      <c r="U533" s="774"/>
    </row>
    <row r="534" spans="1:23" ht="24" hidden="1" customHeight="1">
      <c r="A534" s="360"/>
      <c r="B534" s="769" t="s">
        <v>1362</v>
      </c>
      <c r="C534" s="786"/>
      <c r="D534" s="786" t="s">
        <v>888</v>
      </c>
      <c r="E534" s="786">
        <v>621</v>
      </c>
      <c r="F534" s="360" t="s">
        <v>34</v>
      </c>
      <c r="G534" s="817" t="s">
        <v>32</v>
      </c>
      <c r="H534" s="817" t="s">
        <v>33</v>
      </c>
      <c r="I534" s="919" t="s">
        <v>34</v>
      </c>
      <c r="J534" s="784" t="s">
        <v>4682</v>
      </c>
      <c r="K534" s="899" t="s">
        <v>34</v>
      </c>
      <c r="L534" s="857">
        <v>164867.26</v>
      </c>
      <c r="M534" s="857">
        <v>41216.83</v>
      </c>
      <c r="N534" s="769">
        <v>2021.01</v>
      </c>
      <c r="O534" s="787" t="s">
        <v>6982</v>
      </c>
      <c r="P534" s="793" t="s">
        <v>4684</v>
      </c>
      <c r="Q534" s="788">
        <v>15034117366</v>
      </c>
      <c r="R534" s="793" t="s">
        <v>4682</v>
      </c>
      <c r="S534" s="789" t="s">
        <v>4670</v>
      </c>
      <c r="T534" s="767"/>
      <c r="U534" s="774"/>
    </row>
    <row r="535" spans="1:23" ht="24" hidden="1" customHeight="1">
      <c r="A535" s="779"/>
      <c r="B535" s="769" t="s">
        <v>1362</v>
      </c>
      <c r="C535" s="769" t="s">
        <v>5107</v>
      </c>
      <c r="D535" s="769" t="s">
        <v>3175</v>
      </c>
      <c r="E535" s="769">
        <v>2705.74</v>
      </c>
      <c r="F535" s="769" t="s">
        <v>34</v>
      </c>
      <c r="G535" s="817" t="s">
        <v>32</v>
      </c>
      <c r="H535" s="817" t="s">
        <v>33</v>
      </c>
      <c r="I535" s="769" t="s">
        <v>6888</v>
      </c>
      <c r="J535" s="769" t="s">
        <v>34</v>
      </c>
      <c r="K535" s="776" t="s">
        <v>4928</v>
      </c>
      <c r="L535" s="857">
        <v>641446.98275862099</v>
      </c>
      <c r="M535" s="857">
        <v>240542.61853448272</v>
      </c>
      <c r="N535" s="810">
        <v>2019.04</v>
      </c>
      <c r="O535" s="810" t="s">
        <v>7056</v>
      </c>
      <c r="P535" s="810" t="s">
        <v>5108</v>
      </c>
      <c r="Q535" s="811">
        <v>15135090289</v>
      </c>
      <c r="R535" s="810" t="s">
        <v>5109</v>
      </c>
      <c r="S535" s="810" t="s">
        <v>4670</v>
      </c>
      <c r="T535" s="769"/>
      <c r="U535" s="798"/>
    </row>
    <row r="536" spans="1:23" ht="24" hidden="1" customHeight="1">
      <c r="A536" s="779"/>
      <c r="B536" s="769" t="s">
        <v>1362</v>
      </c>
      <c r="C536" s="769" t="s">
        <v>5110</v>
      </c>
      <c r="D536" s="769" t="s">
        <v>3175</v>
      </c>
      <c r="E536" s="769">
        <v>318.95999999999998</v>
      </c>
      <c r="F536" s="769" t="s">
        <v>34</v>
      </c>
      <c r="G536" s="817" t="s">
        <v>32</v>
      </c>
      <c r="H536" s="817" t="s">
        <v>33</v>
      </c>
      <c r="I536" s="769" t="s">
        <v>6888</v>
      </c>
      <c r="J536" s="769" t="s">
        <v>34</v>
      </c>
      <c r="K536" s="776" t="s">
        <v>4928</v>
      </c>
      <c r="L536" s="857">
        <v>75615.537241379294</v>
      </c>
      <c r="M536" s="857">
        <v>28355.826465517235</v>
      </c>
      <c r="N536" s="810">
        <v>2019.04</v>
      </c>
      <c r="O536" s="810" t="s">
        <v>5111</v>
      </c>
      <c r="P536" s="810" t="s">
        <v>5108</v>
      </c>
      <c r="Q536" s="811">
        <v>15135090289</v>
      </c>
      <c r="R536" s="810" t="s">
        <v>5109</v>
      </c>
      <c r="S536" s="810" t="s">
        <v>4670</v>
      </c>
      <c r="T536" s="769"/>
      <c r="U536" s="798"/>
    </row>
    <row r="537" spans="1:23" ht="24" hidden="1" customHeight="1">
      <c r="A537" s="779"/>
      <c r="B537" s="769" t="s">
        <v>1362</v>
      </c>
      <c r="C537" s="769" t="s">
        <v>1238</v>
      </c>
      <c r="D537" s="769" t="s">
        <v>3175</v>
      </c>
      <c r="E537" s="769">
        <v>125.52</v>
      </c>
      <c r="F537" s="769" t="s">
        <v>34</v>
      </c>
      <c r="G537" s="817" t="s">
        <v>32</v>
      </c>
      <c r="H537" s="817" t="s">
        <v>33</v>
      </c>
      <c r="I537" s="769" t="s">
        <v>6888</v>
      </c>
      <c r="J537" s="769" t="s">
        <v>34</v>
      </c>
      <c r="K537" s="776" t="s">
        <v>4928</v>
      </c>
      <c r="L537" s="857">
        <v>29756.896551724101</v>
      </c>
      <c r="M537" s="857">
        <v>11158.836206896551</v>
      </c>
      <c r="N537" s="810">
        <v>2019.04</v>
      </c>
      <c r="O537" s="810" t="s">
        <v>5111</v>
      </c>
      <c r="P537" s="810" t="s">
        <v>5108</v>
      </c>
      <c r="Q537" s="811">
        <v>15135090289</v>
      </c>
      <c r="R537" s="810" t="s">
        <v>5109</v>
      </c>
      <c r="S537" s="810" t="s">
        <v>4670</v>
      </c>
      <c r="T537" s="769"/>
      <c r="U537" s="798"/>
    </row>
    <row r="538" spans="1:23" ht="24" hidden="1" customHeight="1">
      <c r="A538" s="779"/>
      <c r="B538" s="769" t="s">
        <v>1362</v>
      </c>
      <c r="C538" s="769" t="s">
        <v>5105</v>
      </c>
      <c r="D538" s="769" t="s">
        <v>1369</v>
      </c>
      <c r="E538" s="769">
        <v>503.46</v>
      </c>
      <c r="F538" s="769" t="s">
        <v>34</v>
      </c>
      <c r="G538" s="817" t="s">
        <v>32</v>
      </c>
      <c r="H538" s="817" t="s">
        <v>33</v>
      </c>
      <c r="I538" s="769" t="s">
        <v>6888</v>
      </c>
      <c r="J538" s="769" t="s">
        <v>34</v>
      </c>
      <c r="K538" s="776" t="s">
        <v>4928</v>
      </c>
      <c r="L538" s="857">
        <v>119354.74137931</v>
      </c>
      <c r="M538" s="857">
        <v>44758.028017241377</v>
      </c>
      <c r="N538" s="810">
        <v>2018.12</v>
      </c>
      <c r="O538" s="810" t="s">
        <v>5111</v>
      </c>
      <c r="P538" s="810" t="s">
        <v>5108</v>
      </c>
      <c r="Q538" s="811">
        <v>15135090289</v>
      </c>
      <c r="R538" s="810" t="s">
        <v>5109</v>
      </c>
      <c r="S538" s="810" t="s">
        <v>4670</v>
      </c>
      <c r="T538" s="769"/>
      <c r="U538" s="798"/>
    </row>
    <row r="539" spans="1:23" ht="24" hidden="1" customHeight="1">
      <c r="A539" s="779"/>
      <c r="B539" s="769" t="s">
        <v>1362</v>
      </c>
      <c r="C539" s="769" t="s">
        <v>5112</v>
      </c>
      <c r="D539" s="769" t="s">
        <v>1369</v>
      </c>
      <c r="E539" s="769">
        <v>384.96</v>
      </c>
      <c r="F539" s="769" t="s">
        <v>34</v>
      </c>
      <c r="G539" s="817" t="s">
        <v>32</v>
      </c>
      <c r="H539" s="817" t="s">
        <v>33</v>
      </c>
      <c r="I539" s="769" t="s">
        <v>6888</v>
      </c>
      <c r="J539" s="769" t="s">
        <v>34</v>
      </c>
      <c r="K539" s="776" t="s">
        <v>4928</v>
      </c>
      <c r="L539" s="857">
        <v>91262.068965517203</v>
      </c>
      <c r="M539" s="857">
        <v>34223.275862068971</v>
      </c>
      <c r="N539" s="810">
        <v>2018.12</v>
      </c>
      <c r="O539" s="810" t="s">
        <v>5111</v>
      </c>
      <c r="P539" s="810" t="s">
        <v>5108</v>
      </c>
      <c r="Q539" s="811">
        <v>15135090289</v>
      </c>
      <c r="R539" s="810" t="s">
        <v>5109</v>
      </c>
      <c r="S539" s="810" t="s">
        <v>4670</v>
      </c>
      <c r="T539" s="769"/>
      <c r="U539" s="798"/>
    </row>
    <row r="540" spans="1:23" ht="24" hidden="1" customHeight="1">
      <c r="A540" s="779"/>
      <c r="B540" s="769" t="s">
        <v>1362</v>
      </c>
      <c r="C540" s="769" t="s">
        <v>5113</v>
      </c>
      <c r="D540" s="769" t="s">
        <v>1369</v>
      </c>
      <c r="E540" s="769">
        <v>182.12</v>
      </c>
      <c r="F540" s="769" t="s">
        <v>34</v>
      </c>
      <c r="G540" s="817" t="s">
        <v>32</v>
      </c>
      <c r="H540" s="817" t="s">
        <v>33</v>
      </c>
      <c r="I540" s="769" t="s">
        <v>6888</v>
      </c>
      <c r="J540" s="769" t="s">
        <v>34</v>
      </c>
      <c r="K540" s="776" t="s">
        <v>4928</v>
      </c>
      <c r="L540" s="857">
        <v>43175</v>
      </c>
      <c r="M540" s="857">
        <v>16190.625000000004</v>
      </c>
      <c r="N540" s="810">
        <v>2018.12</v>
      </c>
      <c r="O540" s="810" t="s">
        <v>5111</v>
      </c>
      <c r="P540" s="810" t="s">
        <v>5108</v>
      </c>
      <c r="Q540" s="811">
        <v>15135090289</v>
      </c>
      <c r="R540" s="810" t="s">
        <v>5109</v>
      </c>
      <c r="S540" s="810" t="s">
        <v>4670</v>
      </c>
      <c r="T540" s="769"/>
      <c r="U540" s="798"/>
    </row>
    <row r="541" spans="1:23" ht="24" hidden="1" customHeight="1">
      <c r="A541" s="779"/>
      <c r="B541" s="769" t="s">
        <v>1362</v>
      </c>
      <c r="C541" s="769" t="s">
        <v>5114</v>
      </c>
      <c r="D541" s="769" t="s">
        <v>1369</v>
      </c>
      <c r="E541" s="769">
        <v>102.88</v>
      </c>
      <c r="F541" s="769" t="s">
        <v>34</v>
      </c>
      <c r="G541" s="817" t="s">
        <v>32</v>
      </c>
      <c r="H541" s="817" t="s">
        <v>33</v>
      </c>
      <c r="I541" s="769" t="s">
        <v>6888</v>
      </c>
      <c r="J541" s="769" t="s">
        <v>34</v>
      </c>
      <c r="K541" s="776" t="s">
        <v>4928</v>
      </c>
      <c r="L541" s="857">
        <v>24389.655172413801</v>
      </c>
      <c r="M541" s="857">
        <v>9146.1206896551721</v>
      </c>
      <c r="N541" s="810">
        <v>2018.12</v>
      </c>
      <c r="O541" s="810" t="s">
        <v>5111</v>
      </c>
      <c r="P541" s="810" t="s">
        <v>5108</v>
      </c>
      <c r="Q541" s="811">
        <v>15135090289</v>
      </c>
      <c r="R541" s="810" t="s">
        <v>5109</v>
      </c>
      <c r="S541" s="810" t="s">
        <v>4670</v>
      </c>
      <c r="T541" s="769"/>
      <c r="U541" s="798"/>
    </row>
    <row r="542" spans="1:23" ht="24" hidden="1" customHeight="1">
      <c r="A542" s="779"/>
      <c r="B542" s="769" t="s">
        <v>1362</v>
      </c>
      <c r="C542" s="769" t="s">
        <v>5115</v>
      </c>
      <c r="D542" s="769" t="s">
        <v>1369</v>
      </c>
      <c r="E542" s="769">
        <v>91.56</v>
      </c>
      <c r="F542" s="769" t="s">
        <v>34</v>
      </c>
      <c r="G542" s="817" t="s">
        <v>32</v>
      </c>
      <c r="H542" s="817" t="s">
        <v>33</v>
      </c>
      <c r="I542" s="769" t="s">
        <v>6888</v>
      </c>
      <c r="J542" s="769" t="s">
        <v>34</v>
      </c>
      <c r="K542" s="776" t="s">
        <v>4928</v>
      </c>
      <c r="L542" s="857">
        <v>21706.034482758601</v>
      </c>
      <c r="M542" s="857">
        <v>8139.7629310344837</v>
      </c>
      <c r="N542" s="810">
        <v>2018.12</v>
      </c>
      <c r="O542" s="810" t="s">
        <v>7056</v>
      </c>
      <c r="P542" s="810" t="s">
        <v>5108</v>
      </c>
      <c r="Q542" s="811">
        <v>15135090289</v>
      </c>
      <c r="R542" s="810" t="s">
        <v>5109</v>
      </c>
      <c r="S542" s="810" t="s">
        <v>4670</v>
      </c>
      <c r="T542" s="769"/>
      <c r="U542" s="798"/>
    </row>
    <row r="543" spans="1:23" s="871" customFormat="1" ht="24" hidden="1" customHeight="1">
      <c r="A543" s="360"/>
      <c r="B543" s="769" t="s">
        <v>1362</v>
      </c>
      <c r="C543" s="872" t="s">
        <v>7057</v>
      </c>
      <c r="D543" s="360" t="s">
        <v>1369</v>
      </c>
      <c r="E543" s="875">
        <v>129.38</v>
      </c>
      <c r="F543" s="360" t="s">
        <v>34</v>
      </c>
      <c r="G543" s="817" t="s">
        <v>32</v>
      </c>
      <c r="H543" s="817" t="s">
        <v>33</v>
      </c>
      <c r="I543" s="360" t="s">
        <v>34</v>
      </c>
      <c r="J543" s="360" t="s">
        <v>34</v>
      </c>
      <c r="K543" s="360" t="s">
        <v>34</v>
      </c>
      <c r="L543" s="857">
        <v>38928.5</v>
      </c>
      <c r="M543" s="857">
        <v>28958.91</v>
      </c>
      <c r="N543" s="810" t="s">
        <v>3686</v>
      </c>
      <c r="O543" s="810" t="s">
        <v>4698</v>
      </c>
      <c r="P543" s="810" t="s">
        <v>4699</v>
      </c>
      <c r="Q543" s="811">
        <v>18605163234</v>
      </c>
      <c r="R543" s="810" t="s">
        <v>4700</v>
      </c>
      <c r="S543" s="810" t="s">
        <v>4670</v>
      </c>
      <c r="T543" s="769"/>
      <c r="U543" s="868"/>
      <c r="V543" s="768"/>
      <c r="W543" s="871" t="s">
        <v>7058</v>
      </c>
    </row>
    <row r="544" spans="1:23" s="871" customFormat="1" ht="24" hidden="1" customHeight="1">
      <c r="A544" s="360"/>
      <c r="B544" s="769" t="s">
        <v>1362</v>
      </c>
      <c r="C544" s="872" t="s">
        <v>7059</v>
      </c>
      <c r="D544" s="360" t="s">
        <v>1193</v>
      </c>
      <c r="E544" s="875">
        <v>123.5</v>
      </c>
      <c r="F544" s="360" t="s">
        <v>34</v>
      </c>
      <c r="G544" s="817" t="s">
        <v>32</v>
      </c>
      <c r="H544" s="817" t="s">
        <v>33</v>
      </c>
      <c r="I544" s="360" t="s">
        <v>34</v>
      </c>
      <c r="J544" s="360" t="s">
        <v>34</v>
      </c>
      <c r="K544" s="360" t="s">
        <v>4957</v>
      </c>
      <c r="L544" s="857">
        <v>32787.61</v>
      </c>
      <c r="M544" s="857">
        <v>20192.25</v>
      </c>
      <c r="N544" s="810" t="s">
        <v>4958</v>
      </c>
      <c r="O544" s="810" t="s">
        <v>4698</v>
      </c>
      <c r="P544" s="810" t="s">
        <v>4699</v>
      </c>
      <c r="Q544" s="811">
        <v>18605163252</v>
      </c>
      <c r="R544" s="810" t="s">
        <v>4700</v>
      </c>
      <c r="S544" s="810" t="s">
        <v>4670</v>
      </c>
      <c r="T544" s="769"/>
      <c r="U544" s="868"/>
      <c r="V544" s="768"/>
    </row>
    <row r="545" spans="1:22" s="871" customFormat="1" ht="24" hidden="1" customHeight="1">
      <c r="A545" s="360"/>
      <c r="B545" s="769" t="s">
        <v>1362</v>
      </c>
      <c r="C545" s="872" t="s">
        <v>7060</v>
      </c>
      <c r="D545" s="360" t="s">
        <v>1193</v>
      </c>
      <c r="E545" s="875">
        <v>189.13</v>
      </c>
      <c r="F545" s="360" t="s">
        <v>34</v>
      </c>
      <c r="G545" s="817" t="s">
        <v>32</v>
      </c>
      <c r="H545" s="817" t="s">
        <v>33</v>
      </c>
      <c r="I545" s="360" t="s">
        <v>34</v>
      </c>
      <c r="J545" s="360" t="s">
        <v>34</v>
      </c>
      <c r="K545" s="360" t="s">
        <v>4957</v>
      </c>
      <c r="L545" s="857">
        <v>53558.94</v>
      </c>
      <c r="M545" s="857">
        <v>32984.270000000004</v>
      </c>
      <c r="N545" s="810" t="s">
        <v>4958</v>
      </c>
      <c r="O545" s="810" t="s">
        <v>4698</v>
      </c>
      <c r="P545" s="810" t="s">
        <v>4699</v>
      </c>
      <c r="Q545" s="811">
        <v>18605163253</v>
      </c>
      <c r="R545" s="810" t="s">
        <v>4700</v>
      </c>
      <c r="S545" s="810" t="s">
        <v>4670</v>
      </c>
      <c r="T545" s="769"/>
      <c r="U545" s="868"/>
      <c r="V545" s="768"/>
    </row>
    <row r="546" spans="1:22" s="871" customFormat="1" ht="24" hidden="1" customHeight="1">
      <c r="A546" s="360"/>
      <c r="B546" s="769" t="s">
        <v>1362</v>
      </c>
      <c r="C546" s="872" t="s">
        <v>5116</v>
      </c>
      <c r="D546" s="360" t="s">
        <v>1193</v>
      </c>
      <c r="E546" s="875">
        <v>67.81</v>
      </c>
      <c r="F546" s="360" t="s">
        <v>34</v>
      </c>
      <c r="G546" s="817" t="s">
        <v>32</v>
      </c>
      <c r="H546" s="817" t="s">
        <v>33</v>
      </c>
      <c r="I546" s="360" t="s">
        <v>34</v>
      </c>
      <c r="J546" s="360" t="s">
        <v>34</v>
      </c>
      <c r="K546" s="360" t="s">
        <v>4957</v>
      </c>
      <c r="L546" s="857">
        <v>24003.54</v>
      </c>
      <c r="M546" s="857">
        <v>14782.59</v>
      </c>
      <c r="N546" s="810" t="s">
        <v>4958</v>
      </c>
      <c r="O546" s="810" t="s">
        <v>4698</v>
      </c>
      <c r="P546" s="810" t="s">
        <v>4699</v>
      </c>
      <c r="Q546" s="811">
        <v>18605163254</v>
      </c>
      <c r="R546" s="810" t="s">
        <v>4700</v>
      </c>
      <c r="S546" s="810" t="s">
        <v>4670</v>
      </c>
      <c r="T546" s="769"/>
      <c r="U546" s="868"/>
      <c r="V546" s="768"/>
    </row>
    <row r="547" spans="1:22" s="871" customFormat="1" ht="24" hidden="1" customHeight="1">
      <c r="A547" s="360"/>
      <c r="B547" s="769" t="s">
        <v>1362</v>
      </c>
      <c r="C547" s="872" t="s">
        <v>5117</v>
      </c>
      <c r="D547" s="360" t="s">
        <v>1193</v>
      </c>
      <c r="E547" s="875">
        <v>24.17</v>
      </c>
      <c r="F547" s="360" t="s">
        <v>34</v>
      </c>
      <c r="G547" s="817" t="s">
        <v>32</v>
      </c>
      <c r="H547" s="817" t="s">
        <v>33</v>
      </c>
      <c r="I547" s="360" t="s">
        <v>34</v>
      </c>
      <c r="J547" s="360" t="s">
        <v>34</v>
      </c>
      <c r="K547" s="360" t="s">
        <v>4957</v>
      </c>
      <c r="L547" s="857">
        <v>8555.75</v>
      </c>
      <c r="M547" s="857">
        <v>5269.0599999999995</v>
      </c>
      <c r="N547" s="810" t="s">
        <v>4958</v>
      </c>
      <c r="O547" s="810" t="s">
        <v>4698</v>
      </c>
      <c r="P547" s="810" t="s">
        <v>4699</v>
      </c>
      <c r="Q547" s="811">
        <v>18605163255</v>
      </c>
      <c r="R547" s="810" t="s">
        <v>4700</v>
      </c>
      <c r="S547" s="810" t="s">
        <v>4670</v>
      </c>
      <c r="T547" s="769"/>
      <c r="U547" s="868"/>
      <c r="V547" s="768"/>
    </row>
    <row r="548" spans="1:22" s="871" customFormat="1" ht="24" hidden="1" customHeight="1">
      <c r="A548" s="360"/>
      <c r="B548" s="769" t="s">
        <v>1362</v>
      </c>
      <c r="C548" s="872" t="s">
        <v>5118</v>
      </c>
      <c r="D548" s="360" t="s">
        <v>1193</v>
      </c>
      <c r="E548" s="875">
        <v>67.81</v>
      </c>
      <c r="F548" s="360" t="s">
        <v>34</v>
      </c>
      <c r="G548" s="817" t="s">
        <v>32</v>
      </c>
      <c r="H548" s="817" t="s">
        <v>33</v>
      </c>
      <c r="I548" s="360" t="s">
        <v>34</v>
      </c>
      <c r="J548" s="360" t="s">
        <v>34</v>
      </c>
      <c r="K548" s="360" t="s">
        <v>4957</v>
      </c>
      <c r="L548" s="857">
        <v>22803.360000000001</v>
      </c>
      <c r="M548" s="857">
        <v>14043.46</v>
      </c>
      <c r="N548" s="810" t="s">
        <v>4958</v>
      </c>
      <c r="O548" s="810" t="s">
        <v>4698</v>
      </c>
      <c r="P548" s="810" t="s">
        <v>4699</v>
      </c>
      <c r="Q548" s="811">
        <v>18605163256</v>
      </c>
      <c r="R548" s="810" t="s">
        <v>4700</v>
      </c>
      <c r="S548" s="810" t="s">
        <v>4670</v>
      </c>
      <c r="T548" s="769"/>
      <c r="U548" s="868"/>
      <c r="V548" s="768"/>
    </row>
    <row r="549" spans="1:22" s="871" customFormat="1" ht="24" hidden="1" customHeight="1">
      <c r="A549" s="360"/>
      <c r="B549" s="769" t="s">
        <v>1362</v>
      </c>
      <c r="C549" s="872" t="s">
        <v>7061</v>
      </c>
      <c r="D549" s="360" t="s">
        <v>1193</v>
      </c>
      <c r="E549" s="875">
        <v>94.38</v>
      </c>
      <c r="F549" s="360" t="s">
        <v>34</v>
      </c>
      <c r="G549" s="817" t="s">
        <v>32</v>
      </c>
      <c r="H549" s="817" t="s">
        <v>33</v>
      </c>
      <c r="I549" s="360" t="s">
        <v>34</v>
      </c>
      <c r="J549" s="360" t="s">
        <v>34</v>
      </c>
      <c r="K549" s="360" t="s">
        <v>4957</v>
      </c>
      <c r="L549" s="857">
        <v>5846.54</v>
      </c>
      <c r="M549" s="857">
        <v>3600.58</v>
      </c>
      <c r="N549" s="810" t="s">
        <v>4958</v>
      </c>
      <c r="O549" s="810" t="s">
        <v>4698</v>
      </c>
      <c r="P549" s="810" t="s">
        <v>4699</v>
      </c>
      <c r="Q549" s="811">
        <v>18605163257</v>
      </c>
      <c r="R549" s="810" t="s">
        <v>4700</v>
      </c>
      <c r="S549" s="810" t="s">
        <v>4670</v>
      </c>
      <c r="T549" s="769"/>
      <c r="U549" s="868"/>
      <c r="V549" s="768"/>
    </row>
    <row r="550" spans="1:22" s="871" customFormat="1" ht="24" hidden="1" customHeight="1">
      <c r="A550" s="360"/>
      <c r="B550" s="769" t="s">
        <v>1362</v>
      </c>
      <c r="C550" s="872" t="s">
        <v>7062</v>
      </c>
      <c r="D550" s="360" t="s">
        <v>1193</v>
      </c>
      <c r="E550" s="875">
        <v>5.76</v>
      </c>
      <c r="F550" s="360" t="s">
        <v>34</v>
      </c>
      <c r="G550" s="817" t="s">
        <v>32</v>
      </c>
      <c r="H550" s="817" t="s">
        <v>33</v>
      </c>
      <c r="I550" s="360" t="s">
        <v>34</v>
      </c>
      <c r="J550" s="360" t="s">
        <v>34</v>
      </c>
      <c r="K550" s="360" t="s">
        <v>4957</v>
      </c>
      <c r="L550" s="857">
        <v>3568.14</v>
      </c>
      <c r="M550" s="857">
        <v>2197.4499999999998</v>
      </c>
      <c r="N550" s="810" t="s">
        <v>4958</v>
      </c>
      <c r="O550" s="810" t="s">
        <v>4698</v>
      </c>
      <c r="P550" s="810" t="s">
        <v>4699</v>
      </c>
      <c r="Q550" s="811">
        <v>18605163259</v>
      </c>
      <c r="R550" s="810" t="s">
        <v>4700</v>
      </c>
      <c r="S550" s="810" t="s">
        <v>4670</v>
      </c>
      <c r="T550" s="769"/>
      <c r="U550" s="868"/>
      <c r="V550" s="768"/>
    </row>
    <row r="551" spans="1:22" ht="24" hidden="1" customHeight="1">
      <c r="A551" s="779"/>
      <c r="B551" s="769" t="s">
        <v>1362</v>
      </c>
      <c r="C551" s="914" t="s">
        <v>5119</v>
      </c>
      <c r="D551" s="914" t="s">
        <v>888</v>
      </c>
      <c r="E551" s="914">
        <v>1488</v>
      </c>
      <c r="F551" s="914" t="s">
        <v>34</v>
      </c>
      <c r="G551" s="817" t="s">
        <v>32</v>
      </c>
      <c r="H551" s="817" t="s">
        <v>33</v>
      </c>
      <c r="I551" s="914" t="s">
        <v>34</v>
      </c>
      <c r="J551" s="914" t="s">
        <v>34</v>
      </c>
      <c r="K551" s="914" t="s">
        <v>5120</v>
      </c>
      <c r="L551" s="857">
        <v>301448.27586206899</v>
      </c>
      <c r="M551" s="857">
        <v>55630.2</v>
      </c>
      <c r="N551" s="810">
        <v>2019.03</v>
      </c>
      <c r="O551" s="810" t="s">
        <v>4969</v>
      </c>
      <c r="P551" s="810" t="s">
        <v>4970</v>
      </c>
      <c r="Q551" s="811">
        <v>15834044896</v>
      </c>
      <c r="R551" s="810" t="s">
        <v>7063</v>
      </c>
      <c r="S551" s="810" t="s">
        <v>4670</v>
      </c>
      <c r="T551" s="769"/>
      <c r="U551" s="798"/>
    </row>
    <row r="552" spans="1:22" ht="24" hidden="1" customHeight="1">
      <c r="A552" s="779"/>
      <c r="B552" s="769" t="s">
        <v>1574</v>
      </c>
      <c r="C552" s="914" t="s">
        <v>5121</v>
      </c>
      <c r="D552" s="914" t="s">
        <v>3061</v>
      </c>
      <c r="E552" s="914">
        <v>45.53</v>
      </c>
      <c r="F552" s="914" t="s">
        <v>34</v>
      </c>
      <c r="G552" s="817" t="s">
        <v>32</v>
      </c>
      <c r="H552" s="817" t="s">
        <v>33</v>
      </c>
      <c r="I552" s="914" t="s">
        <v>34</v>
      </c>
      <c r="J552" s="914" t="s">
        <v>34</v>
      </c>
      <c r="K552" s="914" t="s">
        <v>34</v>
      </c>
      <c r="L552" s="857">
        <v>6910.28</v>
      </c>
      <c r="M552" s="857">
        <v>6011.9435999999996</v>
      </c>
      <c r="N552" s="810" t="s">
        <v>5122</v>
      </c>
      <c r="O552" s="810" t="s">
        <v>4882</v>
      </c>
      <c r="P552" s="810" t="s">
        <v>4883</v>
      </c>
      <c r="Q552" s="811">
        <v>1375488066</v>
      </c>
      <c r="R552" s="810" t="s">
        <v>7064</v>
      </c>
      <c r="S552" s="810" t="s">
        <v>4670</v>
      </c>
      <c r="T552" s="769"/>
      <c r="U552" s="798"/>
    </row>
    <row r="553" spans="1:22" ht="24" hidden="1" customHeight="1">
      <c r="A553" s="779"/>
      <c r="B553" s="769" t="s">
        <v>1574</v>
      </c>
      <c r="C553" s="914" t="s">
        <v>5123</v>
      </c>
      <c r="D553" s="914" t="s">
        <v>3061</v>
      </c>
      <c r="E553" s="914">
        <v>23.26</v>
      </c>
      <c r="F553" s="914" t="s">
        <v>34</v>
      </c>
      <c r="G553" s="817" t="s">
        <v>32</v>
      </c>
      <c r="H553" s="817" t="s">
        <v>33</v>
      </c>
      <c r="I553" s="914" t="s">
        <v>34</v>
      </c>
      <c r="J553" s="914" t="s">
        <v>34</v>
      </c>
      <c r="K553" s="914" t="s">
        <v>34</v>
      </c>
      <c r="L553" s="857">
        <v>3530.27</v>
      </c>
      <c r="M553" s="857">
        <v>3071.3348999999998</v>
      </c>
      <c r="N553" s="810" t="s">
        <v>5122</v>
      </c>
      <c r="O553" s="810" t="s">
        <v>4882</v>
      </c>
      <c r="P553" s="810" t="s">
        <v>4883</v>
      </c>
      <c r="Q553" s="811">
        <v>1375488066</v>
      </c>
      <c r="R553" s="810" t="s">
        <v>7064</v>
      </c>
      <c r="S553" s="810" t="s">
        <v>4670</v>
      </c>
      <c r="T553" s="769"/>
      <c r="U553" s="798"/>
    </row>
    <row r="554" spans="1:22" ht="24" hidden="1" customHeight="1">
      <c r="A554" s="779"/>
      <c r="B554" s="769" t="s">
        <v>1574</v>
      </c>
      <c r="C554" s="914" t="s">
        <v>5124</v>
      </c>
      <c r="D554" s="914" t="s">
        <v>3061</v>
      </c>
      <c r="E554" s="914">
        <v>45.53</v>
      </c>
      <c r="F554" s="914" t="s">
        <v>34</v>
      </c>
      <c r="G554" s="817" t="s">
        <v>32</v>
      </c>
      <c r="H554" s="817" t="s">
        <v>33</v>
      </c>
      <c r="I554" s="914" t="s">
        <v>34</v>
      </c>
      <c r="J554" s="914" t="s">
        <v>34</v>
      </c>
      <c r="K554" s="914" t="s">
        <v>34</v>
      </c>
      <c r="L554" s="857">
        <v>6910.28</v>
      </c>
      <c r="M554" s="857">
        <v>6011.9435999999996</v>
      </c>
      <c r="N554" s="810" t="s">
        <v>5122</v>
      </c>
      <c r="O554" s="810" t="s">
        <v>4882</v>
      </c>
      <c r="P554" s="810" t="s">
        <v>4883</v>
      </c>
      <c r="Q554" s="811">
        <v>1375488066</v>
      </c>
      <c r="R554" s="810" t="s">
        <v>7064</v>
      </c>
      <c r="S554" s="810" t="s">
        <v>4670</v>
      </c>
      <c r="T554" s="769"/>
      <c r="U554" s="798"/>
    </row>
    <row r="555" spans="1:22" ht="24" hidden="1" customHeight="1">
      <c r="A555" s="779"/>
      <c r="B555" s="769" t="s">
        <v>1574</v>
      </c>
      <c r="C555" s="914" t="s">
        <v>5125</v>
      </c>
      <c r="D555" s="914" t="s">
        <v>3061</v>
      </c>
      <c r="E555" s="914">
        <v>179.19</v>
      </c>
      <c r="F555" s="914" t="s">
        <v>34</v>
      </c>
      <c r="G555" s="817" t="s">
        <v>32</v>
      </c>
      <c r="H555" s="817" t="s">
        <v>33</v>
      </c>
      <c r="I555" s="914" t="s">
        <v>34</v>
      </c>
      <c r="J555" s="914" t="s">
        <v>34</v>
      </c>
      <c r="K555" s="914" t="s">
        <v>34</v>
      </c>
      <c r="L555" s="857">
        <v>27196.41</v>
      </c>
      <c r="M555" s="857">
        <v>23660.876700000001</v>
      </c>
      <c r="N555" s="810" t="s">
        <v>5122</v>
      </c>
      <c r="O555" s="810" t="s">
        <v>4882</v>
      </c>
      <c r="P555" s="810" t="s">
        <v>4883</v>
      </c>
      <c r="Q555" s="811">
        <v>1375488066</v>
      </c>
      <c r="R555" s="810" t="s">
        <v>7064</v>
      </c>
      <c r="S555" s="810" t="s">
        <v>4670</v>
      </c>
      <c r="T555" s="769"/>
      <c r="U555" s="798"/>
    </row>
    <row r="556" spans="1:22" ht="24" hidden="1" customHeight="1">
      <c r="A556" s="779"/>
      <c r="B556" s="769" t="s">
        <v>1574</v>
      </c>
      <c r="C556" s="914" t="s">
        <v>5126</v>
      </c>
      <c r="D556" s="914" t="s">
        <v>3061</v>
      </c>
      <c r="E556" s="914">
        <v>34.9</v>
      </c>
      <c r="F556" s="914" t="s">
        <v>34</v>
      </c>
      <c r="G556" s="817" t="s">
        <v>32</v>
      </c>
      <c r="H556" s="817" t="s">
        <v>33</v>
      </c>
      <c r="I556" s="914" t="s">
        <v>34</v>
      </c>
      <c r="J556" s="914" t="s">
        <v>34</v>
      </c>
      <c r="K556" s="914" t="s">
        <v>34</v>
      </c>
      <c r="L556" s="857">
        <v>5296.92</v>
      </c>
      <c r="M556" s="857">
        <v>4608.3204000000005</v>
      </c>
      <c r="N556" s="810" t="s">
        <v>5122</v>
      </c>
      <c r="O556" s="810" t="s">
        <v>4882</v>
      </c>
      <c r="P556" s="810" t="s">
        <v>4883</v>
      </c>
      <c r="Q556" s="811">
        <v>1375488066</v>
      </c>
      <c r="R556" s="810" t="s">
        <v>7064</v>
      </c>
      <c r="S556" s="810" t="s">
        <v>4670</v>
      </c>
      <c r="T556" s="769"/>
      <c r="U556" s="798"/>
    </row>
    <row r="557" spans="1:22" ht="24" hidden="1" customHeight="1">
      <c r="A557" s="779"/>
      <c r="B557" s="769" t="s">
        <v>1574</v>
      </c>
      <c r="C557" s="914" t="s">
        <v>5127</v>
      </c>
      <c r="D557" s="914" t="s">
        <v>3061</v>
      </c>
      <c r="E557" s="914">
        <v>567.52</v>
      </c>
      <c r="F557" s="914" t="s">
        <v>34</v>
      </c>
      <c r="G557" s="817" t="s">
        <v>32</v>
      </c>
      <c r="H557" s="817" t="s">
        <v>33</v>
      </c>
      <c r="I557" s="914" t="s">
        <v>34</v>
      </c>
      <c r="J557" s="914" t="s">
        <v>34</v>
      </c>
      <c r="K557" s="914" t="s">
        <v>34</v>
      </c>
      <c r="L557" s="857">
        <v>41009.51</v>
      </c>
      <c r="M557" s="857">
        <v>35678.273700000005</v>
      </c>
      <c r="N557" s="810" t="s">
        <v>5122</v>
      </c>
      <c r="O557" s="810" t="s">
        <v>4882</v>
      </c>
      <c r="P557" s="810" t="s">
        <v>4883</v>
      </c>
      <c r="Q557" s="811">
        <v>1375488066</v>
      </c>
      <c r="R557" s="810" t="s">
        <v>7064</v>
      </c>
      <c r="S557" s="810" t="s">
        <v>4670</v>
      </c>
      <c r="T557" s="769"/>
      <c r="U557" s="798"/>
    </row>
    <row r="558" spans="1:22" ht="24" hidden="1" customHeight="1">
      <c r="A558" s="779"/>
      <c r="B558" s="769" t="s">
        <v>1574</v>
      </c>
      <c r="C558" s="914" t="s">
        <v>5128</v>
      </c>
      <c r="D558" s="914" t="s">
        <v>3061</v>
      </c>
      <c r="E558" s="914">
        <v>223.75</v>
      </c>
      <c r="F558" s="914" t="s">
        <v>34</v>
      </c>
      <c r="G558" s="817" t="s">
        <v>32</v>
      </c>
      <c r="H558" s="817" t="s">
        <v>33</v>
      </c>
      <c r="I558" s="914" t="s">
        <v>34</v>
      </c>
      <c r="J558" s="914" t="s">
        <v>34</v>
      </c>
      <c r="K558" s="914" t="s">
        <v>34</v>
      </c>
      <c r="L558" s="857">
        <v>16168.37</v>
      </c>
      <c r="M558" s="857">
        <v>14066.481900000001</v>
      </c>
      <c r="N558" s="810" t="s">
        <v>5122</v>
      </c>
      <c r="O558" s="810" t="s">
        <v>4882</v>
      </c>
      <c r="P558" s="810" t="s">
        <v>4883</v>
      </c>
      <c r="Q558" s="811">
        <v>1375488066</v>
      </c>
      <c r="R558" s="810" t="s">
        <v>7064</v>
      </c>
      <c r="S558" s="810" t="s">
        <v>4670</v>
      </c>
      <c r="T558" s="769"/>
      <c r="U558" s="798"/>
    </row>
    <row r="559" spans="1:22" ht="24" hidden="1" customHeight="1">
      <c r="A559" s="779"/>
      <c r="B559" s="769" t="s">
        <v>1574</v>
      </c>
      <c r="C559" s="914" t="s">
        <v>5105</v>
      </c>
      <c r="D559" s="914" t="s">
        <v>5129</v>
      </c>
      <c r="E559" s="914">
        <f>474.77*2</f>
        <v>949.54</v>
      </c>
      <c r="F559" s="914" t="s">
        <v>34</v>
      </c>
      <c r="G559" s="817" t="s">
        <v>32</v>
      </c>
      <c r="H559" s="817" t="s">
        <v>33</v>
      </c>
      <c r="I559" s="914" t="s">
        <v>34</v>
      </c>
      <c r="J559" s="914" t="s">
        <v>34</v>
      </c>
      <c r="K559" s="914" t="s">
        <v>34</v>
      </c>
      <c r="L559" s="857">
        <f>142288.57/1.13</f>
        <v>125919.08849557524</v>
      </c>
      <c r="M559" s="857">
        <v>109549.60699115046</v>
      </c>
      <c r="N559" s="810" t="s">
        <v>5122</v>
      </c>
      <c r="O559" s="810" t="s">
        <v>4882</v>
      </c>
      <c r="P559" s="810" t="s">
        <v>4883</v>
      </c>
      <c r="Q559" s="811">
        <v>1375488066</v>
      </c>
      <c r="R559" s="810" t="s">
        <v>7064</v>
      </c>
      <c r="S559" s="810" t="s">
        <v>4670</v>
      </c>
      <c r="T559" s="769"/>
      <c r="U559" s="798"/>
    </row>
    <row r="560" spans="1:22" ht="24" hidden="1" customHeight="1">
      <c r="A560" s="779"/>
      <c r="B560" s="769" t="s">
        <v>1574</v>
      </c>
      <c r="C560" s="914" t="s">
        <v>5130</v>
      </c>
      <c r="D560" s="914" t="s">
        <v>5131</v>
      </c>
      <c r="E560" s="914">
        <v>275.83</v>
      </c>
      <c r="F560" s="914" t="s">
        <v>34</v>
      </c>
      <c r="G560" s="817" t="s">
        <v>32</v>
      </c>
      <c r="H560" s="817" t="s">
        <v>33</v>
      </c>
      <c r="I560" s="914" t="s">
        <v>34</v>
      </c>
      <c r="J560" s="914" t="s">
        <v>34</v>
      </c>
      <c r="K560" s="914" t="s">
        <v>34</v>
      </c>
      <c r="L560" s="857">
        <v>69149.487712400907</v>
      </c>
      <c r="M560" s="857">
        <v>62407.41266044182</v>
      </c>
      <c r="N560" s="810" t="s">
        <v>5132</v>
      </c>
      <c r="O560" s="810" t="s">
        <v>4882</v>
      </c>
      <c r="P560" s="810" t="s">
        <v>4883</v>
      </c>
      <c r="Q560" s="811">
        <v>1375488066</v>
      </c>
      <c r="R560" s="810" t="s">
        <v>7064</v>
      </c>
      <c r="S560" s="810" t="s">
        <v>4670</v>
      </c>
      <c r="T560" s="769" t="s">
        <v>5133</v>
      </c>
      <c r="U560" s="798"/>
    </row>
    <row r="561" spans="1:22" ht="24" hidden="1" customHeight="1">
      <c r="A561" s="779"/>
      <c r="B561" s="769" t="s">
        <v>1574</v>
      </c>
      <c r="C561" s="914" t="s">
        <v>5134</v>
      </c>
      <c r="D561" s="914" t="s">
        <v>5131</v>
      </c>
      <c r="E561" s="914">
        <v>90</v>
      </c>
      <c r="F561" s="914" t="s">
        <v>34</v>
      </c>
      <c r="G561" s="817" t="s">
        <v>32</v>
      </c>
      <c r="H561" s="817" t="s">
        <v>33</v>
      </c>
      <c r="I561" s="914" t="s">
        <v>34</v>
      </c>
      <c r="J561" s="914" t="s">
        <v>34</v>
      </c>
      <c r="K561" s="914" t="s">
        <v>34</v>
      </c>
      <c r="L561" s="857">
        <v>22562.6432734513</v>
      </c>
      <c r="M561" s="857">
        <v>20362.7855542898</v>
      </c>
      <c r="N561" s="810" t="s">
        <v>5132</v>
      </c>
      <c r="O561" s="810" t="s">
        <v>4882</v>
      </c>
      <c r="P561" s="810" t="s">
        <v>4883</v>
      </c>
      <c r="Q561" s="811">
        <v>1375488066</v>
      </c>
      <c r="R561" s="810" t="s">
        <v>7064</v>
      </c>
      <c r="S561" s="810" t="s">
        <v>4670</v>
      </c>
      <c r="T561" s="769" t="s">
        <v>5133</v>
      </c>
      <c r="U561" s="798"/>
    </row>
    <row r="562" spans="1:22" ht="24" hidden="1" customHeight="1">
      <c r="A562" s="779"/>
      <c r="B562" s="769" t="s">
        <v>1574</v>
      </c>
      <c r="C562" s="914" t="s">
        <v>5135</v>
      </c>
      <c r="D562" s="914" t="s">
        <v>5131</v>
      </c>
      <c r="E562" s="914">
        <v>218.03</v>
      </c>
      <c r="F562" s="914" t="s">
        <v>34</v>
      </c>
      <c r="G562" s="817" t="s">
        <v>32</v>
      </c>
      <c r="H562" s="817" t="s">
        <v>33</v>
      </c>
      <c r="I562" s="914" t="s">
        <v>34</v>
      </c>
      <c r="J562" s="914" t="s">
        <v>34</v>
      </c>
      <c r="K562" s="914" t="s">
        <v>34</v>
      </c>
      <c r="L562" s="857">
        <v>60447.663889763702</v>
      </c>
      <c r="M562" s="857">
        <v>54554.016660511741</v>
      </c>
      <c r="N562" s="810" t="s">
        <v>5132</v>
      </c>
      <c r="O562" s="810" t="s">
        <v>4882</v>
      </c>
      <c r="P562" s="810" t="s">
        <v>4883</v>
      </c>
      <c r="Q562" s="811">
        <v>1375488066</v>
      </c>
      <c r="R562" s="810" t="s">
        <v>7064</v>
      </c>
      <c r="S562" s="810" t="s">
        <v>4670</v>
      </c>
      <c r="T562" s="769" t="s">
        <v>5133</v>
      </c>
      <c r="U562" s="798"/>
    </row>
    <row r="563" spans="1:22" ht="24" hidden="1" customHeight="1">
      <c r="A563" s="779"/>
      <c r="B563" s="769" t="s">
        <v>1574</v>
      </c>
      <c r="C563" s="914" t="s">
        <v>5136</v>
      </c>
      <c r="D563" s="914" t="s">
        <v>5131</v>
      </c>
      <c r="E563" s="914">
        <v>145.65</v>
      </c>
      <c r="F563" s="914" t="s">
        <v>34</v>
      </c>
      <c r="G563" s="817" t="s">
        <v>32</v>
      </c>
      <c r="H563" s="817" t="s">
        <v>33</v>
      </c>
      <c r="I563" s="914" t="s">
        <v>34</v>
      </c>
      <c r="J563" s="914" t="s">
        <v>34</v>
      </c>
      <c r="K563" s="914" t="s">
        <v>34</v>
      </c>
      <c r="L563" s="857">
        <v>36513.877697535398</v>
      </c>
      <c r="M563" s="857">
        <v>32953.774622025696</v>
      </c>
      <c r="N563" s="810" t="s">
        <v>5132</v>
      </c>
      <c r="O563" s="810" t="s">
        <v>4882</v>
      </c>
      <c r="P563" s="810" t="s">
        <v>4883</v>
      </c>
      <c r="Q563" s="811">
        <v>1375488066</v>
      </c>
      <c r="R563" s="810" t="s">
        <v>7064</v>
      </c>
      <c r="S563" s="810" t="s">
        <v>4670</v>
      </c>
      <c r="T563" s="769" t="s">
        <v>5133</v>
      </c>
      <c r="U563" s="798"/>
    </row>
    <row r="564" spans="1:22" ht="24" hidden="1" customHeight="1">
      <c r="A564" s="779"/>
      <c r="B564" s="769" t="s">
        <v>1362</v>
      </c>
      <c r="C564" s="796" t="s">
        <v>5137</v>
      </c>
      <c r="D564" s="796" t="s">
        <v>888</v>
      </c>
      <c r="E564" s="796">
        <v>571.54</v>
      </c>
      <c r="F564" s="796" t="s">
        <v>34</v>
      </c>
      <c r="G564" s="817" t="s">
        <v>32</v>
      </c>
      <c r="H564" s="817" t="s">
        <v>33</v>
      </c>
      <c r="I564" s="769" t="s">
        <v>6888</v>
      </c>
      <c r="J564" s="796" t="s">
        <v>4770</v>
      </c>
      <c r="K564" s="794" t="s">
        <v>4928</v>
      </c>
      <c r="L564" s="857">
        <v>133030.862068591</v>
      </c>
      <c r="M564" s="653">
        <v>33257.74</v>
      </c>
      <c r="N564" s="810">
        <v>2018.11</v>
      </c>
      <c r="O564" s="810" t="s">
        <v>4929</v>
      </c>
      <c r="P564" s="810" t="s">
        <v>6887</v>
      </c>
      <c r="Q564" s="811">
        <v>18636810791</v>
      </c>
      <c r="R564" s="810" t="s">
        <v>4930</v>
      </c>
      <c r="S564" s="810" t="s">
        <v>4670</v>
      </c>
      <c r="T564" s="769"/>
      <c r="U564" s="798"/>
      <c r="V564" s="920"/>
    </row>
    <row r="565" spans="1:22" ht="24" hidden="1" customHeight="1">
      <c r="A565" s="779"/>
      <c r="B565" s="769" t="s">
        <v>1362</v>
      </c>
      <c r="C565" s="796" t="s">
        <v>5138</v>
      </c>
      <c r="D565" s="796" t="s">
        <v>888</v>
      </c>
      <c r="E565" s="796">
        <v>113.34</v>
      </c>
      <c r="F565" s="796" t="s">
        <v>34</v>
      </c>
      <c r="G565" s="817" t="s">
        <v>32</v>
      </c>
      <c r="H565" s="817" t="s">
        <v>33</v>
      </c>
      <c r="I565" s="769" t="s">
        <v>6888</v>
      </c>
      <c r="J565" s="796" t="s">
        <v>4770</v>
      </c>
      <c r="K565" s="794" t="s">
        <v>4928</v>
      </c>
      <c r="L565" s="857">
        <v>26380.8620688913</v>
      </c>
      <c r="M565" s="653">
        <v>6295.24</v>
      </c>
      <c r="N565" s="810">
        <v>2018.11</v>
      </c>
      <c r="O565" s="810" t="s">
        <v>4929</v>
      </c>
      <c r="P565" s="810" t="s">
        <v>6887</v>
      </c>
      <c r="Q565" s="811">
        <v>18636810791</v>
      </c>
      <c r="R565" s="810" t="s">
        <v>4930</v>
      </c>
      <c r="S565" s="810" t="s">
        <v>4670</v>
      </c>
      <c r="T565" s="769"/>
      <c r="U565" s="798"/>
      <c r="V565" s="920"/>
    </row>
    <row r="566" spans="1:22" ht="24" hidden="1" customHeight="1">
      <c r="A566" s="779"/>
      <c r="B566" s="769" t="s">
        <v>1362</v>
      </c>
      <c r="C566" s="796" t="s">
        <v>5139</v>
      </c>
      <c r="D566" s="796" t="s">
        <v>888</v>
      </c>
      <c r="E566" s="796">
        <v>1049.76</v>
      </c>
      <c r="F566" s="796" t="s">
        <v>34</v>
      </c>
      <c r="G566" s="817" t="s">
        <v>32</v>
      </c>
      <c r="H566" s="817" t="s">
        <v>33</v>
      </c>
      <c r="I566" s="769" t="s">
        <v>6888</v>
      </c>
      <c r="J566" s="796" t="s">
        <v>4770</v>
      </c>
      <c r="K566" s="794" t="s">
        <v>4928</v>
      </c>
      <c r="L566" s="857">
        <v>244340.689654485</v>
      </c>
      <c r="M566" s="653">
        <v>61085.19</v>
      </c>
      <c r="N566" s="810">
        <v>2018.11</v>
      </c>
      <c r="O566" s="810" t="s">
        <v>4929</v>
      </c>
      <c r="P566" s="810" t="s">
        <v>6887</v>
      </c>
      <c r="Q566" s="811">
        <v>18636810791</v>
      </c>
      <c r="R566" s="810" t="s">
        <v>4930</v>
      </c>
      <c r="S566" s="810" t="s">
        <v>4670</v>
      </c>
      <c r="T566" s="769"/>
      <c r="U566" s="798"/>
      <c r="V566" s="920"/>
    </row>
    <row r="567" spans="1:22" ht="24" hidden="1" customHeight="1">
      <c r="A567" s="779"/>
      <c r="B567" s="769" t="s">
        <v>1362</v>
      </c>
      <c r="C567" s="796" t="s">
        <v>5140</v>
      </c>
      <c r="D567" s="796" t="s">
        <v>888</v>
      </c>
      <c r="E567" s="796">
        <v>225.46</v>
      </c>
      <c r="F567" s="796" t="s">
        <v>34</v>
      </c>
      <c r="G567" s="817" t="s">
        <v>32</v>
      </c>
      <c r="H567" s="817" t="s">
        <v>33</v>
      </c>
      <c r="I567" s="769" t="s">
        <v>6888</v>
      </c>
      <c r="J567" s="796" t="s">
        <v>4770</v>
      </c>
      <c r="K567" s="794" t="s">
        <v>4928</v>
      </c>
      <c r="L567" s="857">
        <v>52477.758620541899</v>
      </c>
      <c r="M567" s="653">
        <v>13119.47</v>
      </c>
      <c r="N567" s="810">
        <v>2018.11</v>
      </c>
      <c r="O567" s="810" t="s">
        <v>4929</v>
      </c>
      <c r="P567" s="810" t="s">
        <v>6887</v>
      </c>
      <c r="Q567" s="811">
        <v>18636810791</v>
      </c>
      <c r="R567" s="810" t="s">
        <v>4930</v>
      </c>
      <c r="S567" s="810" t="s">
        <v>4670</v>
      </c>
      <c r="T567" s="769"/>
      <c r="U567" s="798"/>
      <c r="V567" s="920"/>
    </row>
    <row r="568" spans="1:22" ht="24" hidden="1" customHeight="1">
      <c r="A568" s="779"/>
      <c r="B568" s="769" t="s">
        <v>1362</v>
      </c>
      <c r="C568" s="796" t="s">
        <v>5141</v>
      </c>
      <c r="D568" s="796" t="s">
        <v>888</v>
      </c>
      <c r="E568" s="796">
        <v>1265.6400000000001</v>
      </c>
      <c r="F568" s="796" t="s">
        <v>34</v>
      </c>
      <c r="G568" s="817" t="s">
        <v>32</v>
      </c>
      <c r="H568" s="817" t="s">
        <v>33</v>
      </c>
      <c r="I568" s="769" t="s">
        <v>6888</v>
      </c>
      <c r="J568" s="796" t="s">
        <v>4770</v>
      </c>
      <c r="K568" s="794" t="s">
        <v>4928</v>
      </c>
      <c r="L568" s="857">
        <v>316409.35862201097</v>
      </c>
      <c r="M568" s="653">
        <v>79102.27</v>
      </c>
      <c r="N568" s="810">
        <v>2018.11</v>
      </c>
      <c r="O568" s="810" t="s">
        <v>4929</v>
      </c>
      <c r="P568" s="810" t="s">
        <v>6887</v>
      </c>
      <c r="Q568" s="811">
        <v>18636810791</v>
      </c>
      <c r="R568" s="810" t="s">
        <v>4930</v>
      </c>
      <c r="S568" s="810" t="s">
        <v>4670</v>
      </c>
      <c r="T568" s="769"/>
      <c r="U568" s="798"/>
      <c r="V568" s="920"/>
    </row>
    <row r="569" spans="1:22" ht="24" hidden="1" customHeight="1">
      <c r="A569" s="779"/>
      <c r="B569" s="769" t="s">
        <v>1362</v>
      </c>
      <c r="C569" s="796" t="s">
        <v>5142</v>
      </c>
      <c r="D569" s="796" t="s">
        <v>888</v>
      </c>
      <c r="E569" s="796">
        <v>604.6</v>
      </c>
      <c r="F569" s="796" t="s">
        <v>34</v>
      </c>
      <c r="G569" s="817" t="s">
        <v>32</v>
      </c>
      <c r="H569" s="817" t="s">
        <v>33</v>
      </c>
      <c r="I569" s="769" t="s">
        <v>6888</v>
      </c>
      <c r="J569" s="796" t="s">
        <v>4770</v>
      </c>
      <c r="K569" s="794" t="s">
        <v>5143</v>
      </c>
      <c r="L569" s="857">
        <v>133761.06</v>
      </c>
      <c r="M569" s="921">
        <v>29548.27</v>
      </c>
      <c r="N569" s="810">
        <v>2019.08</v>
      </c>
      <c r="O569" s="810" t="s">
        <v>6886</v>
      </c>
      <c r="P569" s="810" t="s">
        <v>6887</v>
      </c>
      <c r="Q569" s="811">
        <v>18636810791</v>
      </c>
      <c r="R569" s="810" t="s">
        <v>4772</v>
      </c>
      <c r="S569" s="810" t="s">
        <v>4670</v>
      </c>
      <c r="T569" s="769"/>
      <c r="U569" s="798"/>
      <c r="V569" s="920"/>
    </row>
    <row r="570" spans="1:22" ht="24" hidden="1" customHeight="1">
      <c r="A570" s="779"/>
      <c r="B570" s="769" t="s">
        <v>1362</v>
      </c>
      <c r="C570" s="796" t="s">
        <v>5144</v>
      </c>
      <c r="D570" s="796" t="s">
        <v>888</v>
      </c>
      <c r="E570" s="796">
        <v>145.80000000000001</v>
      </c>
      <c r="F570" s="796" t="s">
        <v>34</v>
      </c>
      <c r="G570" s="817" t="s">
        <v>32</v>
      </c>
      <c r="H570" s="817" t="s">
        <v>33</v>
      </c>
      <c r="I570" s="769" t="s">
        <v>6888</v>
      </c>
      <c r="J570" s="796" t="s">
        <v>4770</v>
      </c>
      <c r="K570" s="794" t="s">
        <v>5143</v>
      </c>
      <c r="L570" s="857">
        <v>32256.639999999901</v>
      </c>
      <c r="M570" s="921">
        <v>4838.5299999998997</v>
      </c>
      <c r="N570" s="810">
        <v>2019.08</v>
      </c>
      <c r="O570" s="810" t="s">
        <v>5145</v>
      </c>
      <c r="P570" s="810" t="s">
        <v>6887</v>
      </c>
      <c r="Q570" s="811">
        <v>18636810791</v>
      </c>
      <c r="R570" s="810" t="s">
        <v>4772</v>
      </c>
      <c r="S570" s="810" t="s">
        <v>4670</v>
      </c>
      <c r="T570" s="769"/>
      <c r="U570" s="798"/>
      <c r="V570" s="920"/>
    </row>
    <row r="571" spans="1:22" ht="24" hidden="1" customHeight="1">
      <c r="A571" s="779"/>
      <c r="B571" s="769" t="s">
        <v>1362</v>
      </c>
      <c r="C571" s="796" t="s">
        <v>5146</v>
      </c>
      <c r="D571" s="796" t="s">
        <v>888</v>
      </c>
      <c r="E571" s="796">
        <v>145.80000000000001</v>
      </c>
      <c r="F571" s="796" t="s">
        <v>34</v>
      </c>
      <c r="G571" s="817" t="s">
        <v>32</v>
      </c>
      <c r="H571" s="817" t="s">
        <v>33</v>
      </c>
      <c r="I571" s="769" t="s">
        <v>6888</v>
      </c>
      <c r="J571" s="796" t="s">
        <v>4770</v>
      </c>
      <c r="K571" s="794" t="s">
        <v>5143</v>
      </c>
      <c r="L571" s="857">
        <v>32256.639999999901</v>
      </c>
      <c r="M571" s="921">
        <v>4838.5299999998997</v>
      </c>
      <c r="N571" s="810">
        <v>2019.08</v>
      </c>
      <c r="O571" s="810" t="s">
        <v>5145</v>
      </c>
      <c r="P571" s="810" t="s">
        <v>6887</v>
      </c>
      <c r="Q571" s="811">
        <v>18636810791</v>
      </c>
      <c r="R571" s="810" t="s">
        <v>4772</v>
      </c>
      <c r="S571" s="810" t="s">
        <v>4670</v>
      </c>
      <c r="T571" s="769"/>
      <c r="U571" s="798"/>
      <c r="V571" s="920"/>
    </row>
    <row r="572" spans="1:22" ht="24" hidden="1" customHeight="1">
      <c r="A572" s="779"/>
      <c r="B572" s="769" t="s">
        <v>1362</v>
      </c>
      <c r="C572" s="796" t="s">
        <v>5147</v>
      </c>
      <c r="D572" s="796" t="s">
        <v>888</v>
      </c>
      <c r="E572" s="796">
        <v>449.4</v>
      </c>
      <c r="F572" s="796" t="s">
        <v>34</v>
      </c>
      <c r="G572" s="817" t="s">
        <v>32</v>
      </c>
      <c r="H572" s="817" t="s">
        <v>33</v>
      </c>
      <c r="I572" s="769" t="s">
        <v>6888</v>
      </c>
      <c r="J572" s="796" t="s">
        <v>4770</v>
      </c>
      <c r="K572" s="794" t="s">
        <v>5143</v>
      </c>
      <c r="L572" s="857">
        <v>99424.780000000101</v>
      </c>
      <c r="M572" s="921">
        <v>14913.700000000101</v>
      </c>
      <c r="N572" s="810">
        <v>2019.08</v>
      </c>
      <c r="O572" s="810" t="s">
        <v>5145</v>
      </c>
      <c r="P572" s="810" t="s">
        <v>6887</v>
      </c>
      <c r="Q572" s="811">
        <v>18636810791</v>
      </c>
      <c r="R572" s="810" t="s">
        <v>4772</v>
      </c>
      <c r="S572" s="810" t="s">
        <v>4670</v>
      </c>
      <c r="T572" s="769"/>
      <c r="U572" s="798"/>
      <c r="V572" s="920"/>
    </row>
    <row r="573" spans="1:22" ht="24" hidden="1" customHeight="1">
      <c r="A573" s="779"/>
      <c r="B573" s="769" t="s">
        <v>1362</v>
      </c>
      <c r="C573" s="796" t="s">
        <v>5148</v>
      </c>
      <c r="D573" s="796" t="s">
        <v>888</v>
      </c>
      <c r="E573" s="796">
        <v>112.4</v>
      </c>
      <c r="F573" s="796" t="s">
        <v>34</v>
      </c>
      <c r="G573" s="817" t="s">
        <v>32</v>
      </c>
      <c r="H573" s="817" t="s">
        <v>33</v>
      </c>
      <c r="I573" s="769" t="s">
        <v>6888</v>
      </c>
      <c r="J573" s="796" t="s">
        <v>4770</v>
      </c>
      <c r="K573" s="794" t="s">
        <v>5143</v>
      </c>
      <c r="L573" s="857">
        <v>24867.26</v>
      </c>
      <c r="M573" s="921">
        <v>3730.14</v>
      </c>
      <c r="N573" s="810">
        <v>2019.08</v>
      </c>
      <c r="O573" s="810" t="s">
        <v>5145</v>
      </c>
      <c r="P573" s="810" t="s">
        <v>6887</v>
      </c>
      <c r="Q573" s="811">
        <v>18636810791</v>
      </c>
      <c r="R573" s="810" t="s">
        <v>4772</v>
      </c>
      <c r="S573" s="810" t="s">
        <v>4670</v>
      </c>
      <c r="T573" s="769"/>
      <c r="U573" s="798"/>
      <c r="V573" s="1581"/>
    </row>
    <row r="574" spans="1:22" ht="24" hidden="1" customHeight="1">
      <c r="A574" s="779"/>
      <c r="B574" s="769" t="s">
        <v>1362</v>
      </c>
      <c r="C574" s="796" t="s">
        <v>5149</v>
      </c>
      <c r="D574" s="796" t="s">
        <v>888</v>
      </c>
      <c r="E574" s="796">
        <v>67.8</v>
      </c>
      <c r="F574" s="796" t="s">
        <v>34</v>
      </c>
      <c r="G574" s="817" t="s">
        <v>32</v>
      </c>
      <c r="H574" s="817" t="s">
        <v>33</v>
      </c>
      <c r="I574" s="769" t="s">
        <v>6888</v>
      </c>
      <c r="J574" s="796" t="s">
        <v>4770</v>
      </c>
      <c r="K574" s="794" t="s">
        <v>5143</v>
      </c>
      <c r="L574" s="857">
        <v>15000</v>
      </c>
      <c r="M574" s="921">
        <v>2250</v>
      </c>
      <c r="N574" s="810">
        <v>2019.08</v>
      </c>
      <c r="O574" s="810" t="s">
        <v>5145</v>
      </c>
      <c r="P574" s="810" t="s">
        <v>6887</v>
      </c>
      <c r="Q574" s="811">
        <v>18636810791</v>
      </c>
      <c r="R574" s="810" t="s">
        <v>4772</v>
      </c>
      <c r="S574" s="810" t="s">
        <v>4670</v>
      </c>
      <c r="T574" s="769"/>
      <c r="U574" s="798"/>
      <c r="V574" s="1581"/>
    </row>
    <row r="575" spans="1:22" ht="24" hidden="1" customHeight="1">
      <c r="A575" s="779"/>
      <c r="B575" s="769" t="s">
        <v>1362</v>
      </c>
      <c r="C575" s="796" t="s">
        <v>5150</v>
      </c>
      <c r="D575" s="796" t="s">
        <v>888</v>
      </c>
      <c r="E575" s="796">
        <v>483.3</v>
      </c>
      <c r="F575" s="796" t="s">
        <v>34</v>
      </c>
      <c r="G575" s="817" t="s">
        <v>32</v>
      </c>
      <c r="H575" s="817" t="s">
        <v>33</v>
      </c>
      <c r="I575" s="769" t="s">
        <v>6888</v>
      </c>
      <c r="J575" s="796" t="s">
        <v>4770</v>
      </c>
      <c r="K575" s="794" t="s">
        <v>5143</v>
      </c>
      <c r="L575" s="857">
        <v>106924.78</v>
      </c>
      <c r="M575" s="921">
        <v>16038.7</v>
      </c>
      <c r="N575" s="810">
        <v>2019.08</v>
      </c>
      <c r="O575" s="810" t="s">
        <v>5145</v>
      </c>
      <c r="P575" s="810" t="s">
        <v>6887</v>
      </c>
      <c r="Q575" s="811">
        <v>18636810791</v>
      </c>
      <c r="R575" s="810" t="s">
        <v>4772</v>
      </c>
      <c r="S575" s="810" t="s">
        <v>4670</v>
      </c>
      <c r="T575" s="769"/>
      <c r="U575" s="798"/>
      <c r="V575" s="1581"/>
    </row>
    <row r="576" spans="1:22" ht="24" hidden="1" customHeight="1">
      <c r="A576" s="779"/>
      <c r="B576" s="769" t="s">
        <v>1362</v>
      </c>
      <c r="C576" s="796" t="s">
        <v>5150</v>
      </c>
      <c r="D576" s="796" t="s">
        <v>888</v>
      </c>
      <c r="E576" s="796">
        <v>1415.78</v>
      </c>
      <c r="F576" s="796" t="s">
        <v>34</v>
      </c>
      <c r="G576" s="817" t="s">
        <v>32</v>
      </c>
      <c r="H576" s="817" t="s">
        <v>33</v>
      </c>
      <c r="I576" s="769" t="s">
        <v>6888</v>
      </c>
      <c r="J576" s="796" t="s">
        <v>4770</v>
      </c>
      <c r="K576" s="794" t="s">
        <v>5143</v>
      </c>
      <c r="L576" s="857">
        <v>313225.68</v>
      </c>
      <c r="M576" s="921">
        <v>58729.75</v>
      </c>
      <c r="N576" s="810" t="s">
        <v>3871</v>
      </c>
      <c r="O576" s="810" t="s">
        <v>5145</v>
      </c>
      <c r="P576" s="810" t="s">
        <v>6887</v>
      </c>
      <c r="Q576" s="811">
        <v>18636810791</v>
      </c>
      <c r="R576" s="810" t="s">
        <v>4772</v>
      </c>
      <c r="S576" s="810" t="s">
        <v>4670</v>
      </c>
      <c r="T576" s="769"/>
      <c r="U576" s="798"/>
      <c r="V576" s="1581"/>
    </row>
    <row r="577" spans="1:22" ht="24" hidden="1" customHeight="1">
      <c r="A577" s="779"/>
      <c r="B577" s="769" t="s">
        <v>1362</v>
      </c>
      <c r="C577" s="796" t="s">
        <v>5151</v>
      </c>
      <c r="D577" s="796" t="s">
        <v>888</v>
      </c>
      <c r="E577" s="796">
        <v>268.3</v>
      </c>
      <c r="F577" s="796" t="s">
        <v>34</v>
      </c>
      <c r="G577" s="817" t="s">
        <v>32</v>
      </c>
      <c r="H577" s="817" t="s">
        <v>33</v>
      </c>
      <c r="I577" s="769" t="s">
        <v>6888</v>
      </c>
      <c r="J577" s="796" t="s">
        <v>4770</v>
      </c>
      <c r="K577" s="794" t="s">
        <v>5143</v>
      </c>
      <c r="L577" s="857">
        <v>59358.409999999902</v>
      </c>
      <c r="M577" s="921">
        <v>11129.71</v>
      </c>
      <c r="N577" s="810">
        <v>2019.12</v>
      </c>
      <c r="O577" s="810" t="s">
        <v>5145</v>
      </c>
      <c r="P577" s="810" t="s">
        <v>6887</v>
      </c>
      <c r="Q577" s="811">
        <v>18636810791</v>
      </c>
      <c r="R577" s="810" t="s">
        <v>4772</v>
      </c>
      <c r="S577" s="810" t="s">
        <v>4670</v>
      </c>
      <c r="T577" s="769"/>
      <c r="U577" s="798"/>
      <c r="V577" s="1581"/>
    </row>
    <row r="578" spans="1:22" ht="24" hidden="1" customHeight="1">
      <c r="A578" s="779"/>
      <c r="B578" s="769" t="s">
        <v>1362</v>
      </c>
      <c r="C578" s="796" t="s">
        <v>5152</v>
      </c>
      <c r="D578" s="796" t="s">
        <v>888</v>
      </c>
      <c r="E578" s="796">
        <v>156.9</v>
      </c>
      <c r="F578" s="796" t="s">
        <v>34</v>
      </c>
      <c r="G578" s="817" t="s">
        <v>32</v>
      </c>
      <c r="H578" s="817" t="s">
        <v>33</v>
      </c>
      <c r="I578" s="769" t="s">
        <v>6888</v>
      </c>
      <c r="J578" s="796" t="s">
        <v>4770</v>
      </c>
      <c r="K578" s="794" t="s">
        <v>5143</v>
      </c>
      <c r="L578" s="857">
        <v>34712.390000000101</v>
      </c>
      <c r="M578" s="921">
        <v>6508.63</v>
      </c>
      <c r="N578" s="810">
        <v>2019.12</v>
      </c>
      <c r="O578" s="810" t="s">
        <v>5145</v>
      </c>
      <c r="P578" s="810" t="s">
        <v>6887</v>
      </c>
      <c r="Q578" s="811">
        <v>18636810791</v>
      </c>
      <c r="R578" s="810" t="s">
        <v>4772</v>
      </c>
      <c r="S578" s="810" t="s">
        <v>4670</v>
      </c>
      <c r="T578" s="769"/>
      <c r="U578" s="798"/>
      <c r="V578" s="1581"/>
    </row>
    <row r="579" spans="1:22" ht="24" hidden="1" customHeight="1">
      <c r="A579" s="779"/>
      <c r="B579" s="769" t="s">
        <v>1362</v>
      </c>
      <c r="C579" s="796" t="s">
        <v>4897</v>
      </c>
      <c r="D579" s="796" t="s">
        <v>888</v>
      </c>
      <c r="E579" s="796">
        <v>9</v>
      </c>
      <c r="F579" s="796" t="s">
        <v>34</v>
      </c>
      <c r="G579" s="817" t="s">
        <v>32</v>
      </c>
      <c r="H579" s="817" t="s">
        <v>33</v>
      </c>
      <c r="I579" s="769" t="s">
        <v>6888</v>
      </c>
      <c r="J579" s="796" t="s">
        <v>4770</v>
      </c>
      <c r="K579" s="794" t="s">
        <v>5143</v>
      </c>
      <c r="L579" s="857">
        <v>1991.15</v>
      </c>
      <c r="M579" s="921">
        <v>373.3</v>
      </c>
      <c r="N579" s="810">
        <v>2019.12</v>
      </c>
      <c r="O579" s="810" t="s">
        <v>5145</v>
      </c>
      <c r="P579" s="810" t="s">
        <v>6887</v>
      </c>
      <c r="Q579" s="811">
        <v>18636810791</v>
      </c>
      <c r="R579" s="810" t="s">
        <v>4772</v>
      </c>
      <c r="S579" s="810" t="s">
        <v>4670</v>
      </c>
      <c r="T579" s="769"/>
      <c r="U579" s="798"/>
      <c r="V579" s="1581"/>
    </row>
    <row r="580" spans="1:22" ht="24" hidden="1" customHeight="1">
      <c r="A580" s="779"/>
      <c r="B580" s="769" t="s">
        <v>1362</v>
      </c>
      <c r="C580" s="796" t="s">
        <v>5150</v>
      </c>
      <c r="D580" s="796" t="s">
        <v>888</v>
      </c>
      <c r="E580" s="796">
        <v>576.04999999999995</v>
      </c>
      <c r="F580" s="796" t="s">
        <v>34</v>
      </c>
      <c r="G580" s="817" t="s">
        <v>32</v>
      </c>
      <c r="H580" s="817" t="s">
        <v>33</v>
      </c>
      <c r="I580" s="769" t="s">
        <v>6888</v>
      </c>
      <c r="J580" s="796" t="s">
        <v>4770</v>
      </c>
      <c r="K580" s="794" t="s">
        <v>5143</v>
      </c>
      <c r="L580" s="857">
        <v>127444.69</v>
      </c>
      <c r="M580" s="921">
        <v>31861.172500000001</v>
      </c>
      <c r="N580" s="810">
        <v>2020.07</v>
      </c>
      <c r="O580" s="810" t="s">
        <v>5145</v>
      </c>
      <c r="P580" s="810" t="s">
        <v>6887</v>
      </c>
      <c r="Q580" s="811">
        <v>18636810791</v>
      </c>
      <c r="R580" s="810" t="s">
        <v>4772</v>
      </c>
      <c r="S580" s="810" t="s">
        <v>4670</v>
      </c>
      <c r="T580" s="769"/>
      <c r="U580" s="798"/>
      <c r="V580" s="1581"/>
    </row>
    <row r="581" spans="1:22" ht="24" hidden="1" customHeight="1">
      <c r="A581" s="779"/>
      <c r="B581" s="769" t="s">
        <v>1362</v>
      </c>
      <c r="C581" s="796" t="s">
        <v>4897</v>
      </c>
      <c r="D581" s="796" t="s">
        <v>888</v>
      </c>
      <c r="E581" s="796">
        <v>54.44</v>
      </c>
      <c r="F581" s="796" t="s">
        <v>34</v>
      </c>
      <c r="G581" s="817" t="s">
        <v>32</v>
      </c>
      <c r="H581" s="817" t="s">
        <v>33</v>
      </c>
      <c r="I581" s="769" t="s">
        <v>6888</v>
      </c>
      <c r="J581" s="796" t="s">
        <v>4770</v>
      </c>
      <c r="K581" s="794" t="s">
        <v>5143</v>
      </c>
      <c r="L581" s="857">
        <v>12044.25</v>
      </c>
      <c r="M581" s="921">
        <v>3011.0625</v>
      </c>
      <c r="N581" s="810">
        <v>2020.07</v>
      </c>
      <c r="O581" s="810" t="s">
        <v>5145</v>
      </c>
      <c r="P581" s="810" t="s">
        <v>6887</v>
      </c>
      <c r="Q581" s="811">
        <v>18636810791</v>
      </c>
      <c r="R581" s="810" t="s">
        <v>4772</v>
      </c>
      <c r="S581" s="810" t="s">
        <v>4670</v>
      </c>
      <c r="T581" s="769"/>
      <c r="U581" s="798"/>
      <c r="V581" s="1581"/>
    </row>
    <row r="582" spans="1:22" ht="24" hidden="1" customHeight="1">
      <c r="A582" s="779"/>
      <c r="B582" s="796" t="s">
        <v>1362</v>
      </c>
      <c r="C582" s="796" t="s">
        <v>5150</v>
      </c>
      <c r="D582" s="796" t="s">
        <v>888</v>
      </c>
      <c r="E582" s="810">
        <v>471.17</v>
      </c>
      <c r="F582" s="796" t="s">
        <v>34</v>
      </c>
      <c r="G582" s="817" t="s">
        <v>32</v>
      </c>
      <c r="H582" s="817" t="s">
        <v>33</v>
      </c>
      <c r="I582" s="769" t="s">
        <v>6888</v>
      </c>
      <c r="J582" s="796" t="s">
        <v>4770</v>
      </c>
      <c r="K582" s="794" t="s">
        <v>5143</v>
      </c>
      <c r="L582" s="857">
        <v>104241.15</v>
      </c>
      <c r="M582" s="810">
        <v>86605.725000000006</v>
      </c>
      <c r="N582" s="810">
        <v>2020.11</v>
      </c>
      <c r="O582" s="810" t="s">
        <v>5145</v>
      </c>
      <c r="P582" s="810" t="s">
        <v>6887</v>
      </c>
      <c r="Q582" s="811">
        <v>18636810791</v>
      </c>
      <c r="R582" s="810" t="s">
        <v>4772</v>
      </c>
      <c r="S582" s="810" t="s">
        <v>4670</v>
      </c>
      <c r="T582" s="769"/>
      <c r="U582" s="798"/>
      <c r="V582" s="1581"/>
    </row>
    <row r="583" spans="1:22" ht="24" hidden="1" customHeight="1">
      <c r="A583" s="779"/>
      <c r="B583" s="769" t="s">
        <v>1362</v>
      </c>
      <c r="C583" s="769" t="s">
        <v>5153</v>
      </c>
      <c r="D583" s="769" t="s">
        <v>888</v>
      </c>
      <c r="E583" s="769">
        <v>22.48</v>
      </c>
      <c r="F583" s="769" t="s">
        <v>34</v>
      </c>
      <c r="G583" s="817" t="s">
        <v>32</v>
      </c>
      <c r="H583" s="817" t="s">
        <v>33</v>
      </c>
      <c r="I583" s="769" t="s">
        <v>6888</v>
      </c>
      <c r="J583" s="769" t="s">
        <v>4770</v>
      </c>
      <c r="K583" s="769" t="s">
        <v>4928</v>
      </c>
      <c r="L583" s="857">
        <v>5431.01</v>
      </c>
      <c r="M583" s="922">
        <v>1357.75</v>
      </c>
      <c r="N583" s="769">
        <v>2019.06</v>
      </c>
      <c r="O583" s="769" t="s">
        <v>7065</v>
      </c>
      <c r="P583" s="810" t="s">
        <v>6887</v>
      </c>
      <c r="Q583" s="846">
        <v>18636810791</v>
      </c>
      <c r="R583" s="793" t="s">
        <v>5154</v>
      </c>
      <c r="S583" s="780" t="s">
        <v>4670</v>
      </c>
      <c r="T583" s="769"/>
      <c r="U583" s="798"/>
    </row>
    <row r="584" spans="1:22" ht="24" hidden="1" customHeight="1">
      <c r="A584" s="779"/>
      <c r="B584" s="769" t="s">
        <v>1362</v>
      </c>
      <c r="C584" s="769" t="s">
        <v>5155</v>
      </c>
      <c r="D584" s="769" t="s">
        <v>888</v>
      </c>
      <c r="E584" s="769">
        <v>422.046154</v>
      </c>
      <c r="F584" s="769" t="s">
        <v>34</v>
      </c>
      <c r="G584" s="817" t="s">
        <v>32</v>
      </c>
      <c r="H584" s="817" t="s">
        <v>33</v>
      </c>
      <c r="I584" s="769" t="s">
        <v>6888</v>
      </c>
      <c r="J584" s="769" t="s">
        <v>4770</v>
      </c>
      <c r="K584" s="769" t="s">
        <v>4928</v>
      </c>
      <c r="L584" s="857">
        <v>101963.36</v>
      </c>
      <c r="M584" s="922">
        <v>25490.84</v>
      </c>
      <c r="N584" s="769">
        <v>2019.06</v>
      </c>
      <c r="O584" s="769" t="s">
        <v>5156</v>
      </c>
      <c r="P584" s="810" t="s">
        <v>6887</v>
      </c>
      <c r="Q584" s="846">
        <v>18636810791</v>
      </c>
      <c r="R584" s="793" t="s">
        <v>5154</v>
      </c>
      <c r="S584" s="780" t="s">
        <v>4670</v>
      </c>
      <c r="T584" s="769"/>
      <c r="U584" s="798"/>
    </row>
    <row r="585" spans="1:22" ht="24" hidden="1" customHeight="1">
      <c r="A585" s="779"/>
      <c r="B585" s="769" t="s">
        <v>1362</v>
      </c>
      <c r="C585" s="769" t="s">
        <v>4495</v>
      </c>
      <c r="D585" s="769" t="s">
        <v>888</v>
      </c>
      <c r="E585" s="769">
        <v>88.2</v>
      </c>
      <c r="F585" s="769" t="s">
        <v>34</v>
      </c>
      <c r="G585" s="817" t="s">
        <v>32</v>
      </c>
      <c r="H585" s="817" t="s">
        <v>33</v>
      </c>
      <c r="I585" s="769" t="s">
        <v>6888</v>
      </c>
      <c r="J585" s="769" t="s">
        <v>4770</v>
      </c>
      <c r="K585" s="769" t="s">
        <v>4928</v>
      </c>
      <c r="L585" s="857">
        <v>21308.5</v>
      </c>
      <c r="M585" s="922">
        <v>5327.13</v>
      </c>
      <c r="N585" s="769">
        <v>2019.06</v>
      </c>
      <c r="O585" s="769" t="s">
        <v>5156</v>
      </c>
      <c r="P585" s="810" t="s">
        <v>6887</v>
      </c>
      <c r="Q585" s="846">
        <v>18636810791</v>
      </c>
      <c r="R585" s="793" t="s">
        <v>5154</v>
      </c>
      <c r="S585" s="780" t="s">
        <v>4670</v>
      </c>
      <c r="T585" s="769"/>
      <c r="U585" s="798"/>
    </row>
    <row r="586" spans="1:22" ht="24" hidden="1" customHeight="1">
      <c r="A586" s="779"/>
      <c r="B586" s="769" t="s">
        <v>1362</v>
      </c>
      <c r="C586" s="923" t="s">
        <v>5157</v>
      </c>
      <c r="D586" s="924" t="s">
        <v>1369</v>
      </c>
      <c r="E586" s="923">
        <v>1323.76</v>
      </c>
      <c r="F586" s="914" t="s">
        <v>34</v>
      </c>
      <c r="G586" s="817" t="s">
        <v>32</v>
      </c>
      <c r="H586" s="817" t="s">
        <v>33</v>
      </c>
      <c r="I586" s="914" t="s">
        <v>34</v>
      </c>
      <c r="J586" s="850" t="s">
        <v>5158</v>
      </c>
      <c r="K586" s="915" t="s">
        <v>5159</v>
      </c>
      <c r="L586" s="857">
        <v>366283.11</v>
      </c>
      <c r="M586" s="857">
        <v>0</v>
      </c>
      <c r="N586" s="810">
        <v>2018.1</v>
      </c>
      <c r="O586" s="810" t="s">
        <v>7066</v>
      </c>
      <c r="P586" s="810" t="s">
        <v>5160</v>
      </c>
      <c r="Q586" s="811">
        <v>18636135823</v>
      </c>
      <c r="R586" s="810" t="s">
        <v>5161</v>
      </c>
      <c r="S586" s="810" t="s">
        <v>4670</v>
      </c>
      <c r="T586" s="769"/>
      <c r="U586" s="925"/>
      <c r="V586" s="1581"/>
    </row>
    <row r="587" spans="1:22" ht="24" hidden="1" customHeight="1">
      <c r="A587" s="779"/>
      <c r="B587" s="769" t="s">
        <v>1362</v>
      </c>
      <c r="C587" s="923" t="s">
        <v>5162</v>
      </c>
      <c r="D587" s="924" t="s">
        <v>1369</v>
      </c>
      <c r="E587" s="923">
        <v>40.913600000000002</v>
      </c>
      <c r="F587" s="914" t="s">
        <v>34</v>
      </c>
      <c r="G587" s="817" t="s">
        <v>32</v>
      </c>
      <c r="H587" s="817" t="s">
        <v>33</v>
      </c>
      <c r="I587" s="914" t="s">
        <v>34</v>
      </c>
      <c r="J587" s="850" t="s">
        <v>5158</v>
      </c>
      <c r="K587" s="915" t="s">
        <v>5159</v>
      </c>
      <c r="L587" s="857">
        <v>11320.75</v>
      </c>
      <c r="M587" s="857">
        <v>0</v>
      </c>
      <c r="N587" s="810">
        <v>2018.1</v>
      </c>
      <c r="O587" s="810" t="s">
        <v>5163</v>
      </c>
      <c r="P587" s="810" t="s">
        <v>5160</v>
      </c>
      <c r="Q587" s="811">
        <v>18636135823</v>
      </c>
      <c r="R587" s="810" t="s">
        <v>5161</v>
      </c>
      <c r="S587" s="810" t="s">
        <v>4670</v>
      </c>
      <c r="T587" s="769"/>
      <c r="U587" s="925"/>
      <c r="V587" s="1581"/>
    </row>
    <row r="588" spans="1:22" ht="24" hidden="1" customHeight="1">
      <c r="A588" s="779"/>
      <c r="B588" s="769" t="s">
        <v>1362</v>
      </c>
      <c r="C588" s="923" t="s">
        <v>7067</v>
      </c>
      <c r="D588" s="924" t="s">
        <v>1369</v>
      </c>
      <c r="E588" s="923">
        <v>292.60000000000002</v>
      </c>
      <c r="F588" s="914" t="s">
        <v>34</v>
      </c>
      <c r="G588" s="817" t="s">
        <v>32</v>
      </c>
      <c r="H588" s="817" t="s">
        <v>33</v>
      </c>
      <c r="I588" s="914" t="s">
        <v>34</v>
      </c>
      <c r="J588" s="850" t="s">
        <v>5158</v>
      </c>
      <c r="K588" s="915" t="s">
        <v>5159</v>
      </c>
      <c r="L588" s="857">
        <v>204535.92</v>
      </c>
      <c r="M588" s="857">
        <v>0</v>
      </c>
      <c r="N588" s="810">
        <v>2018.1</v>
      </c>
      <c r="O588" s="810" t="s">
        <v>5163</v>
      </c>
      <c r="P588" s="810" t="s">
        <v>5160</v>
      </c>
      <c r="Q588" s="811">
        <v>18636135823</v>
      </c>
      <c r="R588" s="810" t="s">
        <v>5161</v>
      </c>
      <c r="S588" s="810" t="s">
        <v>4670</v>
      </c>
      <c r="T588" s="769"/>
      <c r="U588" s="925"/>
      <c r="V588" s="1581"/>
    </row>
    <row r="589" spans="1:22" ht="24" hidden="1" customHeight="1">
      <c r="A589" s="779"/>
      <c r="B589" s="769" t="s">
        <v>1362</v>
      </c>
      <c r="C589" s="923" t="s">
        <v>7068</v>
      </c>
      <c r="D589" s="923" t="s">
        <v>4006</v>
      </c>
      <c r="E589" s="923">
        <v>3</v>
      </c>
      <c r="F589" s="914" t="s">
        <v>34</v>
      </c>
      <c r="G589" s="817" t="s">
        <v>32</v>
      </c>
      <c r="H589" s="817" t="s">
        <v>33</v>
      </c>
      <c r="I589" s="914" t="s">
        <v>34</v>
      </c>
      <c r="J589" s="850" t="s">
        <v>5158</v>
      </c>
      <c r="K589" s="915" t="s">
        <v>5159</v>
      </c>
      <c r="L589" s="857">
        <v>66990.289999999994</v>
      </c>
      <c r="M589" s="857">
        <v>0</v>
      </c>
      <c r="N589" s="810">
        <v>2018.1</v>
      </c>
      <c r="O589" s="810" t="s">
        <v>5163</v>
      </c>
      <c r="P589" s="810" t="s">
        <v>5160</v>
      </c>
      <c r="Q589" s="811">
        <v>18636135823</v>
      </c>
      <c r="R589" s="810" t="s">
        <v>5161</v>
      </c>
      <c r="S589" s="810" t="s">
        <v>4670</v>
      </c>
      <c r="T589" s="769"/>
      <c r="U589" s="925"/>
      <c r="V589" s="1581"/>
    </row>
    <row r="590" spans="1:22" ht="24" hidden="1" customHeight="1">
      <c r="A590" s="779"/>
      <c r="B590" s="769" t="s">
        <v>1362</v>
      </c>
      <c r="C590" s="769" t="s">
        <v>34</v>
      </c>
      <c r="D590" s="923" t="s">
        <v>888</v>
      </c>
      <c r="E590" s="769">
        <v>110.96</v>
      </c>
      <c r="F590" s="769" t="s">
        <v>34</v>
      </c>
      <c r="G590" s="817" t="s">
        <v>32</v>
      </c>
      <c r="H590" s="817" t="s">
        <v>33</v>
      </c>
      <c r="I590" s="769" t="s">
        <v>6888</v>
      </c>
      <c r="J590" s="769" t="s">
        <v>5001</v>
      </c>
      <c r="K590" s="882" t="s">
        <v>4774</v>
      </c>
      <c r="L590" s="857">
        <v>70700.176991150394</v>
      </c>
      <c r="M590" s="857">
        <v>17675.044247787599</v>
      </c>
      <c r="N590" s="810">
        <v>2019.08</v>
      </c>
      <c r="O590" s="769" t="s">
        <v>6991</v>
      </c>
      <c r="P590" s="793" t="s">
        <v>6992</v>
      </c>
      <c r="Q590" s="884" t="s">
        <v>6993</v>
      </c>
      <c r="R590" s="810" t="s">
        <v>5002</v>
      </c>
      <c r="S590" s="810" t="s">
        <v>4670</v>
      </c>
      <c r="T590" s="769"/>
      <c r="U590" s="774"/>
    </row>
    <row r="591" spans="1:22" ht="24" hidden="1" customHeight="1">
      <c r="A591" s="779"/>
      <c r="B591" s="769" t="s">
        <v>1362</v>
      </c>
      <c r="C591" s="769" t="s">
        <v>5110</v>
      </c>
      <c r="D591" s="923" t="s">
        <v>888</v>
      </c>
      <c r="E591" s="769">
        <v>144.1</v>
      </c>
      <c r="F591" s="769" t="s">
        <v>34</v>
      </c>
      <c r="G591" s="817" t="s">
        <v>32</v>
      </c>
      <c r="H591" s="817" t="s">
        <v>33</v>
      </c>
      <c r="I591" s="769" t="s">
        <v>6888</v>
      </c>
      <c r="J591" s="769" t="s">
        <v>5001</v>
      </c>
      <c r="K591" s="882" t="s">
        <v>5106</v>
      </c>
      <c r="L591" s="857">
        <v>35706.194690265504</v>
      </c>
      <c r="M591" s="857">
        <v>8926.5486725663905</v>
      </c>
      <c r="N591" s="810">
        <v>2019.08</v>
      </c>
      <c r="O591" s="769" t="s">
        <v>6991</v>
      </c>
      <c r="P591" s="793" t="s">
        <v>6992</v>
      </c>
      <c r="Q591" s="884" t="s">
        <v>6993</v>
      </c>
      <c r="R591" s="810" t="s">
        <v>5002</v>
      </c>
      <c r="S591" s="810" t="s">
        <v>4670</v>
      </c>
      <c r="T591" s="769"/>
      <c r="U591" s="774"/>
    </row>
    <row r="592" spans="1:22" ht="24" hidden="1" customHeight="1">
      <c r="A592" s="779"/>
      <c r="B592" s="769" t="s">
        <v>1362</v>
      </c>
      <c r="C592" s="769" t="s">
        <v>5164</v>
      </c>
      <c r="D592" s="923" t="s">
        <v>888</v>
      </c>
      <c r="E592" s="769">
        <v>104.35</v>
      </c>
      <c r="F592" s="769" t="s">
        <v>34</v>
      </c>
      <c r="G592" s="817" t="s">
        <v>32</v>
      </c>
      <c r="H592" s="817" t="s">
        <v>33</v>
      </c>
      <c r="I592" s="769" t="s">
        <v>6888</v>
      </c>
      <c r="J592" s="769" t="s">
        <v>5001</v>
      </c>
      <c r="K592" s="882" t="s">
        <v>5106</v>
      </c>
      <c r="L592" s="857">
        <v>25856.637168141599</v>
      </c>
      <c r="M592" s="857">
        <v>6464.1592920354096</v>
      </c>
      <c r="N592" s="810">
        <v>2019.08</v>
      </c>
      <c r="O592" s="769" t="s">
        <v>6991</v>
      </c>
      <c r="P592" s="793" t="s">
        <v>6992</v>
      </c>
      <c r="Q592" s="884" t="s">
        <v>6993</v>
      </c>
      <c r="R592" s="810" t="s">
        <v>5002</v>
      </c>
      <c r="S592" s="810" t="s">
        <v>4670</v>
      </c>
      <c r="T592" s="769"/>
      <c r="U592" s="774"/>
    </row>
    <row r="593" spans="1:21" ht="24" hidden="1" customHeight="1">
      <c r="A593" s="779"/>
      <c r="B593" s="769" t="s">
        <v>1362</v>
      </c>
      <c r="C593" s="769" t="s">
        <v>5165</v>
      </c>
      <c r="D593" s="923" t="s">
        <v>888</v>
      </c>
      <c r="E593" s="769">
        <v>123.64</v>
      </c>
      <c r="F593" s="769" t="s">
        <v>34</v>
      </c>
      <c r="G593" s="817" t="s">
        <v>32</v>
      </c>
      <c r="H593" s="817" t="s">
        <v>33</v>
      </c>
      <c r="I593" s="769" t="s">
        <v>6888</v>
      </c>
      <c r="J593" s="769" t="s">
        <v>5001</v>
      </c>
      <c r="K593" s="882" t="s">
        <v>5106</v>
      </c>
      <c r="L593" s="857">
        <v>30636.460176991099</v>
      </c>
      <c r="M593" s="857">
        <v>7659.1150442478402</v>
      </c>
      <c r="N593" s="810">
        <v>2019.08</v>
      </c>
      <c r="O593" s="769" t="s">
        <v>6991</v>
      </c>
      <c r="P593" s="793" t="s">
        <v>6992</v>
      </c>
      <c r="Q593" s="884" t="s">
        <v>6993</v>
      </c>
      <c r="R593" s="810" t="s">
        <v>5002</v>
      </c>
      <c r="S593" s="810" t="s">
        <v>4670</v>
      </c>
      <c r="T593" s="769"/>
      <c r="U593" s="774"/>
    </row>
    <row r="594" spans="1:21" ht="24" hidden="1" customHeight="1">
      <c r="A594" s="779"/>
      <c r="B594" s="769" t="s">
        <v>1362</v>
      </c>
      <c r="C594" s="769" t="s">
        <v>5138</v>
      </c>
      <c r="D594" s="923" t="s">
        <v>888</v>
      </c>
      <c r="E594" s="769">
        <v>103.18</v>
      </c>
      <c r="F594" s="769" t="s">
        <v>34</v>
      </c>
      <c r="G594" s="817" t="s">
        <v>32</v>
      </c>
      <c r="H594" s="817" t="s">
        <v>33</v>
      </c>
      <c r="I594" s="769" t="s">
        <v>6888</v>
      </c>
      <c r="J594" s="769" t="s">
        <v>5001</v>
      </c>
      <c r="K594" s="882" t="s">
        <v>5106</v>
      </c>
      <c r="L594" s="857">
        <v>25566.725663716799</v>
      </c>
      <c r="M594" s="857">
        <v>6391.6814159291898</v>
      </c>
      <c r="N594" s="810">
        <v>2019.08</v>
      </c>
      <c r="O594" s="769" t="s">
        <v>6991</v>
      </c>
      <c r="P594" s="793" t="s">
        <v>6992</v>
      </c>
      <c r="Q594" s="884" t="s">
        <v>6993</v>
      </c>
      <c r="R594" s="810" t="s">
        <v>5002</v>
      </c>
      <c r="S594" s="810" t="s">
        <v>4670</v>
      </c>
      <c r="T594" s="769"/>
      <c r="U594" s="774"/>
    </row>
    <row r="595" spans="1:21" ht="24" hidden="1" customHeight="1">
      <c r="A595" s="779"/>
      <c r="B595" s="769" t="s">
        <v>1362</v>
      </c>
      <c r="C595" s="769" t="s">
        <v>5162</v>
      </c>
      <c r="D595" s="923" t="s">
        <v>888</v>
      </c>
      <c r="E595" s="769">
        <v>41.81</v>
      </c>
      <c r="F595" s="769" t="s">
        <v>34</v>
      </c>
      <c r="G595" s="817" t="s">
        <v>32</v>
      </c>
      <c r="H595" s="817" t="s">
        <v>33</v>
      </c>
      <c r="I595" s="769" t="s">
        <v>6888</v>
      </c>
      <c r="J595" s="769" t="s">
        <v>5001</v>
      </c>
      <c r="K595" s="882" t="s">
        <v>5106</v>
      </c>
      <c r="L595" s="857">
        <v>10360</v>
      </c>
      <c r="M595" s="857">
        <v>2590</v>
      </c>
      <c r="N595" s="810">
        <v>2019.08</v>
      </c>
      <c r="O595" s="769" t="s">
        <v>6991</v>
      </c>
      <c r="P595" s="793" t="s">
        <v>6992</v>
      </c>
      <c r="Q595" s="884" t="s">
        <v>6993</v>
      </c>
      <c r="R595" s="810" t="s">
        <v>5002</v>
      </c>
      <c r="S595" s="810" t="s">
        <v>4670</v>
      </c>
      <c r="T595" s="769"/>
      <c r="U595" s="774"/>
    </row>
    <row r="596" spans="1:21" ht="24" hidden="1" customHeight="1">
      <c r="A596" s="779"/>
      <c r="B596" s="769" t="s">
        <v>1362</v>
      </c>
      <c r="C596" s="769" t="s">
        <v>5162</v>
      </c>
      <c r="D596" s="923" t="s">
        <v>888</v>
      </c>
      <c r="E596" s="769">
        <v>41.81</v>
      </c>
      <c r="F596" s="769" t="s">
        <v>34</v>
      </c>
      <c r="G596" s="817" t="s">
        <v>32</v>
      </c>
      <c r="H596" s="817" t="s">
        <v>33</v>
      </c>
      <c r="I596" s="769" t="s">
        <v>6888</v>
      </c>
      <c r="J596" s="769" t="s">
        <v>5001</v>
      </c>
      <c r="K596" s="882" t="s">
        <v>5106</v>
      </c>
      <c r="L596" s="857">
        <v>10360</v>
      </c>
      <c r="M596" s="857">
        <v>2590</v>
      </c>
      <c r="N596" s="810">
        <v>2019.08</v>
      </c>
      <c r="O596" s="769" t="s">
        <v>6991</v>
      </c>
      <c r="P596" s="793" t="s">
        <v>6992</v>
      </c>
      <c r="Q596" s="884" t="s">
        <v>6993</v>
      </c>
      <c r="R596" s="810" t="s">
        <v>5002</v>
      </c>
      <c r="S596" s="810" t="s">
        <v>4670</v>
      </c>
      <c r="T596" s="769"/>
      <c r="U596" s="774"/>
    </row>
    <row r="597" spans="1:21" ht="24" hidden="1" customHeight="1">
      <c r="A597" s="779"/>
      <c r="B597" s="769" t="s">
        <v>1362</v>
      </c>
      <c r="C597" s="769" t="s">
        <v>5118</v>
      </c>
      <c r="D597" s="923" t="s">
        <v>888</v>
      </c>
      <c r="E597" s="769">
        <v>124.54</v>
      </c>
      <c r="F597" s="769" t="s">
        <v>34</v>
      </c>
      <c r="G597" s="817" t="s">
        <v>32</v>
      </c>
      <c r="H597" s="817" t="s">
        <v>33</v>
      </c>
      <c r="I597" s="769" t="s">
        <v>6888</v>
      </c>
      <c r="J597" s="769" t="s">
        <v>5001</v>
      </c>
      <c r="K597" s="882" t="s">
        <v>5106</v>
      </c>
      <c r="L597" s="857">
        <v>30859.469026548701</v>
      </c>
      <c r="M597" s="857">
        <v>7714.8672566371997</v>
      </c>
      <c r="N597" s="810">
        <v>2019.08</v>
      </c>
      <c r="O597" s="769" t="s">
        <v>6991</v>
      </c>
      <c r="P597" s="793" t="s">
        <v>6992</v>
      </c>
      <c r="Q597" s="884" t="s">
        <v>6993</v>
      </c>
      <c r="R597" s="810" t="s">
        <v>5002</v>
      </c>
      <c r="S597" s="810" t="s">
        <v>4670</v>
      </c>
      <c r="T597" s="769"/>
      <c r="U597" s="774"/>
    </row>
    <row r="598" spans="1:21" ht="24" hidden="1" customHeight="1">
      <c r="A598" s="779"/>
      <c r="B598" s="769" t="s">
        <v>1362</v>
      </c>
      <c r="C598" s="769" t="s">
        <v>5166</v>
      </c>
      <c r="D598" s="923" t="s">
        <v>888</v>
      </c>
      <c r="E598" s="769">
        <v>39.75</v>
      </c>
      <c r="F598" s="769" t="s">
        <v>34</v>
      </c>
      <c r="G598" s="817" t="s">
        <v>32</v>
      </c>
      <c r="H598" s="817" t="s">
        <v>33</v>
      </c>
      <c r="I598" s="769" t="s">
        <v>6888</v>
      </c>
      <c r="J598" s="769" t="s">
        <v>5001</v>
      </c>
      <c r="K598" s="882" t="s">
        <v>5106</v>
      </c>
      <c r="L598" s="857">
        <v>9849.5575221238905</v>
      </c>
      <c r="M598" s="857">
        <v>2462.3893805309799</v>
      </c>
      <c r="N598" s="810">
        <v>2019.08</v>
      </c>
      <c r="O598" s="769" t="s">
        <v>6991</v>
      </c>
      <c r="P598" s="793" t="s">
        <v>6992</v>
      </c>
      <c r="Q598" s="884" t="s">
        <v>6993</v>
      </c>
      <c r="R598" s="810" t="s">
        <v>5002</v>
      </c>
      <c r="S598" s="810" t="s">
        <v>4670</v>
      </c>
      <c r="T598" s="769"/>
      <c r="U598" s="774"/>
    </row>
    <row r="599" spans="1:21" ht="24" hidden="1" customHeight="1">
      <c r="A599" s="779"/>
      <c r="B599" s="769" t="s">
        <v>1362</v>
      </c>
      <c r="C599" s="769" t="s">
        <v>5167</v>
      </c>
      <c r="D599" s="923" t="s">
        <v>888</v>
      </c>
      <c r="E599" s="769">
        <v>119.42</v>
      </c>
      <c r="F599" s="769" t="s">
        <v>34</v>
      </c>
      <c r="G599" s="817" t="s">
        <v>32</v>
      </c>
      <c r="H599" s="817" t="s">
        <v>33</v>
      </c>
      <c r="I599" s="769" t="s">
        <v>6888</v>
      </c>
      <c r="J599" s="769" t="s">
        <v>5001</v>
      </c>
      <c r="K599" s="882" t="s">
        <v>5106</v>
      </c>
      <c r="L599" s="857">
        <v>29590.796460177</v>
      </c>
      <c r="M599" s="857">
        <v>7397.69911504426</v>
      </c>
      <c r="N599" s="810">
        <v>2019.08</v>
      </c>
      <c r="O599" s="769" t="s">
        <v>6991</v>
      </c>
      <c r="P599" s="793" t="s">
        <v>6992</v>
      </c>
      <c r="Q599" s="884" t="s">
        <v>6993</v>
      </c>
      <c r="R599" s="810" t="s">
        <v>5002</v>
      </c>
      <c r="S599" s="810" t="s">
        <v>4670</v>
      </c>
      <c r="T599" s="769"/>
      <c r="U599" s="798"/>
    </row>
    <row r="600" spans="1:21" ht="24" hidden="1" customHeight="1">
      <c r="A600" s="779"/>
      <c r="B600" s="769" t="s">
        <v>1362</v>
      </c>
      <c r="C600" s="833"/>
      <c r="D600" s="923" t="s">
        <v>5048</v>
      </c>
      <c r="E600" s="769">
        <v>2</v>
      </c>
      <c r="F600" s="769" t="s">
        <v>34</v>
      </c>
      <c r="G600" s="817" t="s">
        <v>32</v>
      </c>
      <c r="H600" s="817" t="s">
        <v>33</v>
      </c>
      <c r="I600" s="769" t="s">
        <v>6888</v>
      </c>
      <c r="J600" s="769" t="s">
        <v>5001</v>
      </c>
      <c r="K600" s="882" t="s">
        <v>4862</v>
      </c>
      <c r="L600" s="857">
        <v>13274.336283185799</v>
      </c>
      <c r="M600" s="857">
        <v>3318.5840707964198</v>
      </c>
      <c r="N600" s="810">
        <v>2019.1</v>
      </c>
      <c r="O600" s="769" t="s">
        <v>6991</v>
      </c>
      <c r="P600" s="793" t="s">
        <v>6992</v>
      </c>
      <c r="Q600" s="884" t="s">
        <v>6993</v>
      </c>
      <c r="R600" s="810" t="s">
        <v>5002</v>
      </c>
      <c r="S600" s="810" t="s">
        <v>4670</v>
      </c>
      <c r="T600" s="769"/>
      <c r="U600" s="798"/>
    </row>
    <row r="601" spans="1:21" ht="24" customHeight="1">
      <c r="A601" s="779"/>
      <c r="B601" s="769" t="s">
        <v>1574</v>
      </c>
      <c r="C601" s="833" t="s">
        <v>5168</v>
      </c>
      <c r="D601" s="923" t="s">
        <v>1193</v>
      </c>
      <c r="E601" s="769">
        <v>897.42</v>
      </c>
      <c r="F601" s="769" t="s">
        <v>34</v>
      </c>
      <c r="G601" s="817" t="s">
        <v>32</v>
      </c>
      <c r="H601" s="817" t="s">
        <v>41</v>
      </c>
      <c r="I601" s="769" t="s">
        <v>7069</v>
      </c>
      <c r="J601" s="769" t="s">
        <v>179</v>
      </c>
      <c r="K601" s="882" t="s">
        <v>4774</v>
      </c>
      <c r="L601" s="857">
        <v>266049.28827202402</v>
      </c>
      <c r="M601" s="857">
        <v>66512.322068006004</v>
      </c>
      <c r="N601" s="810" t="s">
        <v>4794</v>
      </c>
      <c r="O601" s="769" t="s">
        <v>7070</v>
      </c>
      <c r="P601" s="793" t="s">
        <v>7071</v>
      </c>
      <c r="Q601" s="884">
        <v>15862288026</v>
      </c>
      <c r="R601" s="810" t="s">
        <v>7072</v>
      </c>
      <c r="S601" s="810" t="s">
        <v>4670</v>
      </c>
      <c r="T601" s="769"/>
      <c r="U601" s="798"/>
    </row>
    <row r="602" spans="1:21" ht="24" customHeight="1">
      <c r="A602" s="779"/>
      <c r="B602" s="769" t="s">
        <v>1574</v>
      </c>
      <c r="C602" s="833" t="s">
        <v>5169</v>
      </c>
      <c r="D602" s="923" t="s">
        <v>1193</v>
      </c>
      <c r="E602" s="769">
        <v>182</v>
      </c>
      <c r="F602" s="769" t="s">
        <v>34</v>
      </c>
      <c r="G602" s="817" t="s">
        <v>32</v>
      </c>
      <c r="H602" s="817" t="s">
        <v>41</v>
      </c>
      <c r="I602" s="769" t="s">
        <v>7069</v>
      </c>
      <c r="J602" s="769" t="s">
        <v>179</v>
      </c>
      <c r="K602" s="882" t="s">
        <v>4774</v>
      </c>
      <c r="L602" s="857">
        <v>50734.51</v>
      </c>
      <c r="M602" s="857">
        <v>12683.627500000001</v>
      </c>
      <c r="N602" s="810" t="s">
        <v>4794</v>
      </c>
      <c r="O602" s="769" t="s">
        <v>7070</v>
      </c>
      <c r="P602" s="793" t="s">
        <v>7071</v>
      </c>
      <c r="Q602" s="884">
        <v>15862288026</v>
      </c>
      <c r="R602" s="810" t="s">
        <v>7072</v>
      </c>
      <c r="S602" s="810" t="s">
        <v>4670</v>
      </c>
      <c r="T602" s="769"/>
      <c r="U602" s="798"/>
    </row>
    <row r="603" spans="1:21" ht="24" customHeight="1">
      <c r="A603" s="779"/>
      <c r="B603" s="769" t="s">
        <v>1574</v>
      </c>
      <c r="C603" s="833" t="s">
        <v>5165</v>
      </c>
      <c r="D603" s="923" t="s">
        <v>1193</v>
      </c>
      <c r="E603" s="769">
        <v>134.63999999999999</v>
      </c>
      <c r="F603" s="769" t="s">
        <v>34</v>
      </c>
      <c r="G603" s="817" t="s">
        <v>32</v>
      </c>
      <c r="H603" s="817" t="s">
        <v>41</v>
      </c>
      <c r="I603" s="769" t="s">
        <v>7069</v>
      </c>
      <c r="J603" s="769" t="s">
        <v>179</v>
      </c>
      <c r="K603" s="882" t="s">
        <v>4774</v>
      </c>
      <c r="L603" s="857">
        <v>33957.880000000099</v>
      </c>
      <c r="M603" s="857">
        <v>8489.4700000000194</v>
      </c>
      <c r="N603" s="810" t="s">
        <v>4794</v>
      </c>
      <c r="O603" s="769" t="s">
        <v>7070</v>
      </c>
      <c r="P603" s="793" t="s">
        <v>7071</v>
      </c>
      <c r="Q603" s="884">
        <v>15862288026</v>
      </c>
      <c r="R603" s="810" t="s">
        <v>7072</v>
      </c>
      <c r="S603" s="810" t="s">
        <v>4670</v>
      </c>
      <c r="T603" s="769"/>
      <c r="U603" s="798"/>
    </row>
    <row r="604" spans="1:21" ht="24" customHeight="1">
      <c r="A604" s="779"/>
      <c r="B604" s="769" t="s">
        <v>1574</v>
      </c>
      <c r="C604" s="833" t="s">
        <v>5170</v>
      </c>
      <c r="D604" s="923" t="s">
        <v>1193</v>
      </c>
      <c r="E604" s="769">
        <v>671.3</v>
      </c>
      <c r="F604" s="769" t="s">
        <v>34</v>
      </c>
      <c r="G604" s="817" t="s">
        <v>32</v>
      </c>
      <c r="H604" s="817" t="s">
        <v>41</v>
      </c>
      <c r="I604" s="769" t="s">
        <v>7069</v>
      </c>
      <c r="J604" s="769" t="s">
        <v>179</v>
      </c>
      <c r="K604" s="882" t="s">
        <v>4774</v>
      </c>
      <c r="L604" s="857">
        <v>169310.18</v>
      </c>
      <c r="M604" s="857">
        <v>42327.544999999998</v>
      </c>
      <c r="N604" s="810" t="s">
        <v>4794</v>
      </c>
      <c r="O604" s="769" t="s">
        <v>7070</v>
      </c>
      <c r="P604" s="793" t="s">
        <v>7071</v>
      </c>
      <c r="Q604" s="884">
        <v>15862288026</v>
      </c>
      <c r="R604" s="810" t="s">
        <v>7072</v>
      </c>
      <c r="S604" s="810" t="s">
        <v>4670</v>
      </c>
      <c r="T604" s="769"/>
      <c r="U604" s="798"/>
    </row>
    <row r="605" spans="1:21" ht="24" customHeight="1">
      <c r="A605" s="779"/>
      <c r="B605" s="769" t="s">
        <v>1574</v>
      </c>
      <c r="C605" s="833" t="s">
        <v>1238</v>
      </c>
      <c r="D605" s="923" t="s">
        <v>1193</v>
      </c>
      <c r="E605" s="769">
        <v>125.5</v>
      </c>
      <c r="F605" s="769" t="s">
        <v>34</v>
      </c>
      <c r="G605" s="817" t="s">
        <v>32</v>
      </c>
      <c r="H605" s="817" t="s">
        <v>41</v>
      </c>
      <c r="I605" s="769" t="s">
        <v>7069</v>
      </c>
      <c r="J605" s="769" t="s">
        <v>179</v>
      </c>
      <c r="K605" s="882" t="s">
        <v>4774</v>
      </c>
      <c r="L605" s="857">
        <v>31652.6500000001</v>
      </c>
      <c r="M605" s="857">
        <v>7913.1625000000204</v>
      </c>
      <c r="N605" s="810" t="s">
        <v>4794</v>
      </c>
      <c r="O605" s="769" t="s">
        <v>7070</v>
      </c>
      <c r="P605" s="793" t="s">
        <v>7071</v>
      </c>
      <c r="Q605" s="884">
        <v>15862288026</v>
      </c>
      <c r="R605" s="810" t="s">
        <v>7072</v>
      </c>
      <c r="S605" s="810" t="s">
        <v>4670</v>
      </c>
      <c r="T605" s="769"/>
      <c r="U605" s="798"/>
    </row>
    <row r="606" spans="1:21" ht="24" customHeight="1">
      <c r="A606" s="779"/>
      <c r="B606" s="769" t="s">
        <v>1574</v>
      </c>
      <c r="C606" s="833" t="s">
        <v>5171</v>
      </c>
      <c r="D606" s="923" t="s">
        <v>1193</v>
      </c>
      <c r="E606" s="769">
        <v>80.23</v>
      </c>
      <c r="F606" s="769" t="s">
        <v>34</v>
      </c>
      <c r="G606" s="817" t="s">
        <v>32</v>
      </c>
      <c r="H606" s="817" t="s">
        <v>41</v>
      </c>
      <c r="I606" s="769" t="s">
        <v>7069</v>
      </c>
      <c r="J606" s="769" t="s">
        <v>179</v>
      </c>
      <c r="K606" s="882" t="s">
        <v>4774</v>
      </c>
      <c r="L606" s="857">
        <v>20235</v>
      </c>
      <c r="M606" s="857">
        <v>5058.75</v>
      </c>
      <c r="N606" s="810" t="s">
        <v>4794</v>
      </c>
      <c r="O606" s="769" t="s">
        <v>7070</v>
      </c>
      <c r="P606" s="793" t="s">
        <v>7071</v>
      </c>
      <c r="Q606" s="884">
        <v>15862288026</v>
      </c>
      <c r="R606" s="810" t="s">
        <v>7072</v>
      </c>
      <c r="S606" s="810" t="s">
        <v>4670</v>
      </c>
      <c r="T606" s="769"/>
      <c r="U606" s="798"/>
    </row>
    <row r="607" spans="1:21" ht="24" customHeight="1">
      <c r="A607" s="779"/>
      <c r="B607" s="769" t="s">
        <v>1574</v>
      </c>
      <c r="C607" s="833" t="s">
        <v>5162</v>
      </c>
      <c r="D607" s="923" t="s">
        <v>1193</v>
      </c>
      <c r="E607" s="769">
        <v>45.53</v>
      </c>
      <c r="F607" s="769" t="s">
        <v>34</v>
      </c>
      <c r="G607" s="817" t="s">
        <v>32</v>
      </c>
      <c r="H607" s="817" t="s">
        <v>41</v>
      </c>
      <c r="I607" s="769" t="s">
        <v>7069</v>
      </c>
      <c r="J607" s="769" t="s">
        <v>179</v>
      </c>
      <c r="K607" s="882" t="s">
        <v>4774</v>
      </c>
      <c r="L607" s="857">
        <v>11483.23</v>
      </c>
      <c r="M607" s="857">
        <v>2870.8074999999999</v>
      </c>
      <c r="N607" s="810" t="s">
        <v>4794</v>
      </c>
      <c r="O607" s="769" t="s">
        <v>7070</v>
      </c>
      <c r="P607" s="793" t="s">
        <v>7071</v>
      </c>
      <c r="Q607" s="884">
        <v>15862288026</v>
      </c>
      <c r="R607" s="810" t="s">
        <v>7072</v>
      </c>
      <c r="S607" s="810" t="s">
        <v>4670</v>
      </c>
      <c r="T607" s="769"/>
      <c r="U607" s="798"/>
    </row>
    <row r="608" spans="1:21" ht="24" customHeight="1">
      <c r="A608" s="779"/>
      <c r="B608" s="769" t="s">
        <v>5172</v>
      </c>
      <c r="C608" s="833" t="s">
        <v>4956</v>
      </c>
      <c r="D608" s="923" t="s">
        <v>1437</v>
      </c>
      <c r="E608" s="769">
        <v>1</v>
      </c>
      <c r="F608" s="769" t="s">
        <v>34</v>
      </c>
      <c r="G608" s="817" t="s">
        <v>32</v>
      </c>
      <c r="H608" s="817" t="s">
        <v>41</v>
      </c>
      <c r="I608" s="769" t="s">
        <v>7069</v>
      </c>
      <c r="J608" s="769" t="s">
        <v>179</v>
      </c>
      <c r="K608" s="882" t="s">
        <v>4774</v>
      </c>
      <c r="L608" s="857">
        <v>16371.68</v>
      </c>
      <c r="M608" s="857">
        <v>4092.92</v>
      </c>
      <c r="N608" s="810" t="s">
        <v>4794</v>
      </c>
      <c r="O608" s="769" t="s">
        <v>7070</v>
      </c>
      <c r="P608" s="793" t="s">
        <v>7071</v>
      </c>
      <c r="Q608" s="884">
        <v>15862288026</v>
      </c>
      <c r="R608" s="810" t="s">
        <v>7072</v>
      </c>
      <c r="S608" s="810" t="s">
        <v>4670</v>
      </c>
      <c r="T608" s="769"/>
      <c r="U608" s="798"/>
    </row>
    <row r="609" spans="1:21" s="933" customFormat="1" ht="24" customHeight="1">
      <c r="A609" s="926"/>
      <c r="B609" s="1582" t="s">
        <v>1278</v>
      </c>
      <c r="C609" s="927" t="s">
        <v>5173</v>
      </c>
      <c r="D609" s="329" t="s">
        <v>1193</v>
      </c>
      <c r="E609" s="928">
        <v>4.8</v>
      </c>
      <c r="F609" s="329" t="s">
        <v>34</v>
      </c>
      <c r="G609" s="238" t="s">
        <v>32</v>
      </c>
      <c r="H609" s="238" t="s">
        <v>41</v>
      </c>
      <c r="I609" s="238" t="s">
        <v>179</v>
      </c>
      <c r="J609" s="238" t="s">
        <v>179</v>
      </c>
      <c r="K609" s="1583" t="s">
        <v>4774</v>
      </c>
      <c r="L609" s="1584">
        <v>2463.7199999999998</v>
      </c>
      <c r="M609" s="1584">
        <v>615.92999999999995</v>
      </c>
      <c r="N609" s="1585" t="s">
        <v>4794</v>
      </c>
      <c r="O609" s="930" t="s">
        <v>5174</v>
      </c>
      <c r="P609" s="238" t="s">
        <v>5175</v>
      </c>
      <c r="Q609" s="930">
        <v>15862288026</v>
      </c>
      <c r="R609" s="930" t="s">
        <v>7072</v>
      </c>
      <c r="S609" s="930" t="s">
        <v>4670</v>
      </c>
      <c r="T609" s="931"/>
      <c r="U609" s="932"/>
    </row>
    <row r="610" spans="1:21" ht="24" hidden="1" customHeight="1">
      <c r="A610" s="779"/>
      <c r="B610" s="769" t="s">
        <v>1362</v>
      </c>
      <c r="C610" s="934" t="s">
        <v>5176</v>
      </c>
      <c r="D610" s="934" t="s">
        <v>888</v>
      </c>
      <c r="E610" s="294">
        <v>2019.9</v>
      </c>
      <c r="F610" s="360"/>
      <c r="G610" s="817" t="s">
        <v>32</v>
      </c>
      <c r="H610" s="817" t="s">
        <v>33</v>
      </c>
      <c r="I610" s="360" t="s">
        <v>34</v>
      </c>
      <c r="J610" s="360" t="s">
        <v>34</v>
      </c>
      <c r="K610" s="360" t="s">
        <v>5177</v>
      </c>
      <c r="L610" s="857">
        <v>470656.31</v>
      </c>
      <c r="M610" s="857">
        <v>117664.0775</v>
      </c>
      <c r="N610" s="810">
        <v>2020.01</v>
      </c>
      <c r="O610" s="810" t="s">
        <v>4690</v>
      </c>
      <c r="P610" s="810" t="s">
        <v>6990</v>
      </c>
      <c r="Q610" s="811">
        <v>13485329413</v>
      </c>
      <c r="R610" s="810" t="s">
        <v>4688</v>
      </c>
      <c r="S610" s="810" t="s">
        <v>4670</v>
      </c>
      <c r="T610" s="769"/>
      <c r="U610" s="798"/>
    </row>
    <row r="611" spans="1:21" ht="24" hidden="1" customHeight="1">
      <c r="A611" s="779"/>
      <c r="B611" s="769" t="s">
        <v>1362</v>
      </c>
      <c r="C611" s="934" t="s">
        <v>5178</v>
      </c>
      <c r="D611" s="934" t="s">
        <v>888</v>
      </c>
      <c r="E611" s="294">
        <v>179.19</v>
      </c>
      <c r="F611" s="360"/>
      <c r="G611" s="817" t="s">
        <v>32</v>
      </c>
      <c r="H611" s="817" t="s">
        <v>33</v>
      </c>
      <c r="I611" s="360" t="s">
        <v>34</v>
      </c>
      <c r="J611" s="360" t="s">
        <v>34</v>
      </c>
      <c r="K611" s="360" t="s">
        <v>5177</v>
      </c>
      <c r="L611" s="857">
        <v>41753.01</v>
      </c>
      <c r="M611" s="857">
        <v>10438.252500000001</v>
      </c>
      <c r="N611" s="810">
        <v>2020.01</v>
      </c>
      <c r="O611" s="810" t="s">
        <v>4690</v>
      </c>
      <c r="P611" s="810" t="s">
        <v>6990</v>
      </c>
      <c r="Q611" s="811">
        <v>13485329413</v>
      </c>
      <c r="R611" s="810" t="s">
        <v>4688</v>
      </c>
      <c r="S611" s="810" t="s">
        <v>4670</v>
      </c>
      <c r="T611" s="769"/>
      <c r="U611" s="798"/>
    </row>
    <row r="612" spans="1:21" ht="24" hidden="1" customHeight="1">
      <c r="A612" s="779"/>
      <c r="B612" s="769" t="s">
        <v>1362</v>
      </c>
      <c r="C612" s="934" t="s">
        <v>5179</v>
      </c>
      <c r="D612" s="934" t="s">
        <v>888</v>
      </c>
      <c r="E612" s="294">
        <v>214.72</v>
      </c>
      <c r="F612" s="360"/>
      <c r="G612" s="817" t="s">
        <v>32</v>
      </c>
      <c r="H612" s="817" t="s">
        <v>33</v>
      </c>
      <c r="I612" s="360" t="s">
        <v>34</v>
      </c>
      <c r="J612" s="360" t="s">
        <v>34</v>
      </c>
      <c r="K612" s="360" t="s">
        <v>5177</v>
      </c>
      <c r="L612" s="857">
        <v>50031.839999999997</v>
      </c>
      <c r="M612" s="857">
        <v>12507.96</v>
      </c>
      <c r="N612" s="810">
        <v>2020.01</v>
      </c>
      <c r="O612" s="810" t="s">
        <v>4690</v>
      </c>
      <c r="P612" s="810" t="s">
        <v>6990</v>
      </c>
      <c r="Q612" s="811">
        <v>13485329413</v>
      </c>
      <c r="R612" s="810" t="s">
        <v>4688</v>
      </c>
      <c r="S612" s="810" t="s">
        <v>4670</v>
      </c>
      <c r="T612" s="769"/>
      <c r="U612" s="798"/>
    </row>
    <row r="613" spans="1:21" ht="24" hidden="1" customHeight="1">
      <c r="A613" s="779"/>
      <c r="B613" s="769" t="s">
        <v>1362</v>
      </c>
      <c r="C613" s="934" t="s">
        <v>5180</v>
      </c>
      <c r="D613" s="934" t="s">
        <v>131</v>
      </c>
      <c r="E613" s="294">
        <v>10</v>
      </c>
      <c r="F613" s="360"/>
      <c r="G613" s="817" t="s">
        <v>32</v>
      </c>
      <c r="H613" s="817" t="s">
        <v>33</v>
      </c>
      <c r="I613" s="360" t="s">
        <v>34</v>
      </c>
      <c r="J613" s="360" t="s">
        <v>34</v>
      </c>
      <c r="K613" s="360" t="s">
        <v>5177</v>
      </c>
      <c r="L613" s="857">
        <v>18462.82</v>
      </c>
      <c r="M613" s="857">
        <v>4615.7050000000299</v>
      </c>
      <c r="N613" s="810">
        <v>2020.01</v>
      </c>
      <c r="O613" s="810" t="s">
        <v>4690</v>
      </c>
      <c r="P613" s="810" t="s">
        <v>6990</v>
      </c>
      <c r="Q613" s="811">
        <v>13485329413</v>
      </c>
      <c r="R613" s="810" t="s">
        <v>4688</v>
      </c>
      <c r="S613" s="810" t="s">
        <v>4670</v>
      </c>
      <c r="T613" s="769"/>
      <c r="U613" s="798"/>
    </row>
    <row r="614" spans="1:21" ht="24" hidden="1" customHeight="1">
      <c r="A614" s="779"/>
      <c r="B614" s="769" t="s">
        <v>1362</v>
      </c>
      <c r="C614" s="934" t="s">
        <v>5181</v>
      </c>
      <c r="D614" s="934" t="s">
        <v>888</v>
      </c>
      <c r="E614" s="294">
        <v>19.440000000000001</v>
      </c>
      <c r="F614" s="360"/>
      <c r="G614" s="817" t="s">
        <v>32</v>
      </c>
      <c r="H614" s="817" t="s">
        <v>33</v>
      </c>
      <c r="I614" s="360" t="s">
        <v>34</v>
      </c>
      <c r="J614" s="360" t="s">
        <v>34</v>
      </c>
      <c r="K614" s="360" t="s">
        <v>5177</v>
      </c>
      <c r="L614" s="857">
        <v>2527.19</v>
      </c>
      <c r="M614" s="857">
        <v>631.79750000000001</v>
      </c>
      <c r="N614" s="810">
        <v>2020.01</v>
      </c>
      <c r="O614" s="810" t="s">
        <v>4690</v>
      </c>
      <c r="P614" s="810" t="s">
        <v>6990</v>
      </c>
      <c r="Q614" s="811">
        <v>13485329413</v>
      </c>
      <c r="R614" s="810" t="s">
        <v>4688</v>
      </c>
      <c r="S614" s="810" t="s">
        <v>4670</v>
      </c>
      <c r="T614" s="769"/>
      <c r="U614" s="798"/>
    </row>
    <row r="615" spans="1:21" ht="24" hidden="1" customHeight="1">
      <c r="A615" s="779"/>
      <c r="B615" s="769" t="s">
        <v>1362</v>
      </c>
      <c r="C615" s="934" t="s">
        <v>5182</v>
      </c>
      <c r="D615" s="934" t="s">
        <v>888</v>
      </c>
      <c r="E615" s="294">
        <v>12.96</v>
      </c>
      <c r="F615" s="360"/>
      <c r="G615" s="817" t="s">
        <v>32</v>
      </c>
      <c r="H615" s="817" t="s">
        <v>33</v>
      </c>
      <c r="I615" s="360" t="s">
        <v>34</v>
      </c>
      <c r="J615" s="360" t="s">
        <v>34</v>
      </c>
      <c r="K615" s="360" t="s">
        <v>5177</v>
      </c>
      <c r="L615" s="857">
        <v>1684.8</v>
      </c>
      <c r="M615" s="857">
        <v>421.2</v>
      </c>
      <c r="N615" s="810">
        <v>2020.01</v>
      </c>
      <c r="O615" s="810" t="s">
        <v>4690</v>
      </c>
      <c r="P615" s="810" t="s">
        <v>6990</v>
      </c>
      <c r="Q615" s="811">
        <v>13485329413</v>
      </c>
      <c r="R615" s="810" t="s">
        <v>4688</v>
      </c>
      <c r="S615" s="810" t="s">
        <v>4670</v>
      </c>
      <c r="T615" s="769"/>
      <c r="U615" s="798"/>
    </row>
    <row r="616" spans="1:21" ht="24" hidden="1" customHeight="1">
      <c r="A616" s="779"/>
      <c r="B616" s="769" t="s">
        <v>1362</v>
      </c>
      <c r="C616" s="934" t="s">
        <v>5183</v>
      </c>
      <c r="D616" s="934" t="s">
        <v>131</v>
      </c>
      <c r="E616" s="294">
        <v>2</v>
      </c>
      <c r="F616" s="360"/>
      <c r="G616" s="817" t="s">
        <v>32</v>
      </c>
      <c r="H616" s="817" t="s">
        <v>33</v>
      </c>
      <c r="I616" s="360" t="s">
        <v>34</v>
      </c>
      <c r="J616" s="360" t="s">
        <v>34</v>
      </c>
      <c r="K616" s="360" t="s">
        <v>5177</v>
      </c>
      <c r="L616" s="857">
        <v>4155.3599999999997</v>
      </c>
      <c r="M616" s="857">
        <v>1038.8399999999999</v>
      </c>
      <c r="N616" s="810">
        <v>2020.01</v>
      </c>
      <c r="O616" s="810" t="s">
        <v>4690</v>
      </c>
      <c r="P616" s="810" t="s">
        <v>6990</v>
      </c>
      <c r="Q616" s="811">
        <v>13485329413</v>
      </c>
      <c r="R616" s="810" t="s">
        <v>4688</v>
      </c>
      <c r="S616" s="810" t="s">
        <v>4670</v>
      </c>
      <c r="T616" s="769"/>
      <c r="U616" s="798"/>
    </row>
    <row r="617" spans="1:21" ht="24" hidden="1" customHeight="1">
      <c r="A617" s="779"/>
      <c r="B617" s="769" t="s">
        <v>1362</v>
      </c>
      <c r="C617" s="934" t="s">
        <v>5184</v>
      </c>
      <c r="D617" s="934" t="s">
        <v>888</v>
      </c>
      <c r="E617" s="294">
        <v>38.880000000000003</v>
      </c>
      <c r="F617" s="360"/>
      <c r="G617" s="817" t="s">
        <v>32</v>
      </c>
      <c r="H617" s="817" t="s">
        <v>33</v>
      </c>
      <c r="I617" s="360" t="s">
        <v>34</v>
      </c>
      <c r="J617" s="360" t="s">
        <v>34</v>
      </c>
      <c r="K617" s="360" t="s">
        <v>5177</v>
      </c>
      <c r="L617" s="857">
        <v>5054.3999999999996</v>
      </c>
      <c r="M617" s="857">
        <v>1263.5999999999999</v>
      </c>
      <c r="N617" s="810">
        <v>2020.01</v>
      </c>
      <c r="O617" s="810" t="s">
        <v>4690</v>
      </c>
      <c r="P617" s="810" t="s">
        <v>6990</v>
      </c>
      <c r="Q617" s="811">
        <v>13485329413</v>
      </c>
      <c r="R617" s="810" t="s">
        <v>4688</v>
      </c>
      <c r="S617" s="810" t="s">
        <v>4670</v>
      </c>
      <c r="T617" s="769"/>
      <c r="U617" s="798"/>
    </row>
    <row r="618" spans="1:21" ht="24" hidden="1" customHeight="1">
      <c r="A618" s="779"/>
      <c r="B618" s="769" t="s">
        <v>1362</v>
      </c>
      <c r="C618" s="934" t="s">
        <v>5182</v>
      </c>
      <c r="D618" s="934" t="s">
        <v>888</v>
      </c>
      <c r="E618" s="294">
        <v>12.96</v>
      </c>
      <c r="F618" s="360"/>
      <c r="G618" s="817" t="s">
        <v>32</v>
      </c>
      <c r="H618" s="817" t="s">
        <v>33</v>
      </c>
      <c r="I618" s="360" t="s">
        <v>34</v>
      </c>
      <c r="J618" s="360" t="s">
        <v>34</v>
      </c>
      <c r="K618" s="360" t="s">
        <v>5177</v>
      </c>
      <c r="L618" s="857">
        <v>1684.8</v>
      </c>
      <c r="M618" s="857">
        <v>421.2</v>
      </c>
      <c r="N618" s="810">
        <v>2020.01</v>
      </c>
      <c r="O618" s="810" t="s">
        <v>4690</v>
      </c>
      <c r="P618" s="810" t="s">
        <v>6990</v>
      </c>
      <c r="Q618" s="811">
        <v>13485329413</v>
      </c>
      <c r="R618" s="810" t="s">
        <v>4688</v>
      </c>
      <c r="S618" s="810" t="s">
        <v>4670</v>
      </c>
      <c r="T618" s="769"/>
      <c r="U618" s="798"/>
    </row>
    <row r="619" spans="1:21" ht="24" hidden="1" customHeight="1">
      <c r="A619" s="779"/>
      <c r="B619" s="769" t="s">
        <v>1362</v>
      </c>
      <c r="C619" s="935" t="s">
        <v>5185</v>
      </c>
      <c r="D619" s="936" t="s">
        <v>1193</v>
      </c>
      <c r="E619" s="936">
        <v>289.27999999999997</v>
      </c>
      <c r="F619" s="360"/>
      <c r="G619" s="817" t="s">
        <v>32</v>
      </c>
      <c r="H619" s="817" t="s">
        <v>33</v>
      </c>
      <c r="I619" s="360" t="s">
        <v>34</v>
      </c>
      <c r="J619" s="360" t="s">
        <v>34</v>
      </c>
      <c r="K619" s="360" t="s">
        <v>4774</v>
      </c>
      <c r="L619" s="857">
        <v>72985.343999999997</v>
      </c>
      <c r="M619" s="857">
        <v>18246.335999999999</v>
      </c>
      <c r="N619" s="810">
        <v>2020.03</v>
      </c>
      <c r="O619" s="810" t="s">
        <v>4690</v>
      </c>
      <c r="P619" s="810" t="s">
        <v>6990</v>
      </c>
      <c r="Q619" s="811">
        <v>13485329413</v>
      </c>
      <c r="R619" s="810" t="s">
        <v>4688</v>
      </c>
      <c r="S619" s="810" t="s">
        <v>4670</v>
      </c>
      <c r="T619" s="769"/>
      <c r="U619" s="798"/>
    </row>
    <row r="620" spans="1:21" ht="24" hidden="1" customHeight="1">
      <c r="A620" s="779"/>
      <c r="B620" s="769" t="s">
        <v>1362</v>
      </c>
      <c r="C620" s="360" t="s">
        <v>5186</v>
      </c>
      <c r="D620" s="360" t="s">
        <v>1193</v>
      </c>
      <c r="E620" s="360">
        <v>60.5</v>
      </c>
      <c r="F620" s="360"/>
      <c r="G620" s="817" t="s">
        <v>32</v>
      </c>
      <c r="H620" s="817" t="s">
        <v>33</v>
      </c>
      <c r="I620" s="360" t="s">
        <v>34</v>
      </c>
      <c r="J620" s="360" t="s">
        <v>34</v>
      </c>
      <c r="K620" s="360" t="s">
        <v>4774</v>
      </c>
      <c r="L620" s="857">
        <v>8046.5</v>
      </c>
      <c r="M620" s="857">
        <v>2011.625</v>
      </c>
      <c r="N620" s="810">
        <v>2020.03</v>
      </c>
      <c r="O620" s="810" t="s">
        <v>4690</v>
      </c>
      <c r="P620" s="810" t="s">
        <v>6990</v>
      </c>
      <c r="Q620" s="811">
        <v>13485329413</v>
      </c>
      <c r="R620" s="810" t="s">
        <v>4688</v>
      </c>
      <c r="S620" s="810" t="s">
        <v>4670</v>
      </c>
      <c r="T620" s="769"/>
      <c r="U620" s="798"/>
    </row>
    <row r="621" spans="1:21" ht="24" hidden="1" customHeight="1">
      <c r="A621" s="779"/>
      <c r="B621" s="769" t="s">
        <v>1362</v>
      </c>
      <c r="C621" s="769" t="s">
        <v>5187</v>
      </c>
      <c r="D621" s="769" t="s">
        <v>1193</v>
      </c>
      <c r="E621" s="769">
        <v>156.91999999999999</v>
      </c>
      <c r="F621" s="769" t="s">
        <v>34</v>
      </c>
      <c r="G621" s="817" t="s">
        <v>32</v>
      </c>
      <c r="H621" s="817" t="s">
        <v>33</v>
      </c>
      <c r="I621" s="769" t="s">
        <v>6888</v>
      </c>
      <c r="J621" s="769" t="s">
        <v>6888</v>
      </c>
      <c r="K621" s="769" t="s">
        <v>5188</v>
      </c>
      <c r="L621" s="857">
        <v>32168.6</v>
      </c>
      <c r="M621" s="857">
        <v>9275.9915355326993</v>
      </c>
      <c r="N621" s="810">
        <v>2020.06</v>
      </c>
      <c r="O621" s="810" t="s">
        <v>6997</v>
      </c>
      <c r="P621" s="810" t="s">
        <v>5055</v>
      </c>
      <c r="Q621" s="811">
        <v>13847129712</v>
      </c>
      <c r="R621" s="810" t="s">
        <v>5056</v>
      </c>
      <c r="S621" s="810" t="s">
        <v>4670</v>
      </c>
      <c r="T621" s="769"/>
      <c r="U621" s="937"/>
    </row>
    <row r="622" spans="1:21" ht="24" hidden="1" customHeight="1">
      <c r="A622" s="779"/>
      <c r="B622" s="769" t="s">
        <v>1362</v>
      </c>
      <c r="C622" s="769" t="s">
        <v>5189</v>
      </c>
      <c r="D622" s="769" t="s">
        <v>1193</v>
      </c>
      <c r="E622" s="769">
        <v>202.44</v>
      </c>
      <c r="F622" s="769" t="s">
        <v>34</v>
      </c>
      <c r="G622" s="817" t="s">
        <v>32</v>
      </c>
      <c r="H622" s="817" t="s">
        <v>33</v>
      </c>
      <c r="I622" s="769" t="s">
        <v>6888</v>
      </c>
      <c r="J622" s="769" t="s">
        <v>6888</v>
      </c>
      <c r="K622" s="769" t="s">
        <v>5188</v>
      </c>
      <c r="L622" s="857">
        <v>41500.199999999997</v>
      </c>
      <c r="M622" s="857">
        <v>11966.807603019</v>
      </c>
      <c r="N622" s="810">
        <v>2020.06</v>
      </c>
      <c r="O622" s="810" t="s">
        <v>6997</v>
      </c>
      <c r="P622" s="810" t="s">
        <v>5055</v>
      </c>
      <c r="Q622" s="811">
        <v>13847129712</v>
      </c>
      <c r="R622" s="810" t="s">
        <v>5056</v>
      </c>
      <c r="S622" s="810" t="s">
        <v>4670</v>
      </c>
      <c r="T622" s="769"/>
      <c r="U622" s="937"/>
    </row>
    <row r="623" spans="1:21" ht="24" hidden="1" customHeight="1">
      <c r="A623" s="779"/>
      <c r="B623" s="769" t="s">
        <v>1362</v>
      </c>
      <c r="C623" s="769" t="s">
        <v>5190</v>
      </c>
      <c r="D623" s="769" t="s">
        <v>1193</v>
      </c>
      <c r="E623" s="769">
        <v>856.8</v>
      </c>
      <c r="F623" s="769" t="s">
        <v>34</v>
      </c>
      <c r="G623" s="817" t="s">
        <v>32</v>
      </c>
      <c r="H623" s="817" t="s">
        <v>33</v>
      </c>
      <c r="I623" s="769" t="s">
        <v>6888</v>
      </c>
      <c r="J623" s="769" t="s">
        <v>6888</v>
      </c>
      <c r="K623" s="769" t="s">
        <v>5188</v>
      </c>
      <c r="L623" s="857">
        <v>158470.07</v>
      </c>
      <c r="M623" s="857">
        <v>45695.668142955401</v>
      </c>
      <c r="N623" s="810">
        <v>2020.06</v>
      </c>
      <c r="O623" s="810" t="s">
        <v>6997</v>
      </c>
      <c r="P623" s="810" t="s">
        <v>5055</v>
      </c>
      <c r="Q623" s="811">
        <v>13847129712</v>
      </c>
      <c r="R623" s="810" t="s">
        <v>5056</v>
      </c>
      <c r="S623" s="810" t="s">
        <v>4670</v>
      </c>
      <c r="T623" s="769"/>
      <c r="U623" s="937"/>
    </row>
    <row r="624" spans="1:21" ht="24" hidden="1" customHeight="1">
      <c r="A624" s="779"/>
      <c r="B624" s="360" t="s">
        <v>1362</v>
      </c>
      <c r="C624" s="360" t="s">
        <v>5191</v>
      </c>
      <c r="D624" s="360" t="s">
        <v>1193</v>
      </c>
      <c r="E624" s="360">
        <v>598.86</v>
      </c>
      <c r="F624" s="360" t="s">
        <v>34</v>
      </c>
      <c r="G624" s="817" t="s">
        <v>32</v>
      </c>
      <c r="H624" s="817" t="s">
        <v>33</v>
      </c>
      <c r="I624" s="360" t="s">
        <v>34</v>
      </c>
      <c r="J624" s="360" t="s">
        <v>34</v>
      </c>
      <c r="K624" s="360" t="s">
        <v>5058</v>
      </c>
      <c r="L624" s="857">
        <v>145740.26</v>
      </c>
      <c r="M624" s="857">
        <v>82458.28</v>
      </c>
      <c r="N624" s="810">
        <v>2021.01</v>
      </c>
      <c r="O624" s="810" t="s">
        <v>5060</v>
      </c>
      <c r="P624" s="810" t="s">
        <v>6999</v>
      </c>
      <c r="Q624" s="811">
        <v>13848648288</v>
      </c>
      <c r="R624" s="810" t="s">
        <v>7000</v>
      </c>
      <c r="S624" s="810" t="s">
        <v>4670</v>
      </c>
      <c r="T624" s="769"/>
      <c r="U624" s="798"/>
    </row>
    <row r="625" spans="1:21" ht="24" hidden="1" customHeight="1">
      <c r="A625" s="779"/>
      <c r="B625" s="360" t="s">
        <v>1362</v>
      </c>
      <c r="C625" s="360" t="s">
        <v>5192</v>
      </c>
      <c r="D625" s="360" t="s">
        <v>1193</v>
      </c>
      <c r="E625" s="360">
        <v>269.27999999999997</v>
      </c>
      <c r="F625" s="360" t="s">
        <v>34</v>
      </c>
      <c r="G625" s="817" t="s">
        <v>32</v>
      </c>
      <c r="H625" s="817" t="s">
        <v>33</v>
      </c>
      <c r="I625" s="360" t="s">
        <v>34</v>
      </c>
      <c r="J625" s="360" t="s">
        <v>34</v>
      </c>
      <c r="K625" s="360" t="s">
        <v>5058</v>
      </c>
      <c r="L625" s="857">
        <v>58383.72</v>
      </c>
      <c r="M625" s="857">
        <v>33032.9</v>
      </c>
      <c r="N625" s="810">
        <v>2021.01</v>
      </c>
      <c r="O625" s="810" t="s">
        <v>5060</v>
      </c>
      <c r="P625" s="810" t="s">
        <v>6999</v>
      </c>
      <c r="Q625" s="811">
        <v>13848648288</v>
      </c>
      <c r="R625" s="810" t="s">
        <v>7000</v>
      </c>
      <c r="S625" s="810" t="s">
        <v>4670</v>
      </c>
      <c r="T625" s="769"/>
      <c r="U625" s="798"/>
    </row>
    <row r="626" spans="1:21" ht="24" hidden="1" customHeight="1">
      <c r="A626" s="779"/>
      <c r="B626" s="360" t="s">
        <v>1362</v>
      </c>
      <c r="C626" s="360" t="s">
        <v>5193</v>
      </c>
      <c r="D626" s="360" t="s">
        <v>1193</v>
      </c>
      <c r="E626" s="360">
        <v>124.48</v>
      </c>
      <c r="F626" s="360" t="s">
        <v>6888</v>
      </c>
      <c r="G626" s="817" t="s">
        <v>32</v>
      </c>
      <c r="H626" s="817" t="s">
        <v>33</v>
      </c>
      <c r="I626" s="360" t="s">
        <v>34</v>
      </c>
      <c r="J626" s="360" t="s">
        <v>6888</v>
      </c>
      <c r="K626" s="360" t="s">
        <v>5058</v>
      </c>
      <c r="L626" s="857">
        <v>26989.03</v>
      </c>
      <c r="M626" s="857">
        <v>15270.08</v>
      </c>
      <c r="N626" s="810">
        <v>2021.01</v>
      </c>
      <c r="O626" s="810" t="s">
        <v>5060</v>
      </c>
      <c r="P626" s="810" t="s">
        <v>6999</v>
      </c>
      <c r="Q626" s="811">
        <v>13848648288</v>
      </c>
      <c r="R626" s="810" t="s">
        <v>7000</v>
      </c>
      <c r="S626" s="810" t="s">
        <v>4670</v>
      </c>
      <c r="T626" s="769"/>
      <c r="U626" s="798"/>
    </row>
    <row r="627" spans="1:21" ht="24" hidden="1" customHeight="1">
      <c r="A627" s="779"/>
      <c r="B627" s="360" t="s">
        <v>1362</v>
      </c>
      <c r="C627" s="653" t="s">
        <v>5194</v>
      </c>
      <c r="D627" s="653" t="s">
        <v>3061</v>
      </c>
      <c r="E627" s="653">
        <v>613.9</v>
      </c>
      <c r="F627" s="360"/>
      <c r="G627" s="817" t="s">
        <v>32</v>
      </c>
      <c r="H627" s="817" t="s">
        <v>33</v>
      </c>
      <c r="I627" s="360" t="s">
        <v>6888</v>
      </c>
      <c r="J627" s="360" t="s">
        <v>6888</v>
      </c>
      <c r="K627" s="360" t="s">
        <v>7073</v>
      </c>
      <c r="L627" s="857">
        <v>133102.21238938</v>
      </c>
      <c r="M627" s="654">
        <v>94707.36</v>
      </c>
      <c r="N627" s="360">
        <v>2021.07</v>
      </c>
      <c r="O627" s="360" t="s">
        <v>7005</v>
      </c>
      <c r="P627" s="817" t="s">
        <v>7006</v>
      </c>
      <c r="Q627" s="360">
        <v>18033772730</v>
      </c>
      <c r="R627" s="789" t="s">
        <v>5068</v>
      </c>
      <c r="S627" s="789" t="s">
        <v>6892</v>
      </c>
      <c r="T627" s="897"/>
      <c r="U627" s="937"/>
    </row>
    <row r="628" spans="1:21" ht="24" hidden="1" customHeight="1">
      <c r="A628" s="779"/>
      <c r="B628" s="360" t="s">
        <v>1362</v>
      </c>
      <c r="C628" s="653" t="s">
        <v>5139</v>
      </c>
      <c r="D628" s="653" t="s">
        <v>3061</v>
      </c>
      <c r="E628" s="653">
        <v>521.15</v>
      </c>
      <c r="F628" s="360"/>
      <c r="G628" s="817" t="s">
        <v>3560</v>
      </c>
      <c r="H628" s="817" t="s">
        <v>33</v>
      </c>
      <c r="I628" s="360" t="s">
        <v>6888</v>
      </c>
      <c r="J628" s="360" t="s">
        <v>6888</v>
      </c>
      <c r="K628" s="360" t="s">
        <v>7073</v>
      </c>
      <c r="L628" s="857">
        <v>62261.283185840897</v>
      </c>
      <c r="M628" s="654">
        <v>38314.629999999997</v>
      </c>
      <c r="N628" s="360">
        <v>2021.07</v>
      </c>
      <c r="O628" s="360" t="s">
        <v>7005</v>
      </c>
      <c r="P628" s="817" t="s">
        <v>7006</v>
      </c>
      <c r="Q628" s="360">
        <v>18033772730</v>
      </c>
      <c r="R628" s="789" t="s">
        <v>5068</v>
      </c>
      <c r="S628" s="789" t="s">
        <v>6892</v>
      </c>
      <c r="T628" s="897"/>
      <c r="U628" s="937"/>
    </row>
    <row r="629" spans="1:21" ht="24" hidden="1" customHeight="1">
      <c r="A629" s="779"/>
      <c r="B629" s="360" t="s">
        <v>1362</v>
      </c>
      <c r="C629" s="653" t="s">
        <v>5107</v>
      </c>
      <c r="D629" s="653" t="s">
        <v>3061</v>
      </c>
      <c r="E629" s="653">
        <v>156.91999999999999</v>
      </c>
      <c r="F629" s="360"/>
      <c r="G629" s="817" t="s">
        <v>3560</v>
      </c>
      <c r="H629" s="817" t="s">
        <v>33</v>
      </c>
      <c r="I629" s="360" t="s">
        <v>6888</v>
      </c>
      <c r="J629" s="360" t="s">
        <v>6888</v>
      </c>
      <c r="K629" s="360" t="s">
        <v>7073</v>
      </c>
      <c r="L629" s="857">
        <v>18747.079646017799</v>
      </c>
      <c r="M629" s="654">
        <v>11536.68</v>
      </c>
      <c r="N629" s="360">
        <v>2021.07</v>
      </c>
      <c r="O629" s="360" t="s">
        <v>7005</v>
      </c>
      <c r="P629" s="817" t="s">
        <v>7006</v>
      </c>
      <c r="Q629" s="360">
        <v>18033772730</v>
      </c>
      <c r="R629" s="789" t="s">
        <v>5068</v>
      </c>
      <c r="S629" s="789" t="s">
        <v>6892</v>
      </c>
      <c r="T629" s="897"/>
      <c r="U629" s="937"/>
    </row>
    <row r="630" spans="1:21" ht="24" hidden="1" customHeight="1">
      <c r="A630" s="779"/>
      <c r="B630" s="360" t="s">
        <v>1362</v>
      </c>
      <c r="C630" s="653" t="s">
        <v>5136</v>
      </c>
      <c r="D630" s="653" t="s">
        <v>3061</v>
      </c>
      <c r="E630" s="653">
        <v>67.81</v>
      </c>
      <c r="F630" s="360"/>
      <c r="G630" s="360" t="s">
        <v>3560</v>
      </c>
      <c r="H630" s="360" t="s">
        <v>33</v>
      </c>
      <c r="I630" s="360" t="s">
        <v>6888</v>
      </c>
      <c r="J630" s="360" t="s">
        <v>6888</v>
      </c>
      <c r="K630" s="360" t="s">
        <v>7073</v>
      </c>
      <c r="L630" s="857">
        <v>8101.19469026552</v>
      </c>
      <c r="M630" s="654">
        <v>4985.34</v>
      </c>
      <c r="N630" s="360">
        <v>2021.07</v>
      </c>
      <c r="O630" s="360" t="s">
        <v>7005</v>
      </c>
      <c r="P630" s="817" t="s">
        <v>7006</v>
      </c>
      <c r="Q630" s="360">
        <v>18033772730</v>
      </c>
      <c r="R630" s="789" t="s">
        <v>5068</v>
      </c>
      <c r="S630" s="789" t="s">
        <v>6892</v>
      </c>
      <c r="T630" s="897"/>
      <c r="U630" s="937"/>
    </row>
    <row r="631" spans="1:21" ht="24" hidden="1" customHeight="1">
      <c r="A631" s="779"/>
      <c r="B631" s="360" t="s">
        <v>1362</v>
      </c>
      <c r="C631" s="360" t="s">
        <v>5195</v>
      </c>
      <c r="D631" s="360" t="s">
        <v>888</v>
      </c>
      <c r="E631" s="360">
        <v>3172</v>
      </c>
      <c r="F631" s="360" t="s">
        <v>34</v>
      </c>
      <c r="G631" s="360" t="s">
        <v>32</v>
      </c>
      <c r="H631" s="360" t="s">
        <v>33</v>
      </c>
      <c r="I631" s="360" t="s">
        <v>34</v>
      </c>
      <c r="J631" s="360" t="s">
        <v>34</v>
      </c>
      <c r="K631" s="360" t="s">
        <v>4774</v>
      </c>
      <c r="L631" s="360">
        <v>800017.69911504397</v>
      </c>
      <c r="M631" s="360">
        <v>595814.51783723803</v>
      </c>
      <c r="N631" s="360">
        <v>2021.12</v>
      </c>
      <c r="O631" s="360" t="s">
        <v>4780</v>
      </c>
      <c r="P631" s="360" t="s">
        <v>6889</v>
      </c>
      <c r="Q631" s="360">
        <v>15635397648</v>
      </c>
      <c r="R631" s="360" t="s">
        <v>4781</v>
      </c>
      <c r="S631" s="360" t="s">
        <v>4670</v>
      </c>
      <c r="T631" s="897"/>
      <c r="U631" s="937"/>
    </row>
    <row r="632" spans="1:21" ht="24" hidden="1" customHeight="1">
      <c r="A632" s="779"/>
      <c r="B632" s="360" t="s">
        <v>1362</v>
      </c>
      <c r="C632" s="360" t="s">
        <v>7074</v>
      </c>
      <c r="D632" s="360" t="s">
        <v>888</v>
      </c>
      <c r="E632" s="360">
        <v>2100</v>
      </c>
      <c r="F632" s="360" t="s">
        <v>34</v>
      </c>
      <c r="G632" s="360" t="s">
        <v>32</v>
      </c>
      <c r="H632" s="360" t="s">
        <v>33</v>
      </c>
      <c r="I632" s="360" t="s">
        <v>34</v>
      </c>
      <c r="J632" s="360" t="s">
        <v>34</v>
      </c>
      <c r="K632" s="360" t="s">
        <v>4774</v>
      </c>
      <c r="L632" s="360">
        <v>52035.398230088504</v>
      </c>
      <c r="M632" s="360">
        <v>38753.449756454</v>
      </c>
      <c r="N632" s="360">
        <v>2021.12</v>
      </c>
      <c r="O632" s="360" t="s">
        <v>4780</v>
      </c>
      <c r="P632" s="360" t="s">
        <v>6889</v>
      </c>
      <c r="Q632" s="360">
        <v>15635397648</v>
      </c>
      <c r="R632" s="360" t="s">
        <v>4781</v>
      </c>
      <c r="S632" s="360" t="s">
        <v>4670</v>
      </c>
      <c r="T632" s="897"/>
      <c r="U632" s="937"/>
    </row>
    <row r="633" spans="1:21" ht="24" hidden="1" customHeight="1">
      <c r="A633" s="779"/>
      <c r="B633" s="360" t="s">
        <v>1362</v>
      </c>
      <c r="C633" s="360" t="s">
        <v>5196</v>
      </c>
      <c r="D633" s="360" t="s">
        <v>888</v>
      </c>
      <c r="E633" s="360">
        <v>470.75</v>
      </c>
      <c r="F633" s="360" t="s">
        <v>34</v>
      </c>
      <c r="G633" s="360" t="s">
        <v>32</v>
      </c>
      <c r="H633" s="360" t="s">
        <v>33</v>
      </c>
      <c r="I633" s="360" t="s">
        <v>34</v>
      </c>
      <c r="J633" s="360" t="s">
        <v>34</v>
      </c>
      <c r="K633" s="360" t="s">
        <v>4774</v>
      </c>
      <c r="L633" s="360">
        <v>118728.98230088501</v>
      </c>
      <c r="M633" s="360">
        <v>88423.607904123506</v>
      </c>
      <c r="N633" s="360">
        <v>2021.12</v>
      </c>
      <c r="O633" s="360" t="s">
        <v>4780</v>
      </c>
      <c r="P633" s="360" t="s">
        <v>6889</v>
      </c>
      <c r="Q633" s="360">
        <v>15635397648</v>
      </c>
      <c r="R633" s="360" t="s">
        <v>4781</v>
      </c>
      <c r="S633" s="360" t="s">
        <v>4670</v>
      </c>
      <c r="T633" s="897"/>
      <c r="U633" s="937"/>
    </row>
    <row r="634" spans="1:21" ht="24" hidden="1" customHeight="1">
      <c r="A634" s="779"/>
      <c r="B634" s="360" t="s">
        <v>1362</v>
      </c>
      <c r="C634" s="360" t="s">
        <v>5103</v>
      </c>
      <c r="D634" s="360" t="s">
        <v>888</v>
      </c>
      <c r="E634" s="360">
        <v>193.44</v>
      </c>
      <c r="F634" s="360" t="s">
        <v>34</v>
      </c>
      <c r="G634" s="360" t="s">
        <v>32</v>
      </c>
      <c r="H634" s="360" t="s">
        <v>33</v>
      </c>
      <c r="I634" s="360" t="s">
        <v>34</v>
      </c>
      <c r="J634" s="360" t="s">
        <v>34</v>
      </c>
      <c r="K634" s="360" t="s">
        <v>4774</v>
      </c>
      <c r="L634" s="360">
        <v>48787.964601769898</v>
      </c>
      <c r="M634" s="360">
        <v>36334.918136959401</v>
      </c>
      <c r="N634" s="360">
        <v>2021.12</v>
      </c>
      <c r="O634" s="360" t="s">
        <v>4780</v>
      </c>
      <c r="P634" s="360" t="s">
        <v>6889</v>
      </c>
      <c r="Q634" s="360">
        <v>15635397648</v>
      </c>
      <c r="R634" s="360" t="s">
        <v>4781</v>
      </c>
      <c r="S634" s="360" t="s">
        <v>4670</v>
      </c>
      <c r="T634" s="897"/>
      <c r="U634" s="937"/>
    </row>
    <row r="635" spans="1:21" ht="24" hidden="1" customHeight="1">
      <c r="A635" s="779"/>
      <c r="B635" s="360" t="s">
        <v>1362</v>
      </c>
      <c r="C635" s="360" t="s">
        <v>5197</v>
      </c>
      <c r="D635" s="360" t="s">
        <v>888</v>
      </c>
      <c r="E635" s="360">
        <v>45.53</v>
      </c>
      <c r="F635" s="360" t="s">
        <v>34</v>
      </c>
      <c r="G635" s="360" t="s">
        <v>32</v>
      </c>
      <c r="H635" s="360" t="s">
        <v>33</v>
      </c>
      <c r="I635" s="360" t="s">
        <v>34</v>
      </c>
      <c r="J635" s="360" t="s">
        <v>34</v>
      </c>
      <c r="K635" s="360" t="s">
        <v>4774</v>
      </c>
      <c r="L635" s="360">
        <v>12087.610619469</v>
      </c>
      <c r="M635" s="360">
        <v>9002.2682010783101</v>
      </c>
      <c r="N635" s="360">
        <v>2021.12</v>
      </c>
      <c r="O635" s="360" t="s">
        <v>4780</v>
      </c>
      <c r="P635" s="360" t="s">
        <v>6889</v>
      </c>
      <c r="Q635" s="360">
        <v>15635397648</v>
      </c>
      <c r="R635" s="360" t="s">
        <v>4781</v>
      </c>
      <c r="S635" s="360" t="s">
        <v>4670</v>
      </c>
      <c r="T635" s="897"/>
      <c r="U635" s="937"/>
    </row>
    <row r="636" spans="1:21" ht="24" hidden="1" customHeight="1">
      <c r="A636" s="779"/>
      <c r="B636" s="360" t="s">
        <v>1362</v>
      </c>
      <c r="C636" s="360" t="s">
        <v>7075</v>
      </c>
      <c r="D636" s="360" t="s">
        <v>1437</v>
      </c>
      <c r="E636" s="360">
        <v>9</v>
      </c>
      <c r="F636" s="360" t="s">
        <v>34</v>
      </c>
      <c r="G636" s="360" t="s">
        <v>32</v>
      </c>
      <c r="H636" s="360" t="s">
        <v>33</v>
      </c>
      <c r="I636" s="360" t="s">
        <v>34</v>
      </c>
      <c r="J636" s="360" t="s">
        <v>34</v>
      </c>
      <c r="K636" s="360" t="s">
        <v>4774</v>
      </c>
      <c r="L636" s="360">
        <v>47787.610619469</v>
      </c>
      <c r="M636" s="360">
        <v>35589.902837559799</v>
      </c>
      <c r="N636" s="360">
        <v>2021.12</v>
      </c>
      <c r="O636" s="360" t="s">
        <v>4780</v>
      </c>
      <c r="P636" s="360" t="s">
        <v>6889</v>
      </c>
      <c r="Q636" s="360">
        <v>15635397648</v>
      </c>
      <c r="R636" s="360" t="s">
        <v>4781</v>
      </c>
      <c r="S636" s="360" t="s">
        <v>4670</v>
      </c>
      <c r="T636" s="897"/>
      <c r="U636" s="937"/>
    </row>
    <row r="637" spans="1:21" ht="24" hidden="1" customHeight="1">
      <c r="A637" s="779"/>
      <c r="B637" s="360" t="s">
        <v>1362</v>
      </c>
      <c r="C637" s="1205" t="s">
        <v>5198</v>
      </c>
      <c r="D637" s="1205" t="s">
        <v>888</v>
      </c>
      <c r="E637" s="904">
        <v>68</v>
      </c>
      <c r="F637" s="906" t="s">
        <v>34</v>
      </c>
      <c r="G637" s="906" t="s">
        <v>32</v>
      </c>
      <c r="H637" s="906" t="s">
        <v>33</v>
      </c>
      <c r="I637" s="906" t="s">
        <v>34</v>
      </c>
      <c r="J637" s="906" t="s">
        <v>34</v>
      </c>
      <c r="K637" s="909" t="s">
        <v>5199</v>
      </c>
      <c r="L637" s="907">
        <v>18851.485148514901</v>
      </c>
      <c r="M637" s="907">
        <v>15175.445544554501</v>
      </c>
      <c r="N637" s="906" t="s">
        <v>5093</v>
      </c>
      <c r="O637" s="906" t="s">
        <v>4791</v>
      </c>
      <c r="P637" s="906" t="s">
        <v>4789</v>
      </c>
      <c r="Q637" s="906">
        <v>13834686589</v>
      </c>
      <c r="R637" s="906" t="s">
        <v>4790</v>
      </c>
      <c r="S637" s="360" t="s">
        <v>4670</v>
      </c>
      <c r="T637" s="897"/>
      <c r="U637" s="937"/>
    </row>
    <row r="638" spans="1:21" ht="24" hidden="1" customHeight="1">
      <c r="A638" s="779"/>
      <c r="B638" s="360" t="s">
        <v>1362</v>
      </c>
      <c r="C638" s="1579" t="s">
        <v>5194</v>
      </c>
      <c r="D638" s="938" t="s">
        <v>5200</v>
      </c>
      <c r="E638" s="911">
        <v>624.95000000000005</v>
      </c>
      <c r="F638" s="457" t="s">
        <v>34</v>
      </c>
      <c r="G638" s="457" t="s">
        <v>32</v>
      </c>
      <c r="H638" s="457" t="s">
        <v>33</v>
      </c>
      <c r="I638" s="457" t="s">
        <v>34</v>
      </c>
      <c r="J638" s="457" t="s">
        <v>34</v>
      </c>
      <c r="K638" s="457" t="s">
        <v>4957</v>
      </c>
      <c r="L638" s="912">
        <v>157620.13274336301</v>
      </c>
      <c r="M638" s="912">
        <v>126884.20685840699</v>
      </c>
      <c r="N638" s="457" t="s">
        <v>4904</v>
      </c>
      <c r="O638" s="457" t="s">
        <v>4791</v>
      </c>
      <c r="P638" s="457" t="s">
        <v>4789</v>
      </c>
      <c r="Q638" s="457">
        <v>13834686587</v>
      </c>
      <c r="R638" s="457" t="s">
        <v>4790</v>
      </c>
      <c r="S638" s="360" t="s">
        <v>4670</v>
      </c>
      <c r="T638" s="897"/>
      <c r="U638" s="937"/>
    </row>
    <row r="639" spans="1:21" ht="24" hidden="1" customHeight="1">
      <c r="A639" s="779"/>
      <c r="B639" s="360" t="s">
        <v>1362</v>
      </c>
      <c r="C639" s="1579" t="s">
        <v>5118</v>
      </c>
      <c r="D639" s="938" t="s">
        <v>5200</v>
      </c>
      <c r="E639" s="911">
        <v>69.599999999999994</v>
      </c>
      <c r="F639" s="457" t="s">
        <v>34</v>
      </c>
      <c r="G639" s="457" t="s">
        <v>32</v>
      </c>
      <c r="H639" s="457" t="s">
        <v>33</v>
      </c>
      <c r="I639" s="457" t="s">
        <v>34</v>
      </c>
      <c r="J639" s="457" t="s">
        <v>34</v>
      </c>
      <c r="K639" s="457" t="s">
        <v>4957</v>
      </c>
      <c r="L639" s="912">
        <v>17553.982300885</v>
      </c>
      <c r="M639" s="912">
        <v>14130.9557522124</v>
      </c>
      <c r="N639" s="457" t="s">
        <v>4904</v>
      </c>
      <c r="O639" s="457" t="s">
        <v>4791</v>
      </c>
      <c r="P639" s="457" t="s">
        <v>4789</v>
      </c>
      <c r="Q639" s="457">
        <v>13834686587</v>
      </c>
      <c r="R639" s="457" t="s">
        <v>4790</v>
      </c>
      <c r="S639" s="360" t="s">
        <v>4670</v>
      </c>
      <c r="T639" s="897"/>
      <c r="U639" s="937"/>
    </row>
    <row r="640" spans="1:21" ht="24" hidden="1" customHeight="1">
      <c r="A640" s="779"/>
      <c r="B640" s="360" t="s">
        <v>1362</v>
      </c>
      <c r="C640" s="1578" t="s">
        <v>5201</v>
      </c>
      <c r="D640" s="1578" t="s">
        <v>1477</v>
      </c>
      <c r="E640" s="904">
        <v>1</v>
      </c>
      <c r="F640" s="906" t="s">
        <v>34</v>
      </c>
      <c r="G640" s="906" t="s">
        <v>32</v>
      </c>
      <c r="H640" s="906" t="s">
        <v>33</v>
      </c>
      <c r="I640" s="906" t="s">
        <v>34</v>
      </c>
      <c r="J640" s="906" t="s">
        <v>34</v>
      </c>
      <c r="K640" s="906" t="s">
        <v>5202</v>
      </c>
      <c r="L640" s="907">
        <v>8415.84</v>
      </c>
      <c r="M640" s="907">
        <v>7321.7808000000005</v>
      </c>
      <c r="N640" s="906" t="s">
        <v>5203</v>
      </c>
      <c r="O640" s="906" t="s">
        <v>4791</v>
      </c>
      <c r="P640" s="906" t="s">
        <v>4789</v>
      </c>
      <c r="Q640" s="906">
        <v>13834686587</v>
      </c>
      <c r="R640" s="906" t="s">
        <v>4790</v>
      </c>
      <c r="S640" s="360" t="s">
        <v>4670</v>
      </c>
      <c r="T640" s="897"/>
      <c r="U640" s="937"/>
    </row>
    <row r="641" spans="1:21" ht="24" hidden="1" customHeight="1">
      <c r="A641" s="779"/>
      <c r="B641" s="360" t="s">
        <v>1362</v>
      </c>
      <c r="C641" s="1579" t="s">
        <v>5204</v>
      </c>
      <c r="D641" s="938" t="s">
        <v>5200</v>
      </c>
      <c r="E641" s="911">
        <v>428</v>
      </c>
      <c r="F641" s="457" t="s">
        <v>34</v>
      </c>
      <c r="G641" s="457" t="s">
        <v>32</v>
      </c>
      <c r="H641" s="457" t="s">
        <v>33</v>
      </c>
      <c r="I641" s="457" t="s">
        <v>34</v>
      </c>
      <c r="J641" s="457" t="s">
        <v>34</v>
      </c>
      <c r="K641" s="457" t="s">
        <v>4957</v>
      </c>
      <c r="L641" s="912">
        <v>20831.858407079599</v>
      </c>
      <c r="M641" s="912">
        <v>18123.716814159299</v>
      </c>
      <c r="N641" s="457" t="s">
        <v>4904</v>
      </c>
      <c r="O641" s="457" t="s">
        <v>4791</v>
      </c>
      <c r="P641" s="457" t="s">
        <v>4789</v>
      </c>
      <c r="Q641" s="457">
        <v>13834686587</v>
      </c>
      <c r="R641" s="457" t="s">
        <v>4790</v>
      </c>
      <c r="S641" s="360" t="s">
        <v>4670</v>
      </c>
      <c r="T641" s="897"/>
      <c r="U641" s="937"/>
    </row>
    <row r="642" spans="1:21" ht="24" hidden="1" customHeight="1">
      <c r="A642" s="779"/>
      <c r="B642" s="360" t="s">
        <v>1362</v>
      </c>
      <c r="C642" s="1579" t="s">
        <v>5204</v>
      </c>
      <c r="D642" s="938" t="s">
        <v>5200</v>
      </c>
      <c r="E642" s="911">
        <v>428</v>
      </c>
      <c r="F642" s="457" t="s">
        <v>34</v>
      </c>
      <c r="G642" s="457" t="s">
        <v>32</v>
      </c>
      <c r="H642" s="457" t="s">
        <v>33</v>
      </c>
      <c r="I642" s="457" t="s">
        <v>34</v>
      </c>
      <c r="J642" s="457" t="s">
        <v>34</v>
      </c>
      <c r="K642" s="457" t="s">
        <v>4957</v>
      </c>
      <c r="L642" s="912">
        <v>45451.34</v>
      </c>
      <c r="M642" s="912">
        <v>39542.665800000002</v>
      </c>
      <c r="N642" s="457" t="s">
        <v>4904</v>
      </c>
      <c r="O642" s="457" t="s">
        <v>4791</v>
      </c>
      <c r="P642" s="457" t="s">
        <v>4789</v>
      </c>
      <c r="Q642" s="457">
        <v>13834686587</v>
      </c>
      <c r="R642" s="457" t="s">
        <v>4790</v>
      </c>
      <c r="S642" s="360" t="s">
        <v>4670</v>
      </c>
      <c r="T642" s="897"/>
      <c r="U642" s="937"/>
    </row>
    <row r="643" spans="1:21" ht="24" hidden="1" customHeight="1">
      <c r="A643" s="779"/>
      <c r="B643" s="360" t="s">
        <v>1362</v>
      </c>
      <c r="C643" s="1579" t="s">
        <v>5204</v>
      </c>
      <c r="D643" s="910" t="s">
        <v>5095</v>
      </c>
      <c r="E643" s="911">
        <v>90.96</v>
      </c>
      <c r="F643" s="457" t="s">
        <v>34</v>
      </c>
      <c r="G643" s="457" t="s">
        <v>32</v>
      </c>
      <c r="H643" s="457" t="s">
        <v>33</v>
      </c>
      <c r="I643" s="457" t="s">
        <v>34</v>
      </c>
      <c r="J643" s="457" t="s">
        <v>34</v>
      </c>
      <c r="K643" s="457" t="s">
        <v>4957</v>
      </c>
      <c r="L643" s="912">
        <v>4427.2566371681396</v>
      </c>
      <c r="M643" s="912">
        <v>3851.7132743362799</v>
      </c>
      <c r="N643" s="457" t="s">
        <v>4904</v>
      </c>
      <c r="O643" s="457" t="s">
        <v>4791</v>
      </c>
      <c r="P643" s="457" t="s">
        <v>4789</v>
      </c>
      <c r="Q643" s="457">
        <v>13834686587</v>
      </c>
      <c r="R643" s="457" t="s">
        <v>4790</v>
      </c>
      <c r="S643" s="360" t="s">
        <v>4670</v>
      </c>
      <c r="T643" s="897"/>
      <c r="U643" s="937"/>
    </row>
    <row r="644" spans="1:21" ht="24" hidden="1" customHeight="1">
      <c r="A644" s="779"/>
      <c r="B644" s="360" t="s">
        <v>1362</v>
      </c>
      <c r="C644" s="1579" t="s">
        <v>5204</v>
      </c>
      <c r="D644" s="910" t="s">
        <v>5095</v>
      </c>
      <c r="E644" s="911">
        <v>90.96</v>
      </c>
      <c r="F644" s="457" t="s">
        <v>34</v>
      </c>
      <c r="G644" s="457" t="s">
        <v>32</v>
      </c>
      <c r="H644" s="457" t="s">
        <v>33</v>
      </c>
      <c r="I644" s="457" t="s">
        <v>34</v>
      </c>
      <c r="J644" s="457" t="s">
        <v>34</v>
      </c>
      <c r="K644" s="457" t="s">
        <v>4957</v>
      </c>
      <c r="L644" s="912">
        <v>9659.4690265486697</v>
      </c>
      <c r="M644" s="912">
        <v>8403.7380530973496</v>
      </c>
      <c r="N644" s="457" t="s">
        <v>4904</v>
      </c>
      <c r="O644" s="457" t="s">
        <v>4791</v>
      </c>
      <c r="P644" s="457" t="s">
        <v>4789</v>
      </c>
      <c r="Q644" s="457">
        <v>13834686587</v>
      </c>
      <c r="R644" s="457" t="s">
        <v>4790</v>
      </c>
      <c r="S644" s="360" t="s">
        <v>4670</v>
      </c>
      <c r="T644" s="897"/>
      <c r="U644" s="937"/>
    </row>
    <row r="645" spans="1:21" ht="24" hidden="1" customHeight="1">
      <c r="A645" s="779"/>
      <c r="B645" s="360" t="s">
        <v>1362</v>
      </c>
      <c r="C645" s="1579" t="s">
        <v>5205</v>
      </c>
      <c r="D645" s="910" t="s">
        <v>5095</v>
      </c>
      <c r="E645" s="911">
        <v>258.36</v>
      </c>
      <c r="F645" s="457" t="s">
        <v>34</v>
      </c>
      <c r="G645" s="457" t="s">
        <v>32</v>
      </c>
      <c r="H645" s="457" t="s">
        <v>33</v>
      </c>
      <c r="I645" s="457" t="s">
        <v>34</v>
      </c>
      <c r="J645" s="457" t="s">
        <v>34</v>
      </c>
      <c r="K645" s="457" t="s">
        <v>4957</v>
      </c>
      <c r="L645" s="912">
        <v>7750.8</v>
      </c>
      <c r="M645" s="912">
        <v>6239.3940000000002</v>
      </c>
      <c r="N645" s="457" t="s">
        <v>4904</v>
      </c>
      <c r="O645" s="457" t="s">
        <v>4791</v>
      </c>
      <c r="P645" s="457" t="s">
        <v>4789</v>
      </c>
      <c r="Q645" s="457">
        <v>13834686587</v>
      </c>
      <c r="R645" s="457" t="s">
        <v>4790</v>
      </c>
      <c r="S645" s="360" t="s">
        <v>4670</v>
      </c>
      <c r="T645" s="897"/>
      <c r="U645" s="937"/>
    </row>
    <row r="646" spans="1:21" ht="24" hidden="1" customHeight="1">
      <c r="A646" s="779"/>
      <c r="B646" s="360" t="s">
        <v>1362</v>
      </c>
      <c r="C646" s="1579" t="s">
        <v>5206</v>
      </c>
      <c r="D646" s="910" t="s">
        <v>5095</v>
      </c>
      <c r="E646" s="911">
        <v>237.6</v>
      </c>
      <c r="F646" s="457" t="s">
        <v>34</v>
      </c>
      <c r="G646" s="457" t="s">
        <v>32</v>
      </c>
      <c r="H646" s="457" t="s">
        <v>33</v>
      </c>
      <c r="I646" s="457" t="s">
        <v>34</v>
      </c>
      <c r="J646" s="457" t="s">
        <v>34</v>
      </c>
      <c r="K646" s="457" t="s">
        <v>4957</v>
      </c>
      <c r="L646" s="912">
        <v>39950.442477876102</v>
      </c>
      <c r="M646" s="912">
        <v>34756.884955752197</v>
      </c>
      <c r="N646" s="457" t="s">
        <v>4904</v>
      </c>
      <c r="O646" s="457" t="s">
        <v>4791</v>
      </c>
      <c r="P646" s="457" t="s">
        <v>4789</v>
      </c>
      <c r="Q646" s="457">
        <v>13834686587</v>
      </c>
      <c r="R646" s="457" t="s">
        <v>4790</v>
      </c>
      <c r="S646" s="360" t="s">
        <v>4670</v>
      </c>
      <c r="T646" s="897"/>
      <c r="U646" s="937"/>
    </row>
    <row r="647" spans="1:21" ht="24" hidden="1" customHeight="1">
      <c r="A647" s="779"/>
      <c r="B647" s="360" t="s">
        <v>1362</v>
      </c>
      <c r="C647" s="1579" t="s">
        <v>5206</v>
      </c>
      <c r="D647" s="910" t="s">
        <v>5095</v>
      </c>
      <c r="E647" s="911">
        <v>237.6</v>
      </c>
      <c r="F647" s="457" t="s">
        <v>34</v>
      </c>
      <c r="G647" s="457" t="s">
        <v>32</v>
      </c>
      <c r="H647" s="457" t="s">
        <v>33</v>
      </c>
      <c r="I647" s="457" t="s">
        <v>34</v>
      </c>
      <c r="J647" s="457" t="s">
        <v>34</v>
      </c>
      <c r="K647" s="457" t="s">
        <v>4957</v>
      </c>
      <c r="L647" s="912">
        <v>25231.858407079599</v>
      </c>
      <c r="M647" s="912">
        <v>21951.716814159299</v>
      </c>
      <c r="N647" s="457" t="s">
        <v>4904</v>
      </c>
      <c r="O647" s="457" t="s">
        <v>4791</v>
      </c>
      <c r="P647" s="457" t="s">
        <v>4789</v>
      </c>
      <c r="Q647" s="457">
        <v>13834686587</v>
      </c>
      <c r="R647" s="457" t="s">
        <v>4790</v>
      </c>
      <c r="S647" s="360" t="s">
        <v>4670</v>
      </c>
      <c r="T647" s="897"/>
      <c r="U647" s="937"/>
    </row>
    <row r="648" spans="1:21" ht="24" hidden="1" customHeight="1">
      <c r="A648" s="779"/>
      <c r="B648" s="360" t="s">
        <v>1362</v>
      </c>
      <c r="C648" s="1579" t="s">
        <v>5207</v>
      </c>
      <c r="D648" s="910" t="s">
        <v>4456</v>
      </c>
      <c r="E648" s="911">
        <v>10</v>
      </c>
      <c r="F648" s="457" t="s">
        <v>34</v>
      </c>
      <c r="G648" s="457" t="s">
        <v>32</v>
      </c>
      <c r="H648" s="457" t="s">
        <v>33</v>
      </c>
      <c r="I648" s="457" t="s">
        <v>34</v>
      </c>
      <c r="J648" s="457" t="s">
        <v>34</v>
      </c>
      <c r="K648" s="457" t="s">
        <v>4957</v>
      </c>
      <c r="L648" s="912">
        <v>8500</v>
      </c>
      <c r="M648" s="912">
        <v>7395</v>
      </c>
      <c r="N648" s="457" t="s">
        <v>4904</v>
      </c>
      <c r="O648" s="457" t="s">
        <v>4791</v>
      </c>
      <c r="P648" s="457" t="s">
        <v>4789</v>
      </c>
      <c r="Q648" s="457">
        <v>13834686587</v>
      </c>
      <c r="R648" s="457" t="s">
        <v>4790</v>
      </c>
      <c r="S648" s="360" t="s">
        <v>4670</v>
      </c>
      <c r="T648" s="897"/>
      <c r="U648" s="937"/>
    </row>
    <row r="649" spans="1:21" ht="24" hidden="1" customHeight="1">
      <c r="A649" s="779"/>
      <c r="B649" s="360" t="s">
        <v>1362</v>
      </c>
      <c r="C649" s="1586" t="s">
        <v>5208</v>
      </c>
      <c r="D649" s="939" t="s">
        <v>888</v>
      </c>
      <c r="E649" s="911">
        <v>108</v>
      </c>
      <c r="F649" s="457" t="s">
        <v>34</v>
      </c>
      <c r="G649" s="457" t="s">
        <v>32</v>
      </c>
      <c r="H649" s="457" t="s">
        <v>33</v>
      </c>
      <c r="I649" s="457" t="s">
        <v>34</v>
      </c>
      <c r="J649" s="457" t="s">
        <v>34</v>
      </c>
      <c r="K649" s="457" t="s">
        <v>4862</v>
      </c>
      <c r="L649" s="912">
        <v>30584.070796460201</v>
      </c>
      <c r="M649" s="912">
        <v>26608.141592920401</v>
      </c>
      <c r="N649" s="457" t="s">
        <v>4904</v>
      </c>
      <c r="O649" s="457" t="s">
        <v>4791</v>
      </c>
      <c r="P649" s="457" t="s">
        <v>4789</v>
      </c>
      <c r="Q649" s="457">
        <v>13834686587</v>
      </c>
      <c r="R649" s="457" t="s">
        <v>4790</v>
      </c>
      <c r="S649" s="360" t="s">
        <v>4670</v>
      </c>
      <c r="T649" s="897"/>
      <c r="U649" s="937"/>
    </row>
    <row r="650" spans="1:21" ht="24" hidden="1" customHeight="1">
      <c r="A650" s="779"/>
      <c r="B650" s="360" t="s">
        <v>1362</v>
      </c>
      <c r="C650" s="1586" t="s">
        <v>5209</v>
      </c>
      <c r="D650" s="939" t="s">
        <v>131</v>
      </c>
      <c r="E650" s="911">
        <v>6</v>
      </c>
      <c r="F650" s="457" t="s">
        <v>34</v>
      </c>
      <c r="G650" s="457" t="s">
        <v>32</v>
      </c>
      <c r="H650" s="457" t="s">
        <v>33</v>
      </c>
      <c r="I650" s="457" t="s">
        <v>34</v>
      </c>
      <c r="J650" s="457" t="s">
        <v>34</v>
      </c>
      <c r="K650" s="457" t="s">
        <v>4862</v>
      </c>
      <c r="L650" s="912">
        <v>14336.283185840701</v>
      </c>
      <c r="M650" s="912">
        <v>12472.5663716814</v>
      </c>
      <c r="N650" s="457" t="s">
        <v>4904</v>
      </c>
      <c r="O650" s="457" t="s">
        <v>4791</v>
      </c>
      <c r="P650" s="457" t="s">
        <v>4789</v>
      </c>
      <c r="Q650" s="457">
        <v>13834686587</v>
      </c>
      <c r="R650" s="457" t="s">
        <v>4790</v>
      </c>
      <c r="S650" s="360" t="s">
        <v>4670</v>
      </c>
      <c r="T650" s="897"/>
      <c r="U650" s="937"/>
    </row>
    <row r="651" spans="1:21" ht="24" hidden="1" customHeight="1">
      <c r="A651" s="779"/>
      <c r="B651" s="360" t="s">
        <v>1362</v>
      </c>
      <c r="C651" s="1586" t="s">
        <v>5210</v>
      </c>
      <c r="D651" s="939" t="s">
        <v>79</v>
      </c>
      <c r="E651" s="911">
        <v>2</v>
      </c>
      <c r="F651" s="457" t="s">
        <v>34</v>
      </c>
      <c r="G651" s="457" t="s">
        <v>32</v>
      </c>
      <c r="H651" s="457" t="s">
        <v>33</v>
      </c>
      <c r="I651" s="457" t="s">
        <v>34</v>
      </c>
      <c r="J651" s="457" t="s">
        <v>34</v>
      </c>
      <c r="K651" s="457" t="s">
        <v>4862</v>
      </c>
      <c r="L651" s="912">
        <v>53628.318584070803</v>
      </c>
      <c r="M651" s="912">
        <v>46656.637168141599</v>
      </c>
      <c r="N651" s="457" t="s">
        <v>4904</v>
      </c>
      <c r="O651" s="457" t="s">
        <v>4791</v>
      </c>
      <c r="P651" s="457" t="s">
        <v>4789</v>
      </c>
      <c r="Q651" s="457">
        <v>13834686587</v>
      </c>
      <c r="R651" s="457" t="s">
        <v>4790</v>
      </c>
      <c r="S651" s="360" t="s">
        <v>4670</v>
      </c>
      <c r="T651" s="897"/>
      <c r="U651" s="937"/>
    </row>
    <row r="652" spans="1:21" ht="24" hidden="1" customHeight="1">
      <c r="A652" s="779"/>
      <c r="B652" s="360" t="s">
        <v>1362</v>
      </c>
      <c r="C652" s="1586" t="s">
        <v>5211</v>
      </c>
      <c r="D652" s="939" t="s">
        <v>79</v>
      </c>
      <c r="E652" s="911">
        <v>12</v>
      </c>
      <c r="F652" s="457" t="s">
        <v>34</v>
      </c>
      <c r="G652" s="457" t="s">
        <v>32</v>
      </c>
      <c r="H652" s="457" t="s">
        <v>33</v>
      </c>
      <c r="I652" s="457" t="s">
        <v>34</v>
      </c>
      <c r="J652" s="457" t="s">
        <v>34</v>
      </c>
      <c r="K652" s="457" t="s">
        <v>4862</v>
      </c>
      <c r="L652" s="912">
        <v>23362.831858407098</v>
      </c>
      <c r="M652" s="912">
        <v>20325.663716814201</v>
      </c>
      <c r="N652" s="457" t="s">
        <v>4904</v>
      </c>
      <c r="O652" s="457" t="s">
        <v>4791</v>
      </c>
      <c r="P652" s="457" t="s">
        <v>4789</v>
      </c>
      <c r="Q652" s="457">
        <v>13834686587</v>
      </c>
      <c r="R652" s="457" t="s">
        <v>4790</v>
      </c>
      <c r="S652" s="360" t="s">
        <v>4670</v>
      </c>
      <c r="T652" s="897"/>
      <c r="U652" s="937"/>
    </row>
    <row r="653" spans="1:21" ht="24" hidden="1" customHeight="1">
      <c r="A653" s="779"/>
      <c r="B653" s="360" t="s">
        <v>1362</v>
      </c>
      <c r="C653" s="1586" t="s">
        <v>34</v>
      </c>
      <c r="D653" s="939" t="s">
        <v>79</v>
      </c>
      <c r="E653" s="911">
        <v>2</v>
      </c>
      <c r="F653" s="457" t="s">
        <v>34</v>
      </c>
      <c r="G653" s="457" t="s">
        <v>32</v>
      </c>
      <c r="H653" s="457" t="s">
        <v>33</v>
      </c>
      <c r="I653" s="457" t="s">
        <v>34</v>
      </c>
      <c r="J653" s="457" t="s">
        <v>34</v>
      </c>
      <c r="K653" s="457" t="s">
        <v>4862</v>
      </c>
      <c r="L653" s="912">
        <v>5415.9292035398203</v>
      </c>
      <c r="M653" s="912">
        <v>4711.8584070796496</v>
      </c>
      <c r="N653" s="457" t="s">
        <v>4904</v>
      </c>
      <c r="O653" s="457" t="s">
        <v>4791</v>
      </c>
      <c r="P653" s="457" t="s">
        <v>4789</v>
      </c>
      <c r="Q653" s="457">
        <v>13834686587</v>
      </c>
      <c r="R653" s="457" t="s">
        <v>4790</v>
      </c>
      <c r="S653" s="360" t="s">
        <v>4670</v>
      </c>
      <c r="T653" s="897"/>
      <c r="U653" s="937"/>
    </row>
    <row r="654" spans="1:21" ht="24" hidden="1" customHeight="1">
      <c r="A654" s="779"/>
      <c r="B654" s="360" t="s">
        <v>1362</v>
      </c>
      <c r="C654" s="1205" t="s">
        <v>5212</v>
      </c>
      <c r="D654" s="1205" t="s">
        <v>161</v>
      </c>
      <c r="E654" s="904">
        <v>350</v>
      </c>
      <c r="F654" s="906" t="s">
        <v>34</v>
      </c>
      <c r="G654" s="906" t="s">
        <v>32</v>
      </c>
      <c r="H654" s="906" t="s">
        <v>33</v>
      </c>
      <c r="I654" s="906" t="s">
        <v>34</v>
      </c>
      <c r="J654" s="906" t="s">
        <v>34</v>
      </c>
      <c r="K654" s="909" t="s">
        <v>5199</v>
      </c>
      <c r="L654" s="907">
        <v>48514.851485148502</v>
      </c>
      <c r="M654" s="907">
        <v>42207.920792079203</v>
      </c>
      <c r="N654" s="906" t="s">
        <v>5093</v>
      </c>
      <c r="O654" s="906" t="s">
        <v>4791</v>
      </c>
      <c r="P654" s="906" t="s">
        <v>4789</v>
      </c>
      <c r="Q654" s="906">
        <v>13834686588</v>
      </c>
      <c r="R654" s="906" t="s">
        <v>4790</v>
      </c>
      <c r="S654" s="360" t="s">
        <v>4670</v>
      </c>
      <c r="T654" s="897"/>
      <c r="U654" s="937"/>
    </row>
    <row r="655" spans="1:21" ht="24" hidden="1" customHeight="1">
      <c r="A655" s="779"/>
      <c r="B655" s="360" t="s">
        <v>1362</v>
      </c>
      <c r="C655" s="1205" t="s">
        <v>5213</v>
      </c>
      <c r="D655" s="1205" t="s">
        <v>888</v>
      </c>
      <c r="E655" s="904">
        <v>34</v>
      </c>
      <c r="F655" s="906" t="s">
        <v>34</v>
      </c>
      <c r="G655" s="906" t="s">
        <v>32</v>
      </c>
      <c r="H655" s="906" t="s">
        <v>33</v>
      </c>
      <c r="I655" s="906" t="s">
        <v>34</v>
      </c>
      <c r="J655" s="906" t="s">
        <v>34</v>
      </c>
      <c r="K655" s="909" t="s">
        <v>5199</v>
      </c>
      <c r="L655" s="907">
        <v>3702.9702970296999</v>
      </c>
      <c r="M655" s="907">
        <v>2980.8910891089099</v>
      </c>
      <c r="N655" s="906" t="s">
        <v>5093</v>
      </c>
      <c r="O655" s="906" t="s">
        <v>4791</v>
      </c>
      <c r="P655" s="906" t="s">
        <v>4789</v>
      </c>
      <c r="Q655" s="906">
        <v>13834686590</v>
      </c>
      <c r="R655" s="906" t="s">
        <v>4790</v>
      </c>
      <c r="S655" s="360" t="s">
        <v>4670</v>
      </c>
      <c r="T655" s="897"/>
      <c r="U655" s="937"/>
    </row>
    <row r="656" spans="1:21" ht="24" hidden="1" customHeight="1">
      <c r="A656" s="779"/>
      <c r="B656" s="360" t="s">
        <v>1362</v>
      </c>
      <c r="C656" s="1205" t="s">
        <v>5214</v>
      </c>
      <c r="D656" s="1205" t="s">
        <v>888</v>
      </c>
      <c r="E656" s="904">
        <v>138.69999999999999</v>
      </c>
      <c r="F656" s="906" t="s">
        <v>34</v>
      </c>
      <c r="G656" s="906" t="s">
        <v>32</v>
      </c>
      <c r="H656" s="906" t="s">
        <v>33</v>
      </c>
      <c r="I656" s="906" t="s">
        <v>34</v>
      </c>
      <c r="J656" s="906" t="s">
        <v>34</v>
      </c>
      <c r="K656" s="909" t="s">
        <v>5199</v>
      </c>
      <c r="L656" s="907">
        <v>26092.0792079208</v>
      </c>
      <c r="M656" s="907">
        <v>22700.1089108911</v>
      </c>
      <c r="N656" s="906" t="s">
        <v>5093</v>
      </c>
      <c r="O656" s="906" t="s">
        <v>4791</v>
      </c>
      <c r="P656" s="906" t="s">
        <v>4789</v>
      </c>
      <c r="Q656" s="906">
        <v>13834686591</v>
      </c>
      <c r="R656" s="906" t="s">
        <v>4790</v>
      </c>
      <c r="S656" s="360" t="s">
        <v>4670</v>
      </c>
      <c r="T656" s="897"/>
      <c r="U656" s="937"/>
    </row>
    <row r="657" spans="1:22" ht="24" hidden="1" customHeight="1">
      <c r="A657" s="779"/>
      <c r="B657" s="360" t="s">
        <v>1362</v>
      </c>
      <c r="C657" s="1194" t="s">
        <v>5214</v>
      </c>
      <c r="D657" s="1194" t="s">
        <v>888</v>
      </c>
      <c r="E657" s="940">
        <v>138.69999999999999</v>
      </c>
      <c r="F657" s="168" t="s">
        <v>34</v>
      </c>
      <c r="G657" s="168" t="s">
        <v>32</v>
      </c>
      <c r="H657" s="168" t="s">
        <v>33</v>
      </c>
      <c r="I657" s="168" t="s">
        <v>34</v>
      </c>
      <c r="J657" s="168" t="s">
        <v>34</v>
      </c>
      <c r="K657" s="941" t="s">
        <v>5199</v>
      </c>
      <c r="L657" s="396">
        <v>16479.21</v>
      </c>
      <c r="M657" s="396">
        <v>14336.912700000001</v>
      </c>
      <c r="N657" s="168" t="s">
        <v>5093</v>
      </c>
      <c r="O657" s="168" t="s">
        <v>4791</v>
      </c>
      <c r="P657" s="168" t="s">
        <v>4789</v>
      </c>
      <c r="Q657" s="168">
        <v>13834686592</v>
      </c>
      <c r="R657" s="168" t="s">
        <v>4790</v>
      </c>
      <c r="S657" s="360" t="s">
        <v>4670</v>
      </c>
      <c r="T657" s="897"/>
      <c r="U657" s="937"/>
    </row>
    <row r="658" spans="1:22" ht="24" hidden="1" customHeight="1">
      <c r="A658" s="779"/>
      <c r="B658" s="360" t="s">
        <v>1362</v>
      </c>
      <c r="C658" s="1213" t="s">
        <v>5215</v>
      </c>
      <c r="D658" s="1216" t="s">
        <v>888</v>
      </c>
      <c r="E658" s="942">
        <v>2558.11</v>
      </c>
      <c r="F658" s="238"/>
      <c r="G658" s="168" t="s">
        <v>32</v>
      </c>
      <c r="H658" s="168" t="s">
        <v>33</v>
      </c>
      <c r="I658" s="238" t="s">
        <v>34</v>
      </c>
      <c r="J658" s="238" t="s">
        <v>34</v>
      </c>
      <c r="K658" s="168" t="s">
        <v>4774</v>
      </c>
      <c r="L658" s="940">
        <v>633867.96460177004</v>
      </c>
      <c r="M658" s="396">
        <v>296333.273451327</v>
      </c>
      <c r="N658" s="168" t="s">
        <v>5077</v>
      </c>
      <c r="O658" s="168" t="s">
        <v>4791</v>
      </c>
      <c r="P658" s="168" t="s">
        <v>4789</v>
      </c>
      <c r="Q658" s="168">
        <v>13834686587</v>
      </c>
      <c r="R658" s="168" t="s">
        <v>4790</v>
      </c>
      <c r="S658" s="360" t="s">
        <v>4670</v>
      </c>
      <c r="T658" s="897"/>
      <c r="U658" s="937"/>
    </row>
    <row r="659" spans="1:22" ht="24" hidden="1" customHeight="1">
      <c r="A659" s="779"/>
      <c r="B659" s="360" t="s">
        <v>1362</v>
      </c>
      <c r="C659" s="1213" t="s">
        <v>5216</v>
      </c>
      <c r="D659" s="1216" t="s">
        <v>888</v>
      </c>
      <c r="E659" s="940">
        <v>62.1</v>
      </c>
      <c r="F659" s="238"/>
      <c r="G659" s="168" t="s">
        <v>32</v>
      </c>
      <c r="H659" s="168" t="s">
        <v>33</v>
      </c>
      <c r="I659" s="238" t="s">
        <v>34</v>
      </c>
      <c r="J659" s="238" t="s">
        <v>34</v>
      </c>
      <c r="K659" s="168" t="s">
        <v>4774</v>
      </c>
      <c r="L659" s="940">
        <v>3572.1238938053102</v>
      </c>
      <c r="M659" s="396">
        <v>1669.9679203539799</v>
      </c>
      <c r="N659" s="168" t="s">
        <v>5077</v>
      </c>
      <c r="O659" s="168" t="s">
        <v>4791</v>
      </c>
      <c r="P659" s="168" t="s">
        <v>4789</v>
      </c>
      <c r="Q659" s="168">
        <v>13834686587</v>
      </c>
      <c r="R659" s="168" t="s">
        <v>4790</v>
      </c>
      <c r="S659" s="360" t="s">
        <v>4670</v>
      </c>
      <c r="T659" s="897"/>
      <c r="U659" s="937"/>
    </row>
    <row r="660" spans="1:22" ht="24" hidden="1" customHeight="1">
      <c r="A660" s="779"/>
      <c r="B660" s="360" t="s">
        <v>1362</v>
      </c>
      <c r="C660" s="1587"/>
      <c r="D660" s="1216" t="s">
        <v>3061</v>
      </c>
      <c r="E660" s="1588">
        <v>138</v>
      </c>
      <c r="F660" s="168" t="s">
        <v>34</v>
      </c>
      <c r="G660" s="168" t="s">
        <v>32</v>
      </c>
      <c r="H660" s="168" t="s">
        <v>33</v>
      </c>
      <c r="I660" s="168" t="s">
        <v>34</v>
      </c>
      <c r="J660" s="168" t="s">
        <v>34</v>
      </c>
      <c r="K660" s="168" t="s">
        <v>5199</v>
      </c>
      <c r="L660" s="396">
        <v>35524.75</v>
      </c>
      <c r="M660" s="396">
        <v>16607.820625</v>
      </c>
      <c r="N660" s="168" t="s">
        <v>5217</v>
      </c>
      <c r="O660" s="168" t="s">
        <v>4791</v>
      </c>
      <c r="P660" s="168" t="s">
        <v>4789</v>
      </c>
      <c r="Q660" s="168">
        <v>13834686587</v>
      </c>
      <c r="R660" s="168" t="s">
        <v>4790</v>
      </c>
      <c r="S660" s="360" t="s">
        <v>4670</v>
      </c>
      <c r="T660" s="897"/>
      <c r="U660" s="937"/>
    </row>
    <row r="661" spans="1:22" ht="24" hidden="1" customHeight="1">
      <c r="A661" s="779"/>
      <c r="B661" s="360" t="s">
        <v>1362</v>
      </c>
      <c r="C661" s="1587" t="s">
        <v>1326</v>
      </c>
      <c r="D661" s="1216" t="s">
        <v>131</v>
      </c>
      <c r="E661" s="1588">
        <v>1</v>
      </c>
      <c r="F661" s="168" t="s">
        <v>34</v>
      </c>
      <c r="G661" s="168" t="s">
        <v>32</v>
      </c>
      <c r="H661" s="168" t="s">
        <v>33</v>
      </c>
      <c r="I661" s="168" t="s">
        <v>34</v>
      </c>
      <c r="J661" s="168" t="s">
        <v>34</v>
      </c>
      <c r="K661" s="168" t="s">
        <v>5199</v>
      </c>
      <c r="L661" s="396">
        <v>5940.59</v>
      </c>
      <c r="M661" s="396">
        <v>2777.225825</v>
      </c>
      <c r="N661" s="168" t="s">
        <v>5217</v>
      </c>
      <c r="O661" s="168" t="s">
        <v>4791</v>
      </c>
      <c r="P661" s="168" t="s">
        <v>4789</v>
      </c>
      <c r="Q661" s="168">
        <v>13834686587</v>
      </c>
      <c r="R661" s="168" t="s">
        <v>4790</v>
      </c>
      <c r="S661" s="360" t="s">
        <v>4670</v>
      </c>
      <c r="T661" s="897"/>
      <c r="U661" s="937"/>
    </row>
    <row r="662" spans="1:22" ht="24" hidden="1" customHeight="1">
      <c r="A662" s="779"/>
      <c r="B662" s="360" t="s">
        <v>1362</v>
      </c>
      <c r="C662" s="1587" t="s">
        <v>1449</v>
      </c>
      <c r="D662" s="1216" t="s">
        <v>2724</v>
      </c>
      <c r="E662" s="1588">
        <v>25</v>
      </c>
      <c r="F662" s="168" t="s">
        <v>34</v>
      </c>
      <c r="G662" s="168" t="s">
        <v>32</v>
      </c>
      <c r="H662" s="168" t="s">
        <v>33</v>
      </c>
      <c r="I662" s="168" t="s">
        <v>34</v>
      </c>
      <c r="J662" s="168" t="s">
        <v>34</v>
      </c>
      <c r="K662" s="168" t="s">
        <v>5199</v>
      </c>
      <c r="L662" s="396">
        <v>2920.79</v>
      </c>
      <c r="M662" s="396">
        <v>1365.469325</v>
      </c>
      <c r="N662" s="168" t="s">
        <v>5217</v>
      </c>
      <c r="O662" s="168" t="s">
        <v>4791</v>
      </c>
      <c r="P662" s="168" t="s">
        <v>4789</v>
      </c>
      <c r="Q662" s="168">
        <v>13834686587</v>
      </c>
      <c r="R662" s="168" t="s">
        <v>4790</v>
      </c>
      <c r="S662" s="360" t="s">
        <v>4670</v>
      </c>
      <c r="T662" s="897"/>
      <c r="U662" s="937"/>
    </row>
    <row r="663" spans="1:22" ht="24" hidden="1" customHeight="1">
      <c r="A663" s="943" t="s">
        <v>1439</v>
      </c>
      <c r="B663" s="943" t="s">
        <v>1440</v>
      </c>
      <c r="C663" s="769"/>
      <c r="D663" s="769"/>
      <c r="E663" s="769"/>
      <c r="F663" s="769"/>
      <c r="G663" s="360"/>
      <c r="H663" s="360"/>
      <c r="I663" s="769"/>
      <c r="J663" s="769"/>
      <c r="K663" s="769"/>
      <c r="L663" s="857"/>
      <c r="M663" s="857"/>
      <c r="N663" s="810"/>
      <c r="O663" s="810"/>
      <c r="P663" s="810"/>
      <c r="Q663" s="811"/>
      <c r="R663" s="810"/>
      <c r="S663" s="810"/>
      <c r="T663" s="769"/>
      <c r="U663" s="937"/>
    </row>
    <row r="664" spans="1:22" s="831" customFormat="1" ht="24" hidden="1" customHeight="1">
      <c r="A664" s="779"/>
      <c r="B664" s="1283" t="s">
        <v>1040</v>
      </c>
      <c r="C664" s="1283" t="s">
        <v>1016</v>
      </c>
      <c r="D664" s="1283" t="s">
        <v>161</v>
      </c>
      <c r="E664" s="1283">
        <v>28</v>
      </c>
      <c r="F664" s="1283" t="s">
        <v>34</v>
      </c>
      <c r="G664" s="1283" t="s">
        <v>32</v>
      </c>
      <c r="H664" s="1283" t="s">
        <v>33</v>
      </c>
      <c r="I664" s="1283" t="s">
        <v>34</v>
      </c>
      <c r="J664" s="793" t="s">
        <v>4678</v>
      </c>
      <c r="K664" s="793" t="s">
        <v>4678</v>
      </c>
      <c r="L664" s="1283">
        <v>33980.519999999997</v>
      </c>
      <c r="M664" s="858">
        <v>16990.259999999998</v>
      </c>
      <c r="N664" s="653">
        <v>2019.1</v>
      </c>
      <c r="O664" s="1283" t="s">
        <v>4676</v>
      </c>
      <c r="P664" s="1283" t="s">
        <v>4677</v>
      </c>
      <c r="Q664" s="1283">
        <v>13643450564</v>
      </c>
      <c r="R664" s="793" t="s">
        <v>4678</v>
      </c>
      <c r="S664" s="1283" t="s">
        <v>4670</v>
      </c>
      <c r="T664" s="1283"/>
      <c r="U664" s="861"/>
    </row>
    <row r="665" spans="1:22" s="831" customFormat="1" ht="24" hidden="1" customHeight="1">
      <c r="A665" s="779"/>
      <c r="B665" s="1283" t="s">
        <v>1533</v>
      </c>
      <c r="C665" s="1283" t="s">
        <v>5218</v>
      </c>
      <c r="D665" s="1283" t="s">
        <v>161</v>
      </c>
      <c r="E665" s="1283">
        <v>164</v>
      </c>
      <c r="F665" s="1283" t="s">
        <v>34</v>
      </c>
      <c r="G665" s="1283" t="s">
        <v>32</v>
      </c>
      <c r="H665" s="1283" t="s">
        <v>33</v>
      </c>
      <c r="I665" s="1283" t="s">
        <v>34</v>
      </c>
      <c r="J665" s="793" t="s">
        <v>4678</v>
      </c>
      <c r="K665" s="793" t="s">
        <v>4678</v>
      </c>
      <c r="L665" s="1283">
        <v>23883.32</v>
      </c>
      <c r="M665" s="858">
        <v>11941.66</v>
      </c>
      <c r="N665" s="653">
        <v>2019.1</v>
      </c>
      <c r="O665" s="1283" t="s">
        <v>4676</v>
      </c>
      <c r="P665" s="1283" t="s">
        <v>4677</v>
      </c>
      <c r="Q665" s="1283">
        <v>13643450564</v>
      </c>
      <c r="R665" s="793" t="s">
        <v>4678</v>
      </c>
      <c r="S665" s="1283" t="s">
        <v>4670</v>
      </c>
      <c r="T665" s="1283"/>
      <c r="U665" s="861"/>
    </row>
    <row r="666" spans="1:22" ht="24" customHeight="1">
      <c r="A666" s="943"/>
      <c r="B666" s="789" t="s">
        <v>5219</v>
      </c>
      <c r="C666" s="789" t="s">
        <v>5220</v>
      </c>
      <c r="D666" s="789" t="s">
        <v>1477</v>
      </c>
      <c r="E666" s="789">
        <v>4</v>
      </c>
      <c r="F666" s="360" t="s">
        <v>34</v>
      </c>
      <c r="G666" s="360" t="s">
        <v>32</v>
      </c>
      <c r="H666" s="360" t="s">
        <v>7076</v>
      </c>
      <c r="I666" s="360" t="s">
        <v>34</v>
      </c>
      <c r="J666" s="789" t="s">
        <v>5158</v>
      </c>
      <c r="K666" s="899" t="s">
        <v>5221</v>
      </c>
      <c r="L666" s="857">
        <v>27586.19</v>
      </c>
      <c r="M666" s="857">
        <v>0</v>
      </c>
      <c r="N666" s="810">
        <v>2018.1</v>
      </c>
      <c r="O666" s="810" t="s">
        <v>5163</v>
      </c>
      <c r="P666" s="810" t="s">
        <v>5160</v>
      </c>
      <c r="Q666" s="811">
        <v>18636135833</v>
      </c>
      <c r="R666" s="810" t="s">
        <v>5158</v>
      </c>
      <c r="S666" s="810" t="s">
        <v>4670</v>
      </c>
      <c r="T666" s="769"/>
      <c r="U666" s="925"/>
    </row>
    <row r="667" spans="1:22" ht="24" customHeight="1">
      <c r="A667" s="943"/>
      <c r="B667" s="789" t="s">
        <v>5222</v>
      </c>
      <c r="C667" s="789" t="s">
        <v>5223</v>
      </c>
      <c r="D667" s="789" t="s">
        <v>1477</v>
      </c>
      <c r="E667" s="789">
        <v>17</v>
      </c>
      <c r="F667" s="360" t="s">
        <v>34</v>
      </c>
      <c r="G667" s="360" t="s">
        <v>32</v>
      </c>
      <c r="H667" s="360" t="s">
        <v>7076</v>
      </c>
      <c r="I667" s="360" t="s">
        <v>34</v>
      </c>
      <c r="J667" s="789" t="s">
        <v>5158</v>
      </c>
      <c r="K667" s="899" t="s">
        <v>5221</v>
      </c>
      <c r="L667" s="857">
        <v>43965.61</v>
      </c>
      <c r="M667" s="857">
        <v>0</v>
      </c>
      <c r="N667" s="810">
        <v>2018.1</v>
      </c>
      <c r="O667" s="810" t="s">
        <v>5163</v>
      </c>
      <c r="P667" s="810" t="s">
        <v>5160</v>
      </c>
      <c r="Q667" s="811">
        <v>18636135834</v>
      </c>
      <c r="R667" s="810" t="s">
        <v>5158</v>
      </c>
      <c r="S667" s="810" t="s">
        <v>4670</v>
      </c>
      <c r="T667" s="769"/>
      <c r="U667" s="925"/>
      <c r="V667" s="944"/>
    </row>
    <row r="668" spans="1:22" ht="24" customHeight="1">
      <c r="A668" s="943"/>
      <c r="B668" s="789" t="s">
        <v>5222</v>
      </c>
      <c r="C668" s="789" t="s">
        <v>5224</v>
      </c>
      <c r="D668" s="789" t="s">
        <v>1477</v>
      </c>
      <c r="E668" s="789">
        <v>40</v>
      </c>
      <c r="F668" s="360" t="s">
        <v>34</v>
      </c>
      <c r="G668" s="360" t="s">
        <v>32</v>
      </c>
      <c r="H668" s="360" t="s">
        <v>7076</v>
      </c>
      <c r="I668" s="360" t="s">
        <v>34</v>
      </c>
      <c r="J668" s="789" t="s">
        <v>5158</v>
      </c>
      <c r="K668" s="899" t="s">
        <v>5221</v>
      </c>
      <c r="L668" s="857">
        <v>103448.49</v>
      </c>
      <c r="M668" s="857">
        <v>0</v>
      </c>
      <c r="N668" s="810">
        <v>2018.1</v>
      </c>
      <c r="O668" s="810" t="s">
        <v>5163</v>
      </c>
      <c r="P668" s="810" t="s">
        <v>5160</v>
      </c>
      <c r="Q668" s="811">
        <v>18636135834</v>
      </c>
      <c r="R668" s="810" t="s">
        <v>5158</v>
      </c>
      <c r="S668" s="810" t="s">
        <v>4670</v>
      </c>
      <c r="T668" s="769"/>
      <c r="U668" s="925"/>
    </row>
    <row r="669" spans="1:22" ht="24" customHeight="1">
      <c r="A669" s="943"/>
      <c r="B669" s="789" t="s">
        <v>5225</v>
      </c>
      <c r="C669" s="789" t="s">
        <v>5226</v>
      </c>
      <c r="D669" s="789" t="s">
        <v>1477</v>
      </c>
      <c r="E669" s="789">
        <v>10</v>
      </c>
      <c r="F669" s="360" t="s">
        <v>34</v>
      </c>
      <c r="G669" s="360" t="s">
        <v>32</v>
      </c>
      <c r="H669" s="360" t="s">
        <v>7076</v>
      </c>
      <c r="I669" s="360" t="s">
        <v>34</v>
      </c>
      <c r="J669" s="789" t="s">
        <v>5158</v>
      </c>
      <c r="K669" s="899" t="s">
        <v>5221</v>
      </c>
      <c r="L669" s="857">
        <v>2586.19</v>
      </c>
      <c r="M669" s="857">
        <v>0</v>
      </c>
      <c r="N669" s="810">
        <v>2018.1</v>
      </c>
      <c r="O669" s="810" t="s">
        <v>5163</v>
      </c>
      <c r="P669" s="810" t="s">
        <v>5160</v>
      </c>
      <c r="Q669" s="811">
        <v>18636135835</v>
      </c>
      <c r="R669" s="810" t="s">
        <v>5158</v>
      </c>
      <c r="S669" s="810" t="s">
        <v>4670</v>
      </c>
      <c r="T669" s="769"/>
      <c r="U669" s="925"/>
    </row>
    <row r="670" spans="1:22" ht="24" customHeight="1">
      <c r="A670" s="943"/>
      <c r="B670" s="789" t="s">
        <v>1516</v>
      </c>
      <c r="C670" s="789" t="s">
        <v>5227</v>
      </c>
      <c r="D670" s="789" t="s">
        <v>161</v>
      </c>
      <c r="E670" s="789">
        <v>137</v>
      </c>
      <c r="F670" s="360" t="s">
        <v>34</v>
      </c>
      <c r="G670" s="360" t="s">
        <v>32</v>
      </c>
      <c r="H670" s="360" t="s">
        <v>7076</v>
      </c>
      <c r="I670" s="360" t="s">
        <v>34</v>
      </c>
      <c r="J670" s="789" t="s">
        <v>5158</v>
      </c>
      <c r="K670" s="899" t="s">
        <v>5221</v>
      </c>
      <c r="L670" s="857">
        <v>9329.34</v>
      </c>
      <c r="M670" s="857">
        <v>0</v>
      </c>
      <c r="N670" s="810">
        <v>2018.1</v>
      </c>
      <c r="O670" s="810" t="s">
        <v>5163</v>
      </c>
      <c r="P670" s="810" t="s">
        <v>5160</v>
      </c>
      <c r="Q670" s="811">
        <v>18636135837</v>
      </c>
      <c r="R670" s="810" t="s">
        <v>5158</v>
      </c>
      <c r="S670" s="810" t="s">
        <v>4670</v>
      </c>
      <c r="T670" s="769"/>
      <c r="U670" s="925"/>
    </row>
    <row r="671" spans="1:22" ht="24" customHeight="1">
      <c r="A671" s="943"/>
      <c r="B671" s="789" t="s">
        <v>1516</v>
      </c>
      <c r="C671" s="789" t="s">
        <v>5228</v>
      </c>
      <c r="D671" s="789" t="s">
        <v>161</v>
      </c>
      <c r="E671" s="789">
        <v>533</v>
      </c>
      <c r="F671" s="360" t="s">
        <v>34</v>
      </c>
      <c r="G671" s="360" t="s">
        <v>32</v>
      </c>
      <c r="H671" s="360" t="s">
        <v>7076</v>
      </c>
      <c r="I671" s="360" t="s">
        <v>34</v>
      </c>
      <c r="J671" s="789" t="s">
        <v>5158</v>
      </c>
      <c r="K671" s="899" t="s">
        <v>5221</v>
      </c>
      <c r="L671" s="857">
        <v>15164.56</v>
      </c>
      <c r="M671" s="857">
        <v>0</v>
      </c>
      <c r="N671" s="810">
        <v>2018.1</v>
      </c>
      <c r="O671" s="810" t="s">
        <v>5163</v>
      </c>
      <c r="P671" s="810" t="s">
        <v>5160</v>
      </c>
      <c r="Q671" s="811">
        <v>18636135838</v>
      </c>
      <c r="R671" s="810" t="s">
        <v>5158</v>
      </c>
      <c r="S671" s="810" t="s">
        <v>4670</v>
      </c>
      <c r="T671" s="769"/>
      <c r="U671" s="925"/>
    </row>
    <row r="672" spans="1:22" ht="24" customHeight="1">
      <c r="A672" s="943"/>
      <c r="B672" s="789" t="s">
        <v>1516</v>
      </c>
      <c r="C672" s="789" t="s">
        <v>5229</v>
      </c>
      <c r="D672" s="789" t="s">
        <v>161</v>
      </c>
      <c r="E672" s="789">
        <v>1540</v>
      </c>
      <c r="F672" s="360" t="s">
        <v>34</v>
      </c>
      <c r="G672" s="360" t="s">
        <v>32</v>
      </c>
      <c r="H672" s="360" t="s">
        <v>7076</v>
      </c>
      <c r="I672" s="360" t="s">
        <v>34</v>
      </c>
      <c r="J672" s="789" t="s">
        <v>5158</v>
      </c>
      <c r="K672" s="899" t="s">
        <v>5221</v>
      </c>
      <c r="L672" s="857">
        <v>29219.119999999999</v>
      </c>
      <c r="M672" s="857">
        <v>0</v>
      </c>
      <c r="N672" s="810">
        <v>2018.1</v>
      </c>
      <c r="O672" s="810" t="s">
        <v>5163</v>
      </c>
      <c r="P672" s="810" t="s">
        <v>5160</v>
      </c>
      <c r="Q672" s="811">
        <v>18636135839</v>
      </c>
      <c r="R672" s="810" t="s">
        <v>5158</v>
      </c>
      <c r="S672" s="810" t="s">
        <v>4670</v>
      </c>
      <c r="T672" s="769"/>
      <c r="U672" s="925"/>
    </row>
    <row r="673" spans="1:21" ht="24" customHeight="1">
      <c r="A673" s="943"/>
      <c r="B673" s="789" t="s">
        <v>1516</v>
      </c>
      <c r="C673" s="789" t="s">
        <v>5230</v>
      </c>
      <c r="D673" s="789" t="s">
        <v>161</v>
      </c>
      <c r="E673" s="789">
        <v>805</v>
      </c>
      <c r="F673" s="360" t="s">
        <v>34</v>
      </c>
      <c r="G673" s="360" t="s">
        <v>32</v>
      </c>
      <c r="H673" s="360" t="s">
        <v>7076</v>
      </c>
      <c r="I673" s="360" t="s">
        <v>34</v>
      </c>
      <c r="J673" s="789" t="s">
        <v>5158</v>
      </c>
      <c r="K673" s="899" t="s">
        <v>5221</v>
      </c>
      <c r="L673" s="857">
        <v>74252.350000000006</v>
      </c>
      <c r="M673" s="857">
        <v>0</v>
      </c>
      <c r="N673" s="810">
        <v>2018.1</v>
      </c>
      <c r="O673" s="810" t="s">
        <v>5163</v>
      </c>
      <c r="P673" s="810" t="s">
        <v>5160</v>
      </c>
      <c r="Q673" s="811">
        <v>18636135836</v>
      </c>
      <c r="R673" s="810" t="s">
        <v>5158</v>
      </c>
      <c r="S673" s="810" t="s">
        <v>4670</v>
      </c>
      <c r="T673" s="769"/>
      <c r="U673" s="925"/>
    </row>
    <row r="674" spans="1:21" ht="24" hidden="1" customHeight="1">
      <c r="A674" s="943"/>
      <c r="B674" s="360" t="s">
        <v>5231</v>
      </c>
      <c r="C674" s="360" t="s">
        <v>5232</v>
      </c>
      <c r="D674" s="360" t="s">
        <v>2724</v>
      </c>
      <c r="E674" s="360">
        <v>300</v>
      </c>
      <c r="F674" s="360" t="s">
        <v>34</v>
      </c>
      <c r="G674" s="360" t="s">
        <v>32</v>
      </c>
      <c r="H674" s="360" t="s">
        <v>33</v>
      </c>
      <c r="I674" s="360" t="s">
        <v>34</v>
      </c>
      <c r="J674" s="360" t="s">
        <v>34</v>
      </c>
      <c r="K674" s="360" t="s">
        <v>5233</v>
      </c>
      <c r="L674" s="857">
        <v>28252.427184466</v>
      </c>
      <c r="M674" s="857">
        <v>10594.660194174758</v>
      </c>
      <c r="N674" s="810">
        <v>2018.12</v>
      </c>
      <c r="O674" s="810" t="s">
        <v>5234</v>
      </c>
      <c r="P674" s="810" t="s">
        <v>5108</v>
      </c>
      <c r="Q674" s="811">
        <v>15135090289</v>
      </c>
      <c r="R674" s="810" t="s">
        <v>5235</v>
      </c>
      <c r="S674" s="810" t="s">
        <v>4670</v>
      </c>
      <c r="T674" s="769"/>
      <c r="U674" s="937"/>
    </row>
    <row r="675" spans="1:21" ht="24" hidden="1" customHeight="1">
      <c r="A675" s="943"/>
      <c r="B675" s="360" t="s">
        <v>4601</v>
      </c>
      <c r="C675" s="360" t="s">
        <v>5236</v>
      </c>
      <c r="D675" s="360" t="s">
        <v>2724</v>
      </c>
      <c r="E675" s="360">
        <v>200</v>
      </c>
      <c r="F675" s="360" t="s">
        <v>34</v>
      </c>
      <c r="G675" s="360" t="s">
        <v>32</v>
      </c>
      <c r="H675" s="360" t="s">
        <v>33</v>
      </c>
      <c r="I675" s="360" t="s">
        <v>34</v>
      </c>
      <c r="J675" s="360" t="s">
        <v>34</v>
      </c>
      <c r="K675" s="360" t="s">
        <v>5233</v>
      </c>
      <c r="L675" s="857">
        <v>9514.5631067961203</v>
      </c>
      <c r="M675" s="857">
        <v>3567.961165048544</v>
      </c>
      <c r="N675" s="810">
        <v>2018.12</v>
      </c>
      <c r="O675" s="810" t="s">
        <v>5234</v>
      </c>
      <c r="P675" s="810" t="s">
        <v>5108</v>
      </c>
      <c r="Q675" s="811">
        <v>15135090289</v>
      </c>
      <c r="R675" s="810" t="s">
        <v>5235</v>
      </c>
      <c r="S675" s="810" t="s">
        <v>4670</v>
      </c>
      <c r="T675" s="769"/>
      <c r="U675" s="937"/>
    </row>
    <row r="676" spans="1:21" ht="24" hidden="1" customHeight="1">
      <c r="A676" s="943"/>
      <c r="B676" s="360" t="s">
        <v>1673</v>
      </c>
      <c r="C676" s="360" t="s">
        <v>5237</v>
      </c>
      <c r="D676" s="360" t="s">
        <v>1477</v>
      </c>
      <c r="E676" s="360">
        <v>2</v>
      </c>
      <c r="F676" s="360" t="s">
        <v>34</v>
      </c>
      <c r="G676" s="360" t="s">
        <v>32</v>
      </c>
      <c r="H676" s="360" t="s">
        <v>33</v>
      </c>
      <c r="I676" s="360" t="s">
        <v>34</v>
      </c>
      <c r="J676" s="360" t="s">
        <v>34</v>
      </c>
      <c r="K676" s="360" t="s">
        <v>5233</v>
      </c>
      <c r="L676" s="857">
        <v>20884.955752212401</v>
      </c>
      <c r="M676" s="857">
        <v>7831.858407079646</v>
      </c>
      <c r="N676" s="810">
        <v>2019.07</v>
      </c>
      <c r="O676" s="810" t="s">
        <v>5234</v>
      </c>
      <c r="P676" s="810" t="s">
        <v>5108</v>
      </c>
      <c r="Q676" s="811">
        <v>15135090289</v>
      </c>
      <c r="R676" s="810" t="s">
        <v>5235</v>
      </c>
      <c r="S676" s="810" t="s">
        <v>4670</v>
      </c>
      <c r="T676" s="769"/>
      <c r="U676" s="937"/>
    </row>
    <row r="677" spans="1:21" ht="24" hidden="1" customHeight="1">
      <c r="A677" s="943"/>
      <c r="B677" s="360" t="s">
        <v>1678</v>
      </c>
      <c r="C677" s="360" t="s">
        <v>5237</v>
      </c>
      <c r="D677" s="360" t="s">
        <v>1477</v>
      </c>
      <c r="E677" s="360">
        <v>3</v>
      </c>
      <c r="F677" s="360" t="s">
        <v>34</v>
      </c>
      <c r="G677" s="360" t="s">
        <v>32</v>
      </c>
      <c r="H677" s="360" t="s">
        <v>33</v>
      </c>
      <c r="I677" s="360" t="s">
        <v>34</v>
      </c>
      <c r="J677" s="360" t="s">
        <v>34</v>
      </c>
      <c r="K677" s="360" t="s">
        <v>5233</v>
      </c>
      <c r="L677" s="857">
        <v>36637.168141592898</v>
      </c>
      <c r="M677" s="857">
        <v>13738.938053097345</v>
      </c>
      <c r="N677" s="810">
        <v>2019.07</v>
      </c>
      <c r="O677" s="810" t="s">
        <v>5234</v>
      </c>
      <c r="P677" s="810" t="s">
        <v>5108</v>
      </c>
      <c r="Q677" s="811">
        <v>15135090289</v>
      </c>
      <c r="R677" s="810" t="s">
        <v>5235</v>
      </c>
      <c r="S677" s="810" t="s">
        <v>4670</v>
      </c>
      <c r="T677" s="769"/>
      <c r="U677" s="937"/>
    </row>
    <row r="678" spans="1:21" ht="24" hidden="1" customHeight="1">
      <c r="A678" s="943"/>
      <c r="B678" s="360" t="s">
        <v>5238</v>
      </c>
      <c r="C678" s="360" t="s">
        <v>5239</v>
      </c>
      <c r="D678" s="360" t="s">
        <v>1477</v>
      </c>
      <c r="E678" s="360">
        <v>11</v>
      </c>
      <c r="F678" s="360" t="s">
        <v>34</v>
      </c>
      <c r="G678" s="360" t="s">
        <v>32</v>
      </c>
      <c r="H678" s="360" t="s">
        <v>33</v>
      </c>
      <c r="I678" s="360" t="s">
        <v>34</v>
      </c>
      <c r="J678" s="360" t="s">
        <v>34</v>
      </c>
      <c r="K678" s="360" t="s">
        <v>5233</v>
      </c>
      <c r="L678" s="857">
        <v>19722.123893805299</v>
      </c>
      <c r="M678" s="857">
        <v>7395.7964601769927</v>
      </c>
      <c r="N678" s="810">
        <v>2019.07</v>
      </c>
      <c r="O678" s="810" t="s">
        <v>5234</v>
      </c>
      <c r="P678" s="810" t="s">
        <v>5108</v>
      </c>
      <c r="Q678" s="811">
        <v>15135090289</v>
      </c>
      <c r="R678" s="810" t="s">
        <v>5235</v>
      </c>
      <c r="S678" s="810" t="s">
        <v>4670</v>
      </c>
      <c r="T678" s="769"/>
      <c r="U678" s="937"/>
    </row>
    <row r="679" spans="1:21" ht="24" hidden="1" customHeight="1">
      <c r="A679" s="943"/>
      <c r="B679" s="360" t="s">
        <v>5240</v>
      </c>
      <c r="C679" s="360" t="s">
        <v>1520</v>
      </c>
      <c r="D679" s="360" t="s">
        <v>161</v>
      </c>
      <c r="E679" s="360">
        <v>300</v>
      </c>
      <c r="F679" s="360" t="s">
        <v>34</v>
      </c>
      <c r="G679" s="360" t="s">
        <v>32</v>
      </c>
      <c r="H679" s="360" t="s">
        <v>33</v>
      </c>
      <c r="I679" s="360" t="s">
        <v>34</v>
      </c>
      <c r="J679" s="360" t="s">
        <v>34</v>
      </c>
      <c r="K679" s="360" t="s">
        <v>5233</v>
      </c>
      <c r="L679" s="857">
        <v>26283.185840708</v>
      </c>
      <c r="M679" s="857">
        <v>9856.1946902654872</v>
      </c>
      <c r="N679" s="810">
        <v>2019.07</v>
      </c>
      <c r="O679" s="810" t="s">
        <v>5234</v>
      </c>
      <c r="P679" s="810" t="s">
        <v>5108</v>
      </c>
      <c r="Q679" s="811">
        <v>15135090289</v>
      </c>
      <c r="R679" s="810" t="s">
        <v>5235</v>
      </c>
      <c r="S679" s="810" t="s">
        <v>4670</v>
      </c>
      <c r="T679" s="769"/>
      <c r="U679" s="937"/>
    </row>
    <row r="680" spans="1:21" ht="24" hidden="1" customHeight="1">
      <c r="A680" s="943"/>
      <c r="B680" s="360" t="s">
        <v>5240</v>
      </c>
      <c r="C680" s="360" t="s">
        <v>1521</v>
      </c>
      <c r="D680" s="360" t="s">
        <v>161</v>
      </c>
      <c r="E680" s="360">
        <v>817</v>
      </c>
      <c r="F680" s="360" t="s">
        <v>34</v>
      </c>
      <c r="G680" s="360" t="s">
        <v>32</v>
      </c>
      <c r="H680" s="360" t="s">
        <v>33</v>
      </c>
      <c r="I680" s="360" t="s">
        <v>34</v>
      </c>
      <c r="J680" s="360" t="s">
        <v>34</v>
      </c>
      <c r="K680" s="360" t="s">
        <v>5233</v>
      </c>
      <c r="L680" s="857">
        <v>54948.672566371701</v>
      </c>
      <c r="M680" s="857">
        <v>20605.752212389383</v>
      </c>
      <c r="N680" s="810">
        <v>2019.07</v>
      </c>
      <c r="O680" s="810" t="s">
        <v>5234</v>
      </c>
      <c r="P680" s="810" t="s">
        <v>5108</v>
      </c>
      <c r="Q680" s="811">
        <v>15135090289</v>
      </c>
      <c r="R680" s="810" t="s">
        <v>5235</v>
      </c>
      <c r="S680" s="810" t="s">
        <v>4670</v>
      </c>
      <c r="T680" s="769"/>
      <c r="U680" s="937"/>
    </row>
    <row r="681" spans="1:21" ht="24" hidden="1" customHeight="1">
      <c r="A681" s="943"/>
      <c r="B681" s="360" t="s">
        <v>5240</v>
      </c>
      <c r="C681" s="360" t="s">
        <v>5241</v>
      </c>
      <c r="D681" s="360" t="s">
        <v>161</v>
      </c>
      <c r="E681" s="360">
        <v>1260</v>
      </c>
      <c r="F681" s="360" t="s">
        <v>34</v>
      </c>
      <c r="G681" s="360" t="s">
        <v>32</v>
      </c>
      <c r="H681" s="360" t="s">
        <v>33</v>
      </c>
      <c r="I681" s="360" t="s">
        <v>34</v>
      </c>
      <c r="J681" s="360" t="s">
        <v>34</v>
      </c>
      <c r="K681" s="360" t="s">
        <v>5233</v>
      </c>
      <c r="L681" s="857">
        <v>11150.4424778761</v>
      </c>
      <c r="M681" s="857">
        <v>4181.4159292035401</v>
      </c>
      <c r="N681" s="810">
        <v>2019.07</v>
      </c>
      <c r="O681" s="810" t="s">
        <v>5234</v>
      </c>
      <c r="P681" s="810" t="s">
        <v>5108</v>
      </c>
      <c r="Q681" s="811">
        <v>15135090289</v>
      </c>
      <c r="R681" s="810" t="s">
        <v>5235</v>
      </c>
      <c r="S681" s="810" t="s">
        <v>4670</v>
      </c>
      <c r="T681" s="769"/>
      <c r="U681" s="937"/>
    </row>
    <row r="682" spans="1:21" ht="24" hidden="1" customHeight="1">
      <c r="A682" s="943"/>
      <c r="B682" s="360" t="s">
        <v>762</v>
      </c>
      <c r="C682" s="360" t="s">
        <v>5242</v>
      </c>
      <c r="D682" s="360" t="s">
        <v>464</v>
      </c>
      <c r="E682" s="360">
        <v>250</v>
      </c>
      <c r="F682" s="360" t="s">
        <v>34</v>
      </c>
      <c r="G682" s="360" t="s">
        <v>32</v>
      </c>
      <c r="H682" s="360" t="s">
        <v>33</v>
      </c>
      <c r="I682" s="360" t="s">
        <v>34</v>
      </c>
      <c r="J682" s="360" t="s">
        <v>34</v>
      </c>
      <c r="K682" s="360" t="s">
        <v>5243</v>
      </c>
      <c r="L682" s="857">
        <v>26699.029126213602</v>
      </c>
      <c r="M682" s="857">
        <v>10012.135922330097</v>
      </c>
      <c r="N682" s="810">
        <v>2018.12</v>
      </c>
      <c r="O682" s="810" t="s">
        <v>5234</v>
      </c>
      <c r="P682" s="810" t="s">
        <v>5108</v>
      </c>
      <c r="Q682" s="811">
        <v>15135090289</v>
      </c>
      <c r="R682" s="810" t="s">
        <v>5235</v>
      </c>
      <c r="S682" s="810" t="s">
        <v>4670</v>
      </c>
      <c r="T682" s="769"/>
      <c r="U682" s="937"/>
    </row>
    <row r="683" spans="1:21" ht="24" hidden="1" customHeight="1">
      <c r="A683" s="943"/>
      <c r="B683" s="360" t="s">
        <v>5244</v>
      </c>
      <c r="C683" s="360"/>
      <c r="D683" s="360" t="s">
        <v>31</v>
      </c>
      <c r="E683" s="360">
        <v>548</v>
      </c>
      <c r="F683" s="360" t="s">
        <v>34</v>
      </c>
      <c r="G683" s="360" t="s">
        <v>32</v>
      </c>
      <c r="H683" s="360" t="s">
        <v>33</v>
      </c>
      <c r="I683" s="360" t="s">
        <v>34</v>
      </c>
      <c r="J683" s="360" t="s">
        <v>34</v>
      </c>
      <c r="K683" s="360" t="s">
        <v>5243</v>
      </c>
      <c r="L683" s="857">
        <v>82466.019417475705</v>
      </c>
      <c r="M683" s="857">
        <v>20616.504854368934</v>
      </c>
      <c r="N683" s="810">
        <v>2018.12</v>
      </c>
      <c r="O683" s="810" t="s">
        <v>5234</v>
      </c>
      <c r="P683" s="810" t="s">
        <v>5108</v>
      </c>
      <c r="Q683" s="811">
        <v>15135090289</v>
      </c>
      <c r="R683" s="810" t="s">
        <v>5235</v>
      </c>
      <c r="S683" s="810" t="s">
        <v>4670</v>
      </c>
      <c r="T683" s="769"/>
      <c r="U683" s="937"/>
    </row>
    <row r="684" spans="1:21" ht="24" hidden="1" customHeight="1">
      <c r="A684" s="943"/>
      <c r="B684" s="360" t="s">
        <v>5245</v>
      </c>
      <c r="C684" s="360"/>
      <c r="D684" s="360" t="s">
        <v>161</v>
      </c>
      <c r="E684" s="360">
        <v>37.67</v>
      </c>
      <c r="F684" s="360" t="s">
        <v>34</v>
      </c>
      <c r="G684" s="360" t="s">
        <v>32</v>
      </c>
      <c r="H684" s="360" t="s">
        <v>33</v>
      </c>
      <c r="I684" s="360" t="s">
        <v>34</v>
      </c>
      <c r="J684" s="360" t="s">
        <v>34</v>
      </c>
      <c r="K684" s="360" t="s">
        <v>5243</v>
      </c>
      <c r="L684" s="857">
        <v>10971.8446601942</v>
      </c>
      <c r="M684" s="857">
        <v>4114.441747572816</v>
      </c>
      <c r="N684" s="810">
        <v>2018.12</v>
      </c>
      <c r="O684" s="810" t="s">
        <v>5234</v>
      </c>
      <c r="P684" s="810" t="s">
        <v>5108</v>
      </c>
      <c r="Q684" s="811">
        <v>15135090289</v>
      </c>
      <c r="R684" s="810" t="s">
        <v>5235</v>
      </c>
      <c r="S684" s="810" t="s">
        <v>4670</v>
      </c>
      <c r="T684" s="769"/>
      <c r="U684" s="937"/>
    </row>
    <row r="685" spans="1:21" ht="24" hidden="1" customHeight="1">
      <c r="A685" s="943"/>
      <c r="B685" s="360" t="s">
        <v>5246</v>
      </c>
      <c r="C685" s="360"/>
      <c r="D685" s="360" t="s">
        <v>131</v>
      </c>
      <c r="E685" s="360">
        <v>990</v>
      </c>
      <c r="F685" s="360" t="s">
        <v>34</v>
      </c>
      <c r="G685" s="360" t="s">
        <v>32</v>
      </c>
      <c r="H685" s="360" t="s">
        <v>33</v>
      </c>
      <c r="I685" s="360" t="s">
        <v>34</v>
      </c>
      <c r="J685" s="360" t="s">
        <v>34</v>
      </c>
      <c r="K685" s="360" t="s">
        <v>5243</v>
      </c>
      <c r="L685" s="857">
        <v>7689.3203883495098</v>
      </c>
      <c r="M685" s="857">
        <v>2883.4951456310678</v>
      </c>
      <c r="N685" s="810">
        <v>2018.12</v>
      </c>
      <c r="O685" s="810" t="s">
        <v>5234</v>
      </c>
      <c r="P685" s="810" t="s">
        <v>5108</v>
      </c>
      <c r="Q685" s="811">
        <v>15135090289</v>
      </c>
      <c r="R685" s="810" t="s">
        <v>5235</v>
      </c>
      <c r="S685" s="810" t="s">
        <v>4670</v>
      </c>
      <c r="T685" s="769"/>
      <c r="U685" s="937"/>
    </row>
    <row r="686" spans="1:21" ht="24" hidden="1" customHeight="1">
      <c r="A686" s="943"/>
      <c r="B686" s="360" t="s">
        <v>5247</v>
      </c>
      <c r="C686" s="360" t="s">
        <v>5248</v>
      </c>
      <c r="D686" s="360" t="s">
        <v>79</v>
      </c>
      <c r="E686" s="360">
        <v>1</v>
      </c>
      <c r="F686" s="793" t="s">
        <v>34</v>
      </c>
      <c r="G686" s="360" t="s">
        <v>32</v>
      </c>
      <c r="H686" s="360" t="s">
        <v>33</v>
      </c>
      <c r="I686" s="360" t="s">
        <v>34</v>
      </c>
      <c r="J686" s="832" t="s">
        <v>4714</v>
      </c>
      <c r="K686" s="360" t="s">
        <v>5249</v>
      </c>
      <c r="L686" s="857">
        <v>43284.959999999999</v>
      </c>
      <c r="M686" s="857">
        <v>4328.5</v>
      </c>
      <c r="N686" s="945" t="s">
        <v>7077</v>
      </c>
      <c r="O686" s="360" t="s">
        <v>4720</v>
      </c>
      <c r="P686" s="793" t="s">
        <v>4717</v>
      </c>
      <c r="Q686" s="811">
        <v>13306050175</v>
      </c>
      <c r="R686" s="793" t="s">
        <v>4718</v>
      </c>
      <c r="S686" s="908" t="s">
        <v>4670</v>
      </c>
      <c r="T686" s="769"/>
      <c r="U686" s="937"/>
    </row>
    <row r="687" spans="1:21" ht="24" hidden="1" customHeight="1">
      <c r="A687" s="360"/>
      <c r="B687" s="360" t="s">
        <v>5250</v>
      </c>
      <c r="C687" s="360"/>
      <c r="D687" s="360" t="s">
        <v>1477</v>
      </c>
      <c r="E687" s="360">
        <v>1</v>
      </c>
      <c r="F687" s="360"/>
      <c r="G687" s="360" t="s">
        <v>32</v>
      </c>
      <c r="H687" s="360" t="s">
        <v>33</v>
      </c>
      <c r="I687" s="360" t="s">
        <v>34</v>
      </c>
      <c r="J687" s="832" t="s">
        <v>4714</v>
      </c>
      <c r="K687" s="360" t="s">
        <v>5249</v>
      </c>
      <c r="L687" s="857">
        <v>3800</v>
      </c>
      <c r="M687" s="857">
        <v>380</v>
      </c>
      <c r="N687" s="945">
        <v>2020.01</v>
      </c>
      <c r="O687" s="360" t="s">
        <v>4720</v>
      </c>
      <c r="P687" s="793" t="s">
        <v>4717</v>
      </c>
      <c r="Q687" s="811">
        <v>13306050175</v>
      </c>
      <c r="R687" s="793" t="s">
        <v>4718</v>
      </c>
      <c r="S687" s="360" t="s">
        <v>4670</v>
      </c>
      <c r="T687" s="769"/>
      <c r="U687" s="937"/>
    </row>
    <row r="688" spans="1:21" ht="24" hidden="1" customHeight="1">
      <c r="A688" s="360"/>
      <c r="B688" s="360" t="s">
        <v>5251</v>
      </c>
      <c r="C688" s="360"/>
      <c r="D688" s="360" t="s">
        <v>603</v>
      </c>
      <c r="E688" s="360">
        <v>2</v>
      </c>
      <c r="F688" s="360"/>
      <c r="G688" s="360" t="s">
        <v>32</v>
      </c>
      <c r="H688" s="360" t="s">
        <v>33</v>
      </c>
      <c r="I688" s="360" t="s">
        <v>34</v>
      </c>
      <c r="J688" s="832" t="s">
        <v>4714</v>
      </c>
      <c r="K688" s="360" t="s">
        <v>5249</v>
      </c>
      <c r="L688" s="857">
        <v>800</v>
      </c>
      <c r="M688" s="857">
        <v>80</v>
      </c>
      <c r="N688" s="945">
        <v>2020.01</v>
      </c>
      <c r="O688" s="360" t="s">
        <v>4720</v>
      </c>
      <c r="P688" s="793" t="s">
        <v>4717</v>
      </c>
      <c r="Q688" s="811">
        <v>13306050175</v>
      </c>
      <c r="R688" s="793" t="s">
        <v>4718</v>
      </c>
      <c r="S688" s="360" t="s">
        <v>4670</v>
      </c>
      <c r="T688" s="769"/>
      <c r="U688" s="937"/>
    </row>
    <row r="689" spans="1:24" ht="24" hidden="1" customHeight="1">
      <c r="A689" s="360"/>
      <c r="B689" s="360" t="s">
        <v>5222</v>
      </c>
      <c r="C689" s="360"/>
      <c r="D689" s="360" t="s">
        <v>1477</v>
      </c>
      <c r="E689" s="360">
        <v>12</v>
      </c>
      <c r="F689" s="360"/>
      <c r="G689" s="360" t="s">
        <v>32</v>
      </c>
      <c r="H689" s="360" t="s">
        <v>33</v>
      </c>
      <c r="I689" s="360" t="s">
        <v>34</v>
      </c>
      <c r="J689" s="832" t="s">
        <v>4714</v>
      </c>
      <c r="K689" s="360" t="s">
        <v>5249</v>
      </c>
      <c r="L689" s="857">
        <v>87600</v>
      </c>
      <c r="M689" s="857">
        <v>8760</v>
      </c>
      <c r="N689" s="945">
        <v>2020.01</v>
      </c>
      <c r="O689" s="360" t="s">
        <v>4720</v>
      </c>
      <c r="P689" s="793" t="s">
        <v>4717</v>
      </c>
      <c r="Q689" s="811">
        <v>13306050175</v>
      </c>
      <c r="R689" s="793" t="s">
        <v>4718</v>
      </c>
      <c r="S689" s="360" t="s">
        <v>4670</v>
      </c>
      <c r="T689" s="769"/>
      <c r="U689" s="937"/>
    </row>
    <row r="690" spans="1:24" ht="24" hidden="1" customHeight="1">
      <c r="A690" s="360"/>
      <c r="B690" s="360" t="s">
        <v>5252</v>
      </c>
      <c r="C690" s="360"/>
      <c r="D690" s="360" t="s">
        <v>1477</v>
      </c>
      <c r="E690" s="360">
        <v>3</v>
      </c>
      <c r="F690" s="360"/>
      <c r="G690" s="360" t="s">
        <v>32</v>
      </c>
      <c r="H690" s="360" t="s">
        <v>33</v>
      </c>
      <c r="I690" s="360" t="s">
        <v>34</v>
      </c>
      <c r="J690" s="832" t="s">
        <v>4714</v>
      </c>
      <c r="K690" s="360" t="s">
        <v>5249</v>
      </c>
      <c r="L690" s="857">
        <v>18900</v>
      </c>
      <c r="M690" s="857">
        <v>1890</v>
      </c>
      <c r="N690" s="945">
        <v>2020.01</v>
      </c>
      <c r="O690" s="360" t="s">
        <v>4720</v>
      </c>
      <c r="P690" s="793" t="s">
        <v>4717</v>
      </c>
      <c r="Q690" s="811">
        <v>13306050175</v>
      </c>
      <c r="R690" s="793" t="s">
        <v>4718</v>
      </c>
      <c r="S690" s="360" t="s">
        <v>4670</v>
      </c>
      <c r="T690" s="769"/>
      <c r="U690" s="937"/>
    </row>
    <row r="691" spans="1:24" ht="24" hidden="1" customHeight="1">
      <c r="A691" s="360"/>
      <c r="B691" s="360" t="s">
        <v>5253</v>
      </c>
      <c r="C691" s="360" t="s">
        <v>5254</v>
      </c>
      <c r="D691" s="360" t="s">
        <v>131</v>
      </c>
      <c r="E691" s="360">
        <v>2</v>
      </c>
      <c r="F691" s="793" t="s">
        <v>34</v>
      </c>
      <c r="G691" s="360" t="s">
        <v>32</v>
      </c>
      <c r="H691" s="360" t="s">
        <v>33</v>
      </c>
      <c r="I691" s="360" t="s">
        <v>34</v>
      </c>
      <c r="J691" s="360" t="s">
        <v>4714</v>
      </c>
      <c r="K691" s="360" t="s">
        <v>4715</v>
      </c>
      <c r="L691" s="857">
        <v>2400</v>
      </c>
      <c r="M691" s="857">
        <v>240</v>
      </c>
      <c r="N691" s="360">
        <v>2020.12</v>
      </c>
      <c r="O691" s="360" t="s">
        <v>4720</v>
      </c>
      <c r="P691" s="360" t="s">
        <v>4717</v>
      </c>
      <c r="Q691" s="811">
        <v>13306050175</v>
      </c>
      <c r="R691" s="360" t="s">
        <v>4718</v>
      </c>
      <c r="S691" s="360" t="s">
        <v>4670</v>
      </c>
      <c r="T691" s="769"/>
      <c r="U691" s="937"/>
    </row>
    <row r="692" spans="1:24" ht="24" hidden="1" customHeight="1">
      <c r="A692" s="360"/>
      <c r="B692" s="360" t="s">
        <v>3527</v>
      </c>
      <c r="C692" s="360" t="s">
        <v>5255</v>
      </c>
      <c r="D692" s="360" t="s">
        <v>131</v>
      </c>
      <c r="E692" s="360">
        <v>4</v>
      </c>
      <c r="F692" s="793" t="s">
        <v>34</v>
      </c>
      <c r="G692" s="360" t="s">
        <v>32</v>
      </c>
      <c r="H692" s="360" t="s">
        <v>33</v>
      </c>
      <c r="I692" s="360" t="s">
        <v>34</v>
      </c>
      <c r="J692" s="360" t="s">
        <v>4714</v>
      </c>
      <c r="K692" s="360" t="s">
        <v>4715</v>
      </c>
      <c r="L692" s="857">
        <v>5918.58</v>
      </c>
      <c r="M692" s="857">
        <v>591.86</v>
      </c>
      <c r="N692" s="360">
        <v>2020.12</v>
      </c>
      <c r="O692" s="360" t="s">
        <v>4720</v>
      </c>
      <c r="P692" s="360" t="s">
        <v>4717</v>
      </c>
      <c r="Q692" s="811">
        <v>13306050175</v>
      </c>
      <c r="R692" s="360" t="s">
        <v>4718</v>
      </c>
      <c r="S692" s="360" t="s">
        <v>4670</v>
      </c>
      <c r="T692" s="769"/>
      <c r="U692" s="937"/>
    </row>
    <row r="693" spans="1:24" ht="24" hidden="1" customHeight="1">
      <c r="A693" s="360"/>
      <c r="B693" s="360" t="s">
        <v>1678</v>
      </c>
      <c r="C693" s="360"/>
      <c r="D693" s="360" t="s">
        <v>1477</v>
      </c>
      <c r="E693" s="360">
        <v>2</v>
      </c>
      <c r="F693" s="793" t="s">
        <v>34</v>
      </c>
      <c r="G693" s="360" t="s">
        <v>32</v>
      </c>
      <c r="H693" s="360" t="s">
        <v>33</v>
      </c>
      <c r="I693" s="360" t="s">
        <v>34</v>
      </c>
      <c r="J693" s="360" t="s">
        <v>4714</v>
      </c>
      <c r="K693" s="360" t="s">
        <v>4715</v>
      </c>
      <c r="L693" s="857">
        <v>6902.65</v>
      </c>
      <c r="M693" s="857">
        <v>690.26</v>
      </c>
      <c r="N693" s="360">
        <v>2020.12</v>
      </c>
      <c r="O693" s="360" t="s">
        <v>4720</v>
      </c>
      <c r="P693" s="360" t="s">
        <v>4717</v>
      </c>
      <c r="Q693" s="811">
        <v>13306050175</v>
      </c>
      <c r="R693" s="360" t="s">
        <v>4718</v>
      </c>
      <c r="S693" s="360" t="s">
        <v>4670</v>
      </c>
      <c r="T693" s="769"/>
      <c r="U693" s="937"/>
    </row>
    <row r="694" spans="1:24" ht="24" hidden="1" customHeight="1">
      <c r="A694" s="360"/>
      <c r="B694" s="360" t="s">
        <v>3870</v>
      </c>
      <c r="C694" s="360"/>
      <c r="D694" s="360" t="s">
        <v>1477</v>
      </c>
      <c r="E694" s="360">
        <v>7</v>
      </c>
      <c r="F694" s="793" t="s">
        <v>34</v>
      </c>
      <c r="G694" s="360" t="s">
        <v>32</v>
      </c>
      <c r="H694" s="360" t="s">
        <v>33</v>
      </c>
      <c r="I694" s="360" t="s">
        <v>34</v>
      </c>
      <c r="J694" s="360" t="s">
        <v>4714</v>
      </c>
      <c r="K694" s="360" t="s">
        <v>4715</v>
      </c>
      <c r="L694" s="857">
        <v>3097.35</v>
      </c>
      <c r="M694" s="857">
        <v>309.73</v>
      </c>
      <c r="N694" s="360">
        <v>2020.12</v>
      </c>
      <c r="O694" s="360" t="s">
        <v>4720</v>
      </c>
      <c r="P694" s="360" t="s">
        <v>4717</v>
      </c>
      <c r="Q694" s="811">
        <v>13306050175</v>
      </c>
      <c r="R694" s="360" t="s">
        <v>4718</v>
      </c>
      <c r="S694" s="360" t="s">
        <v>4670</v>
      </c>
      <c r="T694" s="769"/>
      <c r="U694" s="937"/>
    </row>
    <row r="695" spans="1:24" ht="24" hidden="1" customHeight="1">
      <c r="A695" s="360"/>
      <c r="B695" s="360" t="s">
        <v>5256</v>
      </c>
      <c r="C695" s="360" t="s">
        <v>5257</v>
      </c>
      <c r="D695" s="360" t="s">
        <v>3169</v>
      </c>
      <c r="E695" s="360">
        <v>20</v>
      </c>
      <c r="F695" s="793" t="s">
        <v>34</v>
      </c>
      <c r="G695" s="360" t="s">
        <v>32</v>
      </c>
      <c r="H695" s="360" t="s">
        <v>33</v>
      </c>
      <c r="I695" s="360" t="s">
        <v>34</v>
      </c>
      <c r="J695" s="360" t="s">
        <v>4714</v>
      </c>
      <c r="K695" s="360" t="s">
        <v>4715</v>
      </c>
      <c r="L695" s="857">
        <v>5663.73</v>
      </c>
      <c r="M695" s="857">
        <v>566.37</v>
      </c>
      <c r="N695" s="360">
        <v>2020.12</v>
      </c>
      <c r="O695" s="360" t="s">
        <v>4720</v>
      </c>
      <c r="P695" s="360" t="s">
        <v>4717</v>
      </c>
      <c r="Q695" s="811">
        <v>13306050175</v>
      </c>
      <c r="R695" s="360" t="s">
        <v>4718</v>
      </c>
      <c r="S695" s="360" t="s">
        <v>4670</v>
      </c>
      <c r="T695" s="769"/>
      <c r="U695" s="937"/>
    </row>
    <row r="696" spans="1:24" ht="24" hidden="1" customHeight="1">
      <c r="A696" s="360"/>
      <c r="B696" s="360" t="s">
        <v>5256</v>
      </c>
      <c r="C696" s="360" t="s">
        <v>5258</v>
      </c>
      <c r="D696" s="360" t="s">
        <v>3169</v>
      </c>
      <c r="E696" s="360">
        <v>10</v>
      </c>
      <c r="F696" s="793" t="s">
        <v>34</v>
      </c>
      <c r="G696" s="360" t="s">
        <v>32</v>
      </c>
      <c r="H696" s="360" t="s">
        <v>33</v>
      </c>
      <c r="I696" s="360" t="s">
        <v>34</v>
      </c>
      <c r="J696" s="360" t="s">
        <v>4714</v>
      </c>
      <c r="K696" s="360" t="s">
        <v>4715</v>
      </c>
      <c r="L696" s="857">
        <v>3362.83</v>
      </c>
      <c r="M696" s="857">
        <v>336.28</v>
      </c>
      <c r="N696" s="360">
        <v>2020.12</v>
      </c>
      <c r="O696" s="360" t="s">
        <v>4720</v>
      </c>
      <c r="P696" s="360" t="s">
        <v>4717</v>
      </c>
      <c r="Q696" s="811">
        <v>13306050175</v>
      </c>
      <c r="R696" s="360" t="s">
        <v>4718</v>
      </c>
      <c r="S696" s="360" t="s">
        <v>4670</v>
      </c>
      <c r="T696" s="769"/>
      <c r="U696" s="937"/>
    </row>
    <row r="697" spans="1:24" ht="24" hidden="1" customHeight="1">
      <c r="A697" s="360"/>
      <c r="B697" s="360" t="s">
        <v>5259</v>
      </c>
      <c r="C697" s="360" t="s">
        <v>5260</v>
      </c>
      <c r="D697" s="360" t="s">
        <v>3169</v>
      </c>
      <c r="E697" s="360">
        <v>24</v>
      </c>
      <c r="F697" s="793" t="s">
        <v>34</v>
      </c>
      <c r="G697" s="360" t="s">
        <v>32</v>
      </c>
      <c r="H697" s="360" t="s">
        <v>33</v>
      </c>
      <c r="I697" s="360" t="s">
        <v>34</v>
      </c>
      <c r="J697" s="360" t="s">
        <v>4714</v>
      </c>
      <c r="K697" s="360" t="s">
        <v>4715</v>
      </c>
      <c r="L697" s="857">
        <v>5946.9</v>
      </c>
      <c r="M697" s="857">
        <v>594.69000000000005</v>
      </c>
      <c r="N697" s="360">
        <v>2020.12</v>
      </c>
      <c r="O697" s="360" t="s">
        <v>4720</v>
      </c>
      <c r="P697" s="360" t="s">
        <v>4717</v>
      </c>
      <c r="Q697" s="811">
        <v>13306050175</v>
      </c>
      <c r="R697" s="360" t="s">
        <v>4718</v>
      </c>
      <c r="S697" s="360" t="s">
        <v>4670</v>
      </c>
      <c r="T697" s="769"/>
      <c r="U697" s="937"/>
    </row>
    <row r="698" spans="1:24" ht="24" hidden="1" customHeight="1">
      <c r="A698" s="943"/>
      <c r="B698" s="360" t="s">
        <v>5261</v>
      </c>
      <c r="C698" s="360" t="s">
        <v>5262</v>
      </c>
      <c r="D698" s="360" t="s">
        <v>131</v>
      </c>
      <c r="E698" s="360">
        <v>1</v>
      </c>
      <c r="F698" s="360" t="s">
        <v>34</v>
      </c>
      <c r="G698" s="360" t="s">
        <v>32</v>
      </c>
      <c r="H698" s="360" t="s">
        <v>33</v>
      </c>
      <c r="I698" s="360" t="s">
        <v>34</v>
      </c>
      <c r="J698" s="360" t="s">
        <v>34</v>
      </c>
      <c r="K698" s="360" t="s">
        <v>4973</v>
      </c>
      <c r="L698" s="857">
        <v>31570.799999999999</v>
      </c>
      <c r="M698" s="857">
        <v>7892.7</v>
      </c>
      <c r="N698" s="945">
        <v>2019.11</v>
      </c>
      <c r="O698" s="360" t="s">
        <v>4969</v>
      </c>
      <c r="P698" s="793" t="s">
        <v>4970</v>
      </c>
      <c r="Q698" s="811">
        <v>15834044896</v>
      </c>
      <c r="R698" s="793" t="s">
        <v>4971</v>
      </c>
      <c r="S698" s="360" t="s">
        <v>4670</v>
      </c>
      <c r="T698" s="769"/>
      <c r="U698" s="937"/>
    </row>
    <row r="699" spans="1:24" ht="24" hidden="1" customHeight="1">
      <c r="A699" s="943"/>
      <c r="B699" s="360" t="s">
        <v>5263</v>
      </c>
      <c r="C699" s="360" t="s">
        <v>5264</v>
      </c>
      <c r="D699" s="360" t="s">
        <v>131</v>
      </c>
      <c r="E699" s="360">
        <v>1</v>
      </c>
      <c r="F699" s="360" t="s">
        <v>34</v>
      </c>
      <c r="G699" s="360" t="s">
        <v>32</v>
      </c>
      <c r="H699" s="360" t="s">
        <v>33</v>
      </c>
      <c r="I699" s="360" t="s">
        <v>34</v>
      </c>
      <c r="J699" s="360" t="s">
        <v>34</v>
      </c>
      <c r="K699" s="360" t="s">
        <v>4973</v>
      </c>
      <c r="L699" s="857">
        <v>3008.85</v>
      </c>
      <c r="M699" s="857">
        <v>752.21400000000006</v>
      </c>
      <c r="N699" s="945">
        <v>2019.11</v>
      </c>
      <c r="O699" s="360" t="s">
        <v>4969</v>
      </c>
      <c r="P699" s="793" t="s">
        <v>4970</v>
      </c>
      <c r="Q699" s="811">
        <v>15834044896</v>
      </c>
      <c r="R699" s="793" t="s">
        <v>4971</v>
      </c>
      <c r="S699" s="360" t="s">
        <v>4670</v>
      </c>
      <c r="T699" s="769"/>
      <c r="U699" s="937"/>
    </row>
    <row r="700" spans="1:24" ht="24" hidden="1" customHeight="1">
      <c r="A700" s="943"/>
      <c r="B700" s="360" t="s">
        <v>5245</v>
      </c>
      <c r="C700" s="360" t="s">
        <v>251</v>
      </c>
      <c r="D700" s="360" t="s">
        <v>888</v>
      </c>
      <c r="E700" s="360">
        <v>13.26</v>
      </c>
      <c r="F700" s="360" t="s">
        <v>34</v>
      </c>
      <c r="G700" s="360" t="s">
        <v>32</v>
      </c>
      <c r="H700" s="360" t="s">
        <v>33</v>
      </c>
      <c r="I700" s="360" t="s">
        <v>34</v>
      </c>
      <c r="J700" s="360" t="s">
        <v>34</v>
      </c>
      <c r="K700" s="360" t="s">
        <v>4973</v>
      </c>
      <c r="L700" s="857">
        <v>1642.83</v>
      </c>
      <c r="M700" s="857">
        <v>410.69400000000002</v>
      </c>
      <c r="N700" s="945">
        <v>2019.11</v>
      </c>
      <c r="O700" s="360" t="s">
        <v>4969</v>
      </c>
      <c r="P700" s="793" t="s">
        <v>4970</v>
      </c>
      <c r="Q700" s="811">
        <v>15834044896</v>
      </c>
      <c r="R700" s="793" t="s">
        <v>4971</v>
      </c>
      <c r="S700" s="360" t="s">
        <v>4670</v>
      </c>
      <c r="T700" s="769"/>
      <c r="U700" s="937"/>
    </row>
    <row r="701" spans="1:24" ht="24" hidden="1" customHeight="1">
      <c r="A701" s="779"/>
      <c r="B701" s="360" t="s">
        <v>7078</v>
      </c>
      <c r="C701" s="360" t="s">
        <v>5265</v>
      </c>
      <c r="D701" s="360" t="s">
        <v>161</v>
      </c>
      <c r="E701" s="360">
        <v>190</v>
      </c>
      <c r="F701" s="360" t="s">
        <v>34</v>
      </c>
      <c r="G701" s="360" t="s">
        <v>32</v>
      </c>
      <c r="H701" s="360" t="s">
        <v>33</v>
      </c>
      <c r="I701" s="360" t="s">
        <v>34</v>
      </c>
      <c r="J701" s="360" t="s">
        <v>34</v>
      </c>
      <c r="K701" s="360" t="s">
        <v>4973</v>
      </c>
      <c r="L701" s="857">
        <v>20176.990000000002</v>
      </c>
      <c r="M701" s="857">
        <v>5044.24</v>
      </c>
      <c r="N701" s="945">
        <v>2019.11</v>
      </c>
      <c r="O701" s="360" t="s">
        <v>4969</v>
      </c>
      <c r="P701" s="793" t="s">
        <v>4970</v>
      </c>
      <c r="Q701" s="811">
        <v>15834044896</v>
      </c>
      <c r="R701" s="793" t="s">
        <v>4971</v>
      </c>
      <c r="S701" s="360" t="s">
        <v>4670</v>
      </c>
      <c r="T701" s="769"/>
      <c r="U701" s="937"/>
      <c r="W701" s="946"/>
      <c r="X701" s="946"/>
    </row>
    <row r="702" spans="1:24" ht="24" hidden="1" customHeight="1">
      <c r="A702" s="360"/>
      <c r="B702" s="360" t="s">
        <v>1479</v>
      </c>
      <c r="C702" s="360" t="s">
        <v>5212</v>
      </c>
      <c r="D702" s="360" t="s">
        <v>161</v>
      </c>
      <c r="E702" s="360"/>
      <c r="F702" s="810">
        <v>260</v>
      </c>
      <c r="G702" s="360" t="s">
        <v>32</v>
      </c>
      <c r="H702" s="360" t="s">
        <v>33</v>
      </c>
      <c r="I702" s="360" t="s">
        <v>34</v>
      </c>
      <c r="J702" s="360" t="s">
        <v>34</v>
      </c>
      <c r="K702" s="360" t="s">
        <v>5199</v>
      </c>
      <c r="L702" s="810">
        <v>36039.599999999999</v>
      </c>
      <c r="M702" s="810">
        <v>18019.8</v>
      </c>
      <c r="N702" s="360">
        <v>2021.12</v>
      </c>
      <c r="O702" s="360" t="s">
        <v>5266</v>
      </c>
      <c r="P702" s="360" t="s">
        <v>4789</v>
      </c>
      <c r="Q702" s="360">
        <v>13834686587</v>
      </c>
      <c r="R702" s="360" t="s">
        <v>4790</v>
      </c>
      <c r="S702" s="360" t="s">
        <v>6892</v>
      </c>
      <c r="T702" s="769"/>
      <c r="U702" s="774"/>
      <c r="V702" s="1589"/>
    </row>
    <row r="703" spans="1:24" ht="24" hidden="1" customHeight="1">
      <c r="A703" s="360"/>
      <c r="B703" s="360" t="s">
        <v>5263</v>
      </c>
      <c r="C703" s="360" t="s">
        <v>5267</v>
      </c>
      <c r="D703" s="360" t="s">
        <v>131</v>
      </c>
      <c r="E703" s="360"/>
      <c r="F703" s="810">
        <v>4</v>
      </c>
      <c r="G703" s="360" t="s">
        <v>32</v>
      </c>
      <c r="H703" s="360" t="s">
        <v>33</v>
      </c>
      <c r="I703" s="360" t="s">
        <v>34</v>
      </c>
      <c r="J703" s="360" t="s">
        <v>34</v>
      </c>
      <c r="K703" s="360" t="s">
        <v>5199</v>
      </c>
      <c r="L703" s="810">
        <v>15841.58</v>
      </c>
      <c r="M703" s="810">
        <v>7920.79</v>
      </c>
      <c r="N703" s="360">
        <v>2021.12</v>
      </c>
      <c r="O703" s="360" t="s">
        <v>5266</v>
      </c>
      <c r="P703" s="360" t="s">
        <v>4789</v>
      </c>
      <c r="Q703" s="360">
        <v>13834686587</v>
      </c>
      <c r="R703" s="360" t="s">
        <v>4790</v>
      </c>
      <c r="S703" s="360" t="s">
        <v>6892</v>
      </c>
      <c r="T703" s="769"/>
      <c r="U703" s="774"/>
      <c r="V703" s="1589"/>
    </row>
    <row r="704" spans="1:24" ht="24" hidden="1" customHeight="1">
      <c r="A704" s="360"/>
      <c r="B704" s="360" t="s">
        <v>5268</v>
      </c>
      <c r="C704" s="360" t="s">
        <v>3510</v>
      </c>
      <c r="D704" s="360" t="s">
        <v>161</v>
      </c>
      <c r="E704" s="360"/>
      <c r="F704" s="810">
        <v>1400</v>
      </c>
      <c r="G704" s="360" t="s">
        <v>32</v>
      </c>
      <c r="H704" s="360" t="s">
        <v>33</v>
      </c>
      <c r="I704" s="360" t="s">
        <v>34</v>
      </c>
      <c r="J704" s="360" t="s">
        <v>34</v>
      </c>
      <c r="K704" s="360" t="s">
        <v>5199</v>
      </c>
      <c r="L704" s="810">
        <v>90099.01</v>
      </c>
      <c r="M704" s="810">
        <v>45049.504999999997</v>
      </c>
      <c r="N704" s="360">
        <v>2021.12</v>
      </c>
      <c r="O704" s="360" t="s">
        <v>5266</v>
      </c>
      <c r="P704" s="360" t="s">
        <v>4789</v>
      </c>
      <c r="Q704" s="360">
        <v>13834686587</v>
      </c>
      <c r="R704" s="360" t="s">
        <v>4790</v>
      </c>
      <c r="S704" s="360" t="s">
        <v>6892</v>
      </c>
      <c r="T704" s="769"/>
      <c r="U704" s="774"/>
      <c r="V704" s="1589"/>
    </row>
    <row r="705" spans="1:22" ht="24" hidden="1" customHeight="1">
      <c r="A705" s="360"/>
      <c r="B705" s="360" t="s">
        <v>1486</v>
      </c>
      <c r="C705" s="360" t="s">
        <v>5269</v>
      </c>
      <c r="D705" s="360" t="s">
        <v>1477</v>
      </c>
      <c r="E705" s="360">
        <v>7</v>
      </c>
      <c r="F705" s="810" t="s">
        <v>34</v>
      </c>
      <c r="G705" s="360" t="s">
        <v>32</v>
      </c>
      <c r="H705" s="360" t="s">
        <v>6904</v>
      </c>
      <c r="I705" s="360" t="s">
        <v>179</v>
      </c>
      <c r="J705" s="360" t="s">
        <v>179</v>
      </c>
      <c r="K705" s="360" t="s">
        <v>5270</v>
      </c>
      <c r="L705" s="810">
        <v>4599.4336283185803</v>
      </c>
      <c r="M705" s="810">
        <v>1379.8300884955499</v>
      </c>
      <c r="N705" s="360" t="s">
        <v>4794</v>
      </c>
      <c r="O705" s="360" t="s">
        <v>5271</v>
      </c>
      <c r="P705" s="360" t="s">
        <v>5175</v>
      </c>
      <c r="Q705" s="360">
        <v>15862288026</v>
      </c>
      <c r="R705" s="360" t="s">
        <v>7072</v>
      </c>
      <c r="S705" s="360" t="s">
        <v>6892</v>
      </c>
      <c r="T705" s="769" t="s">
        <v>6901</v>
      </c>
      <c r="U705" s="774"/>
      <c r="V705" s="1589"/>
    </row>
    <row r="706" spans="1:22" ht="24" hidden="1" customHeight="1">
      <c r="A706" s="360"/>
      <c r="B706" s="360" t="s">
        <v>1486</v>
      </c>
      <c r="C706" s="360" t="s">
        <v>5272</v>
      </c>
      <c r="D706" s="360" t="s">
        <v>1477</v>
      </c>
      <c r="E706" s="360">
        <v>2</v>
      </c>
      <c r="F706" s="810" t="s">
        <v>34</v>
      </c>
      <c r="G706" s="360" t="s">
        <v>32</v>
      </c>
      <c r="H706" s="360" t="s">
        <v>6904</v>
      </c>
      <c r="I706" s="360" t="s">
        <v>179</v>
      </c>
      <c r="J706" s="360" t="s">
        <v>179</v>
      </c>
      <c r="K706" s="360" t="s">
        <v>5270</v>
      </c>
      <c r="L706" s="810">
        <v>13133.4513274336</v>
      </c>
      <c r="M706" s="810">
        <v>3940.0353982301599</v>
      </c>
      <c r="N706" s="360" t="s">
        <v>4794</v>
      </c>
      <c r="O706" s="360" t="s">
        <v>5271</v>
      </c>
      <c r="P706" s="360" t="s">
        <v>5175</v>
      </c>
      <c r="Q706" s="360">
        <v>15862288026</v>
      </c>
      <c r="R706" s="360" t="s">
        <v>7072</v>
      </c>
      <c r="S706" s="360" t="s">
        <v>6892</v>
      </c>
      <c r="T706" s="769" t="s">
        <v>6901</v>
      </c>
      <c r="U706" s="774"/>
      <c r="V706" s="1589"/>
    </row>
    <row r="707" spans="1:22" ht="24" hidden="1" customHeight="1">
      <c r="A707" s="360"/>
      <c r="B707" s="360" t="s">
        <v>1486</v>
      </c>
      <c r="C707" s="360" t="s">
        <v>5272</v>
      </c>
      <c r="D707" s="360" t="s">
        <v>1477</v>
      </c>
      <c r="E707" s="360">
        <v>1</v>
      </c>
      <c r="F707" s="810" t="s">
        <v>34</v>
      </c>
      <c r="G707" s="360" t="s">
        <v>32</v>
      </c>
      <c r="H707" s="360" t="s">
        <v>6904</v>
      </c>
      <c r="I707" s="360" t="s">
        <v>179</v>
      </c>
      <c r="J707" s="360" t="s">
        <v>179</v>
      </c>
      <c r="K707" s="360" t="s">
        <v>5270</v>
      </c>
      <c r="L707" s="810">
        <v>6076.6371681415903</v>
      </c>
      <c r="M707" s="810">
        <v>1822.9911504424699</v>
      </c>
      <c r="N707" s="360" t="s">
        <v>4794</v>
      </c>
      <c r="O707" s="360" t="s">
        <v>5271</v>
      </c>
      <c r="P707" s="360" t="s">
        <v>5175</v>
      </c>
      <c r="Q707" s="360">
        <v>15862288026</v>
      </c>
      <c r="R707" s="360" t="s">
        <v>7072</v>
      </c>
      <c r="S707" s="360" t="s">
        <v>6892</v>
      </c>
      <c r="T707" s="769" t="s">
        <v>6901</v>
      </c>
      <c r="U707" s="774"/>
      <c r="V707" s="1589"/>
    </row>
    <row r="708" spans="1:22" ht="24" hidden="1" customHeight="1">
      <c r="A708" s="360"/>
      <c r="B708" s="360" t="s">
        <v>1486</v>
      </c>
      <c r="C708" s="360" t="s">
        <v>5273</v>
      </c>
      <c r="D708" s="360" t="s">
        <v>1477</v>
      </c>
      <c r="E708" s="360">
        <v>6</v>
      </c>
      <c r="F708" s="810" t="s">
        <v>34</v>
      </c>
      <c r="G708" s="360" t="s">
        <v>32</v>
      </c>
      <c r="H708" s="360" t="s">
        <v>6904</v>
      </c>
      <c r="I708" s="360" t="s">
        <v>179</v>
      </c>
      <c r="J708" s="360" t="s">
        <v>179</v>
      </c>
      <c r="K708" s="360" t="s">
        <v>5270</v>
      </c>
      <c r="L708" s="810">
        <v>17650.088495575201</v>
      </c>
      <c r="M708" s="810">
        <v>5295.0265486726803</v>
      </c>
      <c r="N708" s="360" t="s">
        <v>4794</v>
      </c>
      <c r="O708" s="360" t="s">
        <v>5271</v>
      </c>
      <c r="P708" s="360" t="s">
        <v>5175</v>
      </c>
      <c r="Q708" s="360">
        <v>15862288026</v>
      </c>
      <c r="R708" s="360" t="s">
        <v>7072</v>
      </c>
      <c r="S708" s="360" t="s">
        <v>6892</v>
      </c>
      <c r="T708" s="769" t="s">
        <v>6901</v>
      </c>
      <c r="U708" s="774"/>
      <c r="V708" s="1589"/>
    </row>
    <row r="709" spans="1:22" ht="24" hidden="1" customHeight="1">
      <c r="A709" s="360"/>
      <c r="B709" s="360" t="s">
        <v>1486</v>
      </c>
      <c r="C709" s="360" t="s">
        <v>5273</v>
      </c>
      <c r="D709" s="360" t="s">
        <v>1477</v>
      </c>
      <c r="E709" s="360">
        <v>2</v>
      </c>
      <c r="F709" s="810" t="s">
        <v>34</v>
      </c>
      <c r="G709" s="360" t="s">
        <v>32</v>
      </c>
      <c r="H709" s="360" t="s">
        <v>6904</v>
      </c>
      <c r="I709" s="360" t="s">
        <v>179</v>
      </c>
      <c r="J709" s="360" t="s">
        <v>179</v>
      </c>
      <c r="K709" s="360" t="s">
        <v>5270</v>
      </c>
      <c r="L709" s="810">
        <v>6467.7876106194599</v>
      </c>
      <c r="M709" s="810">
        <v>1940.3362831858601</v>
      </c>
      <c r="N709" s="360" t="s">
        <v>4794</v>
      </c>
      <c r="O709" s="360" t="s">
        <v>5271</v>
      </c>
      <c r="P709" s="360" t="s">
        <v>5175</v>
      </c>
      <c r="Q709" s="360">
        <v>15862288026</v>
      </c>
      <c r="R709" s="360" t="s">
        <v>7072</v>
      </c>
      <c r="S709" s="360" t="s">
        <v>6892</v>
      </c>
      <c r="T709" s="769" t="s">
        <v>6901</v>
      </c>
      <c r="U709" s="774"/>
      <c r="V709" s="1589"/>
    </row>
    <row r="710" spans="1:22" ht="24" hidden="1" customHeight="1">
      <c r="A710" s="360"/>
      <c r="B710" s="360" t="s">
        <v>1486</v>
      </c>
      <c r="C710" s="360" t="s">
        <v>5273</v>
      </c>
      <c r="D710" s="360" t="s">
        <v>1477</v>
      </c>
      <c r="E710" s="360">
        <v>1</v>
      </c>
      <c r="F710" s="810" t="s">
        <v>34</v>
      </c>
      <c r="G710" s="360" t="s">
        <v>32</v>
      </c>
      <c r="H710" s="360" t="s">
        <v>6904</v>
      </c>
      <c r="I710" s="360" t="s">
        <v>179</v>
      </c>
      <c r="J710" s="360" t="s">
        <v>179</v>
      </c>
      <c r="K710" s="360" t="s">
        <v>5270</v>
      </c>
      <c r="L710" s="810">
        <v>2795.5752212389398</v>
      </c>
      <c r="M710" s="810">
        <v>838.67256637166304</v>
      </c>
      <c r="N710" s="360" t="s">
        <v>4794</v>
      </c>
      <c r="O710" s="360" t="s">
        <v>5271</v>
      </c>
      <c r="P710" s="360" t="s">
        <v>5175</v>
      </c>
      <c r="Q710" s="360">
        <v>15862288026</v>
      </c>
      <c r="R710" s="360" t="s">
        <v>7072</v>
      </c>
      <c r="S710" s="360" t="s">
        <v>6892</v>
      </c>
      <c r="T710" s="769" t="s">
        <v>6901</v>
      </c>
      <c r="U710" s="774"/>
      <c r="V710" s="1589"/>
    </row>
    <row r="711" spans="1:22" ht="24" hidden="1" customHeight="1">
      <c r="A711" s="360"/>
      <c r="B711" s="360" t="s">
        <v>1486</v>
      </c>
      <c r="C711" s="360"/>
      <c r="D711" s="360" t="s">
        <v>1477</v>
      </c>
      <c r="E711" s="360">
        <v>1</v>
      </c>
      <c r="F711" s="810" t="s">
        <v>34</v>
      </c>
      <c r="G711" s="360" t="s">
        <v>32</v>
      </c>
      <c r="H711" s="360" t="s">
        <v>6904</v>
      </c>
      <c r="I711" s="360" t="s">
        <v>179</v>
      </c>
      <c r="J711" s="360" t="s">
        <v>179</v>
      </c>
      <c r="K711" s="360" t="s">
        <v>5270</v>
      </c>
      <c r="L711" s="810">
        <v>1362.10654867261</v>
      </c>
      <c r="M711" s="810">
        <v>408.63196460179</v>
      </c>
      <c r="N711" s="360" t="s">
        <v>4794</v>
      </c>
      <c r="O711" s="360" t="s">
        <v>5271</v>
      </c>
      <c r="P711" s="360" t="s">
        <v>5175</v>
      </c>
      <c r="Q711" s="360">
        <v>15862288026</v>
      </c>
      <c r="R711" s="360" t="s">
        <v>7072</v>
      </c>
      <c r="S711" s="360" t="s">
        <v>6892</v>
      </c>
      <c r="T711" s="769" t="s">
        <v>6901</v>
      </c>
      <c r="U711" s="774"/>
      <c r="V711" s="1589"/>
    </row>
    <row r="712" spans="1:22" ht="24" customHeight="1">
      <c r="A712" s="360"/>
      <c r="B712" s="360" t="s">
        <v>5274</v>
      </c>
      <c r="C712" s="360" t="s">
        <v>5275</v>
      </c>
      <c r="D712" s="360" t="s">
        <v>3821</v>
      </c>
      <c r="E712" s="360">
        <v>46</v>
      </c>
      <c r="F712" s="810" t="s">
        <v>34</v>
      </c>
      <c r="G712" s="360" t="s">
        <v>5276</v>
      </c>
      <c r="H712" s="360" t="s">
        <v>41</v>
      </c>
      <c r="I712" s="360" t="s">
        <v>179</v>
      </c>
      <c r="J712" s="360" t="s">
        <v>179</v>
      </c>
      <c r="K712" s="360" t="s">
        <v>5277</v>
      </c>
      <c r="L712" s="810">
        <v>70388.350000000006</v>
      </c>
      <c r="M712" s="810">
        <v>21116.505000000001</v>
      </c>
      <c r="N712" s="360" t="s">
        <v>4794</v>
      </c>
      <c r="O712" s="360" t="s">
        <v>5271</v>
      </c>
      <c r="P712" s="360" t="s">
        <v>5175</v>
      </c>
      <c r="Q712" s="360">
        <v>15862288026</v>
      </c>
      <c r="R712" s="360" t="s">
        <v>7072</v>
      </c>
      <c r="S712" s="360" t="s">
        <v>6892</v>
      </c>
      <c r="T712" s="769" t="s">
        <v>6901</v>
      </c>
      <c r="U712" s="774"/>
      <c r="V712" s="1589"/>
    </row>
    <row r="713" spans="1:22" ht="24" customHeight="1">
      <c r="A713" s="360"/>
      <c r="B713" s="360" t="s">
        <v>5274</v>
      </c>
      <c r="C713" s="360" t="s">
        <v>5275</v>
      </c>
      <c r="D713" s="360" t="s">
        <v>3821</v>
      </c>
      <c r="E713" s="360">
        <f>500-46</f>
        <v>454</v>
      </c>
      <c r="F713" s="810" t="s">
        <v>34</v>
      </c>
      <c r="G713" s="360" t="s">
        <v>5276</v>
      </c>
      <c r="H713" s="360" t="s">
        <v>41</v>
      </c>
      <c r="I713" s="360" t="s">
        <v>179</v>
      </c>
      <c r="J713" s="360" t="s">
        <v>179</v>
      </c>
      <c r="K713" s="360" t="s">
        <v>5277</v>
      </c>
      <c r="L713" s="810">
        <v>70388.350000000006</v>
      </c>
      <c r="M713" s="810">
        <v>21116.505000000001</v>
      </c>
      <c r="N713" s="360" t="s">
        <v>4794</v>
      </c>
      <c r="O713" s="360" t="s">
        <v>5271</v>
      </c>
      <c r="P713" s="360" t="s">
        <v>5175</v>
      </c>
      <c r="Q713" s="360">
        <v>15862288026</v>
      </c>
      <c r="R713" s="360" t="s">
        <v>7072</v>
      </c>
      <c r="S713" s="360" t="s">
        <v>6892</v>
      </c>
      <c r="T713" s="769"/>
      <c r="U713" s="774"/>
      <c r="V713" s="1589"/>
    </row>
    <row r="714" spans="1:22" ht="24" hidden="1" customHeight="1">
      <c r="A714" s="360"/>
      <c r="B714" s="360" t="s">
        <v>5278</v>
      </c>
      <c r="C714" s="360" t="s">
        <v>5279</v>
      </c>
      <c r="D714" s="360" t="s">
        <v>131</v>
      </c>
      <c r="E714" s="360">
        <v>1</v>
      </c>
      <c r="F714" s="810" t="s">
        <v>34</v>
      </c>
      <c r="G714" s="360" t="s">
        <v>32</v>
      </c>
      <c r="H714" s="360" t="s">
        <v>6904</v>
      </c>
      <c r="I714" s="360" t="s">
        <v>179</v>
      </c>
      <c r="J714" s="360" t="s">
        <v>179</v>
      </c>
      <c r="K714" s="360" t="s">
        <v>5277</v>
      </c>
      <c r="L714" s="810">
        <v>3087.38</v>
      </c>
      <c r="M714" s="810">
        <v>926.21400000000006</v>
      </c>
      <c r="N714" s="360" t="s">
        <v>4794</v>
      </c>
      <c r="O714" s="360" t="s">
        <v>5271</v>
      </c>
      <c r="P714" s="360" t="s">
        <v>5175</v>
      </c>
      <c r="Q714" s="360">
        <v>15862288026</v>
      </c>
      <c r="R714" s="360" t="s">
        <v>7072</v>
      </c>
      <c r="S714" s="360" t="s">
        <v>6892</v>
      </c>
      <c r="T714" s="769" t="s">
        <v>6901</v>
      </c>
      <c r="U714" s="774"/>
      <c r="V714" s="1589"/>
    </row>
    <row r="715" spans="1:22" ht="24" hidden="1" customHeight="1">
      <c r="A715" s="360"/>
      <c r="B715" s="360" t="s">
        <v>5278</v>
      </c>
      <c r="C715" s="360" t="s">
        <v>5280</v>
      </c>
      <c r="D715" s="360" t="s">
        <v>131</v>
      </c>
      <c r="E715" s="360">
        <v>1</v>
      </c>
      <c r="F715" s="810" t="s">
        <v>34</v>
      </c>
      <c r="G715" s="360" t="s">
        <v>32</v>
      </c>
      <c r="H715" s="360" t="s">
        <v>6904</v>
      </c>
      <c r="I715" s="360" t="s">
        <v>179</v>
      </c>
      <c r="J715" s="360" t="s">
        <v>179</v>
      </c>
      <c r="K715" s="360" t="s">
        <v>5277</v>
      </c>
      <c r="L715" s="810">
        <v>2407.77</v>
      </c>
      <c r="M715" s="810">
        <v>722.33100000000002</v>
      </c>
      <c r="N715" s="360" t="s">
        <v>4794</v>
      </c>
      <c r="O715" s="360" t="s">
        <v>5271</v>
      </c>
      <c r="P715" s="360" t="s">
        <v>5175</v>
      </c>
      <c r="Q715" s="360">
        <v>15862288026</v>
      </c>
      <c r="R715" s="360" t="s">
        <v>7072</v>
      </c>
      <c r="S715" s="360" t="s">
        <v>6892</v>
      </c>
      <c r="T715" s="769" t="s">
        <v>6901</v>
      </c>
      <c r="U715" s="774"/>
      <c r="V715" s="1589"/>
    </row>
    <row r="716" spans="1:22" ht="24" hidden="1" customHeight="1">
      <c r="A716" s="360"/>
      <c r="B716" s="360" t="s">
        <v>5281</v>
      </c>
      <c r="C716" s="360" t="s">
        <v>5282</v>
      </c>
      <c r="D716" s="360" t="s">
        <v>131</v>
      </c>
      <c r="E716" s="360">
        <v>1</v>
      </c>
      <c r="F716" s="810" t="s">
        <v>34</v>
      </c>
      <c r="G716" s="360" t="s">
        <v>32</v>
      </c>
      <c r="H716" s="360" t="s">
        <v>6904</v>
      </c>
      <c r="I716" s="360" t="s">
        <v>179</v>
      </c>
      <c r="J716" s="360" t="s">
        <v>179</v>
      </c>
      <c r="K716" s="360" t="s">
        <v>5277</v>
      </c>
      <c r="L716" s="810">
        <v>2320.39</v>
      </c>
      <c r="M716" s="810">
        <v>696.11699999999996</v>
      </c>
      <c r="N716" s="360" t="s">
        <v>4794</v>
      </c>
      <c r="O716" s="360" t="s">
        <v>5271</v>
      </c>
      <c r="P716" s="360" t="s">
        <v>5175</v>
      </c>
      <c r="Q716" s="360">
        <v>15862288026</v>
      </c>
      <c r="R716" s="360" t="s">
        <v>7072</v>
      </c>
      <c r="S716" s="360" t="s">
        <v>6892</v>
      </c>
      <c r="T716" s="769" t="s">
        <v>6901</v>
      </c>
      <c r="U716" s="774"/>
      <c r="V716" s="1589"/>
    </row>
    <row r="717" spans="1:22" ht="24" hidden="1" customHeight="1">
      <c r="A717" s="360"/>
      <c r="B717" s="360" t="s">
        <v>5283</v>
      </c>
      <c r="C717" s="360"/>
      <c r="D717" s="360" t="s">
        <v>131</v>
      </c>
      <c r="E717" s="360">
        <v>28</v>
      </c>
      <c r="F717" s="810" t="s">
        <v>34</v>
      </c>
      <c r="G717" s="360" t="s">
        <v>32</v>
      </c>
      <c r="H717" s="360" t="s">
        <v>6904</v>
      </c>
      <c r="I717" s="360" t="s">
        <v>179</v>
      </c>
      <c r="J717" s="360" t="s">
        <v>179</v>
      </c>
      <c r="K717" s="360" t="s">
        <v>5277</v>
      </c>
      <c r="L717" s="810">
        <v>5219.4799999999996</v>
      </c>
      <c r="M717" s="810">
        <v>1565.8440000000001</v>
      </c>
      <c r="N717" s="360" t="s">
        <v>4794</v>
      </c>
      <c r="O717" s="360" t="s">
        <v>5271</v>
      </c>
      <c r="P717" s="360" t="s">
        <v>5175</v>
      </c>
      <c r="Q717" s="360">
        <v>15862288026</v>
      </c>
      <c r="R717" s="360" t="s">
        <v>7072</v>
      </c>
      <c r="S717" s="360" t="s">
        <v>6892</v>
      </c>
      <c r="T717" s="769" t="s">
        <v>6901</v>
      </c>
      <c r="U717" s="774"/>
      <c r="V717" s="1589"/>
    </row>
    <row r="718" spans="1:22" ht="24" hidden="1" customHeight="1">
      <c r="A718" s="360"/>
      <c r="B718" s="360" t="s">
        <v>3906</v>
      </c>
      <c r="C718" s="360" t="s">
        <v>5284</v>
      </c>
      <c r="D718" s="360" t="s">
        <v>3892</v>
      </c>
      <c r="E718" s="360">
        <v>4</v>
      </c>
      <c r="F718" s="810" t="s">
        <v>34</v>
      </c>
      <c r="G718" s="360" t="s">
        <v>32</v>
      </c>
      <c r="H718" s="360" t="s">
        <v>6904</v>
      </c>
      <c r="I718" s="360" t="s">
        <v>179</v>
      </c>
      <c r="J718" s="360" t="s">
        <v>179</v>
      </c>
      <c r="K718" s="360" t="s">
        <v>5285</v>
      </c>
      <c r="L718" s="810">
        <v>2252.44</v>
      </c>
      <c r="M718" s="810">
        <v>675.73199999999997</v>
      </c>
      <c r="N718" s="360" t="s">
        <v>4794</v>
      </c>
      <c r="O718" s="360" t="s">
        <v>5271</v>
      </c>
      <c r="P718" s="360" t="s">
        <v>5175</v>
      </c>
      <c r="Q718" s="360">
        <v>15862288026</v>
      </c>
      <c r="R718" s="360" t="s">
        <v>7072</v>
      </c>
      <c r="S718" s="360" t="s">
        <v>6892</v>
      </c>
      <c r="T718" s="769" t="s">
        <v>6901</v>
      </c>
      <c r="U718" s="774"/>
      <c r="V718" s="1589"/>
    </row>
    <row r="719" spans="1:22" ht="24" hidden="1" customHeight="1">
      <c r="A719" s="360"/>
      <c r="B719" s="360" t="s">
        <v>3906</v>
      </c>
      <c r="C719" s="360" t="s">
        <v>5286</v>
      </c>
      <c r="D719" s="360" t="s">
        <v>3892</v>
      </c>
      <c r="E719" s="360">
        <v>3</v>
      </c>
      <c r="F719" s="810" t="s">
        <v>34</v>
      </c>
      <c r="G719" s="360" t="s">
        <v>32</v>
      </c>
      <c r="H719" s="360" t="s">
        <v>6904</v>
      </c>
      <c r="I719" s="360" t="s">
        <v>179</v>
      </c>
      <c r="J719" s="360" t="s">
        <v>179</v>
      </c>
      <c r="K719" s="360" t="s">
        <v>5285</v>
      </c>
      <c r="L719" s="810">
        <v>3582.51</v>
      </c>
      <c r="M719" s="810">
        <v>1074.7529999999999</v>
      </c>
      <c r="N719" s="360" t="s">
        <v>4794</v>
      </c>
      <c r="O719" s="360" t="s">
        <v>5271</v>
      </c>
      <c r="P719" s="360" t="s">
        <v>5175</v>
      </c>
      <c r="Q719" s="360">
        <v>15862288026</v>
      </c>
      <c r="R719" s="360" t="s">
        <v>7072</v>
      </c>
      <c r="S719" s="360" t="s">
        <v>6892</v>
      </c>
      <c r="T719" s="769" t="s">
        <v>6901</v>
      </c>
      <c r="U719" s="774"/>
      <c r="V719" s="1589"/>
    </row>
    <row r="720" spans="1:22" ht="24" hidden="1" customHeight="1">
      <c r="A720" s="360"/>
      <c r="B720" s="360" t="s">
        <v>4601</v>
      </c>
      <c r="C720" s="360" t="s">
        <v>5287</v>
      </c>
      <c r="D720" s="360" t="s">
        <v>161</v>
      </c>
      <c r="E720" s="360">
        <v>560</v>
      </c>
      <c r="F720" s="810" t="s">
        <v>34</v>
      </c>
      <c r="G720" s="360" t="s">
        <v>32</v>
      </c>
      <c r="H720" s="360" t="s">
        <v>6904</v>
      </c>
      <c r="I720" s="360" t="s">
        <v>179</v>
      </c>
      <c r="J720" s="360" t="s">
        <v>179</v>
      </c>
      <c r="K720" s="360" t="s">
        <v>5285</v>
      </c>
      <c r="L720" s="810">
        <v>12885.6</v>
      </c>
      <c r="M720" s="810">
        <v>0</v>
      </c>
      <c r="N720" s="360" t="s">
        <v>4794</v>
      </c>
      <c r="O720" s="360" t="s">
        <v>5271</v>
      </c>
      <c r="P720" s="360" t="s">
        <v>5175</v>
      </c>
      <c r="Q720" s="360">
        <v>15862288026</v>
      </c>
      <c r="R720" s="360" t="s">
        <v>7072</v>
      </c>
      <c r="S720" s="360" t="s">
        <v>6892</v>
      </c>
      <c r="T720" s="769" t="s">
        <v>6901</v>
      </c>
      <c r="U720" s="774"/>
      <c r="V720" s="1589"/>
    </row>
    <row r="721" spans="1:22" ht="24" hidden="1" customHeight="1">
      <c r="A721" s="360"/>
      <c r="B721" s="360" t="s">
        <v>4601</v>
      </c>
      <c r="C721" s="360" t="s">
        <v>5288</v>
      </c>
      <c r="D721" s="360" t="s">
        <v>161</v>
      </c>
      <c r="E721" s="360">
        <v>700</v>
      </c>
      <c r="F721" s="810" t="s">
        <v>34</v>
      </c>
      <c r="G721" s="360" t="s">
        <v>32</v>
      </c>
      <c r="H721" s="360" t="s">
        <v>6904</v>
      </c>
      <c r="I721" s="360" t="s">
        <v>179</v>
      </c>
      <c r="J721" s="360" t="s">
        <v>179</v>
      </c>
      <c r="K721" s="360" t="s">
        <v>5285</v>
      </c>
      <c r="L721" s="810">
        <v>20048</v>
      </c>
      <c r="M721" s="810">
        <v>0</v>
      </c>
      <c r="N721" s="360" t="s">
        <v>4794</v>
      </c>
      <c r="O721" s="360" t="s">
        <v>5271</v>
      </c>
      <c r="P721" s="360" t="s">
        <v>5175</v>
      </c>
      <c r="Q721" s="360">
        <v>15862288026</v>
      </c>
      <c r="R721" s="360" t="s">
        <v>7072</v>
      </c>
      <c r="S721" s="360" t="s">
        <v>6892</v>
      </c>
      <c r="T721" s="769" t="s">
        <v>6901</v>
      </c>
      <c r="U721" s="774"/>
      <c r="V721" s="1589"/>
    </row>
    <row r="722" spans="1:22" ht="24" hidden="1" customHeight="1">
      <c r="A722" s="360"/>
      <c r="B722" s="360" t="s">
        <v>4601</v>
      </c>
      <c r="C722" s="360" t="s">
        <v>1521</v>
      </c>
      <c r="D722" s="360" t="s">
        <v>161</v>
      </c>
      <c r="E722" s="360">
        <v>340</v>
      </c>
      <c r="F722" s="810" t="s">
        <v>34</v>
      </c>
      <c r="G722" s="360" t="s">
        <v>32</v>
      </c>
      <c r="H722" s="360" t="s">
        <v>6904</v>
      </c>
      <c r="I722" s="360" t="s">
        <v>179</v>
      </c>
      <c r="J722" s="360" t="s">
        <v>179</v>
      </c>
      <c r="K722" s="360" t="s">
        <v>5285</v>
      </c>
      <c r="L722" s="810">
        <v>22280.2</v>
      </c>
      <c r="M722" s="810">
        <v>0</v>
      </c>
      <c r="N722" s="360" t="s">
        <v>4794</v>
      </c>
      <c r="O722" s="360" t="s">
        <v>5271</v>
      </c>
      <c r="P722" s="360" t="s">
        <v>5175</v>
      </c>
      <c r="Q722" s="360">
        <v>15862288026</v>
      </c>
      <c r="R722" s="360" t="s">
        <v>7072</v>
      </c>
      <c r="S722" s="360" t="s">
        <v>6892</v>
      </c>
      <c r="T722" s="769" t="s">
        <v>6901</v>
      </c>
      <c r="U722" s="774"/>
      <c r="V722" s="1589"/>
    </row>
    <row r="723" spans="1:22" ht="24" hidden="1" customHeight="1">
      <c r="A723" s="360"/>
      <c r="B723" s="360" t="s">
        <v>4601</v>
      </c>
      <c r="C723" s="360" t="s">
        <v>5289</v>
      </c>
      <c r="D723" s="360" t="s">
        <v>161</v>
      </c>
      <c r="E723" s="360">
        <v>200</v>
      </c>
      <c r="F723" s="810" t="s">
        <v>34</v>
      </c>
      <c r="G723" s="360" t="s">
        <v>32</v>
      </c>
      <c r="H723" s="360" t="s">
        <v>6904</v>
      </c>
      <c r="I723" s="360" t="s">
        <v>179</v>
      </c>
      <c r="J723" s="360" t="s">
        <v>179</v>
      </c>
      <c r="K723" s="360" t="s">
        <v>5285</v>
      </c>
      <c r="L723" s="810">
        <v>10000</v>
      </c>
      <c r="M723" s="810">
        <v>0</v>
      </c>
      <c r="N723" s="360" t="s">
        <v>4794</v>
      </c>
      <c r="O723" s="360" t="s">
        <v>5271</v>
      </c>
      <c r="P723" s="360" t="s">
        <v>5175</v>
      </c>
      <c r="Q723" s="360">
        <v>15862288026</v>
      </c>
      <c r="R723" s="360" t="s">
        <v>7072</v>
      </c>
      <c r="S723" s="360" t="s">
        <v>6892</v>
      </c>
      <c r="T723" s="769" t="s">
        <v>6901</v>
      </c>
      <c r="U723" s="774"/>
      <c r="V723" s="1589"/>
    </row>
    <row r="724" spans="1:22" ht="24" hidden="1" customHeight="1">
      <c r="A724" s="360"/>
      <c r="B724" s="360" t="s">
        <v>4601</v>
      </c>
      <c r="C724" s="360" t="s">
        <v>5241</v>
      </c>
      <c r="D724" s="360" t="s">
        <v>161</v>
      </c>
      <c r="E724" s="360">
        <v>1100</v>
      </c>
      <c r="F724" s="810" t="s">
        <v>34</v>
      </c>
      <c r="G724" s="360" t="s">
        <v>32</v>
      </c>
      <c r="H724" s="360" t="s">
        <v>6904</v>
      </c>
      <c r="I724" s="360" t="s">
        <v>179</v>
      </c>
      <c r="J724" s="360" t="s">
        <v>179</v>
      </c>
      <c r="K724" s="360" t="s">
        <v>5285</v>
      </c>
      <c r="L724" s="810">
        <v>18689</v>
      </c>
      <c r="M724" s="810">
        <v>0</v>
      </c>
      <c r="N724" s="360" t="s">
        <v>4794</v>
      </c>
      <c r="O724" s="360" t="s">
        <v>5271</v>
      </c>
      <c r="P724" s="360" t="s">
        <v>5175</v>
      </c>
      <c r="Q724" s="360">
        <v>15862288026</v>
      </c>
      <c r="R724" s="360" t="s">
        <v>7072</v>
      </c>
      <c r="S724" s="360" t="s">
        <v>6892</v>
      </c>
      <c r="T724" s="769" t="s">
        <v>6901</v>
      </c>
      <c r="U724" s="774"/>
      <c r="V724" s="1589"/>
    </row>
    <row r="725" spans="1:22" ht="24" hidden="1" customHeight="1">
      <c r="A725" s="360"/>
      <c r="B725" s="360" t="s">
        <v>4601</v>
      </c>
      <c r="C725" s="360" t="s">
        <v>5290</v>
      </c>
      <c r="D725" s="360" t="s">
        <v>161</v>
      </c>
      <c r="E725" s="360">
        <v>160</v>
      </c>
      <c r="F725" s="810" t="s">
        <v>34</v>
      </c>
      <c r="G725" s="360" t="s">
        <v>32</v>
      </c>
      <c r="H725" s="360" t="s">
        <v>6904</v>
      </c>
      <c r="I725" s="360" t="s">
        <v>179</v>
      </c>
      <c r="J725" s="360" t="s">
        <v>179</v>
      </c>
      <c r="K725" s="360" t="s">
        <v>5285</v>
      </c>
      <c r="L725" s="810">
        <v>9088</v>
      </c>
      <c r="M725" s="810">
        <v>0</v>
      </c>
      <c r="N725" s="360" t="s">
        <v>4794</v>
      </c>
      <c r="O725" s="360" t="s">
        <v>5271</v>
      </c>
      <c r="P725" s="360" t="s">
        <v>5175</v>
      </c>
      <c r="Q725" s="360">
        <v>15862288026</v>
      </c>
      <c r="R725" s="360" t="s">
        <v>7072</v>
      </c>
      <c r="S725" s="360" t="s">
        <v>6892</v>
      </c>
      <c r="T725" s="769" t="s">
        <v>6901</v>
      </c>
      <c r="U725" s="774"/>
      <c r="V725" s="1589"/>
    </row>
    <row r="726" spans="1:22" ht="24" hidden="1" customHeight="1">
      <c r="A726" s="360"/>
      <c r="B726" s="360" t="s">
        <v>5291</v>
      </c>
      <c r="C726" s="360" t="s">
        <v>5292</v>
      </c>
      <c r="D726" s="360" t="s">
        <v>1193</v>
      </c>
      <c r="E726" s="360">
        <v>9.1</v>
      </c>
      <c r="F726" s="810" t="s">
        <v>34</v>
      </c>
      <c r="G726" s="360" t="s">
        <v>32</v>
      </c>
      <c r="H726" s="360" t="s">
        <v>33</v>
      </c>
      <c r="I726" s="360" t="s">
        <v>179</v>
      </c>
      <c r="J726" s="360" t="s">
        <v>179</v>
      </c>
      <c r="K726" s="360" t="s">
        <v>4774</v>
      </c>
      <c r="L726" s="810">
        <v>4670.8000000000102</v>
      </c>
      <c r="M726" s="810">
        <v>1167.7</v>
      </c>
      <c r="N726" s="360" t="s">
        <v>4794</v>
      </c>
      <c r="O726" s="360" t="s">
        <v>5174</v>
      </c>
      <c r="P726" s="360" t="s">
        <v>5175</v>
      </c>
      <c r="Q726" s="360">
        <v>15862288026</v>
      </c>
      <c r="R726" s="360" t="s">
        <v>7072</v>
      </c>
      <c r="S726" s="360" t="s">
        <v>6892</v>
      </c>
      <c r="T726" s="769"/>
      <c r="U726" s="774"/>
      <c r="V726" s="1589"/>
    </row>
    <row r="727" spans="1:22" ht="24" hidden="1" customHeight="1">
      <c r="A727" s="360"/>
      <c r="B727" s="360" t="s">
        <v>5293</v>
      </c>
      <c r="C727" s="360" t="s">
        <v>5294</v>
      </c>
      <c r="D727" s="360" t="s">
        <v>131</v>
      </c>
      <c r="E727" s="360">
        <v>37</v>
      </c>
      <c r="F727" s="810" t="s">
        <v>34</v>
      </c>
      <c r="G727" s="360" t="s">
        <v>32</v>
      </c>
      <c r="H727" s="360" t="s">
        <v>33</v>
      </c>
      <c r="I727" s="360" t="s">
        <v>179</v>
      </c>
      <c r="J727" s="360" t="s">
        <v>179</v>
      </c>
      <c r="K727" s="360" t="s">
        <v>4774</v>
      </c>
      <c r="L727" s="810">
        <v>4911.49999999999</v>
      </c>
      <c r="M727" s="810">
        <v>1227.875</v>
      </c>
      <c r="N727" s="360" t="s">
        <v>4794</v>
      </c>
      <c r="O727" s="360" t="s">
        <v>5174</v>
      </c>
      <c r="P727" s="360" t="s">
        <v>5175</v>
      </c>
      <c r="Q727" s="360">
        <v>15862288026</v>
      </c>
      <c r="R727" s="360" t="s">
        <v>7072</v>
      </c>
      <c r="S727" s="360" t="s">
        <v>6892</v>
      </c>
      <c r="T727" s="769"/>
      <c r="U727" s="774"/>
      <c r="V727" s="1589"/>
    </row>
    <row r="728" spans="1:22" ht="24" hidden="1" customHeight="1">
      <c r="A728" s="360"/>
      <c r="B728" s="360" t="s">
        <v>5295</v>
      </c>
      <c r="C728" s="360" t="s">
        <v>4926</v>
      </c>
      <c r="D728" s="360" t="s">
        <v>131</v>
      </c>
      <c r="E728" s="360">
        <v>1</v>
      </c>
      <c r="F728" s="810" t="s">
        <v>34</v>
      </c>
      <c r="G728" s="360" t="s">
        <v>32</v>
      </c>
      <c r="H728" s="360" t="s">
        <v>6904</v>
      </c>
      <c r="I728" s="360" t="s">
        <v>179</v>
      </c>
      <c r="J728" s="360" t="s">
        <v>179</v>
      </c>
      <c r="K728" s="360" t="s">
        <v>4774</v>
      </c>
      <c r="L728" s="810">
        <v>19500</v>
      </c>
      <c r="M728" s="810">
        <v>4875</v>
      </c>
      <c r="N728" s="360" t="s">
        <v>4794</v>
      </c>
      <c r="O728" s="360" t="s">
        <v>4792</v>
      </c>
      <c r="P728" s="360" t="s">
        <v>5175</v>
      </c>
      <c r="Q728" s="360">
        <v>15862288026</v>
      </c>
      <c r="R728" s="360" t="s">
        <v>7072</v>
      </c>
      <c r="S728" s="360" t="s">
        <v>6892</v>
      </c>
      <c r="T728" s="769" t="s">
        <v>6901</v>
      </c>
      <c r="U728" s="774"/>
      <c r="V728" s="1589"/>
    </row>
    <row r="729" spans="1:22" ht="24" customHeight="1">
      <c r="A729" s="360"/>
      <c r="B729" s="360" t="s">
        <v>5296</v>
      </c>
      <c r="C729" s="360" t="s">
        <v>5297</v>
      </c>
      <c r="D729" s="360" t="s">
        <v>4617</v>
      </c>
      <c r="E729" s="360">
        <v>15</v>
      </c>
      <c r="F729" s="810" t="s">
        <v>34</v>
      </c>
      <c r="G729" s="360" t="s">
        <v>32</v>
      </c>
      <c r="H729" s="360" t="s">
        <v>41</v>
      </c>
      <c r="I729" s="360" t="s">
        <v>179</v>
      </c>
      <c r="J729" s="360" t="s">
        <v>179</v>
      </c>
      <c r="K729" s="360" t="s">
        <v>5285</v>
      </c>
      <c r="L729" s="810">
        <v>2040</v>
      </c>
      <c r="M729" s="810">
        <v>1020</v>
      </c>
      <c r="N729" s="360" t="s">
        <v>4794</v>
      </c>
      <c r="O729" s="360" t="s">
        <v>5174</v>
      </c>
      <c r="P729" s="360" t="s">
        <v>5175</v>
      </c>
      <c r="Q729" s="360">
        <v>15862288026</v>
      </c>
      <c r="R729" s="360" t="s">
        <v>7072</v>
      </c>
      <c r="S729" s="360" t="s">
        <v>6892</v>
      </c>
      <c r="T729" s="769" t="s">
        <v>6901</v>
      </c>
      <c r="U729" s="774"/>
      <c r="V729" s="1589"/>
    </row>
    <row r="730" spans="1:22" s="950" customFormat="1" ht="24" hidden="1" customHeight="1">
      <c r="A730" s="947"/>
      <c r="B730" s="1194" t="s">
        <v>1412</v>
      </c>
      <c r="C730" s="1590" t="s">
        <v>5298</v>
      </c>
      <c r="D730" s="1194" t="s">
        <v>79</v>
      </c>
      <c r="E730" s="147">
        <v>2</v>
      </c>
      <c r="F730" s="147" t="s">
        <v>34</v>
      </c>
      <c r="G730" s="147" t="s">
        <v>32</v>
      </c>
      <c r="H730" s="147" t="s">
        <v>33</v>
      </c>
      <c r="I730" s="147" t="s">
        <v>34</v>
      </c>
      <c r="J730" s="147" t="s">
        <v>34</v>
      </c>
      <c r="K730" s="147" t="s">
        <v>34</v>
      </c>
      <c r="L730" s="343">
        <v>25145.623762376239</v>
      </c>
      <c r="M730" s="343">
        <v>23511.158217821783</v>
      </c>
      <c r="N730" s="147" t="s">
        <v>7079</v>
      </c>
      <c r="O730" s="147" t="s">
        <v>4882</v>
      </c>
      <c r="P730" s="147" t="s">
        <v>4883</v>
      </c>
      <c r="Q730" s="147">
        <v>1375488066</v>
      </c>
      <c r="R730" s="147" t="s">
        <v>4884</v>
      </c>
      <c r="S730" s="147" t="s">
        <v>4670</v>
      </c>
      <c r="T730" s="147"/>
      <c r="U730" s="948"/>
      <c r="V730" s="949"/>
    </row>
    <row r="731" spans="1:22" s="950" customFormat="1" ht="24" hidden="1" customHeight="1">
      <c r="A731" s="947"/>
      <c r="B731" s="147" t="s">
        <v>5299</v>
      </c>
      <c r="C731" s="147" t="s">
        <v>5300</v>
      </c>
      <c r="D731" s="147" t="s">
        <v>79</v>
      </c>
      <c r="E731" s="147">
        <v>4</v>
      </c>
      <c r="F731" s="147" t="s">
        <v>34</v>
      </c>
      <c r="G731" s="147" t="s">
        <v>32</v>
      </c>
      <c r="H731" s="147" t="s">
        <v>33</v>
      </c>
      <c r="I731" s="147" t="s">
        <v>34</v>
      </c>
      <c r="J731" s="147" t="s">
        <v>34</v>
      </c>
      <c r="K731" s="147" t="s">
        <v>34</v>
      </c>
      <c r="L731" s="343">
        <v>25335.919999999998</v>
      </c>
      <c r="M731" s="343">
        <v>23689.085199999998</v>
      </c>
      <c r="N731" s="147" t="s">
        <v>5301</v>
      </c>
      <c r="O731" s="147" t="s">
        <v>4882</v>
      </c>
      <c r="P731" s="147" t="s">
        <v>4883</v>
      </c>
      <c r="Q731" s="147">
        <v>1375488066</v>
      </c>
      <c r="R731" s="147" t="s">
        <v>4884</v>
      </c>
      <c r="S731" s="147" t="s">
        <v>4670</v>
      </c>
      <c r="T731" s="147"/>
      <c r="U731" s="948"/>
      <c r="V731" s="949"/>
    </row>
    <row r="732" spans="1:22" s="950" customFormat="1" ht="24" hidden="1" customHeight="1">
      <c r="A732" s="947"/>
      <c r="B732" s="147" t="s">
        <v>5299</v>
      </c>
      <c r="C732" s="147" t="s">
        <v>5302</v>
      </c>
      <c r="D732" s="147" t="s">
        <v>79</v>
      </c>
      <c r="E732" s="147">
        <v>1</v>
      </c>
      <c r="F732" s="147" t="s">
        <v>34</v>
      </c>
      <c r="G732" s="147" t="s">
        <v>32</v>
      </c>
      <c r="H732" s="147" t="s">
        <v>33</v>
      </c>
      <c r="I732" s="147" t="s">
        <v>34</v>
      </c>
      <c r="J732" s="147" t="s">
        <v>34</v>
      </c>
      <c r="K732" s="147" t="s">
        <v>34</v>
      </c>
      <c r="L732" s="343">
        <v>2155.46</v>
      </c>
      <c r="M732" s="343">
        <v>2015.3551</v>
      </c>
      <c r="N732" s="147" t="s">
        <v>5301</v>
      </c>
      <c r="O732" s="147" t="s">
        <v>4882</v>
      </c>
      <c r="P732" s="147" t="s">
        <v>4883</v>
      </c>
      <c r="Q732" s="147">
        <v>1375488066</v>
      </c>
      <c r="R732" s="147" t="s">
        <v>4884</v>
      </c>
      <c r="S732" s="147" t="s">
        <v>4670</v>
      </c>
      <c r="T732" s="147"/>
      <c r="U732" s="948"/>
      <c r="V732" s="949"/>
    </row>
    <row r="733" spans="1:22" s="950" customFormat="1" ht="24" hidden="1" customHeight="1">
      <c r="A733" s="947"/>
      <c r="B733" s="147" t="s">
        <v>5303</v>
      </c>
      <c r="C733" s="147" t="s">
        <v>5304</v>
      </c>
      <c r="D733" s="951" t="s">
        <v>161</v>
      </c>
      <c r="E733" s="147">
        <v>198</v>
      </c>
      <c r="F733" s="147" t="s">
        <v>34</v>
      </c>
      <c r="G733" s="147" t="s">
        <v>32</v>
      </c>
      <c r="H733" s="147" t="s">
        <v>33</v>
      </c>
      <c r="I733" s="147" t="s">
        <v>34</v>
      </c>
      <c r="J733" s="147" t="s">
        <v>34</v>
      </c>
      <c r="K733" s="147" t="s">
        <v>34</v>
      </c>
      <c r="L733" s="343">
        <v>1584</v>
      </c>
      <c r="M733" s="343">
        <v>1481.04</v>
      </c>
      <c r="N733" s="147" t="s">
        <v>5305</v>
      </c>
      <c r="O733" s="147" t="s">
        <v>4882</v>
      </c>
      <c r="P733" s="147" t="s">
        <v>4883</v>
      </c>
      <c r="Q733" s="147">
        <v>1375488066</v>
      </c>
      <c r="R733" s="147" t="s">
        <v>4884</v>
      </c>
      <c r="S733" s="147" t="s">
        <v>4670</v>
      </c>
      <c r="T733" s="147"/>
      <c r="U733" s="948"/>
      <c r="V733" s="949"/>
    </row>
    <row r="734" spans="1:22" s="950" customFormat="1" ht="24" hidden="1" customHeight="1">
      <c r="A734" s="947"/>
      <c r="B734" s="147" t="s">
        <v>5303</v>
      </c>
      <c r="C734" s="147" t="s">
        <v>5306</v>
      </c>
      <c r="D734" s="951" t="s">
        <v>161</v>
      </c>
      <c r="E734" s="147">
        <v>114</v>
      </c>
      <c r="F734" s="147" t="s">
        <v>34</v>
      </c>
      <c r="G734" s="147" t="s">
        <v>32</v>
      </c>
      <c r="H734" s="147" t="s">
        <v>33</v>
      </c>
      <c r="I734" s="147" t="s">
        <v>34</v>
      </c>
      <c r="J734" s="147" t="s">
        <v>34</v>
      </c>
      <c r="K734" s="147" t="s">
        <v>34</v>
      </c>
      <c r="L734" s="343">
        <v>1368</v>
      </c>
      <c r="M734" s="343">
        <v>1279.08</v>
      </c>
      <c r="N734" s="147" t="s">
        <v>5305</v>
      </c>
      <c r="O734" s="147" t="s">
        <v>4882</v>
      </c>
      <c r="P734" s="147" t="s">
        <v>4883</v>
      </c>
      <c r="Q734" s="147">
        <v>1375488066</v>
      </c>
      <c r="R734" s="147" t="s">
        <v>4884</v>
      </c>
      <c r="S734" s="147" t="s">
        <v>4670</v>
      </c>
      <c r="T734" s="147"/>
      <c r="U734" s="948"/>
      <c r="V734" s="949"/>
    </row>
    <row r="735" spans="1:22" s="950" customFormat="1" ht="24" hidden="1" customHeight="1">
      <c r="A735" s="947"/>
      <c r="B735" s="147" t="s">
        <v>5303</v>
      </c>
      <c r="C735" s="147" t="s">
        <v>5307</v>
      </c>
      <c r="D735" s="951" t="s">
        <v>161</v>
      </c>
      <c r="E735" s="147">
        <v>19</v>
      </c>
      <c r="F735" s="147" t="s">
        <v>34</v>
      </c>
      <c r="G735" s="147" t="s">
        <v>32</v>
      </c>
      <c r="H735" s="147" t="s">
        <v>33</v>
      </c>
      <c r="I735" s="147" t="s">
        <v>34</v>
      </c>
      <c r="J735" s="147" t="s">
        <v>34</v>
      </c>
      <c r="K735" s="147" t="s">
        <v>34</v>
      </c>
      <c r="L735" s="343">
        <v>57</v>
      </c>
      <c r="M735" s="343">
        <v>53.295000000000002</v>
      </c>
      <c r="N735" s="147" t="s">
        <v>5305</v>
      </c>
      <c r="O735" s="147" t="s">
        <v>4882</v>
      </c>
      <c r="P735" s="147" t="s">
        <v>4883</v>
      </c>
      <c r="Q735" s="147">
        <v>1375488066</v>
      </c>
      <c r="R735" s="147" t="s">
        <v>4884</v>
      </c>
      <c r="S735" s="147" t="s">
        <v>4670</v>
      </c>
      <c r="T735" s="147"/>
      <c r="U735" s="948"/>
      <c r="V735" s="949"/>
    </row>
    <row r="736" spans="1:22" s="950" customFormat="1" ht="24" hidden="1" customHeight="1">
      <c r="A736" s="947"/>
      <c r="B736" s="147" t="s">
        <v>3917</v>
      </c>
      <c r="C736" s="147" t="s">
        <v>5308</v>
      </c>
      <c r="D736" s="951" t="s">
        <v>161</v>
      </c>
      <c r="E736" s="147">
        <v>50</v>
      </c>
      <c r="F736" s="147" t="s">
        <v>34</v>
      </c>
      <c r="G736" s="147" t="s">
        <v>32</v>
      </c>
      <c r="H736" s="147" t="s">
        <v>33</v>
      </c>
      <c r="I736" s="147" t="s">
        <v>34</v>
      </c>
      <c r="J736" s="147" t="s">
        <v>34</v>
      </c>
      <c r="K736" s="147" t="s">
        <v>34</v>
      </c>
      <c r="L736" s="343">
        <v>400</v>
      </c>
      <c r="M736" s="343">
        <v>348</v>
      </c>
      <c r="N736" s="147" t="s">
        <v>5305</v>
      </c>
      <c r="O736" s="147" t="s">
        <v>4882</v>
      </c>
      <c r="P736" s="147" t="s">
        <v>4883</v>
      </c>
      <c r="Q736" s="147">
        <v>1375488066</v>
      </c>
      <c r="R736" s="147" t="s">
        <v>4884</v>
      </c>
      <c r="S736" s="147" t="s">
        <v>4670</v>
      </c>
      <c r="T736" s="147"/>
      <c r="U736" s="948"/>
      <c r="V736" s="949"/>
    </row>
    <row r="737" spans="1:22" s="950" customFormat="1" ht="24" hidden="1" customHeight="1">
      <c r="A737" s="947"/>
      <c r="B737" s="147" t="s">
        <v>5309</v>
      </c>
      <c r="C737" s="147" t="s">
        <v>5310</v>
      </c>
      <c r="D737" s="951" t="s">
        <v>161</v>
      </c>
      <c r="E737" s="147">
        <v>300</v>
      </c>
      <c r="F737" s="147" t="s">
        <v>34</v>
      </c>
      <c r="G737" s="147" t="s">
        <v>32</v>
      </c>
      <c r="H737" s="147" t="s">
        <v>33</v>
      </c>
      <c r="I737" s="147" t="s">
        <v>34</v>
      </c>
      <c r="J737" s="147" t="s">
        <v>34</v>
      </c>
      <c r="K737" s="147" t="s">
        <v>34</v>
      </c>
      <c r="L737" s="952">
        <v>3053.0973451327436</v>
      </c>
      <c r="M737" s="343">
        <v>2854.6460176991154</v>
      </c>
      <c r="N737" s="147" t="s">
        <v>7080</v>
      </c>
      <c r="O737" s="147" t="s">
        <v>4882</v>
      </c>
      <c r="P737" s="147" t="s">
        <v>4883</v>
      </c>
      <c r="Q737" s="147">
        <v>1375488066</v>
      </c>
      <c r="R737" s="147" t="s">
        <v>4884</v>
      </c>
      <c r="S737" s="147" t="s">
        <v>4670</v>
      </c>
      <c r="T737" s="147"/>
      <c r="U737" s="948"/>
      <c r="V737" s="949"/>
    </row>
    <row r="738" spans="1:22" s="950" customFormat="1" ht="24" hidden="1" customHeight="1">
      <c r="A738" s="947"/>
      <c r="B738" s="147" t="s">
        <v>5309</v>
      </c>
      <c r="C738" s="147" t="s">
        <v>5311</v>
      </c>
      <c r="D738" s="951" t="s">
        <v>161</v>
      </c>
      <c r="E738" s="147">
        <v>3</v>
      </c>
      <c r="F738" s="147" t="s">
        <v>34</v>
      </c>
      <c r="G738" s="147" t="s">
        <v>32</v>
      </c>
      <c r="H738" s="147" t="s">
        <v>33</v>
      </c>
      <c r="I738" s="147" t="s">
        <v>34</v>
      </c>
      <c r="J738" s="147" t="s">
        <v>34</v>
      </c>
      <c r="K738" s="147" t="s">
        <v>34</v>
      </c>
      <c r="L738" s="952">
        <v>331.85840707964604</v>
      </c>
      <c r="M738" s="343">
        <v>310.28761061946904</v>
      </c>
      <c r="N738" s="147" t="s">
        <v>7080</v>
      </c>
      <c r="O738" s="147" t="s">
        <v>4882</v>
      </c>
      <c r="P738" s="147" t="s">
        <v>4883</v>
      </c>
      <c r="Q738" s="147">
        <v>1375488066</v>
      </c>
      <c r="R738" s="147" t="s">
        <v>4884</v>
      </c>
      <c r="S738" s="147" t="s">
        <v>4670</v>
      </c>
      <c r="T738" s="147"/>
      <c r="U738" s="948"/>
      <c r="V738" s="949"/>
    </row>
    <row r="739" spans="1:22" s="950" customFormat="1" ht="24" hidden="1" customHeight="1">
      <c r="A739" s="947"/>
      <c r="B739" s="147" t="s">
        <v>5309</v>
      </c>
      <c r="C739" s="147" t="s">
        <v>5312</v>
      </c>
      <c r="D739" s="951" t="s">
        <v>161</v>
      </c>
      <c r="E739" s="147">
        <v>300</v>
      </c>
      <c r="F739" s="147" t="s">
        <v>34</v>
      </c>
      <c r="G739" s="147" t="s">
        <v>32</v>
      </c>
      <c r="H739" s="147" t="s">
        <v>33</v>
      </c>
      <c r="I739" s="147" t="s">
        <v>34</v>
      </c>
      <c r="J739" s="147" t="s">
        <v>34</v>
      </c>
      <c r="K739" s="147" t="s">
        <v>34</v>
      </c>
      <c r="L739" s="952">
        <v>4513.2743362831861</v>
      </c>
      <c r="M739" s="343">
        <v>4219.9115044247792</v>
      </c>
      <c r="N739" s="147" t="s">
        <v>7080</v>
      </c>
      <c r="O739" s="147" t="s">
        <v>4882</v>
      </c>
      <c r="P739" s="147" t="s">
        <v>4883</v>
      </c>
      <c r="Q739" s="147">
        <v>1375488066</v>
      </c>
      <c r="R739" s="147" t="s">
        <v>4884</v>
      </c>
      <c r="S739" s="147" t="s">
        <v>4670</v>
      </c>
      <c r="T739" s="147"/>
      <c r="U739" s="948"/>
      <c r="V739" s="949"/>
    </row>
    <row r="740" spans="1:22" s="950" customFormat="1" ht="24" hidden="1" customHeight="1">
      <c r="A740" s="947"/>
      <c r="B740" s="147" t="s">
        <v>5309</v>
      </c>
      <c r="C740" s="147" t="s">
        <v>5313</v>
      </c>
      <c r="D740" s="951" t="s">
        <v>161</v>
      </c>
      <c r="E740" s="147">
        <v>100</v>
      </c>
      <c r="F740" s="147" t="s">
        <v>34</v>
      </c>
      <c r="G740" s="147" t="s">
        <v>32</v>
      </c>
      <c r="H740" s="147" t="s">
        <v>33</v>
      </c>
      <c r="I740" s="147" t="s">
        <v>34</v>
      </c>
      <c r="J740" s="147" t="s">
        <v>34</v>
      </c>
      <c r="K740" s="147" t="s">
        <v>34</v>
      </c>
      <c r="L740" s="952">
        <v>6371.6814159292044</v>
      </c>
      <c r="M740" s="343">
        <v>5957.5221238938057</v>
      </c>
      <c r="N740" s="147" t="s">
        <v>7080</v>
      </c>
      <c r="O740" s="147" t="s">
        <v>4882</v>
      </c>
      <c r="P740" s="147" t="s">
        <v>4883</v>
      </c>
      <c r="Q740" s="147">
        <v>1375488066</v>
      </c>
      <c r="R740" s="147" t="s">
        <v>4884</v>
      </c>
      <c r="S740" s="147" t="s">
        <v>4670</v>
      </c>
      <c r="T740" s="147"/>
      <c r="U740" s="948"/>
      <c r="V740" s="949"/>
    </row>
    <row r="741" spans="1:22" s="950" customFormat="1" ht="24" hidden="1" customHeight="1">
      <c r="A741" s="947"/>
      <c r="B741" s="147" t="s">
        <v>1516</v>
      </c>
      <c r="C741" s="147" t="s">
        <v>5314</v>
      </c>
      <c r="D741" s="147" t="s">
        <v>2724</v>
      </c>
      <c r="E741" s="147">
        <v>100</v>
      </c>
      <c r="F741" s="147" t="s">
        <v>34</v>
      </c>
      <c r="G741" s="147" t="s">
        <v>32</v>
      </c>
      <c r="H741" s="147" t="s">
        <v>33</v>
      </c>
      <c r="I741" s="147" t="s">
        <v>34</v>
      </c>
      <c r="J741" s="147" t="s">
        <v>34</v>
      </c>
      <c r="K741" s="147" t="s">
        <v>34</v>
      </c>
      <c r="L741" s="343">
        <v>1080</v>
      </c>
      <c r="M741" s="343">
        <v>1009.8</v>
      </c>
      <c r="N741" s="147" t="s">
        <v>6947</v>
      </c>
      <c r="O741" s="147" t="s">
        <v>4882</v>
      </c>
      <c r="P741" s="147" t="s">
        <v>4883</v>
      </c>
      <c r="Q741" s="147">
        <v>1375488066</v>
      </c>
      <c r="R741" s="147" t="s">
        <v>4884</v>
      </c>
      <c r="S741" s="147" t="s">
        <v>4670</v>
      </c>
      <c r="T741" s="147" t="s">
        <v>6946</v>
      </c>
      <c r="U741" s="948"/>
      <c r="V741" s="949"/>
    </row>
    <row r="742" spans="1:22" s="950" customFormat="1" ht="24" hidden="1" customHeight="1">
      <c r="A742" s="947"/>
      <c r="B742" s="147" t="s">
        <v>5315</v>
      </c>
      <c r="C742" s="147" t="s">
        <v>5316</v>
      </c>
      <c r="D742" s="147" t="s">
        <v>2724</v>
      </c>
      <c r="E742" s="147">
        <v>150</v>
      </c>
      <c r="F742" s="147" t="s">
        <v>34</v>
      </c>
      <c r="G742" s="147" t="s">
        <v>32</v>
      </c>
      <c r="H742" s="147" t="s">
        <v>33</v>
      </c>
      <c r="I742" s="147" t="s">
        <v>34</v>
      </c>
      <c r="J742" s="147" t="s">
        <v>34</v>
      </c>
      <c r="K742" s="147" t="s">
        <v>34</v>
      </c>
      <c r="L742" s="343">
        <v>783</v>
      </c>
      <c r="M742" s="343">
        <v>732.10500000000002</v>
      </c>
      <c r="N742" s="147" t="s">
        <v>6947</v>
      </c>
      <c r="O742" s="147" t="s">
        <v>4882</v>
      </c>
      <c r="P742" s="147" t="s">
        <v>4883</v>
      </c>
      <c r="Q742" s="147">
        <v>1375488066</v>
      </c>
      <c r="R742" s="147" t="s">
        <v>4884</v>
      </c>
      <c r="S742" s="147" t="s">
        <v>4670</v>
      </c>
      <c r="T742" s="147" t="s">
        <v>6946</v>
      </c>
      <c r="U742" s="948"/>
      <c r="V742" s="949"/>
    </row>
    <row r="743" spans="1:22" s="950" customFormat="1" ht="24" hidden="1" customHeight="1">
      <c r="A743" s="947"/>
      <c r="B743" s="147" t="s">
        <v>5315</v>
      </c>
      <c r="C743" s="147" t="s">
        <v>5317</v>
      </c>
      <c r="D743" s="147" t="s">
        <v>2724</v>
      </c>
      <c r="E743" s="147">
        <v>200</v>
      </c>
      <c r="F743" s="147" t="s">
        <v>34</v>
      </c>
      <c r="G743" s="147" t="s">
        <v>32</v>
      </c>
      <c r="H743" s="147" t="s">
        <v>33</v>
      </c>
      <c r="I743" s="147" t="s">
        <v>34</v>
      </c>
      <c r="J743" s="147" t="s">
        <v>34</v>
      </c>
      <c r="K743" s="147" t="s">
        <v>34</v>
      </c>
      <c r="L743" s="343">
        <v>621</v>
      </c>
      <c r="M743" s="343">
        <v>580.63499999999999</v>
      </c>
      <c r="N743" s="147" t="s">
        <v>6947</v>
      </c>
      <c r="O743" s="147" t="s">
        <v>4882</v>
      </c>
      <c r="P743" s="147" t="s">
        <v>4883</v>
      </c>
      <c r="Q743" s="147">
        <v>1375488066</v>
      </c>
      <c r="R743" s="147" t="s">
        <v>4884</v>
      </c>
      <c r="S743" s="147" t="s">
        <v>4670</v>
      </c>
      <c r="T743" s="147" t="s">
        <v>6946</v>
      </c>
      <c r="U743" s="948"/>
      <c r="V743" s="949"/>
    </row>
    <row r="744" spans="1:22" s="950" customFormat="1" ht="24" hidden="1" customHeight="1">
      <c r="A744" s="947"/>
      <c r="B744" s="1281" t="s">
        <v>1486</v>
      </c>
      <c r="C744" s="1216" t="s">
        <v>5318</v>
      </c>
      <c r="D744" s="147" t="s">
        <v>131</v>
      </c>
      <c r="E744" s="147">
        <v>4</v>
      </c>
      <c r="F744" s="147" t="s">
        <v>34</v>
      </c>
      <c r="G744" s="147"/>
      <c r="H744" s="147"/>
      <c r="I744" s="147"/>
      <c r="J744" s="147"/>
      <c r="K744" s="147"/>
      <c r="L744" s="953">
        <v>566.4</v>
      </c>
      <c r="M744" s="343">
        <v>529.58399999999995</v>
      </c>
      <c r="N744" s="147" t="s">
        <v>7081</v>
      </c>
      <c r="O744" s="147" t="s">
        <v>4882</v>
      </c>
      <c r="P744" s="147" t="s">
        <v>4883</v>
      </c>
      <c r="Q744" s="147">
        <v>1375488067</v>
      </c>
      <c r="R744" s="147" t="s">
        <v>4884</v>
      </c>
      <c r="S744" s="147" t="s">
        <v>4670</v>
      </c>
      <c r="T744" s="147"/>
      <c r="U744" s="948"/>
      <c r="V744" s="949"/>
    </row>
    <row r="745" spans="1:22" s="950" customFormat="1" ht="24" hidden="1" customHeight="1">
      <c r="A745" s="947"/>
      <c r="B745" s="147" t="s">
        <v>1486</v>
      </c>
      <c r="C745" s="147" t="s">
        <v>5319</v>
      </c>
      <c r="D745" s="147" t="s">
        <v>1477</v>
      </c>
      <c r="E745" s="147">
        <v>3</v>
      </c>
      <c r="F745" s="147" t="s">
        <v>34</v>
      </c>
      <c r="G745" s="147" t="s">
        <v>32</v>
      </c>
      <c r="H745" s="147" t="s">
        <v>33</v>
      </c>
      <c r="I745" s="147" t="s">
        <v>34</v>
      </c>
      <c r="J745" s="147" t="s">
        <v>34</v>
      </c>
      <c r="K745" s="147" t="s">
        <v>34</v>
      </c>
      <c r="L745" s="343">
        <v>827.55</v>
      </c>
      <c r="M745" s="343">
        <v>773.75924999999995</v>
      </c>
      <c r="N745" s="147" t="s">
        <v>6947</v>
      </c>
      <c r="O745" s="147" t="s">
        <v>4882</v>
      </c>
      <c r="P745" s="147" t="s">
        <v>4883</v>
      </c>
      <c r="Q745" s="147">
        <v>1375488066</v>
      </c>
      <c r="R745" s="147" t="s">
        <v>4884</v>
      </c>
      <c r="S745" s="147" t="s">
        <v>4670</v>
      </c>
      <c r="T745" s="147" t="s">
        <v>6946</v>
      </c>
      <c r="U745" s="948"/>
      <c r="V745" s="949"/>
    </row>
    <row r="746" spans="1:22" s="950" customFormat="1" ht="24" hidden="1" customHeight="1">
      <c r="A746" s="947"/>
      <c r="B746" s="147" t="s">
        <v>1486</v>
      </c>
      <c r="C746" s="147" t="s">
        <v>5320</v>
      </c>
      <c r="D746" s="147" t="s">
        <v>1477</v>
      </c>
      <c r="E746" s="147">
        <v>1</v>
      </c>
      <c r="F746" s="147" t="s">
        <v>34</v>
      </c>
      <c r="G746" s="147" t="s">
        <v>32</v>
      </c>
      <c r="H746" s="147" t="s">
        <v>33</v>
      </c>
      <c r="I746" s="147" t="s">
        <v>34</v>
      </c>
      <c r="J746" s="147" t="s">
        <v>34</v>
      </c>
      <c r="K746" s="147" t="s">
        <v>34</v>
      </c>
      <c r="L746" s="343">
        <v>126.36</v>
      </c>
      <c r="M746" s="343">
        <v>118.14660000000001</v>
      </c>
      <c r="N746" s="147" t="s">
        <v>6947</v>
      </c>
      <c r="O746" s="147" t="s">
        <v>4882</v>
      </c>
      <c r="P746" s="147" t="s">
        <v>4883</v>
      </c>
      <c r="Q746" s="147">
        <v>1375488066</v>
      </c>
      <c r="R746" s="147" t="s">
        <v>4884</v>
      </c>
      <c r="S746" s="147" t="s">
        <v>4670</v>
      </c>
      <c r="T746" s="147" t="s">
        <v>6946</v>
      </c>
      <c r="U746" s="948"/>
      <c r="V746" s="949"/>
    </row>
    <row r="747" spans="1:22" s="950" customFormat="1" ht="24" hidden="1" customHeight="1">
      <c r="A747" s="947"/>
      <c r="B747" s="147" t="s">
        <v>1673</v>
      </c>
      <c r="C747" s="147"/>
      <c r="D747" s="147" t="s">
        <v>131</v>
      </c>
      <c r="E747" s="147">
        <v>1</v>
      </c>
      <c r="F747" s="147" t="s">
        <v>34</v>
      </c>
      <c r="G747" s="147" t="s">
        <v>32</v>
      </c>
      <c r="H747" s="147" t="s">
        <v>33</v>
      </c>
      <c r="I747" s="147" t="s">
        <v>34</v>
      </c>
      <c r="J747" s="147" t="s">
        <v>34</v>
      </c>
      <c r="K747" s="147" t="s">
        <v>34</v>
      </c>
      <c r="L747" s="343">
        <v>3203.8829999999998</v>
      </c>
      <c r="M747" s="343">
        <v>2995.6306049999998</v>
      </c>
      <c r="N747" s="147" t="s">
        <v>6947</v>
      </c>
      <c r="O747" s="147" t="s">
        <v>4882</v>
      </c>
      <c r="P747" s="147" t="s">
        <v>4883</v>
      </c>
      <c r="Q747" s="147">
        <v>1375488066</v>
      </c>
      <c r="R747" s="147" t="s">
        <v>4884</v>
      </c>
      <c r="S747" s="147" t="s">
        <v>4670</v>
      </c>
      <c r="T747" s="147" t="s">
        <v>6946</v>
      </c>
      <c r="U747" s="948"/>
      <c r="V747" s="949"/>
    </row>
    <row r="748" spans="1:22" s="950" customFormat="1" ht="24" hidden="1" customHeight="1">
      <c r="A748" s="947"/>
      <c r="B748" s="147" t="s">
        <v>1678</v>
      </c>
      <c r="C748" s="147"/>
      <c r="D748" s="147" t="s">
        <v>131</v>
      </c>
      <c r="E748" s="147">
        <v>8</v>
      </c>
      <c r="F748" s="147" t="s">
        <v>34</v>
      </c>
      <c r="G748" s="147" t="s">
        <v>32</v>
      </c>
      <c r="H748" s="147" t="s">
        <v>33</v>
      </c>
      <c r="I748" s="147" t="s">
        <v>34</v>
      </c>
      <c r="J748" s="147" t="s">
        <v>34</v>
      </c>
      <c r="K748" s="147" t="s">
        <v>34</v>
      </c>
      <c r="L748" s="343">
        <v>12815.535</v>
      </c>
      <c r="M748" s="343">
        <v>11982.525224999999</v>
      </c>
      <c r="N748" s="147" t="s">
        <v>6947</v>
      </c>
      <c r="O748" s="147" t="s">
        <v>4882</v>
      </c>
      <c r="P748" s="147" t="s">
        <v>4883</v>
      </c>
      <c r="Q748" s="147">
        <v>1375488066</v>
      </c>
      <c r="R748" s="147" t="s">
        <v>4884</v>
      </c>
      <c r="S748" s="147" t="s">
        <v>4670</v>
      </c>
      <c r="T748" s="147" t="s">
        <v>6946</v>
      </c>
      <c r="U748" s="948"/>
      <c r="V748" s="949"/>
    </row>
    <row r="749" spans="1:22" s="950" customFormat="1" ht="24" hidden="1" customHeight="1">
      <c r="A749" s="947"/>
      <c r="B749" s="147" t="s">
        <v>5321</v>
      </c>
      <c r="C749" s="147" t="s">
        <v>5322</v>
      </c>
      <c r="D749" s="147" t="s">
        <v>131</v>
      </c>
      <c r="E749" s="147">
        <v>2</v>
      </c>
      <c r="F749" s="147" t="s">
        <v>34</v>
      </c>
      <c r="G749" s="147" t="s">
        <v>32</v>
      </c>
      <c r="H749" s="147" t="s">
        <v>33</v>
      </c>
      <c r="I749" s="147" t="s">
        <v>34</v>
      </c>
      <c r="J749" s="147" t="s">
        <v>34</v>
      </c>
      <c r="K749" s="147" t="s">
        <v>34</v>
      </c>
      <c r="L749" s="343">
        <v>77.400000000000006</v>
      </c>
      <c r="M749" s="343">
        <v>72.369</v>
      </c>
      <c r="N749" s="147" t="s">
        <v>6947</v>
      </c>
      <c r="O749" s="147" t="s">
        <v>4882</v>
      </c>
      <c r="P749" s="147" t="s">
        <v>4883</v>
      </c>
      <c r="Q749" s="147">
        <v>1375488066</v>
      </c>
      <c r="R749" s="147" t="s">
        <v>4884</v>
      </c>
      <c r="S749" s="147" t="s">
        <v>4670</v>
      </c>
      <c r="T749" s="147" t="s">
        <v>6946</v>
      </c>
      <c r="U749" s="948"/>
      <c r="V749" s="949"/>
    </row>
    <row r="750" spans="1:22" s="950" customFormat="1" ht="24" hidden="1" customHeight="1">
      <c r="A750" s="947"/>
      <c r="B750" s="147" t="s">
        <v>5323</v>
      </c>
      <c r="C750" s="147" t="s">
        <v>5324</v>
      </c>
      <c r="D750" s="147" t="s">
        <v>131</v>
      </c>
      <c r="E750" s="147">
        <v>1</v>
      </c>
      <c r="F750" s="147" t="s">
        <v>34</v>
      </c>
      <c r="G750" s="147" t="s">
        <v>32</v>
      </c>
      <c r="H750" s="147" t="s">
        <v>33</v>
      </c>
      <c r="I750" s="147" t="s">
        <v>34</v>
      </c>
      <c r="J750" s="147" t="s">
        <v>34</v>
      </c>
      <c r="K750" s="147" t="s">
        <v>34</v>
      </c>
      <c r="L750" s="343">
        <v>1093.4970000000001</v>
      </c>
      <c r="M750" s="343">
        <v>1022.419695</v>
      </c>
      <c r="N750" s="147" t="s">
        <v>6947</v>
      </c>
      <c r="O750" s="147" t="s">
        <v>4882</v>
      </c>
      <c r="P750" s="147" t="s">
        <v>4883</v>
      </c>
      <c r="Q750" s="147">
        <v>1375488066</v>
      </c>
      <c r="R750" s="147" t="s">
        <v>4884</v>
      </c>
      <c r="S750" s="147" t="s">
        <v>4670</v>
      </c>
      <c r="T750" s="147" t="s">
        <v>6946</v>
      </c>
      <c r="U750" s="948"/>
      <c r="V750" s="949"/>
    </row>
    <row r="751" spans="1:22" s="950" customFormat="1" ht="24" hidden="1" customHeight="1">
      <c r="A751" s="947"/>
      <c r="B751" s="147" t="s">
        <v>1486</v>
      </c>
      <c r="C751" s="147" t="s">
        <v>5325</v>
      </c>
      <c r="D751" s="147" t="s">
        <v>131</v>
      </c>
      <c r="E751" s="147">
        <v>2</v>
      </c>
      <c r="F751" s="147" t="s">
        <v>34</v>
      </c>
      <c r="G751" s="147" t="s">
        <v>32</v>
      </c>
      <c r="H751" s="147" t="s">
        <v>33</v>
      </c>
      <c r="I751" s="147" t="s">
        <v>34</v>
      </c>
      <c r="J751" s="147" t="s">
        <v>34</v>
      </c>
      <c r="K751" s="147" t="s">
        <v>34</v>
      </c>
      <c r="L751" s="343">
        <v>220.31700000000001</v>
      </c>
      <c r="M751" s="343">
        <v>205.99639500000001</v>
      </c>
      <c r="N751" s="147" t="s">
        <v>6947</v>
      </c>
      <c r="O751" s="147" t="s">
        <v>4882</v>
      </c>
      <c r="P751" s="147" t="s">
        <v>4883</v>
      </c>
      <c r="Q751" s="147">
        <v>1375488066</v>
      </c>
      <c r="R751" s="147" t="s">
        <v>4884</v>
      </c>
      <c r="S751" s="147" t="s">
        <v>4670</v>
      </c>
      <c r="T751" s="147" t="s">
        <v>6946</v>
      </c>
      <c r="U751" s="948"/>
      <c r="V751" s="949"/>
    </row>
    <row r="752" spans="1:22" s="950" customFormat="1" ht="24" hidden="1" customHeight="1">
      <c r="A752" s="947"/>
      <c r="B752" s="147" t="s">
        <v>1678</v>
      </c>
      <c r="C752" s="147"/>
      <c r="D752" s="147" t="s">
        <v>131</v>
      </c>
      <c r="E752" s="147">
        <v>10</v>
      </c>
      <c r="F752" s="147" t="s">
        <v>34</v>
      </c>
      <c r="G752" s="147" t="s">
        <v>32</v>
      </c>
      <c r="H752" s="147" t="s">
        <v>33</v>
      </c>
      <c r="I752" s="147" t="s">
        <v>34</v>
      </c>
      <c r="J752" s="147" t="s">
        <v>34</v>
      </c>
      <c r="K752" s="147" t="s">
        <v>34</v>
      </c>
      <c r="L752" s="343">
        <v>2970</v>
      </c>
      <c r="M752" s="343">
        <v>2776.95</v>
      </c>
      <c r="N752" s="147" t="s">
        <v>6947</v>
      </c>
      <c r="O752" s="147" t="s">
        <v>4882</v>
      </c>
      <c r="P752" s="147" t="s">
        <v>4883</v>
      </c>
      <c r="Q752" s="147">
        <v>1375488066</v>
      </c>
      <c r="R752" s="147" t="s">
        <v>4884</v>
      </c>
      <c r="S752" s="147" t="s">
        <v>4670</v>
      </c>
      <c r="T752" s="147" t="s">
        <v>6946</v>
      </c>
      <c r="U752" s="948"/>
      <c r="V752" s="949"/>
    </row>
    <row r="753" spans="1:22" s="950" customFormat="1" ht="24" hidden="1" customHeight="1">
      <c r="A753" s="947"/>
      <c r="B753" s="147" t="s">
        <v>1678</v>
      </c>
      <c r="C753" s="147"/>
      <c r="D753" s="147" t="s">
        <v>131</v>
      </c>
      <c r="E753" s="147">
        <v>10</v>
      </c>
      <c r="F753" s="147" t="s">
        <v>34</v>
      </c>
      <c r="G753" s="147" t="s">
        <v>32</v>
      </c>
      <c r="H753" s="147" t="s">
        <v>33</v>
      </c>
      <c r="I753" s="147" t="s">
        <v>34</v>
      </c>
      <c r="J753" s="147" t="s">
        <v>34</v>
      </c>
      <c r="K753" s="147" t="s">
        <v>34</v>
      </c>
      <c r="L753" s="343">
        <v>2790.0120000000002</v>
      </c>
      <c r="M753" s="343">
        <v>2608.66122</v>
      </c>
      <c r="N753" s="147" t="s">
        <v>6947</v>
      </c>
      <c r="O753" s="147" t="s">
        <v>4882</v>
      </c>
      <c r="P753" s="147" t="s">
        <v>4883</v>
      </c>
      <c r="Q753" s="147">
        <v>1375488066</v>
      </c>
      <c r="R753" s="147" t="s">
        <v>4884</v>
      </c>
      <c r="S753" s="147" t="s">
        <v>4670</v>
      </c>
      <c r="T753" s="147" t="s">
        <v>6946</v>
      </c>
      <c r="U753" s="948"/>
      <c r="V753" s="949"/>
    </row>
    <row r="754" spans="1:22" s="950" customFormat="1" ht="24" hidden="1" customHeight="1">
      <c r="A754" s="947"/>
      <c r="B754" s="147" t="s">
        <v>5326</v>
      </c>
      <c r="C754" s="147"/>
      <c r="D754" s="147" t="s">
        <v>131</v>
      </c>
      <c r="E754" s="147">
        <v>10</v>
      </c>
      <c r="F754" s="147" t="s">
        <v>34</v>
      </c>
      <c r="G754" s="147" t="s">
        <v>32</v>
      </c>
      <c r="H754" s="147" t="s">
        <v>33</v>
      </c>
      <c r="I754" s="147" t="s">
        <v>34</v>
      </c>
      <c r="J754" s="147" t="s">
        <v>34</v>
      </c>
      <c r="K754" s="147" t="s">
        <v>34</v>
      </c>
      <c r="L754" s="343">
        <v>828.01499999999999</v>
      </c>
      <c r="M754" s="343">
        <v>774.19402500000001</v>
      </c>
      <c r="N754" s="147" t="s">
        <v>6947</v>
      </c>
      <c r="O754" s="147" t="s">
        <v>4882</v>
      </c>
      <c r="P754" s="147" t="s">
        <v>4883</v>
      </c>
      <c r="Q754" s="147">
        <v>1375488066</v>
      </c>
      <c r="R754" s="147" t="s">
        <v>4884</v>
      </c>
      <c r="S754" s="147" t="s">
        <v>4670</v>
      </c>
      <c r="T754" s="147" t="s">
        <v>6946</v>
      </c>
      <c r="U754" s="948"/>
      <c r="V754" s="949"/>
    </row>
    <row r="755" spans="1:22" s="950" customFormat="1" ht="24" hidden="1" customHeight="1">
      <c r="A755" s="947"/>
      <c r="B755" s="147" t="s">
        <v>5327</v>
      </c>
      <c r="C755" s="147" t="s">
        <v>5328</v>
      </c>
      <c r="D755" s="147" t="s">
        <v>131</v>
      </c>
      <c r="E755" s="147">
        <v>10</v>
      </c>
      <c r="F755" s="147" t="s">
        <v>34</v>
      </c>
      <c r="G755" s="147" t="s">
        <v>32</v>
      </c>
      <c r="H755" s="147" t="s">
        <v>33</v>
      </c>
      <c r="I755" s="147" t="s">
        <v>34</v>
      </c>
      <c r="J755" s="147" t="s">
        <v>34</v>
      </c>
      <c r="K755" s="147" t="s">
        <v>34</v>
      </c>
      <c r="L755" s="343">
        <v>1440.0119999999999</v>
      </c>
      <c r="M755" s="343">
        <v>1346.41122</v>
      </c>
      <c r="N755" s="147" t="s">
        <v>6947</v>
      </c>
      <c r="O755" s="147" t="s">
        <v>4882</v>
      </c>
      <c r="P755" s="147" t="s">
        <v>4883</v>
      </c>
      <c r="Q755" s="147">
        <v>1375488066</v>
      </c>
      <c r="R755" s="147" t="s">
        <v>4884</v>
      </c>
      <c r="S755" s="147" t="s">
        <v>4670</v>
      </c>
      <c r="T755" s="147" t="s">
        <v>6946</v>
      </c>
      <c r="U755" s="948"/>
      <c r="V755" s="949"/>
    </row>
    <row r="756" spans="1:22" s="950" customFormat="1" ht="24" hidden="1" customHeight="1">
      <c r="A756" s="947"/>
      <c r="B756" s="147" t="s">
        <v>1486</v>
      </c>
      <c r="C756" s="147"/>
      <c r="D756" s="147" t="s">
        <v>1477</v>
      </c>
      <c r="E756" s="147">
        <v>10</v>
      </c>
      <c r="F756" s="147" t="s">
        <v>34</v>
      </c>
      <c r="G756" s="147" t="s">
        <v>32</v>
      </c>
      <c r="H756" s="147" t="s">
        <v>33</v>
      </c>
      <c r="I756" s="147" t="s">
        <v>34</v>
      </c>
      <c r="J756" s="147" t="s">
        <v>34</v>
      </c>
      <c r="K756" s="147" t="s">
        <v>34</v>
      </c>
      <c r="L756" s="343">
        <v>1345.53</v>
      </c>
      <c r="M756" s="343">
        <v>1258.0705499999999</v>
      </c>
      <c r="N756" s="147" t="s">
        <v>6947</v>
      </c>
      <c r="O756" s="147" t="s">
        <v>4882</v>
      </c>
      <c r="P756" s="147" t="s">
        <v>4883</v>
      </c>
      <c r="Q756" s="147">
        <v>1375488066</v>
      </c>
      <c r="R756" s="147" t="s">
        <v>4884</v>
      </c>
      <c r="S756" s="147" t="s">
        <v>4670</v>
      </c>
      <c r="T756" s="147" t="s">
        <v>6946</v>
      </c>
      <c r="U756" s="948"/>
      <c r="V756" s="949"/>
    </row>
    <row r="757" spans="1:22" s="950" customFormat="1" ht="24" hidden="1" customHeight="1">
      <c r="A757" s="947"/>
      <c r="B757" s="147" t="s">
        <v>5273</v>
      </c>
      <c r="C757" s="147" t="s">
        <v>5329</v>
      </c>
      <c r="D757" s="147" t="s">
        <v>131</v>
      </c>
      <c r="E757" s="147">
        <v>6</v>
      </c>
      <c r="F757" s="147" t="s">
        <v>34</v>
      </c>
      <c r="G757" s="147" t="s">
        <v>32</v>
      </c>
      <c r="H757" s="147" t="s">
        <v>33</v>
      </c>
      <c r="I757" s="147" t="s">
        <v>34</v>
      </c>
      <c r="J757" s="147" t="s">
        <v>34</v>
      </c>
      <c r="K757" s="147" t="s">
        <v>34</v>
      </c>
      <c r="L757" s="147">
        <v>2912.62</v>
      </c>
      <c r="M757" s="343">
        <v>2723.2997</v>
      </c>
      <c r="N757" s="147" t="s">
        <v>7081</v>
      </c>
      <c r="O757" s="147" t="s">
        <v>4882</v>
      </c>
      <c r="P757" s="147" t="s">
        <v>4883</v>
      </c>
      <c r="Q757" s="147">
        <v>1375488067</v>
      </c>
      <c r="R757" s="147" t="s">
        <v>4884</v>
      </c>
      <c r="S757" s="147" t="s">
        <v>4670</v>
      </c>
      <c r="T757" s="147"/>
      <c r="U757" s="948"/>
      <c r="V757" s="949"/>
    </row>
    <row r="758" spans="1:22" s="950" customFormat="1" ht="24" hidden="1" customHeight="1">
      <c r="A758" s="947"/>
      <c r="B758" s="147" t="s">
        <v>5330</v>
      </c>
      <c r="C758" s="147"/>
      <c r="D758" s="147" t="s">
        <v>79</v>
      </c>
      <c r="E758" s="147">
        <v>2</v>
      </c>
      <c r="F758" s="147" t="s">
        <v>34</v>
      </c>
      <c r="G758" s="147" t="s">
        <v>32</v>
      </c>
      <c r="H758" s="147" t="s">
        <v>33</v>
      </c>
      <c r="I758" s="147" t="s">
        <v>34</v>
      </c>
      <c r="J758" s="147" t="s">
        <v>34</v>
      </c>
      <c r="K758" s="147" t="s">
        <v>34</v>
      </c>
      <c r="L758" s="147">
        <v>2621.36</v>
      </c>
      <c r="M758" s="343">
        <v>2450.9716000000003</v>
      </c>
      <c r="N758" s="147" t="s">
        <v>7081</v>
      </c>
      <c r="O758" s="147" t="s">
        <v>4882</v>
      </c>
      <c r="P758" s="147" t="s">
        <v>4883</v>
      </c>
      <c r="Q758" s="147">
        <v>1375488067</v>
      </c>
      <c r="R758" s="147" t="s">
        <v>4884</v>
      </c>
      <c r="S758" s="147" t="s">
        <v>4670</v>
      </c>
      <c r="T758" s="147"/>
      <c r="U758" s="948"/>
      <c r="V758" s="949"/>
    </row>
    <row r="759" spans="1:22" s="950" customFormat="1" ht="24" hidden="1" customHeight="1">
      <c r="A759" s="947"/>
      <c r="B759" s="147" t="s">
        <v>1462</v>
      </c>
      <c r="C759" s="147" t="s">
        <v>5331</v>
      </c>
      <c r="D759" s="147" t="s">
        <v>3061</v>
      </c>
      <c r="E759" s="147">
        <v>609.20000000000005</v>
      </c>
      <c r="F759" s="147" t="s">
        <v>34</v>
      </c>
      <c r="G759" s="147" t="s">
        <v>32</v>
      </c>
      <c r="H759" s="147" t="s">
        <v>33</v>
      </c>
      <c r="I759" s="147" t="s">
        <v>34</v>
      </c>
      <c r="J759" s="147" t="s">
        <v>34</v>
      </c>
      <c r="K759" s="147" t="s">
        <v>34</v>
      </c>
      <c r="L759" s="147">
        <v>14490.68</v>
      </c>
      <c r="M759" s="343">
        <v>14490.68</v>
      </c>
      <c r="N759" s="147" t="s">
        <v>7081</v>
      </c>
      <c r="O759" s="147" t="s">
        <v>4882</v>
      </c>
      <c r="P759" s="147" t="s">
        <v>4883</v>
      </c>
      <c r="Q759" s="147">
        <v>1375488067</v>
      </c>
      <c r="R759" s="147" t="s">
        <v>4884</v>
      </c>
      <c r="S759" s="147" t="s">
        <v>4670</v>
      </c>
      <c r="T759" s="147"/>
      <c r="U759" s="948"/>
      <c r="V759" s="949"/>
    </row>
    <row r="760" spans="1:22" s="950" customFormat="1" ht="24" hidden="1" customHeight="1">
      <c r="A760" s="947"/>
      <c r="B760" s="147" t="s">
        <v>5332</v>
      </c>
      <c r="C760" s="147" t="s">
        <v>5333</v>
      </c>
      <c r="D760" s="147" t="s">
        <v>464</v>
      </c>
      <c r="E760" s="147">
        <v>234</v>
      </c>
      <c r="F760" s="147" t="s">
        <v>34</v>
      </c>
      <c r="G760" s="147" t="s">
        <v>32</v>
      </c>
      <c r="H760" s="147" t="s">
        <v>33</v>
      </c>
      <c r="I760" s="147" t="s">
        <v>34</v>
      </c>
      <c r="J760" s="147" t="s">
        <v>34</v>
      </c>
      <c r="K760" s="147" t="s">
        <v>34</v>
      </c>
      <c r="L760" s="343">
        <v>2316.6</v>
      </c>
      <c r="M760" s="343">
        <v>2316.6</v>
      </c>
      <c r="N760" s="147" t="s">
        <v>6947</v>
      </c>
      <c r="O760" s="147" t="s">
        <v>4882</v>
      </c>
      <c r="P760" s="147" t="s">
        <v>4883</v>
      </c>
      <c r="Q760" s="147">
        <v>1375488066</v>
      </c>
      <c r="R760" s="147" t="s">
        <v>4884</v>
      </c>
      <c r="S760" s="147" t="s">
        <v>4670</v>
      </c>
      <c r="T760" s="147" t="s">
        <v>6946</v>
      </c>
      <c r="U760" s="948"/>
      <c r="V760" s="949"/>
    </row>
    <row r="761" spans="1:22" s="950" customFormat="1" ht="24" hidden="1" customHeight="1">
      <c r="A761" s="947"/>
      <c r="B761" s="147" t="s">
        <v>5334</v>
      </c>
      <c r="C761" s="147" t="s">
        <v>5335</v>
      </c>
      <c r="D761" s="147" t="s">
        <v>131</v>
      </c>
      <c r="E761" s="147">
        <v>979</v>
      </c>
      <c r="F761" s="147" t="s">
        <v>34</v>
      </c>
      <c r="G761" s="147" t="s">
        <v>32</v>
      </c>
      <c r="H761" s="147" t="s">
        <v>33</v>
      </c>
      <c r="I761" s="147" t="s">
        <v>34</v>
      </c>
      <c r="J761" s="147" t="s">
        <v>34</v>
      </c>
      <c r="K761" s="147" t="s">
        <v>34</v>
      </c>
      <c r="L761" s="343">
        <v>1762.2</v>
      </c>
      <c r="M761" s="343">
        <v>1762.2</v>
      </c>
      <c r="N761" s="147" t="s">
        <v>6947</v>
      </c>
      <c r="O761" s="147" t="s">
        <v>4882</v>
      </c>
      <c r="P761" s="147" t="s">
        <v>4883</v>
      </c>
      <c r="Q761" s="147">
        <v>1375488066</v>
      </c>
      <c r="R761" s="147" t="s">
        <v>4884</v>
      </c>
      <c r="S761" s="147" t="s">
        <v>4670</v>
      </c>
      <c r="T761" s="147" t="s">
        <v>6946</v>
      </c>
      <c r="U761" s="948"/>
      <c r="V761" s="949"/>
    </row>
    <row r="762" spans="1:22" s="950" customFormat="1" ht="24" hidden="1" customHeight="1">
      <c r="A762" s="947"/>
      <c r="B762" s="147" t="s">
        <v>1533</v>
      </c>
      <c r="C762" s="147" t="s">
        <v>5336</v>
      </c>
      <c r="D762" s="147" t="s">
        <v>3821</v>
      </c>
      <c r="E762" s="147">
        <f>237-70</f>
        <v>167</v>
      </c>
      <c r="F762" s="147" t="s">
        <v>34</v>
      </c>
      <c r="G762" s="147" t="s">
        <v>32</v>
      </c>
      <c r="H762" s="147" t="s">
        <v>33</v>
      </c>
      <c r="I762" s="147" t="s">
        <v>34</v>
      </c>
      <c r="J762" s="147" t="s">
        <v>34</v>
      </c>
      <c r="K762" s="147" t="s">
        <v>34</v>
      </c>
      <c r="L762" s="343">
        <v>0</v>
      </c>
      <c r="M762" s="343">
        <v>0</v>
      </c>
      <c r="N762" s="147" t="s">
        <v>6947</v>
      </c>
      <c r="O762" s="147" t="s">
        <v>4882</v>
      </c>
      <c r="P762" s="147" t="s">
        <v>4883</v>
      </c>
      <c r="Q762" s="147">
        <v>1375488066</v>
      </c>
      <c r="R762" s="147" t="s">
        <v>4884</v>
      </c>
      <c r="S762" s="147" t="s">
        <v>4670</v>
      </c>
      <c r="T762" s="147" t="s">
        <v>6946</v>
      </c>
      <c r="U762" s="948"/>
      <c r="V762" s="949"/>
    </row>
    <row r="763" spans="1:22" s="950" customFormat="1" ht="24" hidden="1" customHeight="1">
      <c r="A763" s="947"/>
      <c r="B763" s="147" t="s">
        <v>1533</v>
      </c>
      <c r="C763" s="147" t="s">
        <v>5336</v>
      </c>
      <c r="D763" s="147"/>
      <c r="E763" s="147">
        <v>8</v>
      </c>
      <c r="F763" s="147" t="s">
        <v>34</v>
      </c>
      <c r="G763" s="147" t="s">
        <v>32</v>
      </c>
      <c r="H763" s="147" t="s">
        <v>33</v>
      </c>
      <c r="I763" s="147" t="s">
        <v>34</v>
      </c>
      <c r="J763" s="147" t="s">
        <v>34</v>
      </c>
      <c r="K763" s="147" t="s">
        <v>34</v>
      </c>
      <c r="L763" s="343">
        <v>0</v>
      </c>
      <c r="M763" s="343">
        <v>0</v>
      </c>
      <c r="N763" s="147" t="s">
        <v>6947</v>
      </c>
      <c r="O763" s="147" t="s">
        <v>4882</v>
      </c>
      <c r="P763" s="147" t="s">
        <v>4883</v>
      </c>
      <c r="Q763" s="147">
        <v>1375488066</v>
      </c>
      <c r="R763" s="147" t="s">
        <v>4884</v>
      </c>
      <c r="S763" s="147" t="s">
        <v>4670</v>
      </c>
      <c r="T763" s="147" t="s">
        <v>6946</v>
      </c>
      <c r="U763" s="948"/>
      <c r="V763" s="949"/>
    </row>
    <row r="764" spans="1:22" s="950" customFormat="1" ht="24" hidden="1" customHeight="1">
      <c r="A764" s="947"/>
      <c r="B764" s="1591" t="s">
        <v>3845</v>
      </c>
      <c r="C764" s="954" t="s">
        <v>5337</v>
      </c>
      <c r="D764" s="954" t="s">
        <v>3821</v>
      </c>
      <c r="E764" s="955">
        <v>244</v>
      </c>
      <c r="F764" s="147" t="s">
        <v>34</v>
      </c>
      <c r="G764" s="147" t="s">
        <v>32</v>
      </c>
      <c r="H764" s="147" t="s">
        <v>33</v>
      </c>
      <c r="I764" s="147" t="s">
        <v>34</v>
      </c>
      <c r="J764" s="147" t="s">
        <v>34</v>
      </c>
      <c r="K764" s="147" t="s">
        <v>34</v>
      </c>
      <c r="L764" s="343">
        <v>16734.513274336201</v>
      </c>
      <c r="M764" s="343">
        <v>16734.513274336201</v>
      </c>
      <c r="N764" s="147" t="s">
        <v>4751</v>
      </c>
      <c r="O764" s="147" t="s">
        <v>4882</v>
      </c>
      <c r="P764" s="147" t="s">
        <v>4883</v>
      </c>
      <c r="Q764" s="147">
        <v>1375488066</v>
      </c>
      <c r="R764" s="147" t="s">
        <v>4884</v>
      </c>
      <c r="S764" s="147" t="s">
        <v>4670</v>
      </c>
      <c r="T764" s="147"/>
      <c r="U764" s="948"/>
      <c r="V764" s="949"/>
    </row>
    <row r="765" spans="1:22" s="950" customFormat="1" ht="24" hidden="1" customHeight="1">
      <c r="A765" s="947"/>
      <c r="B765" s="1591" t="s">
        <v>3845</v>
      </c>
      <c r="C765" s="954" t="s">
        <v>5265</v>
      </c>
      <c r="D765" s="954" t="s">
        <v>3821</v>
      </c>
      <c r="E765" s="955">
        <v>55</v>
      </c>
      <c r="F765" s="147" t="s">
        <v>34</v>
      </c>
      <c r="G765" s="147" t="s">
        <v>32</v>
      </c>
      <c r="H765" s="147" t="s">
        <v>33</v>
      </c>
      <c r="I765" s="147" t="s">
        <v>34</v>
      </c>
      <c r="J765" s="147" t="s">
        <v>34</v>
      </c>
      <c r="K765" s="147" t="s">
        <v>34</v>
      </c>
      <c r="L765" s="343">
        <v>3382.7433628318499</v>
      </c>
      <c r="M765" s="343">
        <v>3382.7433628318499</v>
      </c>
      <c r="N765" s="147" t="s">
        <v>4751</v>
      </c>
      <c r="O765" s="147" t="s">
        <v>4882</v>
      </c>
      <c r="P765" s="147" t="s">
        <v>4883</v>
      </c>
      <c r="Q765" s="147">
        <v>1375488066</v>
      </c>
      <c r="R765" s="147" t="s">
        <v>4884</v>
      </c>
      <c r="S765" s="147" t="s">
        <v>4670</v>
      </c>
      <c r="T765" s="147"/>
      <c r="U765" s="948"/>
      <c r="V765" s="949"/>
    </row>
    <row r="766" spans="1:22" s="950" customFormat="1" ht="24" hidden="1" customHeight="1">
      <c r="A766" s="947"/>
      <c r="B766" s="1591" t="s">
        <v>3845</v>
      </c>
      <c r="C766" s="954" t="s">
        <v>3673</v>
      </c>
      <c r="D766" s="954" t="s">
        <v>3821</v>
      </c>
      <c r="E766" s="955">
        <v>23</v>
      </c>
      <c r="F766" s="147" t="s">
        <v>34</v>
      </c>
      <c r="G766" s="147" t="s">
        <v>32</v>
      </c>
      <c r="H766" s="147" t="s">
        <v>33</v>
      </c>
      <c r="I766" s="147" t="s">
        <v>34</v>
      </c>
      <c r="J766" s="147" t="s">
        <v>34</v>
      </c>
      <c r="K766" s="147" t="s">
        <v>34</v>
      </c>
      <c r="L766" s="343">
        <v>919.68448717948604</v>
      </c>
      <c r="M766" s="343">
        <v>919.68448717948604</v>
      </c>
      <c r="N766" s="147" t="s">
        <v>4751</v>
      </c>
      <c r="O766" s="147" t="s">
        <v>4882</v>
      </c>
      <c r="P766" s="147" t="s">
        <v>4883</v>
      </c>
      <c r="Q766" s="147">
        <v>1375488066</v>
      </c>
      <c r="R766" s="147" t="s">
        <v>4884</v>
      </c>
      <c r="S766" s="147" t="s">
        <v>4670</v>
      </c>
      <c r="T766" s="147"/>
      <c r="U766" s="948"/>
      <c r="V766" s="949"/>
    </row>
    <row r="767" spans="1:22" s="950" customFormat="1" ht="24" hidden="1" customHeight="1">
      <c r="A767" s="947"/>
      <c r="B767" s="1591" t="s">
        <v>3845</v>
      </c>
      <c r="C767" s="954" t="s">
        <v>5218</v>
      </c>
      <c r="D767" s="954" t="s">
        <v>3821</v>
      </c>
      <c r="E767" s="955">
        <v>54</v>
      </c>
      <c r="F767" s="147" t="s">
        <v>34</v>
      </c>
      <c r="G767" s="147" t="s">
        <v>32</v>
      </c>
      <c r="H767" s="147" t="s">
        <v>33</v>
      </c>
      <c r="I767" s="147" t="s">
        <v>34</v>
      </c>
      <c r="J767" s="147" t="s">
        <v>34</v>
      </c>
      <c r="K767" s="147" t="s">
        <v>34</v>
      </c>
      <c r="L767" s="343">
        <v>2555.83</v>
      </c>
      <c r="M767" s="343">
        <v>2555.83</v>
      </c>
      <c r="N767" s="147" t="s">
        <v>4751</v>
      </c>
      <c r="O767" s="147" t="s">
        <v>4882</v>
      </c>
      <c r="P767" s="147" t="s">
        <v>4883</v>
      </c>
      <c r="Q767" s="147">
        <v>1375488066</v>
      </c>
      <c r="R767" s="147" t="s">
        <v>4884</v>
      </c>
      <c r="S767" s="147" t="s">
        <v>4670</v>
      </c>
      <c r="T767" s="147"/>
      <c r="U767" s="948"/>
      <c r="V767" s="949"/>
    </row>
    <row r="768" spans="1:22" s="950" customFormat="1" ht="24" hidden="1" customHeight="1">
      <c r="A768" s="947"/>
      <c r="B768" s="1591" t="s">
        <v>3845</v>
      </c>
      <c r="C768" s="954" t="s">
        <v>5218</v>
      </c>
      <c r="D768" s="954" t="s">
        <v>3821</v>
      </c>
      <c r="E768" s="955">
        <v>30</v>
      </c>
      <c r="F768" s="147" t="s">
        <v>34</v>
      </c>
      <c r="G768" s="147" t="s">
        <v>32</v>
      </c>
      <c r="H768" s="147" t="s">
        <v>33</v>
      </c>
      <c r="I768" s="147" t="s">
        <v>34</v>
      </c>
      <c r="J768" s="147" t="s">
        <v>34</v>
      </c>
      <c r="K768" s="147" t="s">
        <v>34</v>
      </c>
      <c r="L768" s="343">
        <v>1419.9055555555601</v>
      </c>
      <c r="M768" s="343">
        <v>1419.9055555555601</v>
      </c>
      <c r="N768" s="147" t="s">
        <v>4751</v>
      </c>
      <c r="O768" s="147" t="s">
        <v>4882</v>
      </c>
      <c r="P768" s="147" t="s">
        <v>4883</v>
      </c>
      <c r="Q768" s="147">
        <v>1375488066</v>
      </c>
      <c r="R768" s="147" t="s">
        <v>4884</v>
      </c>
      <c r="S768" s="147" t="s">
        <v>4670</v>
      </c>
      <c r="T768" s="147"/>
      <c r="U768" s="948"/>
      <c r="V768" s="949"/>
    </row>
    <row r="769" spans="1:22" s="950" customFormat="1" ht="24" hidden="1" customHeight="1">
      <c r="A769" s="947"/>
      <c r="B769" s="1591" t="s">
        <v>3845</v>
      </c>
      <c r="C769" s="954" t="s">
        <v>5265</v>
      </c>
      <c r="D769" s="954" t="s">
        <v>3821</v>
      </c>
      <c r="E769" s="955">
        <v>15</v>
      </c>
      <c r="F769" s="147" t="s">
        <v>34</v>
      </c>
      <c r="G769" s="147" t="s">
        <v>32</v>
      </c>
      <c r="H769" s="147" t="s">
        <v>33</v>
      </c>
      <c r="I769" s="147" t="s">
        <v>34</v>
      </c>
      <c r="J769" s="147" t="s">
        <v>34</v>
      </c>
      <c r="K769" s="147" t="s">
        <v>34</v>
      </c>
      <c r="L769" s="343">
        <v>922.56637168141503</v>
      </c>
      <c r="M769" s="343">
        <v>922.56637168141503</v>
      </c>
      <c r="N769" s="147" t="s">
        <v>4751</v>
      </c>
      <c r="O769" s="147" t="s">
        <v>4882</v>
      </c>
      <c r="P769" s="147" t="s">
        <v>4883</v>
      </c>
      <c r="Q769" s="147">
        <v>1375488066</v>
      </c>
      <c r="R769" s="147" t="s">
        <v>4884</v>
      </c>
      <c r="S769" s="147" t="s">
        <v>4670</v>
      </c>
      <c r="T769" s="147"/>
      <c r="U769" s="948"/>
      <c r="V769" s="949"/>
    </row>
    <row r="770" spans="1:22" s="950" customFormat="1" ht="24" hidden="1" customHeight="1">
      <c r="A770" s="947"/>
      <c r="B770" s="1591" t="s">
        <v>2807</v>
      </c>
      <c r="C770" s="954" t="s">
        <v>251</v>
      </c>
      <c r="D770" s="954" t="s">
        <v>464</v>
      </c>
      <c r="E770" s="955">
        <v>180</v>
      </c>
      <c r="F770" s="147" t="s">
        <v>34</v>
      </c>
      <c r="G770" s="147" t="s">
        <v>32</v>
      </c>
      <c r="H770" s="147" t="s">
        <v>33</v>
      </c>
      <c r="I770" s="147" t="s">
        <v>34</v>
      </c>
      <c r="J770" s="147" t="s">
        <v>34</v>
      </c>
      <c r="K770" s="147" t="s">
        <v>34</v>
      </c>
      <c r="L770" s="343">
        <v>3106.19469026549</v>
      </c>
      <c r="M770" s="343">
        <v>3106.19469026549</v>
      </c>
      <c r="N770" s="147" t="s">
        <v>4751</v>
      </c>
      <c r="O770" s="147" t="s">
        <v>4882</v>
      </c>
      <c r="P770" s="147" t="s">
        <v>4883</v>
      </c>
      <c r="Q770" s="147">
        <v>1375488066</v>
      </c>
      <c r="R770" s="147" t="s">
        <v>4884</v>
      </c>
      <c r="S770" s="147" t="s">
        <v>4670</v>
      </c>
      <c r="T770" s="147"/>
      <c r="U770" s="948"/>
      <c r="V770" s="949"/>
    </row>
    <row r="771" spans="1:22" s="950" customFormat="1" ht="24" hidden="1" customHeight="1">
      <c r="A771" s="947"/>
      <c r="B771" s="1591" t="s">
        <v>2807</v>
      </c>
      <c r="C771" s="954" t="s">
        <v>3510</v>
      </c>
      <c r="D771" s="954" t="s">
        <v>464</v>
      </c>
      <c r="E771" s="955">
        <v>200</v>
      </c>
      <c r="F771" s="147" t="s">
        <v>34</v>
      </c>
      <c r="G771" s="147" t="s">
        <v>32</v>
      </c>
      <c r="H771" s="147" t="s">
        <v>33</v>
      </c>
      <c r="I771" s="147" t="s">
        <v>34</v>
      </c>
      <c r="J771" s="147" t="s">
        <v>34</v>
      </c>
      <c r="K771" s="147" t="s">
        <v>34</v>
      </c>
      <c r="L771" s="343">
        <v>3097.3449999999998</v>
      </c>
      <c r="M771" s="343">
        <v>3097.3449999999998</v>
      </c>
      <c r="N771" s="147" t="s">
        <v>4751</v>
      </c>
      <c r="O771" s="147" t="s">
        <v>4882</v>
      </c>
      <c r="P771" s="147" t="s">
        <v>4883</v>
      </c>
      <c r="Q771" s="147">
        <v>1375488066</v>
      </c>
      <c r="R771" s="147" t="s">
        <v>4884</v>
      </c>
      <c r="S771" s="147" t="s">
        <v>4670</v>
      </c>
      <c r="T771" s="147"/>
      <c r="U771" s="948"/>
      <c r="V771" s="949"/>
    </row>
    <row r="772" spans="1:22" s="950" customFormat="1" ht="24" hidden="1" customHeight="1">
      <c r="A772" s="947"/>
      <c r="B772" s="1591" t="s">
        <v>3845</v>
      </c>
      <c r="C772" s="954" t="s">
        <v>5265</v>
      </c>
      <c r="D772" s="954" t="s">
        <v>3821</v>
      </c>
      <c r="E772" s="955">
        <v>214</v>
      </c>
      <c r="F772" s="147" t="s">
        <v>34</v>
      </c>
      <c r="G772" s="147" t="s">
        <v>32</v>
      </c>
      <c r="H772" s="147" t="s">
        <v>33</v>
      </c>
      <c r="I772" s="147" t="s">
        <v>34</v>
      </c>
      <c r="J772" s="147" t="s">
        <v>34</v>
      </c>
      <c r="K772" s="147" t="s">
        <v>34</v>
      </c>
      <c r="L772" s="343">
        <v>13161</v>
      </c>
      <c r="M772" s="343">
        <v>13161</v>
      </c>
      <c r="N772" s="147" t="s">
        <v>4751</v>
      </c>
      <c r="O772" s="147" t="s">
        <v>4882</v>
      </c>
      <c r="P772" s="147" t="s">
        <v>4883</v>
      </c>
      <c r="Q772" s="147">
        <v>1375488066</v>
      </c>
      <c r="R772" s="147" t="s">
        <v>4884</v>
      </c>
      <c r="S772" s="147" t="s">
        <v>4670</v>
      </c>
      <c r="T772" s="147"/>
      <c r="U772" s="948"/>
      <c r="V772" s="949"/>
    </row>
    <row r="773" spans="1:22" s="950" customFormat="1" ht="24" hidden="1" customHeight="1">
      <c r="A773" s="947"/>
      <c r="B773" s="1591" t="s">
        <v>5338</v>
      </c>
      <c r="C773" s="954" t="s">
        <v>1343</v>
      </c>
      <c r="D773" s="954" t="s">
        <v>79</v>
      </c>
      <c r="E773" s="955">
        <v>2</v>
      </c>
      <c r="F773" s="147" t="s">
        <v>34</v>
      </c>
      <c r="G773" s="147" t="s">
        <v>32</v>
      </c>
      <c r="H773" s="147" t="s">
        <v>33</v>
      </c>
      <c r="I773" s="147" t="s">
        <v>34</v>
      </c>
      <c r="J773" s="147" t="s">
        <v>34</v>
      </c>
      <c r="K773" s="147" t="s">
        <v>34</v>
      </c>
      <c r="L773" s="343">
        <v>3937.5</v>
      </c>
      <c r="M773" s="343">
        <v>3937.5</v>
      </c>
      <c r="N773" s="147" t="s">
        <v>4751</v>
      </c>
      <c r="O773" s="147" t="s">
        <v>4882</v>
      </c>
      <c r="P773" s="147" t="s">
        <v>4883</v>
      </c>
      <c r="Q773" s="147">
        <v>1375488066</v>
      </c>
      <c r="R773" s="147" t="s">
        <v>4884</v>
      </c>
      <c r="S773" s="147" t="s">
        <v>4670</v>
      </c>
      <c r="T773" s="147"/>
      <c r="U773" s="948"/>
      <c r="V773" s="949"/>
    </row>
    <row r="774" spans="1:22" ht="24" hidden="1" customHeight="1">
      <c r="A774" s="360"/>
      <c r="B774" s="956" t="s">
        <v>5339</v>
      </c>
      <c r="C774" s="956" t="s">
        <v>5340</v>
      </c>
      <c r="D774" s="1283" t="s">
        <v>79</v>
      </c>
      <c r="E774" s="294">
        <v>7</v>
      </c>
      <c r="F774" s="796" t="s">
        <v>34</v>
      </c>
      <c r="G774" s="360" t="s">
        <v>32</v>
      </c>
      <c r="H774" s="360" t="s">
        <v>33</v>
      </c>
      <c r="I774" s="796" t="s">
        <v>6888</v>
      </c>
      <c r="J774" s="796" t="s">
        <v>4770</v>
      </c>
      <c r="K774" s="360" t="s">
        <v>5341</v>
      </c>
      <c r="L774" s="857">
        <v>16990.32</v>
      </c>
      <c r="M774" s="360">
        <v>8495.16</v>
      </c>
      <c r="N774" s="945">
        <v>2020.08</v>
      </c>
      <c r="O774" s="796" t="s">
        <v>5145</v>
      </c>
      <c r="P774" s="793" t="s">
        <v>6887</v>
      </c>
      <c r="Q774" s="846">
        <v>18636810791</v>
      </c>
      <c r="R774" s="793" t="s">
        <v>4772</v>
      </c>
      <c r="S774" s="789" t="s">
        <v>4670</v>
      </c>
      <c r="T774" s="769"/>
      <c r="U774" s="774"/>
      <c r="V774" s="1589"/>
    </row>
    <row r="775" spans="1:22" ht="24" hidden="1" customHeight="1">
      <c r="A775" s="360"/>
      <c r="B775" s="956" t="s">
        <v>5342</v>
      </c>
      <c r="C775" s="956" t="s">
        <v>1530</v>
      </c>
      <c r="D775" s="1283" t="s">
        <v>161</v>
      </c>
      <c r="E775" s="957">
        <v>300</v>
      </c>
      <c r="F775" s="796" t="s">
        <v>34</v>
      </c>
      <c r="G775" s="360" t="s">
        <v>32</v>
      </c>
      <c r="H775" s="360" t="s">
        <v>33</v>
      </c>
      <c r="I775" s="796" t="s">
        <v>6888</v>
      </c>
      <c r="J775" s="796" t="s">
        <v>4770</v>
      </c>
      <c r="K775" s="360" t="s">
        <v>5341</v>
      </c>
      <c r="L775" s="857">
        <v>54175.250000000102</v>
      </c>
      <c r="M775" s="810">
        <v>27087.61</v>
      </c>
      <c r="N775" s="945">
        <v>2020.08</v>
      </c>
      <c r="O775" s="796" t="s">
        <v>5145</v>
      </c>
      <c r="P775" s="793" t="s">
        <v>6887</v>
      </c>
      <c r="Q775" s="846">
        <v>18636810791</v>
      </c>
      <c r="R775" s="793" t="s">
        <v>4772</v>
      </c>
      <c r="S775" s="789" t="s">
        <v>4670</v>
      </c>
      <c r="T775" s="769"/>
      <c r="U775" s="774"/>
      <c r="V775" s="1589"/>
    </row>
    <row r="776" spans="1:22" ht="24" hidden="1" customHeight="1">
      <c r="A776" s="360"/>
      <c r="B776" s="934" t="s">
        <v>5259</v>
      </c>
      <c r="C776" s="934" t="s">
        <v>5343</v>
      </c>
      <c r="D776" s="792" t="s">
        <v>79</v>
      </c>
      <c r="E776" s="294">
        <v>450</v>
      </c>
      <c r="F776" s="796" t="s">
        <v>34</v>
      </c>
      <c r="G776" s="360" t="s">
        <v>32</v>
      </c>
      <c r="H776" s="360" t="s">
        <v>33</v>
      </c>
      <c r="I776" s="796" t="s">
        <v>6888</v>
      </c>
      <c r="J776" s="796" t="s">
        <v>4770</v>
      </c>
      <c r="K776" s="360" t="s">
        <v>5341</v>
      </c>
      <c r="L776" s="857">
        <v>101250</v>
      </c>
      <c r="M776" s="810">
        <v>88593.75</v>
      </c>
      <c r="N776" s="945">
        <v>2020.12</v>
      </c>
      <c r="O776" s="796" t="s">
        <v>5145</v>
      </c>
      <c r="P776" s="793" t="s">
        <v>6887</v>
      </c>
      <c r="Q776" s="846">
        <v>18636810791</v>
      </c>
      <c r="R776" s="793" t="s">
        <v>4772</v>
      </c>
      <c r="S776" s="789" t="s">
        <v>4670</v>
      </c>
      <c r="T776" s="769"/>
      <c r="U776" s="774"/>
      <c r="V776" s="1589"/>
    </row>
    <row r="777" spans="1:22" ht="24" hidden="1" customHeight="1">
      <c r="A777" s="360"/>
      <c r="B777" s="934" t="s">
        <v>1533</v>
      </c>
      <c r="C777" s="934" t="s">
        <v>5275</v>
      </c>
      <c r="D777" s="792" t="s">
        <v>79</v>
      </c>
      <c r="E777" s="294">
        <v>230</v>
      </c>
      <c r="F777" s="796" t="s">
        <v>34</v>
      </c>
      <c r="G777" s="360" t="s">
        <v>32</v>
      </c>
      <c r="H777" s="360" t="s">
        <v>33</v>
      </c>
      <c r="I777" s="796" t="s">
        <v>6888</v>
      </c>
      <c r="J777" s="796" t="s">
        <v>4770</v>
      </c>
      <c r="K777" s="360" t="s">
        <v>5341</v>
      </c>
      <c r="L777" s="857">
        <v>54740</v>
      </c>
      <c r="M777" s="810">
        <v>47897.5</v>
      </c>
      <c r="N777" s="945">
        <v>2020.12</v>
      </c>
      <c r="O777" s="796" t="s">
        <v>5145</v>
      </c>
      <c r="P777" s="793" t="s">
        <v>6887</v>
      </c>
      <c r="Q777" s="846">
        <v>18636810791</v>
      </c>
      <c r="R777" s="793" t="s">
        <v>4772</v>
      </c>
      <c r="S777" s="789" t="s">
        <v>4670</v>
      </c>
      <c r="T777" s="769"/>
      <c r="U777" s="774"/>
      <c r="V777" s="1589"/>
    </row>
    <row r="778" spans="1:22" ht="24" hidden="1" customHeight="1">
      <c r="A778" s="360"/>
      <c r="B778" s="934" t="s">
        <v>5344</v>
      </c>
      <c r="C778" s="934" t="s">
        <v>5345</v>
      </c>
      <c r="D778" s="792" t="s">
        <v>79</v>
      </c>
      <c r="E778" s="294">
        <v>85</v>
      </c>
      <c r="F778" s="796" t="s">
        <v>34</v>
      </c>
      <c r="G778" s="360" t="s">
        <v>32</v>
      </c>
      <c r="H778" s="360" t="s">
        <v>33</v>
      </c>
      <c r="I778" s="796" t="s">
        <v>6888</v>
      </c>
      <c r="J778" s="796" t="s">
        <v>4770</v>
      </c>
      <c r="K778" s="360" t="s">
        <v>5341</v>
      </c>
      <c r="L778" s="857">
        <v>9605</v>
      </c>
      <c r="M778" s="810">
        <v>4802.5</v>
      </c>
      <c r="N778" s="945" t="s">
        <v>7082</v>
      </c>
      <c r="O778" s="796" t="s">
        <v>5145</v>
      </c>
      <c r="P778" s="793" t="s">
        <v>6887</v>
      </c>
      <c r="Q778" s="846">
        <v>18636810791</v>
      </c>
      <c r="R778" s="793" t="s">
        <v>4772</v>
      </c>
      <c r="S778" s="789" t="s">
        <v>4670</v>
      </c>
      <c r="T778" s="769"/>
      <c r="U778" s="774"/>
      <c r="V778" s="1589"/>
    </row>
    <row r="779" spans="1:22" ht="24" hidden="1" customHeight="1">
      <c r="A779" s="360"/>
      <c r="B779" s="792" t="s">
        <v>1412</v>
      </c>
      <c r="C779" s="792" t="s">
        <v>5300</v>
      </c>
      <c r="D779" s="1283" t="s">
        <v>79</v>
      </c>
      <c r="E779" s="957">
        <v>1</v>
      </c>
      <c r="F779" s="796" t="s">
        <v>34</v>
      </c>
      <c r="G779" s="796" t="s">
        <v>32</v>
      </c>
      <c r="H779" s="796" t="s">
        <v>33</v>
      </c>
      <c r="I779" s="796" t="s">
        <v>6888</v>
      </c>
      <c r="J779" s="796" t="s">
        <v>4770</v>
      </c>
      <c r="K779" s="1283" t="s">
        <v>4771</v>
      </c>
      <c r="L779" s="653">
        <v>8427.5249999999996</v>
      </c>
      <c r="M779" s="653">
        <v>6320.6437500000002</v>
      </c>
      <c r="N779" s="945">
        <v>2020.12</v>
      </c>
      <c r="O779" s="796" t="s">
        <v>5145</v>
      </c>
      <c r="P779" s="793" t="s">
        <v>6887</v>
      </c>
      <c r="Q779" s="796">
        <v>15364881177</v>
      </c>
      <c r="R779" s="796" t="s">
        <v>4772</v>
      </c>
      <c r="S779" s="789" t="s">
        <v>4670</v>
      </c>
      <c r="T779" s="769"/>
      <c r="U779" s="774"/>
      <c r="V779" s="1589"/>
    </row>
    <row r="780" spans="1:22" ht="24" customHeight="1">
      <c r="A780" s="360"/>
      <c r="B780" s="956" t="s">
        <v>7083</v>
      </c>
      <c r="C780" s="956" t="s">
        <v>5346</v>
      </c>
      <c r="D780" s="1283" t="s">
        <v>79</v>
      </c>
      <c r="E780" s="957">
        <v>1944</v>
      </c>
      <c r="F780" s="796" t="s">
        <v>34</v>
      </c>
      <c r="G780" s="360" t="s">
        <v>32</v>
      </c>
      <c r="H780" s="360" t="s">
        <v>7076</v>
      </c>
      <c r="I780" s="796" t="s">
        <v>6888</v>
      </c>
      <c r="J780" s="796" t="s">
        <v>4770</v>
      </c>
      <c r="K780" s="360" t="s">
        <v>4771</v>
      </c>
      <c r="L780" s="857">
        <v>52900.884215999999</v>
      </c>
      <c r="M780" s="810">
        <v>39675.663161999997</v>
      </c>
      <c r="N780" s="945">
        <v>2020.12</v>
      </c>
      <c r="O780" s="796" t="s">
        <v>5145</v>
      </c>
      <c r="P780" s="793" t="s">
        <v>6887</v>
      </c>
      <c r="Q780" s="846">
        <v>18636810791</v>
      </c>
      <c r="R780" s="793" t="s">
        <v>4772</v>
      </c>
      <c r="S780" s="789" t="s">
        <v>4670</v>
      </c>
      <c r="T780" s="769"/>
      <c r="U780" s="774"/>
      <c r="V780" s="1589"/>
    </row>
    <row r="781" spans="1:22" ht="24" customHeight="1">
      <c r="A781" s="360"/>
      <c r="B781" s="956" t="s">
        <v>7083</v>
      </c>
      <c r="C781" s="956"/>
      <c r="D781" s="1283" t="s">
        <v>79</v>
      </c>
      <c r="E781" s="957">
        <v>186</v>
      </c>
      <c r="F781" s="796" t="s">
        <v>34</v>
      </c>
      <c r="G781" s="360" t="s">
        <v>32</v>
      </c>
      <c r="H781" s="360" t="s">
        <v>41</v>
      </c>
      <c r="I781" s="796" t="s">
        <v>6888</v>
      </c>
      <c r="J781" s="796" t="s">
        <v>4770</v>
      </c>
      <c r="K781" s="360" t="s">
        <v>4771</v>
      </c>
      <c r="L781" s="857">
        <v>3168.5840280000002</v>
      </c>
      <c r="M781" s="810">
        <v>2376.4380209999999</v>
      </c>
      <c r="N781" s="945">
        <v>2020.12</v>
      </c>
      <c r="O781" s="796" t="s">
        <v>5145</v>
      </c>
      <c r="P781" s="793" t="s">
        <v>6887</v>
      </c>
      <c r="Q781" s="846">
        <v>18636810791</v>
      </c>
      <c r="R781" s="793" t="s">
        <v>4772</v>
      </c>
      <c r="S781" s="789" t="s">
        <v>4670</v>
      </c>
      <c r="T781" s="769"/>
      <c r="U781" s="774"/>
      <c r="V781" s="1589"/>
    </row>
    <row r="782" spans="1:22" ht="24" hidden="1" customHeight="1">
      <c r="A782" s="360"/>
      <c r="B782" s="956" t="s">
        <v>5347</v>
      </c>
      <c r="C782" s="956" t="s">
        <v>5348</v>
      </c>
      <c r="D782" s="1283" t="s">
        <v>4456</v>
      </c>
      <c r="E782" s="957">
        <v>1</v>
      </c>
      <c r="F782" s="796" t="s">
        <v>34</v>
      </c>
      <c r="G782" s="360" t="s">
        <v>32</v>
      </c>
      <c r="H782" s="360" t="s">
        <v>33</v>
      </c>
      <c r="I782" s="796" t="s">
        <v>6888</v>
      </c>
      <c r="J782" s="796" t="s">
        <v>4770</v>
      </c>
      <c r="K782" s="360" t="s">
        <v>4771</v>
      </c>
      <c r="L782" s="857">
        <v>8091.71</v>
      </c>
      <c r="M782" s="810">
        <v>6068.7825000000003</v>
      </c>
      <c r="N782" s="945">
        <v>2020.12</v>
      </c>
      <c r="O782" s="796" t="s">
        <v>5145</v>
      </c>
      <c r="P782" s="793" t="s">
        <v>6887</v>
      </c>
      <c r="Q782" s="846">
        <v>18636810791</v>
      </c>
      <c r="R782" s="793" t="s">
        <v>4772</v>
      </c>
      <c r="S782" s="789" t="s">
        <v>4670</v>
      </c>
      <c r="T782" s="769"/>
      <c r="U782" s="774"/>
      <c r="V782" s="1589"/>
    </row>
    <row r="783" spans="1:22" ht="24" hidden="1" customHeight="1">
      <c r="A783" s="360"/>
      <c r="B783" s="956" t="s">
        <v>5349</v>
      </c>
      <c r="C783" s="956" t="s">
        <v>5348</v>
      </c>
      <c r="D783" s="1283" t="s">
        <v>4456</v>
      </c>
      <c r="E783" s="957">
        <v>1</v>
      </c>
      <c r="F783" s="796" t="s">
        <v>34</v>
      </c>
      <c r="G783" s="360" t="s">
        <v>32</v>
      </c>
      <c r="H783" s="360" t="s">
        <v>33</v>
      </c>
      <c r="I783" s="796" t="s">
        <v>6888</v>
      </c>
      <c r="J783" s="796" t="s">
        <v>4770</v>
      </c>
      <c r="K783" s="360" t="s">
        <v>4771</v>
      </c>
      <c r="L783" s="857">
        <v>8091.71</v>
      </c>
      <c r="M783" s="810">
        <v>6068.7825000000003</v>
      </c>
      <c r="N783" s="945">
        <v>2020.12</v>
      </c>
      <c r="O783" s="796" t="s">
        <v>5145</v>
      </c>
      <c r="P783" s="793" t="s">
        <v>6887</v>
      </c>
      <c r="Q783" s="846">
        <v>18636810791</v>
      </c>
      <c r="R783" s="793" t="s">
        <v>4772</v>
      </c>
      <c r="S783" s="789" t="s">
        <v>4670</v>
      </c>
      <c r="T783" s="769"/>
      <c r="U783" s="774"/>
      <c r="V783" s="1589"/>
    </row>
    <row r="784" spans="1:22" ht="24" hidden="1" customHeight="1">
      <c r="A784" s="360"/>
      <c r="B784" s="956" t="s">
        <v>5350</v>
      </c>
      <c r="C784" s="956" t="s">
        <v>5348</v>
      </c>
      <c r="D784" s="1283" t="s">
        <v>4456</v>
      </c>
      <c r="E784" s="957">
        <v>1</v>
      </c>
      <c r="F784" s="796" t="s">
        <v>34</v>
      </c>
      <c r="G784" s="360" t="s">
        <v>32</v>
      </c>
      <c r="H784" s="360" t="s">
        <v>33</v>
      </c>
      <c r="I784" s="796" t="s">
        <v>6888</v>
      </c>
      <c r="J784" s="796" t="s">
        <v>4770</v>
      </c>
      <c r="K784" s="360" t="s">
        <v>4771</v>
      </c>
      <c r="L784" s="857">
        <v>8091.71</v>
      </c>
      <c r="M784" s="810">
        <v>6068.7825000000003</v>
      </c>
      <c r="N784" s="945">
        <v>2020.12</v>
      </c>
      <c r="O784" s="796" t="s">
        <v>5145</v>
      </c>
      <c r="P784" s="793" t="s">
        <v>6887</v>
      </c>
      <c r="Q784" s="846">
        <v>18636810791</v>
      </c>
      <c r="R784" s="793" t="s">
        <v>4772</v>
      </c>
      <c r="S784" s="789" t="s">
        <v>4670</v>
      </c>
      <c r="T784" s="769"/>
      <c r="U784" s="774"/>
      <c r="V784" s="1589"/>
    </row>
    <row r="785" spans="1:22" ht="24" customHeight="1">
      <c r="A785" s="360"/>
      <c r="B785" s="956" t="s">
        <v>5338</v>
      </c>
      <c r="C785" s="956"/>
      <c r="D785" s="1283" t="s">
        <v>79</v>
      </c>
      <c r="E785" s="360">
        <v>5</v>
      </c>
      <c r="F785" s="796" t="s">
        <v>34</v>
      </c>
      <c r="G785" s="360" t="s">
        <v>32</v>
      </c>
      <c r="H785" s="360" t="s">
        <v>7076</v>
      </c>
      <c r="I785" s="796" t="s">
        <v>6888</v>
      </c>
      <c r="J785" s="796" t="s">
        <v>4770</v>
      </c>
      <c r="K785" s="360" t="s">
        <v>4771</v>
      </c>
      <c r="L785" s="857">
        <v>14985.44</v>
      </c>
      <c r="M785" s="810">
        <v>11239.08</v>
      </c>
      <c r="N785" s="945">
        <v>2020.12</v>
      </c>
      <c r="O785" s="796" t="s">
        <v>5145</v>
      </c>
      <c r="P785" s="793" t="s">
        <v>6887</v>
      </c>
      <c r="Q785" s="846">
        <v>18636810791</v>
      </c>
      <c r="R785" s="793" t="s">
        <v>4772</v>
      </c>
      <c r="S785" s="789" t="s">
        <v>4670</v>
      </c>
      <c r="T785" s="769"/>
      <c r="U785" s="774"/>
      <c r="V785" s="1589"/>
    </row>
    <row r="786" spans="1:22" ht="24" hidden="1" customHeight="1">
      <c r="A786" s="360"/>
      <c r="B786" s="789" t="s">
        <v>1533</v>
      </c>
      <c r="C786" s="789" t="s">
        <v>5351</v>
      </c>
      <c r="D786" s="789" t="s">
        <v>79</v>
      </c>
      <c r="E786" s="789">
        <v>200</v>
      </c>
      <c r="F786" s="789" t="s">
        <v>34</v>
      </c>
      <c r="G786" s="360" t="s">
        <v>32</v>
      </c>
      <c r="H786" s="360" t="s">
        <v>33</v>
      </c>
      <c r="I786" s="796" t="s">
        <v>6888</v>
      </c>
      <c r="J786" s="789" t="s">
        <v>4770</v>
      </c>
      <c r="K786" s="360" t="s">
        <v>5341</v>
      </c>
      <c r="L786" s="857">
        <v>44609.71</v>
      </c>
      <c r="M786" s="922">
        <v>22304.86</v>
      </c>
      <c r="N786" s="945" t="s">
        <v>7084</v>
      </c>
      <c r="O786" s="789" t="s">
        <v>5156</v>
      </c>
      <c r="P786" s="793" t="s">
        <v>6887</v>
      </c>
      <c r="Q786" s="846">
        <v>18636810791</v>
      </c>
      <c r="R786" s="793" t="s">
        <v>5154</v>
      </c>
      <c r="S786" s="796" t="s">
        <v>4670</v>
      </c>
      <c r="T786" s="769"/>
      <c r="U786" s="774"/>
      <c r="V786" s="1589"/>
    </row>
    <row r="787" spans="1:22" ht="24" hidden="1" customHeight="1">
      <c r="A787" s="360"/>
      <c r="B787" s="789" t="s">
        <v>5352</v>
      </c>
      <c r="C787" s="789" t="s">
        <v>1036</v>
      </c>
      <c r="D787" s="789" t="s">
        <v>79</v>
      </c>
      <c r="E787" s="789">
        <v>1</v>
      </c>
      <c r="F787" s="789" t="s">
        <v>34</v>
      </c>
      <c r="G787" s="360" t="s">
        <v>32</v>
      </c>
      <c r="H787" s="360" t="s">
        <v>33</v>
      </c>
      <c r="I787" s="796" t="s">
        <v>6888</v>
      </c>
      <c r="J787" s="789" t="s">
        <v>4770</v>
      </c>
      <c r="K787" s="360" t="s">
        <v>5341</v>
      </c>
      <c r="L787" s="857">
        <v>34616.160000000003</v>
      </c>
      <c r="M787" s="922">
        <v>17308.080000000002</v>
      </c>
      <c r="N787" s="945" t="s">
        <v>7084</v>
      </c>
      <c r="O787" s="789" t="s">
        <v>5156</v>
      </c>
      <c r="P787" s="793" t="s">
        <v>6887</v>
      </c>
      <c r="Q787" s="846">
        <v>18636810791</v>
      </c>
      <c r="R787" s="793" t="s">
        <v>5154</v>
      </c>
      <c r="S787" s="796" t="s">
        <v>4670</v>
      </c>
      <c r="T787" s="769"/>
      <c r="U787" s="774"/>
      <c r="V787" s="1589"/>
    </row>
    <row r="788" spans="1:22" ht="24" hidden="1" customHeight="1">
      <c r="A788" s="360"/>
      <c r="B788" s="789" t="s">
        <v>5256</v>
      </c>
      <c r="C788" s="789" t="s">
        <v>5353</v>
      </c>
      <c r="D788" s="789" t="s">
        <v>79</v>
      </c>
      <c r="E788" s="789">
        <v>100</v>
      </c>
      <c r="F788" s="789" t="s">
        <v>34</v>
      </c>
      <c r="G788" s="360" t="s">
        <v>32</v>
      </c>
      <c r="H788" s="360" t="s">
        <v>33</v>
      </c>
      <c r="I788" s="796" t="s">
        <v>6888</v>
      </c>
      <c r="J788" s="789" t="s">
        <v>4770</v>
      </c>
      <c r="K788" s="360" t="s">
        <v>5341</v>
      </c>
      <c r="L788" s="857">
        <v>12844.66</v>
      </c>
      <c r="M788" s="922">
        <v>6422.33</v>
      </c>
      <c r="N788" s="945">
        <v>2020.06</v>
      </c>
      <c r="O788" s="789" t="s">
        <v>5156</v>
      </c>
      <c r="P788" s="793" t="s">
        <v>6887</v>
      </c>
      <c r="Q788" s="846">
        <v>18636810791</v>
      </c>
      <c r="R788" s="793" t="s">
        <v>5154</v>
      </c>
      <c r="S788" s="796" t="s">
        <v>4670</v>
      </c>
      <c r="T788" s="769"/>
      <c r="U788" s="774"/>
      <c r="V788" s="1589"/>
    </row>
    <row r="789" spans="1:22" ht="24" hidden="1" customHeight="1">
      <c r="A789" s="360"/>
      <c r="B789" s="789" t="s">
        <v>5354</v>
      </c>
      <c r="C789" s="789" t="s">
        <v>5355</v>
      </c>
      <c r="D789" s="789" t="s">
        <v>79</v>
      </c>
      <c r="E789" s="789">
        <v>63</v>
      </c>
      <c r="F789" s="789" t="s">
        <v>34</v>
      </c>
      <c r="G789" s="360" t="s">
        <v>7085</v>
      </c>
      <c r="H789" s="360" t="s">
        <v>6904</v>
      </c>
      <c r="I789" s="796" t="s">
        <v>6888</v>
      </c>
      <c r="J789" s="789" t="s">
        <v>4770</v>
      </c>
      <c r="K789" s="360" t="s">
        <v>5356</v>
      </c>
      <c r="L789" s="857">
        <v>3291.75</v>
      </c>
      <c r="M789" s="958">
        <v>1645.86</v>
      </c>
      <c r="N789" s="945">
        <v>2020.07</v>
      </c>
      <c r="O789" s="789" t="s">
        <v>5156</v>
      </c>
      <c r="P789" s="793" t="s">
        <v>6887</v>
      </c>
      <c r="Q789" s="846">
        <v>18636810791</v>
      </c>
      <c r="R789" s="793" t="s">
        <v>5154</v>
      </c>
      <c r="S789" s="796" t="s">
        <v>4670</v>
      </c>
      <c r="T789" s="769"/>
      <c r="U789" s="774"/>
      <c r="V789" s="1589"/>
    </row>
    <row r="790" spans="1:22" ht="24" hidden="1" customHeight="1">
      <c r="A790" s="789"/>
      <c r="B790" s="792" t="s">
        <v>5357</v>
      </c>
      <c r="C790" s="792" t="s">
        <v>34</v>
      </c>
      <c r="D790" s="792" t="s">
        <v>888</v>
      </c>
      <c r="E790" s="959">
        <v>135</v>
      </c>
      <c r="F790" s="796" t="s">
        <v>34</v>
      </c>
      <c r="G790" s="360" t="s">
        <v>32</v>
      </c>
      <c r="H790" s="360" t="s">
        <v>33</v>
      </c>
      <c r="I790" s="796" t="s">
        <v>6888</v>
      </c>
      <c r="J790" s="796" t="s">
        <v>5001</v>
      </c>
      <c r="K790" s="789" t="s">
        <v>4862</v>
      </c>
      <c r="L790" s="857">
        <v>13500</v>
      </c>
      <c r="M790" s="857">
        <v>6750</v>
      </c>
      <c r="N790" s="945">
        <v>2019.08</v>
      </c>
      <c r="O790" s="796" t="s">
        <v>6991</v>
      </c>
      <c r="P790" s="793" t="s">
        <v>6992</v>
      </c>
      <c r="Q790" s="884" t="s">
        <v>6993</v>
      </c>
      <c r="R790" s="793" t="s">
        <v>5001</v>
      </c>
      <c r="S790" s="789" t="s">
        <v>4670</v>
      </c>
      <c r="T790" s="769"/>
      <c r="U790" s="960"/>
      <c r="V790" s="1589"/>
    </row>
    <row r="791" spans="1:22" ht="24" hidden="1" customHeight="1">
      <c r="A791" s="789"/>
      <c r="B791" s="792" t="s">
        <v>5358</v>
      </c>
      <c r="C791" s="792" t="s">
        <v>34</v>
      </c>
      <c r="D791" s="792" t="s">
        <v>888</v>
      </c>
      <c r="E791" s="959">
        <v>89.45</v>
      </c>
      <c r="F791" s="796" t="s">
        <v>34</v>
      </c>
      <c r="G791" s="360" t="s">
        <v>32</v>
      </c>
      <c r="H791" s="360" t="s">
        <v>33</v>
      </c>
      <c r="I791" s="796" t="s">
        <v>6888</v>
      </c>
      <c r="J791" s="796" t="s">
        <v>5001</v>
      </c>
      <c r="K791" s="789" t="s">
        <v>4862</v>
      </c>
      <c r="L791" s="857">
        <v>10734</v>
      </c>
      <c r="M791" s="857">
        <v>5367</v>
      </c>
      <c r="N791" s="945">
        <v>2019.08</v>
      </c>
      <c r="O791" s="796" t="s">
        <v>6991</v>
      </c>
      <c r="P791" s="793" t="s">
        <v>6992</v>
      </c>
      <c r="Q791" s="884" t="s">
        <v>6993</v>
      </c>
      <c r="R791" s="793" t="s">
        <v>5001</v>
      </c>
      <c r="S791" s="789" t="s">
        <v>4670</v>
      </c>
      <c r="T791" s="769"/>
      <c r="U791" s="960"/>
      <c r="V791" s="1589"/>
    </row>
    <row r="792" spans="1:22" ht="24" hidden="1" customHeight="1">
      <c r="A792" s="789"/>
      <c r="B792" s="792" t="s">
        <v>5359</v>
      </c>
      <c r="C792" s="792" t="s">
        <v>5360</v>
      </c>
      <c r="D792" s="792" t="s">
        <v>888</v>
      </c>
      <c r="E792" s="959">
        <v>12.25</v>
      </c>
      <c r="F792" s="796" t="s">
        <v>34</v>
      </c>
      <c r="G792" s="360" t="s">
        <v>32</v>
      </c>
      <c r="H792" s="360" t="s">
        <v>33</v>
      </c>
      <c r="I792" s="796" t="s">
        <v>6888</v>
      </c>
      <c r="J792" s="796" t="s">
        <v>5001</v>
      </c>
      <c r="K792" s="789" t="s">
        <v>4862</v>
      </c>
      <c r="L792" s="857">
        <v>3062.5</v>
      </c>
      <c r="M792" s="857">
        <v>0</v>
      </c>
      <c r="N792" s="945">
        <v>2019.08</v>
      </c>
      <c r="O792" s="796" t="s">
        <v>6991</v>
      </c>
      <c r="P792" s="793" t="s">
        <v>6992</v>
      </c>
      <c r="Q792" s="884" t="s">
        <v>6993</v>
      </c>
      <c r="R792" s="793" t="s">
        <v>5001</v>
      </c>
      <c r="S792" s="789" t="s">
        <v>4670</v>
      </c>
      <c r="T792" s="769"/>
      <c r="U792" s="960"/>
      <c r="V792" s="1589"/>
    </row>
    <row r="793" spans="1:22" ht="24" hidden="1" customHeight="1">
      <c r="A793" s="789"/>
      <c r="B793" s="792" t="s">
        <v>5361</v>
      </c>
      <c r="C793" s="792" t="s">
        <v>34</v>
      </c>
      <c r="D793" s="792" t="s">
        <v>888</v>
      </c>
      <c r="E793" s="959">
        <v>360</v>
      </c>
      <c r="F793" s="796" t="s">
        <v>34</v>
      </c>
      <c r="G793" s="360" t="s">
        <v>32</v>
      </c>
      <c r="H793" s="360" t="s">
        <v>33</v>
      </c>
      <c r="I793" s="796" t="s">
        <v>6888</v>
      </c>
      <c r="J793" s="796" t="s">
        <v>5001</v>
      </c>
      <c r="K793" s="789" t="s">
        <v>4862</v>
      </c>
      <c r="L793" s="857">
        <v>86400</v>
      </c>
      <c r="M793" s="857">
        <v>43200</v>
      </c>
      <c r="N793" s="945">
        <v>2019.08</v>
      </c>
      <c r="O793" s="796" t="s">
        <v>6991</v>
      </c>
      <c r="P793" s="793" t="s">
        <v>6992</v>
      </c>
      <c r="Q793" s="884" t="s">
        <v>6993</v>
      </c>
      <c r="R793" s="793" t="s">
        <v>5001</v>
      </c>
      <c r="S793" s="789" t="s">
        <v>4670</v>
      </c>
      <c r="T793" s="769"/>
      <c r="U793" s="960"/>
      <c r="V793" s="1589"/>
    </row>
    <row r="794" spans="1:22" ht="24" hidden="1" customHeight="1">
      <c r="A794" s="789"/>
      <c r="B794" s="792" t="s">
        <v>5362</v>
      </c>
      <c r="C794" s="792" t="s">
        <v>34</v>
      </c>
      <c r="D794" s="792" t="s">
        <v>131</v>
      </c>
      <c r="E794" s="959">
        <v>20</v>
      </c>
      <c r="F794" s="796" t="s">
        <v>34</v>
      </c>
      <c r="G794" s="360" t="s">
        <v>32</v>
      </c>
      <c r="H794" s="360" t="s">
        <v>33</v>
      </c>
      <c r="I794" s="796" t="s">
        <v>6888</v>
      </c>
      <c r="J794" s="796" t="s">
        <v>5001</v>
      </c>
      <c r="K794" s="789" t="s">
        <v>4862</v>
      </c>
      <c r="L794" s="857">
        <v>7000</v>
      </c>
      <c r="M794" s="857">
        <v>0</v>
      </c>
      <c r="N794" s="945">
        <v>2019.08</v>
      </c>
      <c r="O794" s="796" t="s">
        <v>6991</v>
      </c>
      <c r="P794" s="793" t="s">
        <v>6992</v>
      </c>
      <c r="Q794" s="884" t="s">
        <v>6993</v>
      </c>
      <c r="R794" s="793" t="s">
        <v>5001</v>
      </c>
      <c r="S794" s="789" t="s">
        <v>4670</v>
      </c>
      <c r="T794" s="769"/>
      <c r="U794" s="960"/>
      <c r="V794" s="1589"/>
    </row>
    <row r="795" spans="1:22" ht="24" hidden="1" customHeight="1">
      <c r="A795" s="789"/>
      <c r="B795" s="792" t="s">
        <v>5362</v>
      </c>
      <c r="C795" s="792" t="s">
        <v>34</v>
      </c>
      <c r="D795" s="792" t="s">
        <v>131</v>
      </c>
      <c r="E795" s="959">
        <v>20</v>
      </c>
      <c r="F795" s="796" t="s">
        <v>34</v>
      </c>
      <c r="G795" s="360" t="s">
        <v>32</v>
      </c>
      <c r="H795" s="360" t="s">
        <v>33</v>
      </c>
      <c r="I795" s="796" t="s">
        <v>6888</v>
      </c>
      <c r="J795" s="796" t="s">
        <v>5001</v>
      </c>
      <c r="K795" s="789" t="s">
        <v>4862</v>
      </c>
      <c r="L795" s="857">
        <v>2300</v>
      </c>
      <c r="M795" s="857">
        <v>0</v>
      </c>
      <c r="N795" s="945">
        <v>2019.08</v>
      </c>
      <c r="O795" s="796" t="s">
        <v>6991</v>
      </c>
      <c r="P795" s="793" t="s">
        <v>6992</v>
      </c>
      <c r="Q795" s="884" t="s">
        <v>6993</v>
      </c>
      <c r="R795" s="793" t="s">
        <v>5001</v>
      </c>
      <c r="S795" s="789" t="s">
        <v>4670</v>
      </c>
      <c r="T795" s="769"/>
      <c r="U795" s="960"/>
      <c r="V795" s="1589"/>
    </row>
    <row r="796" spans="1:22" ht="24" hidden="1" customHeight="1">
      <c r="A796" s="789"/>
      <c r="B796" s="792" t="s">
        <v>514</v>
      </c>
      <c r="C796" s="792" t="s">
        <v>5363</v>
      </c>
      <c r="D796" s="792" t="s">
        <v>888</v>
      </c>
      <c r="E796" s="959">
        <v>12</v>
      </c>
      <c r="F796" s="796" t="s">
        <v>34</v>
      </c>
      <c r="G796" s="360" t="s">
        <v>32</v>
      </c>
      <c r="H796" s="360" t="s">
        <v>33</v>
      </c>
      <c r="I796" s="796" t="s">
        <v>6888</v>
      </c>
      <c r="J796" s="796" t="s">
        <v>5001</v>
      </c>
      <c r="K796" s="789" t="s">
        <v>4862</v>
      </c>
      <c r="L796" s="857">
        <v>4800</v>
      </c>
      <c r="M796" s="857">
        <v>0</v>
      </c>
      <c r="N796" s="945">
        <v>2019.08</v>
      </c>
      <c r="O796" s="796" t="s">
        <v>6991</v>
      </c>
      <c r="P796" s="793" t="s">
        <v>6992</v>
      </c>
      <c r="Q796" s="884" t="s">
        <v>6993</v>
      </c>
      <c r="R796" s="793" t="s">
        <v>5001</v>
      </c>
      <c r="S796" s="789" t="s">
        <v>4670</v>
      </c>
      <c r="T796" s="769"/>
      <c r="U796" s="960"/>
      <c r="V796" s="1589"/>
    </row>
    <row r="797" spans="1:22" ht="24" hidden="1" customHeight="1">
      <c r="A797" s="789"/>
      <c r="B797" s="792" t="s">
        <v>5364</v>
      </c>
      <c r="C797" s="792" t="s">
        <v>34</v>
      </c>
      <c r="D797" s="792" t="s">
        <v>888</v>
      </c>
      <c r="E797" s="959">
        <v>120</v>
      </c>
      <c r="F797" s="796" t="s">
        <v>34</v>
      </c>
      <c r="G797" s="360" t="s">
        <v>32</v>
      </c>
      <c r="H797" s="360" t="s">
        <v>33</v>
      </c>
      <c r="I797" s="796" t="s">
        <v>6888</v>
      </c>
      <c r="J797" s="796" t="s">
        <v>5001</v>
      </c>
      <c r="K797" s="789" t="s">
        <v>4862</v>
      </c>
      <c r="L797" s="857">
        <v>39600</v>
      </c>
      <c r="M797" s="857">
        <v>19800</v>
      </c>
      <c r="N797" s="945">
        <v>2019.08</v>
      </c>
      <c r="O797" s="796" t="s">
        <v>6991</v>
      </c>
      <c r="P797" s="793" t="s">
        <v>6992</v>
      </c>
      <c r="Q797" s="884" t="s">
        <v>6993</v>
      </c>
      <c r="R797" s="793" t="s">
        <v>5001</v>
      </c>
      <c r="S797" s="789" t="s">
        <v>4670</v>
      </c>
      <c r="T797" s="769"/>
      <c r="U797" s="960"/>
      <c r="V797" s="1589"/>
    </row>
    <row r="798" spans="1:22" ht="24" hidden="1" customHeight="1">
      <c r="A798" s="789"/>
      <c r="B798" s="792" t="s">
        <v>5365</v>
      </c>
      <c r="C798" s="792" t="s">
        <v>34</v>
      </c>
      <c r="D798" s="792" t="s">
        <v>888</v>
      </c>
      <c r="E798" s="959">
        <v>21.25</v>
      </c>
      <c r="F798" s="796" t="s">
        <v>34</v>
      </c>
      <c r="G798" s="360" t="s">
        <v>32</v>
      </c>
      <c r="H798" s="360" t="s">
        <v>33</v>
      </c>
      <c r="I798" s="796" t="s">
        <v>6888</v>
      </c>
      <c r="J798" s="796" t="s">
        <v>5001</v>
      </c>
      <c r="K798" s="789" t="s">
        <v>4862</v>
      </c>
      <c r="L798" s="857">
        <v>6375</v>
      </c>
      <c r="M798" s="857">
        <v>3187.5</v>
      </c>
      <c r="N798" s="945">
        <v>2019.08</v>
      </c>
      <c r="O798" s="796" t="s">
        <v>6991</v>
      </c>
      <c r="P798" s="793" t="s">
        <v>6992</v>
      </c>
      <c r="Q798" s="884" t="s">
        <v>6993</v>
      </c>
      <c r="R798" s="793" t="s">
        <v>5001</v>
      </c>
      <c r="S798" s="789" t="s">
        <v>4670</v>
      </c>
      <c r="T798" s="769"/>
      <c r="U798" s="960"/>
      <c r="V798" s="1589"/>
    </row>
    <row r="799" spans="1:22" ht="24" hidden="1" customHeight="1">
      <c r="A799" s="789"/>
      <c r="B799" s="792" t="s">
        <v>5366</v>
      </c>
      <c r="C799" s="792" t="s">
        <v>34</v>
      </c>
      <c r="D799" s="792" t="s">
        <v>888</v>
      </c>
      <c r="E799" s="959">
        <v>218.75</v>
      </c>
      <c r="F799" s="796" t="s">
        <v>34</v>
      </c>
      <c r="G799" s="360" t="s">
        <v>32</v>
      </c>
      <c r="H799" s="360" t="s">
        <v>33</v>
      </c>
      <c r="I799" s="796" t="s">
        <v>6888</v>
      </c>
      <c r="J799" s="796" t="s">
        <v>5001</v>
      </c>
      <c r="K799" s="789" t="s">
        <v>4862</v>
      </c>
      <c r="L799" s="857">
        <v>21875</v>
      </c>
      <c r="M799" s="857">
        <v>10937.5</v>
      </c>
      <c r="N799" s="945">
        <v>2019.08</v>
      </c>
      <c r="O799" s="796" t="s">
        <v>6991</v>
      </c>
      <c r="P799" s="793" t="s">
        <v>6992</v>
      </c>
      <c r="Q799" s="884" t="s">
        <v>6993</v>
      </c>
      <c r="R799" s="793" t="s">
        <v>5001</v>
      </c>
      <c r="S799" s="789" t="s">
        <v>4670</v>
      </c>
      <c r="T799" s="769"/>
      <c r="U799" s="960"/>
      <c r="V799" s="1589"/>
    </row>
    <row r="800" spans="1:22" ht="24" hidden="1" customHeight="1">
      <c r="A800" s="789"/>
      <c r="B800" s="792" t="s">
        <v>5367</v>
      </c>
      <c r="C800" s="792" t="s">
        <v>34</v>
      </c>
      <c r="D800" s="792" t="s">
        <v>888</v>
      </c>
      <c r="E800" s="959">
        <v>82.78</v>
      </c>
      <c r="F800" s="796" t="s">
        <v>34</v>
      </c>
      <c r="G800" s="360" t="s">
        <v>32</v>
      </c>
      <c r="H800" s="360" t="s">
        <v>33</v>
      </c>
      <c r="I800" s="796" t="s">
        <v>6888</v>
      </c>
      <c r="J800" s="796" t="s">
        <v>5001</v>
      </c>
      <c r="K800" s="789" t="s">
        <v>4862</v>
      </c>
      <c r="L800" s="857">
        <v>8278</v>
      </c>
      <c r="M800" s="857">
        <v>4139</v>
      </c>
      <c r="N800" s="945">
        <v>2019.08</v>
      </c>
      <c r="O800" s="796" t="s">
        <v>6991</v>
      </c>
      <c r="P800" s="793" t="s">
        <v>6992</v>
      </c>
      <c r="Q800" s="884" t="s">
        <v>6993</v>
      </c>
      <c r="R800" s="793" t="s">
        <v>5001</v>
      </c>
      <c r="S800" s="789" t="s">
        <v>4670</v>
      </c>
      <c r="T800" s="769"/>
      <c r="U800" s="960"/>
      <c r="V800" s="1589"/>
    </row>
    <row r="801" spans="1:22" ht="24" hidden="1" customHeight="1">
      <c r="A801" s="789"/>
      <c r="B801" s="792" t="s">
        <v>5368</v>
      </c>
      <c r="C801" s="792" t="s">
        <v>5369</v>
      </c>
      <c r="D801" s="792" t="s">
        <v>888</v>
      </c>
      <c r="E801" s="959">
        <v>78.75</v>
      </c>
      <c r="F801" s="796" t="s">
        <v>34</v>
      </c>
      <c r="G801" s="360" t="s">
        <v>32</v>
      </c>
      <c r="H801" s="360" t="s">
        <v>33</v>
      </c>
      <c r="I801" s="796" t="s">
        <v>6888</v>
      </c>
      <c r="J801" s="796" t="s">
        <v>5001</v>
      </c>
      <c r="K801" s="789" t="s">
        <v>4862</v>
      </c>
      <c r="L801" s="857">
        <v>19687.5</v>
      </c>
      <c r="M801" s="857">
        <v>0</v>
      </c>
      <c r="N801" s="945">
        <v>2019.08</v>
      </c>
      <c r="O801" s="796" t="s">
        <v>6991</v>
      </c>
      <c r="P801" s="793" t="s">
        <v>6992</v>
      </c>
      <c r="Q801" s="884" t="s">
        <v>6993</v>
      </c>
      <c r="R801" s="793" t="s">
        <v>5001</v>
      </c>
      <c r="S801" s="789" t="s">
        <v>4670</v>
      </c>
      <c r="T801" s="769"/>
      <c r="U801" s="960"/>
      <c r="V801" s="1589"/>
    </row>
    <row r="802" spans="1:22" ht="24" hidden="1" customHeight="1">
      <c r="A802" s="789"/>
      <c r="B802" s="792" t="s">
        <v>5370</v>
      </c>
      <c r="C802" s="792" t="s">
        <v>5371</v>
      </c>
      <c r="D802" s="792" t="s">
        <v>161</v>
      </c>
      <c r="E802" s="959">
        <v>480</v>
      </c>
      <c r="F802" s="796" t="s">
        <v>34</v>
      </c>
      <c r="G802" s="360" t="s">
        <v>32</v>
      </c>
      <c r="H802" s="360" t="s">
        <v>33</v>
      </c>
      <c r="I802" s="796" t="s">
        <v>6888</v>
      </c>
      <c r="J802" s="796" t="s">
        <v>5001</v>
      </c>
      <c r="K802" s="789" t="s">
        <v>4862</v>
      </c>
      <c r="L802" s="857">
        <v>52800</v>
      </c>
      <c r="M802" s="857">
        <v>26400</v>
      </c>
      <c r="N802" s="945">
        <v>2019.08</v>
      </c>
      <c r="O802" s="796" t="s">
        <v>6991</v>
      </c>
      <c r="P802" s="793" t="s">
        <v>6992</v>
      </c>
      <c r="Q802" s="884" t="s">
        <v>6993</v>
      </c>
      <c r="R802" s="793" t="s">
        <v>5001</v>
      </c>
      <c r="S802" s="789" t="s">
        <v>4670</v>
      </c>
      <c r="T802" s="769"/>
      <c r="U802" s="960"/>
      <c r="V802" s="1589"/>
    </row>
    <row r="803" spans="1:22" ht="24" hidden="1" customHeight="1">
      <c r="A803" s="789"/>
      <c r="B803" s="792" t="s">
        <v>5245</v>
      </c>
      <c r="C803" s="792" t="s">
        <v>34</v>
      </c>
      <c r="D803" s="792" t="s">
        <v>888</v>
      </c>
      <c r="E803" s="959">
        <v>334</v>
      </c>
      <c r="F803" s="796" t="s">
        <v>34</v>
      </c>
      <c r="G803" s="360" t="s">
        <v>32</v>
      </c>
      <c r="H803" s="360" t="s">
        <v>33</v>
      </c>
      <c r="I803" s="796" t="s">
        <v>6888</v>
      </c>
      <c r="J803" s="796" t="s">
        <v>5001</v>
      </c>
      <c r="K803" s="789" t="s">
        <v>4862</v>
      </c>
      <c r="L803" s="857">
        <v>50100</v>
      </c>
      <c r="M803" s="857">
        <v>25050</v>
      </c>
      <c r="N803" s="945">
        <v>2019.08</v>
      </c>
      <c r="O803" s="796" t="s">
        <v>6991</v>
      </c>
      <c r="P803" s="793" t="s">
        <v>6992</v>
      </c>
      <c r="Q803" s="884" t="s">
        <v>6993</v>
      </c>
      <c r="R803" s="793" t="s">
        <v>5001</v>
      </c>
      <c r="S803" s="789" t="s">
        <v>4670</v>
      </c>
      <c r="T803" s="769"/>
      <c r="U803" s="960"/>
      <c r="V803" s="1589"/>
    </row>
    <row r="804" spans="1:22" ht="24" hidden="1" customHeight="1">
      <c r="A804" s="789"/>
      <c r="B804" s="792" t="s">
        <v>5372</v>
      </c>
      <c r="C804" s="792" t="s">
        <v>34</v>
      </c>
      <c r="D804" s="792" t="s">
        <v>1165</v>
      </c>
      <c r="E804" s="959">
        <v>1</v>
      </c>
      <c r="F804" s="796" t="s">
        <v>34</v>
      </c>
      <c r="G804" s="360" t="s">
        <v>32</v>
      </c>
      <c r="H804" s="360" t="s">
        <v>33</v>
      </c>
      <c r="I804" s="796" t="s">
        <v>6888</v>
      </c>
      <c r="J804" s="796" t="s">
        <v>5001</v>
      </c>
      <c r="K804" s="789" t="s">
        <v>4774</v>
      </c>
      <c r="L804" s="857">
        <v>21238.938053097299</v>
      </c>
      <c r="M804" s="857">
        <v>10619.469026548601</v>
      </c>
      <c r="N804" s="945">
        <v>2019.08</v>
      </c>
      <c r="O804" s="796" t="s">
        <v>6991</v>
      </c>
      <c r="P804" s="793" t="s">
        <v>6992</v>
      </c>
      <c r="Q804" s="884" t="s">
        <v>6993</v>
      </c>
      <c r="R804" s="793" t="s">
        <v>5001</v>
      </c>
      <c r="S804" s="789" t="s">
        <v>4670</v>
      </c>
      <c r="T804" s="769"/>
      <c r="U804" s="960"/>
      <c r="V804" s="1589"/>
    </row>
    <row r="805" spans="1:22" ht="24" hidden="1" customHeight="1">
      <c r="A805" s="789"/>
      <c r="B805" s="792" t="s">
        <v>5373</v>
      </c>
      <c r="C805" s="792" t="s">
        <v>34</v>
      </c>
      <c r="D805" s="792" t="s">
        <v>888</v>
      </c>
      <c r="E805" s="959">
        <v>842.6</v>
      </c>
      <c r="F805" s="796" t="s">
        <v>34</v>
      </c>
      <c r="G805" s="360" t="s">
        <v>32</v>
      </c>
      <c r="H805" s="360" t="s">
        <v>33</v>
      </c>
      <c r="I805" s="796" t="s">
        <v>6888</v>
      </c>
      <c r="J805" s="796" t="s">
        <v>5001</v>
      </c>
      <c r="K805" s="789" t="s">
        <v>5106</v>
      </c>
      <c r="L805" s="857">
        <v>59653.097345132803</v>
      </c>
      <c r="M805" s="857">
        <v>31079.5833659645</v>
      </c>
      <c r="N805" s="945">
        <v>2019.08</v>
      </c>
      <c r="O805" s="796" t="s">
        <v>6991</v>
      </c>
      <c r="P805" s="793" t="s">
        <v>6992</v>
      </c>
      <c r="Q805" s="884" t="s">
        <v>6993</v>
      </c>
      <c r="R805" s="793" t="s">
        <v>5001</v>
      </c>
      <c r="S805" s="789" t="s">
        <v>4670</v>
      </c>
      <c r="T805" s="769"/>
      <c r="U805" s="960"/>
      <c r="V805" s="1589"/>
    </row>
    <row r="806" spans="1:22" ht="24" customHeight="1">
      <c r="A806" s="789"/>
      <c r="B806" s="789" t="s">
        <v>1412</v>
      </c>
      <c r="C806" s="789" t="s">
        <v>5374</v>
      </c>
      <c r="D806" s="956" t="s">
        <v>888</v>
      </c>
      <c r="E806" s="789">
        <v>120</v>
      </c>
      <c r="F806" s="796" t="s">
        <v>34</v>
      </c>
      <c r="G806" s="360" t="s">
        <v>32</v>
      </c>
      <c r="H806" s="360" t="s">
        <v>7076</v>
      </c>
      <c r="I806" s="796" t="s">
        <v>6888</v>
      </c>
      <c r="J806" s="796" t="s">
        <v>5001</v>
      </c>
      <c r="K806" s="789" t="s">
        <v>4862</v>
      </c>
      <c r="L806" s="857">
        <v>26400</v>
      </c>
      <c r="M806" s="857">
        <v>13200</v>
      </c>
      <c r="N806" s="945" t="s">
        <v>7084</v>
      </c>
      <c r="O806" s="796" t="s">
        <v>6991</v>
      </c>
      <c r="P806" s="793" t="s">
        <v>6992</v>
      </c>
      <c r="Q806" s="884" t="s">
        <v>6993</v>
      </c>
      <c r="R806" s="793" t="s">
        <v>5001</v>
      </c>
      <c r="S806" s="789" t="s">
        <v>4670</v>
      </c>
      <c r="T806" s="769"/>
      <c r="U806" s="960"/>
      <c r="V806" s="1589"/>
    </row>
    <row r="807" spans="1:22" ht="24" hidden="1" customHeight="1">
      <c r="A807" s="789"/>
      <c r="B807" s="789" t="s">
        <v>5299</v>
      </c>
      <c r="C807" s="789" t="s">
        <v>5375</v>
      </c>
      <c r="D807" s="956" t="s">
        <v>888</v>
      </c>
      <c r="E807" s="789">
        <v>36</v>
      </c>
      <c r="F807" s="796" t="s">
        <v>34</v>
      </c>
      <c r="G807" s="360" t="s">
        <v>32</v>
      </c>
      <c r="H807" s="360" t="s">
        <v>33</v>
      </c>
      <c r="I807" s="796" t="s">
        <v>6888</v>
      </c>
      <c r="J807" s="796" t="s">
        <v>5001</v>
      </c>
      <c r="K807" s="789" t="s">
        <v>4862</v>
      </c>
      <c r="L807" s="857">
        <v>7920</v>
      </c>
      <c r="M807" s="857">
        <v>3960</v>
      </c>
      <c r="N807" s="945" t="s">
        <v>7084</v>
      </c>
      <c r="O807" s="796" t="s">
        <v>6991</v>
      </c>
      <c r="P807" s="793" t="s">
        <v>6992</v>
      </c>
      <c r="Q807" s="884" t="s">
        <v>6993</v>
      </c>
      <c r="R807" s="793" t="s">
        <v>5001</v>
      </c>
      <c r="S807" s="789" t="s">
        <v>4670</v>
      </c>
      <c r="T807" s="769"/>
      <c r="U807" s="960"/>
      <c r="V807" s="1589"/>
    </row>
    <row r="808" spans="1:22" ht="24" customHeight="1">
      <c r="A808" s="789"/>
      <c r="B808" s="956" t="s">
        <v>2815</v>
      </c>
      <c r="C808" s="789" t="s">
        <v>5376</v>
      </c>
      <c r="D808" s="956" t="s">
        <v>161</v>
      </c>
      <c r="E808" s="789">
        <v>24</v>
      </c>
      <c r="F808" s="796" t="s">
        <v>34</v>
      </c>
      <c r="G808" s="360" t="s">
        <v>32</v>
      </c>
      <c r="H808" s="360" t="s">
        <v>7076</v>
      </c>
      <c r="I808" s="796" t="s">
        <v>6888</v>
      </c>
      <c r="J808" s="796" t="s">
        <v>5001</v>
      </c>
      <c r="K808" s="789" t="s">
        <v>4862</v>
      </c>
      <c r="L808" s="857">
        <v>55200</v>
      </c>
      <c r="M808" s="857">
        <v>27600</v>
      </c>
      <c r="N808" s="945" t="s">
        <v>7084</v>
      </c>
      <c r="O808" s="796" t="s">
        <v>6991</v>
      </c>
      <c r="P808" s="793" t="s">
        <v>6992</v>
      </c>
      <c r="Q808" s="884" t="s">
        <v>6993</v>
      </c>
      <c r="R808" s="793" t="s">
        <v>5001</v>
      </c>
      <c r="S808" s="789" t="s">
        <v>4670</v>
      </c>
      <c r="T808" s="769"/>
      <c r="U808" s="960"/>
      <c r="V808" s="1589"/>
    </row>
    <row r="809" spans="1:22" ht="24" hidden="1" customHeight="1">
      <c r="A809" s="789"/>
      <c r="B809" s="956" t="s">
        <v>5377</v>
      </c>
      <c r="C809" s="789" t="s">
        <v>5378</v>
      </c>
      <c r="D809" s="956" t="s">
        <v>888</v>
      </c>
      <c r="E809" s="789">
        <v>639</v>
      </c>
      <c r="F809" s="796" t="s">
        <v>34</v>
      </c>
      <c r="G809" s="360" t="s">
        <v>32</v>
      </c>
      <c r="H809" s="360" t="s">
        <v>33</v>
      </c>
      <c r="I809" s="796" t="s">
        <v>6888</v>
      </c>
      <c r="J809" s="796" t="s">
        <v>5001</v>
      </c>
      <c r="K809" s="789" t="s">
        <v>4862</v>
      </c>
      <c r="L809" s="857">
        <v>153360</v>
      </c>
      <c r="M809" s="857">
        <v>76680</v>
      </c>
      <c r="N809" s="945" t="s">
        <v>7084</v>
      </c>
      <c r="O809" s="796" t="s">
        <v>6991</v>
      </c>
      <c r="P809" s="793" t="s">
        <v>6992</v>
      </c>
      <c r="Q809" s="884" t="s">
        <v>6993</v>
      </c>
      <c r="R809" s="793" t="s">
        <v>5001</v>
      </c>
      <c r="S809" s="789" t="s">
        <v>4670</v>
      </c>
      <c r="T809" s="769"/>
      <c r="U809" s="960"/>
      <c r="V809" s="1589"/>
    </row>
    <row r="810" spans="1:22" ht="24" hidden="1" customHeight="1">
      <c r="A810" s="789"/>
      <c r="B810" s="956" t="s">
        <v>5379</v>
      </c>
      <c r="C810" s="956" t="s">
        <v>5380</v>
      </c>
      <c r="D810" s="956" t="s">
        <v>888</v>
      </c>
      <c r="E810" s="789">
        <v>232</v>
      </c>
      <c r="F810" s="796" t="s">
        <v>34</v>
      </c>
      <c r="G810" s="360" t="s">
        <v>32</v>
      </c>
      <c r="H810" s="360" t="s">
        <v>33</v>
      </c>
      <c r="I810" s="796" t="s">
        <v>6888</v>
      </c>
      <c r="J810" s="796" t="s">
        <v>5001</v>
      </c>
      <c r="K810" s="789" t="s">
        <v>4862</v>
      </c>
      <c r="L810" s="857">
        <v>34800</v>
      </c>
      <c r="M810" s="857">
        <v>17400</v>
      </c>
      <c r="N810" s="945" t="s">
        <v>7084</v>
      </c>
      <c r="O810" s="796" t="s">
        <v>6991</v>
      </c>
      <c r="P810" s="793" t="s">
        <v>6992</v>
      </c>
      <c r="Q810" s="884" t="s">
        <v>6993</v>
      </c>
      <c r="R810" s="793" t="s">
        <v>5001</v>
      </c>
      <c r="S810" s="789" t="s">
        <v>4670</v>
      </c>
      <c r="T810" s="769"/>
      <c r="U810" s="960"/>
      <c r="V810" s="1589"/>
    </row>
    <row r="811" spans="1:22" ht="24" hidden="1" customHeight="1">
      <c r="A811" s="789"/>
      <c r="B811" s="956" t="s">
        <v>5352</v>
      </c>
      <c r="C811" s="934" t="s">
        <v>5381</v>
      </c>
      <c r="D811" s="956" t="s">
        <v>161</v>
      </c>
      <c r="E811" s="934">
        <v>63</v>
      </c>
      <c r="F811" s="796" t="s">
        <v>34</v>
      </c>
      <c r="G811" s="360" t="s">
        <v>32</v>
      </c>
      <c r="H811" s="360" t="s">
        <v>33</v>
      </c>
      <c r="I811" s="796" t="s">
        <v>6888</v>
      </c>
      <c r="J811" s="796" t="s">
        <v>5001</v>
      </c>
      <c r="K811" s="789" t="s">
        <v>4862</v>
      </c>
      <c r="L811" s="857">
        <v>13860</v>
      </c>
      <c r="M811" s="857">
        <v>6930</v>
      </c>
      <c r="N811" s="945" t="s">
        <v>7084</v>
      </c>
      <c r="O811" s="796" t="s">
        <v>6991</v>
      </c>
      <c r="P811" s="793" t="s">
        <v>6992</v>
      </c>
      <c r="Q811" s="884" t="s">
        <v>6993</v>
      </c>
      <c r="R811" s="793" t="s">
        <v>5001</v>
      </c>
      <c r="S811" s="789" t="s">
        <v>4670</v>
      </c>
      <c r="T811" s="769"/>
      <c r="U811" s="960"/>
      <c r="V811" s="1589"/>
    </row>
    <row r="812" spans="1:22" ht="24" hidden="1" customHeight="1">
      <c r="A812" s="789"/>
      <c r="B812" s="934" t="s">
        <v>5382</v>
      </c>
      <c r="C812" s="934" t="s">
        <v>5383</v>
      </c>
      <c r="D812" s="934" t="s">
        <v>79</v>
      </c>
      <c r="E812" s="934">
        <v>2</v>
      </c>
      <c r="F812" s="796" t="s">
        <v>34</v>
      </c>
      <c r="G812" s="360" t="s">
        <v>32</v>
      </c>
      <c r="H812" s="360" t="s">
        <v>33</v>
      </c>
      <c r="I812" s="796" t="s">
        <v>6888</v>
      </c>
      <c r="J812" s="796" t="s">
        <v>5001</v>
      </c>
      <c r="K812" s="789" t="s">
        <v>4862</v>
      </c>
      <c r="L812" s="857">
        <v>13200</v>
      </c>
      <c r="M812" s="857">
        <v>6600</v>
      </c>
      <c r="N812" s="945">
        <v>2020.03</v>
      </c>
      <c r="O812" s="796" t="s">
        <v>6991</v>
      </c>
      <c r="P812" s="793" t="s">
        <v>6992</v>
      </c>
      <c r="Q812" s="884" t="s">
        <v>6993</v>
      </c>
      <c r="R812" s="793" t="s">
        <v>5001</v>
      </c>
      <c r="S812" s="789" t="s">
        <v>4670</v>
      </c>
      <c r="T812" s="769"/>
      <c r="U812" s="960"/>
      <c r="V812" s="1589"/>
    </row>
    <row r="813" spans="1:22" ht="24" hidden="1" customHeight="1">
      <c r="A813" s="789"/>
      <c r="B813" s="934" t="s">
        <v>5384</v>
      </c>
      <c r="C813" s="934" t="s">
        <v>5385</v>
      </c>
      <c r="D813" s="934" t="s">
        <v>79</v>
      </c>
      <c r="E813" s="934">
        <v>2</v>
      </c>
      <c r="F813" s="796" t="s">
        <v>34</v>
      </c>
      <c r="G813" s="360" t="s">
        <v>32</v>
      </c>
      <c r="H813" s="360" t="s">
        <v>33</v>
      </c>
      <c r="I813" s="796" t="s">
        <v>6888</v>
      </c>
      <c r="J813" s="796" t="s">
        <v>5001</v>
      </c>
      <c r="K813" s="789" t="s">
        <v>4862</v>
      </c>
      <c r="L813" s="857">
        <v>16400</v>
      </c>
      <c r="M813" s="857">
        <v>8200</v>
      </c>
      <c r="N813" s="945">
        <v>2020.03</v>
      </c>
      <c r="O813" s="796" t="s">
        <v>6991</v>
      </c>
      <c r="P813" s="793" t="s">
        <v>6992</v>
      </c>
      <c r="Q813" s="884" t="s">
        <v>6993</v>
      </c>
      <c r="R813" s="793" t="s">
        <v>5001</v>
      </c>
      <c r="S813" s="789" t="s">
        <v>4670</v>
      </c>
      <c r="T813" s="769"/>
      <c r="U813" s="960"/>
      <c r="V813" s="1589"/>
    </row>
    <row r="814" spans="1:22" ht="24" hidden="1" customHeight="1">
      <c r="A814" s="789"/>
      <c r="B814" s="789" t="s">
        <v>5263</v>
      </c>
      <c r="C814" s="789" t="s">
        <v>5386</v>
      </c>
      <c r="D814" s="934" t="s">
        <v>1193</v>
      </c>
      <c r="E814" s="789">
        <v>53.04</v>
      </c>
      <c r="F814" s="796" t="s">
        <v>34</v>
      </c>
      <c r="G814" s="360" t="s">
        <v>32</v>
      </c>
      <c r="H814" s="360" t="s">
        <v>33</v>
      </c>
      <c r="I814" s="796" t="s">
        <v>6888</v>
      </c>
      <c r="J814" s="796" t="s">
        <v>5001</v>
      </c>
      <c r="K814" s="789" t="s">
        <v>4862</v>
      </c>
      <c r="L814" s="857">
        <v>22276.799999999999</v>
      </c>
      <c r="M814" s="857">
        <v>11138.4</v>
      </c>
      <c r="N814" s="945">
        <v>2020.03</v>
      </c>
      <c r="O814" s="796" t="s">
        <v>6991</v>
      </c>
      <c r="P814" s="793" t="s">
        <v>6992</v>
      </c>
      <c r="Q814" s="884" t="s">
        <v>6993</v>
      </c>
      <c r="R814" s="793" t="s">
        <v>5001</v>
      </c>
      <c r="S814" s="789" t="s">
        <v>4670</v>
      </c>
      <c r="T814" s="769"/>
      <c r="U814" s="960"/>
      <c r="V814" s="1589"/>
    </row>
    <row r="815" spans="1:22" ht="24" hidden="1" customHeight="1">
      <c r="A815" s="789"/>
      <c r="B815" s="789" t="s">
        <v>5387</v>
      </c>
      <c r="C815" s="789" t="s">
        <v>5388</v>
      </c>
      <c r="D815" s="934" t="s">
        <v>1193</v>
      </c>
      <c r="E815" s="789">
        <v>491.64</v>
      </c>
      <c r="F815" s="796" t="s">
        <v>34</v>
      </c>
      <c r="G815" s="360" t="s">
        <v>32</v>
      </c>
      <c r="H815" s="360" t="s">
        <v>33</v>
      </c>
      <c r="I815" s="796" t="s">
        <v>6888</v>
      </c>
      <c r="J815" s="796" t="s">
        <v>5001</v>
      </c>
      <c r="K815" s="789" t="s">
        <v>4862</v>
      </c>
      <c r="L815" s="857">
        <v>64896.480000000003</v>
      </c>
      <c r="M815" s="857">
        <v>32448.240000000002</v>
      </c>
      <c r="N815" s="945">
        <v>2020.03</v>
      </c>
      <c r="O815" s="796" t="s">
        <v>6991</v>
      </c>
      <c r="P815" s="793" t="s">
        <v>6992</v>
      </c>
      <c r="Q815" s="884" t="s">
        <v>6993</v>
      </c>
      <c r="R815" s="793" t="s">
        <v>5001</v>
      </c>
      <c r="S815" s="789" t="s">
        <v>4670</v>
      </c>
      <c r="T815" s="769"/>
      <c r="U815" s="960"/>
      <c r="V815" s="1589"/>
    </row>
    <row r="816" spans="1:22" ht="24" hidden="1" customHeight="1">
      <c r="A816" s="789"/>
      <c r="B816" s="789" t="s">
        <v>5389</v>
      </c>
      <c r="C816" s="789" t="s">
        <v>5390</v>
      </c>
      <c r="D816" s="934" t="s">
        <v>1193</v>
      </c>
      <c r="E816" s="789">
        <v>40.119999999999997</v>
      </c>
      <c r="F816" s="796" t="s">
        <v>34</v>
      </c>
      <c r="G816" s="360" t="s">
        <v>32</v>
      </c>
      <c r="H816" s="360" t="s">
        <v>33</v>
      </c>
      <c r="I816" s="796" t="s">
        <v>6888</v>
      </c>
      <c r="J816" s="796" t="s">
        <v>5001</v>
      </c>
      <c r="K816" s="789" t="s">
        <v>4862</v>
      </c>
      <c r="L816" s="857">
        <v>12838.4</v>
      </c>
      <c r="M816" s="857">
        <v>6419.2</v>
      </c>
      <c r="N816" s="945">
        <v>2020.03</v>
      </c>
      <c r="O816" s="796" t="s">
        <v>6991</v>
      </c>
      <c r="P816" s="793" t="s">
        <v>6992</v>
      </c>
      <c r="Q816" s="884" t="s">
        <v>6993</v>
      </c>
      <c r="R816" s="793" t="s">
        <v>5001</v>
      </c>
      <c r="S816" s="789" t="s">
        <v>4670</v>
      </c>
      <c r="T816" s="769"/>
      <c r="U816" s="960"/>
      <c r="V816" s="1589"/>
    </row>
    <row r="817" spans="1:22" ht="24" hidden="1" customHeight="1">
      <c r="A817" s="789"/>
      <c r="B817" s="789" t="s">
        <v>5391</v>
      </c>
      <c r="C817" s="789" t="s">
        <v>5262</v>
      </c>
      <c r="D817" s="934" t="s">
        <v>1193</v>
      </c>
      <c r="E817" s="789">
        <v>72</v>
      </c>
      <c r="F817" s="796" t="s">
        <v>34</v>
      </c>
      <c r="G817" s="360" t="s">
        <v>32</v>
      </c>
      <c r="H817" s="360" t="s">
        <v>33</v>
      </c>
      <c r="I817" s="796" t="s">
        <v>6888</v>
      </c>
      <c r="J817" s="796" t="s">
        <v>5001</v>
      </c>
      <c r="K817" s="789" t="s">
        <v>4862</v>
      </c>
      <c r="L817" s="857">
        <v>23040</v>
      </c>
      <c r="M817" s="857">
        <v>11520</v>
      </c>
      <c r="N817" s="945">
        <v>2020.03</v>
      </c>
      <c r="O817" s="796" t="s">
        <v>6991</v>
      </c>
      <c r="P817" s="793" t="s">
        <v>6992</v>
      </c>
      <c r="Q817" s="884" t="s">
        <v>6993</v>
      </c>
      <c r="R817" s="793" t="s">
        <v>5001</v>
      </c>
      <c r="S817" s="789" t="s">
        <v>4670</v>
      </c>
      <c r="T817" s="769"/>
      <c r="U817" s="960"/>
      <c r="V817" s="1589"/>
    </row>
    <row r="818" spans="1:22" ht="24" hidden="1" customHeight="1">
      <c r="A818" s="789"/>
      <c r="B818" s="789" t="s">
        <v>5392</v>
      </c>
      <c r="C818" s="789" t="s">
        <v>5393</v>
      </c>
      <c r="D818" s="934" t="s">
        <v>1193</v>
      </c>
      <c r="E818" s="789">
        <v>54</v>
      </c>
      <c r="F818" s="796" t="s">
        <v>34</v>
      </c>
      <c r="G818" s="360" t="s">
        <v>32</v>
      </c>
      <c r="H818" s="360" t="s">
        <v>33</v>
      </c>
      <c r="I818" s="796" t="s">
        <v>6888</v>
      </c>
      <c r="J818" s="796" t="s">
        <v>5001</v>
      </c>
      <c r="K818" s="789" t="s">
        <v>4862</v>
      </c>
      <c r="L818" s="857">
        <v>17280</v>
      </c>
      <c r="M818" s="857">
        <v>8640</v>
      </c>
      <c r="N818" s="945">
        <v>2020.03</v>
      </c>
      <c r="O818" s="796" t="s">
        <v>6991</v>
      </c>
      <c r="P818" s="793" t="s">
        <v>6992</v>
      </c>
      <c r="Q818" s="884" t="s">
        <v>6993</v>
      </c>
      <c r="R818" s="793" t="s">
        <v>5001</v>
      </c>
      <c r="S818" s="789" t="s">
        <v>4670</v>
      </c>
      <c r="T818" s="769"/>
      <c r="U818" s="960"/>
      <c r="V818" s="1589"/>
    </row>
    <row r="819" spans="1:22" ht="24" hidden="1" customHeight="1">
      <c r="A819" s="789"/>
      <c r="B819" s="789" t="s">
        <v>5394</v>
      </c>
      <c r="C819" s="789" t="s">
        <v>5395</v>
      </c>
      <c r="D819" s="934" t="s">
        <v>1193</v>
      </c>
      <c r="E819" s="789">
        <v>248.91</v>
      </c>
      <c r="F819" s="796" t="s">
        <v>34</v>
      </c>
      <c r="G819" s="360" t="s">
        <v>32</v>
      </c>
      <c r="H819" s="360" t="s">
        <v>33</v>
      </c>
      <c r="I819" s="796" t="s">
        <v>6888</v>
      </c>
      <c r="J819" s="796" t="s">
        <v>5001</v>
      </c>
      <c r="K819" s="789" t="s">
        <v>4862</v>
      </c>
      <c r="L819" s="857">
        <v>51773.279999999999</v>
      </c>
      <c r="M819" s="857">
        <v>25886.639999999999</v>
      </c>
      <c r="N819" s="945">
        <v>2020.03</v>
      </c>
      <c r="O819" s="796" t="s">
        <v>6991</v>
      </c>
      <c r="P819" s="793" t="s">
        <v>6992</v>
      </c>
      <c r="Q819" s="884" t="s">
        <v>6993</v>
      </c>
      <c r="R819" s="793" t="s">
        <v>5001</v>
      </c>
      <c r="S819" s="789" t="s">
        <v>4670</v>
      </c>
      <c r="T819" s="769"/>
      <c r="U819" s="960"/>
      <c r="V819" s="1589"/>
    </row>
    <row r="820" spans="1:22" ht="24" hidden="1" customHeight="1">
      <c r="A820" s="789"/>
      <c r="B820" s="789" t="s">
        <v>5396</v>
      </c>
      <c r="C820" s="789" t="s">
        <v>5397</v>
      </c>
      <c r="D820" s="934" t="s">
        <v>1193</v>
      </c>
      <c r="E820" s="789">
        <v>115</v>
      </c>
      <c r="F820" s="796" t="s">
        <v>34</v>
      </c>
      <c r="G820" s="360" t="s">
        <v>32</v>
      </c>
      <c r="H820" s="360" t="s">
        <v>33</v>
      </c>
      <c r="I820" s="796" t="s">
        <v>6888</v>
      </c>
      <c r="J820" s="796" t="s">
        <v>5001</v>
      </c>
      <c r="K820" s="789" t="s">
        <v>4862</v>
      </c>
      <c r="L820" s="857">
        <v>4025</v>
      </c>
      <c r="M820" s="857">
        <v>2012.5</v>
      </c>
      <c r="N820" s="945">
        <v>2020.03</v>
      </c>
      <c r="O820" s="796" t="s">
        <v>6991</v>
      </c>
      <c r="P820" s="793" t="s">
        <v>6992</v>
      </c>
      <c r="Q820" s="884" t="s">
        <v>6993</v>
      </c>
      <c r="R820" s="793" t="s">
        <v>5001</v>
      </c>
      <c r="S820" s="789" t="s">
        <v>4670</v>
      </c>
      <c r="T820" s="769"/>
      <c r="U820" s="960"/>
      <c r="V820" s="1589"/>
    </row>
    <row r="821" spans="1:22" ht="24" hidden="1" customHeight="1">
      <c r="A821" s="789"/>
      <c r="B821" s="789" t="s">
        <v>5398</v>
      </c>
      <c r="C821" s="789" t="s">
        <v>5399</v>
      </c>
      <c r="D821" s="934" t="s">
        <v>79</v>
      </c>
      <c r="E821" s="789">
        <v>9</v>
      </c>
      <c r="F821" s="796" t="s">
        <v>34</v>
      </c>
      <c r="G821" s="360" t="s">
        <v>32</v>
      </c>
      <c r="H821" s="360" t="s">
        <v>33</v>
      </c>
      <c r="I821" s="796" t="s">
        <v>6888</v>
      </c>
      <c r="J821" s="796" t="s">
        <v>5001</v>
      </c>
      <c r="K821" s="789" t="s">
        <v>4862</v>
      </c>
      <c r="L821" s="857">
        <v>26820</v>
      </c>
      <c r="M821" s="857">
        <v>13410</v>
      </c>
      <c r="N821" s="945">
        <v>2020.03</v>
      </c>
      <c r="O821" s="796" t="s">
        <v>6991</v>
      </c>
      <c r="P821" s="793" t="s">
        <v>6992</v>
      </c>
      <c r="Q821" s="884" t="s">
        <v>6993</v>
      </c>
      <c r="R821" s="793" t="s">
        <v>5001</v>
      </c>
      <c r="S821" s="789" t="s">
        <v>4670</v>
      </c>
      <c r="T821" s="769"/>
      <c r="U821" s="960"/>
      <c r="V821" s="1589"/>
    </row>
    <row r="822" spans="1:22" ht="24" hidden="1" customHeight="1">
      <c r="A822" s="789"/>
      <c r="B822" s="789" t="s">
        <v>5400</v>
      </c>
      <c r="C822" s="789" t="s">
        <v>5401</v>
      </c>
      <c r="D822" s="934" t="s">
        <v>79</v>
      </c>
      <c r="E822" s="789">
        <v>5</v>
      </c>
      <c r="F822" s="796" t="s">
        <v>34</v>
      </c>
      <c r="G822" s="360" t="s">
        <v>32</v>
      </c>
      <c r="H822" s="360" t="s">
        <v>33</v>
      </c>
      <c r="I822" s="796" t="s">
        <v>6888</v>
      </c>
      <c r="J822" s="796" t="s">
        <v>5001</v>
      </c>
      <c r="K822" s="789" t="s">
        <v>4862</v>
      </c>
      <c r="L822" s="857">
        <v>1650</v>
      </c>
      <c r="M822" s="857">
        <v>825</v>
      </c>
      <c r="N822" s="945">
        <v>2020.03</v>
      </c>
      <c r="O822" s="796" t="s">
        <v>6991</v>
      </c>
      <c r="P822" s="793" t="s">
        <v>6992</v>
      </c>
      <c r="Q822" s="884" t="s">
        <v>6993</v>
      </c>
      <c r="R822" s="793" t="s">
        <v>5001</v>
      </c>
      <c r="S822" s="789" t="s">
        <v>4670</v>
      </c>
      <c r="T822" s="769"/>
      <c r="U822" s="960"/>
      <c r="V822" s="1589"/>
    </row>
    <row r="823" spans="1:22" ht="24" hidden="1" customHeight="1">
      <c r="A823" s="789"/>
      <c r="B823" s="789" t="s">
        <v>5402</v>
      </c>
      <c r="C823" s="789" t="s">
        <v>5403</v>
      </c>
      <c r="D823" s="934" t="s">
        <v>79</v>
      </c>
      <c r="E823" s="789">
        <v>20</v>
      </c>
      <c r="F823" s="796" t="s">
        <v>34</v>
      </c>
      <c r="G823" s="360" t="s">
        <v>32</v>
      </c>
      <c r="H823" s="360" t="s">
        <v>33</v>
      </c>
      <c r="I823" s="796" t="s">
        <v>6888</v>
      </c>
      <c r="J823" s="796" t="s">
        <v>5001</v>
      </c>
      <c r="K823" s="789" t="s">
        <v>4862</v>
      </c>
      <c r="L823" s="857">
        <v>1700</v>
      </c>
      <c r="M823" s="857">
        <v>850</v>
      </c>
      <c r="N823" s="945">
        <v>2020.03</v>
      </c>
      <c r="O823" s="796" t="s">
        <v>6991</v>
      </c>
      <c r="P823" s="793" t="s">
        <v>6992</v>
      </c>
      <c r="Q823" s="884" t="s">
        <v>6993</v>
      </c>
      <c r="R823" s="793" t="s">
        <v>5001</v>
      </c>
      <c r="S823" s="789" t="s">
        <v>4670</v>
      </c>
      <c r="T823" s="769"/>
      <c r="U823" s="960"/>
      <c r="V823" s="1589"/>
    </row>
    <row r="824" spans="1:22" ht="24" hidden="1" customHeight="1">
      <c r="A824" s="789"/>
      <c r="B824" s="789" t="s">
        <v>3383</v>
      </c>
      <c r="C824" s="789" t="s">
        <v>5404</v>
      </c>
      <c r="D824" s="934" t="s">
        <v>79</v>
      </c>
      <c r="E824" s="789">
        <v>2</v>
      </c>
      <c r="F824" s="796" t="s">
        <v>34</v>
      </c>
      <c r="G824" s="360" t="s">
        <v>32</v>
      </c>
      <c r="H824" s="360" t="s">
        <v>33</v>
      </c>
      <c r="I824" s="796" t="s">
        <v>6888</v>
      </c>
      <c r="J824" s="796" t="s">
        <v>5001</v>
      </c>
      <c r="K824" s="789" t="s">
        <v>4862</v>
      </c>
      <c r="L824" s="857">
        <v>760</v>
      </c>
      <c r="M824" s="857">
        <v>380</v>
      </c>
      <c r="N824" s="945">
        <v>2020.03</v>
      </c>
      <c r="O824" s="796" t="s">
        <v>6991</v>
      </c>
      <c r="P824" s="793" t="s">
        <v>6992</v>
      </c>
      <c r="Q824" s="884" t="s">
        <v>6993</v>
      </c>
      <c r="R824" s="793" t="s">
        <v>5001</v>
      </c>
      <c r="S824" s="789" t="s">
        <v>4670</v>
      </c>
      <c r="T824" s="769"/>
      <c r="U824" s="960"/>
      <c r="V824" s="1589"/>
    </row>
    <row r="825" spans="1:22" ht="24" hidden="1" customHeight="1">
      <c r="A825" s="789"/>
      <c r="B825" s="789" t="s">
        <v>5405</v>
      </c>
      <c r="C825" s="789" t="s">
        <v>5406</v>
      </c>
      <c r="D825" s="934" t="s">
        <v>1193</v>
      </c>
      <c r="E825" s="789">
        <v>2.2799999999999998</v>
      </c>
      <c r="F825" s="796" t="s">
        <v>34</v>
      </c>
      <c r="G825" s="360" t="s">
        <v>32</v>
      </c>
      <c r="H825" s="360" t="s">
        <v>33</v>
      </c>
      <c r="I825" s="796" t="s">
        <v>6888</v>
      </c>
      <c r="J825" s="796" t="s">
        <v>5001</v>
      </c>
      <c r="K825" s="789" t="s">
        <v>4862</v>
      </c>
      <c r="L825" s="857">
        <v>1504.8</v>
      </c>
      <c r="M825" s="857">
        <v>752.4</v>
      </c>
      <c r="N825" s="945">
        <v>2020.03</v>
      </c>
      <c r="O825" s="796" t="s">
        <v>6991</v>
      </c>
      <c r="P825" s="793" t="s">
        <v>6992</v>
      </c>
      <c r="Q825" s="884" t="s">
        <v>6993</v>
      </c>
      <c r="R825" s="793" t="s">
        <v>5001</v>
      </c>
      <c r="S825" s="789" t="s">
        <v>4670</v>
      </c>
      <c r="T825" s="769"/>
      <c r="U825" s="960"/>
      <c r="V825" s="1589"/>
    </row>
    <row r="826" spans="1:22" ht="24" hidden="1" customHeight="1">
      <c r="A826" s="789"/>
      <c r="B826" s="789" t="s">
        <v>5339</v>
      </c>
      <c r="C826" s="789" t="s">
        <v>5407</v>
      </c>
      <c r="D826" s="934" t="s">
        <v>79</v>
      </c>
      <c r="E826" s="789">
        <v>1</v>
      </c>
      <c r="F826" s="796" t="s">
        <v>34</v>
      </c>
      <c r="G826" s="360" t="s">
        <v>32</v>
      </c>
      <c r="H826" s="360" t="s">
        <v>33</v>
      </c>
      <c r="I826" s="796" t="s">
        <v>6888</v>
      </c>
      <c r="J826" s="796" t="s">
        <v>5001</v>
      </c>
      <c r="K826" s="789" t="s">
        <v>4862</v>
      </c>
      <c r="L826" s="857">
        <v>1000</v>
      </c>
      <c r="M826" s="857">
        <v>500</v>
      </c>
      <c r="N826" s="945">
        <v>2020.03</v>
      </c>
      <c r="O826" s="796" t="s">
        <v>6991</v>
      </c>
      <c r="P826" s="793" t="s">
        <v>6992</v>
      </c>
      <c r="Q826" s="884" t="s">
        <v>6993</v>
      </c>
      <c r="R826" s="793" t="s">
        <v>5001</v>
      </c>
      <c r="S826" s="789" t="s">
        <v>4670</v>
      </c>
      <c r="T826" s="769"/>
      <c r="U826" s="960"/>
      <c r="V826" s="1589"/>
    </row>
    <row r="827" spans="1:22" ht="24" hidden="1" customHeight="1">
      <c r="A827" s="789"/>
      <c r="B827" s="789" t="s">
        <v>5408</v>
      </c>
      <c r="C827" s="789" t="s">
        <v>5409</v>
      </c>
      <c r="D827" s="934" t="s">
        <v>131</v>
      </c>
      <c r="E827" s="789">
        <v>2</v>
      </c>
      <c r="F827" s="796" t="s">
        <v>34</v>
      </c>
      <c r="G827" s="360" t="s">
        <v>32</v>
      </c>
      <c r="H827" s="360" t="s">
        <v>33</v>
      </c>
      <c r="I827" s="796" t="s">
        <v>6888</v>
      </c>
      <c r="J827" s="796" t="s">
        <v>5001</v>
      </c>
      <c r="K827" s="789" t="s">
        <v>4862</v>
      </c>
      <c r="L827" s="857">
        <v>3700</v>
      </c>
      <c r="M827" s="857">
        <v>1850</v>
      </c>
      <c r="N827" s="945">
        <v>2020.03</v>
      </c>
      <c r="O827" s="796" t="s">
        <v>6991</v>
      </c>
      <c r="P827" s="793" t="s">
        <v>6992</v>
      </c>
      <c r="Q827" s="884" t="s">
        <v>6993</v>
      </c>
      <c r="R827" s="793" t="s">
        <v>5001</v>
      </c>
      <c r="S827" s="789" t="s">
        <v>4670</v>
      </c>
      <c r="T827" s="769"/>
      <c r="U827" s="960"/>
      <c r="V827" s="1589"/>
    </row>
    <row r="828" spans="1:22" ht="24" hidden="1" customHeight="1">
      <c r="A828" s="789"/>
      <c r="B828" s="789" t="s">
        <v>5410</v>
      </c>
      <c r="C828" s="789" t="s">
        <v>5411</v>
      </c>
      <c r="D828" s="934" t="s">
        <v>131</v>
      </c>
      <c r="E828" s="789">
        <v>1</v>
      </c>
      <c r="F828" s="796" t="s">
        <v>34</v>
      </c>
      <c r="G828" s="360" t="s">
        <v>32</v>
      </c>
      <c r="H828" s="360" t="s">
        <v>33</v>
      </c>
      <c r="I828" s="796" t="s">
        <v>6888</v>
      </c>
      <c r="J828" s="796" t="s">
        <v>5001</v>
      </c>
      <c r="K828" s="789" t="s">
        <v>4862</v>
      </c>
      <c r="L828" s="857">
        <v>550</v>
      </c>
      <c r="M828" s="857">
        <v>275</v>
      </c>
      <c r="N828" s="945">
        <v>2020.03</v>
      </c>
      <c r="O828" s="796" t="s">
        <v>6991</v>
      </c>
      <c r="P828" s="793" t="s">
        <v>6992</v>
      </c>
      <c r="Q828" s="884" t="s">
        <v>6993</v>
      </c>
      <c r="R828" s="793" t="s">
        <v>5001</v>
      </c>
      <c r="S828" s="789" t="s">
        <v>4670</v>
      </c>
      <c r="T828" s="769"/>
      <c r="U828" s="960"/>
      <c r="V828" s="1589"/>
    </row>
    <row r="829" spans="1:22" ht="24" hidden="1" customHeight="1">
      <c r="A829" s="789"/>
      <c r="B829" s="784" t="s">
        <v>5412</v>
      </c>
      <c r="C829" s="784" t="s">
        <v>5413</v>
      </c>
      <c r="D829" s="1284" t="s">
        <v>131</v>
      </c>
      <c r="E829" s="784">
        <v>1</v>
      </c>
      <c r="F829" s="796" t="s">
        <v>34</v>
      </c>
      <c r="G829" s="360" t="s">
        <v>32</v>
      </c>
      <c r="H829" s="360" t="s">
        <v>33</v>
      </c>
      <c r="I829" s="796" t="s">
        <v>6888</v>
      </c>
      <c r="J829" s="796" t="s">
        <v>5001</v>
      </c>
      <c r="K829" s="789" t="s">
        <v>4862</v>
      </c>
      <c r="L829" s="857">
        <v>600</v>
      </c>
      <c r="M829" s="857">
        <v>300</v>
      </c>
      <c r="N829" s="945">
        <v>2020.03</v>
      </c>
      <c r="O829" s="796" t="s">
        <v>6991</v>
      </c>
      <c r="P829" s="793" t="s">
        <v>6992</v>
      </c>
      <c r="Q829" s="884" t="s">
        <v>6993</v>
      </c>
      <c r="R829" s="793" t="s">
        <v>5001</v>
      </c>
      <c r="S829" s="789" t="s">
        <v>4670</v>
      </c>
      <c r="T829" s="769"/>
      <c r="U829" s="960"/>
      <c r="V829" s="1589"/>
    </row>
    <row r="830" spans="1:22" ht="24" hidden="1" customHeight="1">
      <c r="A830" s="789"/>
      <c r="B830" s="934" t="s">
        <v>5414</v>
      </c>
      <c r="C830" s="789" t="s">
        <v>5415</v>
      </c>
      <c r="D830" s="934" t="s">
        <v>1193</v>
      </c>
      <c r="E830" s="789">
        <v>5.2</v>
      </c>
      <c r="F830" s="796" t="s">
        <v>34</v>
      </c>
      <c r="G830" s="360" t="s">
        <v>32</v>
      </c>
      <c r="H830" s="360" t="s">
        <v>33</v>
      </c>
      <c r="I830" s="796" t="s">
        <v>6888</v>
      </c>
      <c r="J830" s="796" t="s">
        <v>5001</v>
      </c>
      <c r="K830" s="789" t="s">
        <v>4862</v>
      </c>
      <c r="L830" s="857">
        <v>442</v>
      </c>
      <c r="M830" s="857">
        <v>221</v>
      </c>
      <c r="N830" s="945">
        <v>2020.03</v>
      </c>
      <c r="O830" s="796" t="s">
        <v>6991</v>
      </c>
      <c r="P830" s="793" t="s">
        <v>6992</v>
      </c>
      <c r="Q830" s="884" t="s">
        <v>6993</v>
      </c>
      <c r="R830" s="793" t="s">
        <v>5001</v>
      </c>
      <c r="S830" s="789" t="s">
        <v>4670</v>
      </c>
      <c r="T830" s="769"/>
      <c r="U830" s="960"/>
      <c r="V830" s="1589"/>
    </row>
    <row r="831" spans="1:22" ht="24" hidden="1" customHeight="1">
      <c r="A831" s="789"/>
      <c r="B831" s="934" t="s">
        <v>5416</v>
      </c>
      <c r="C831" s="789" t="s">
        <v>34</v>
      </c>
      <c r="D831" s="934" t="s">
        <v>888</v>
      </c>
      <c r="E831" s="789">
        <v>1</v>
      </c>
      <c r="F831" s="796" t="s">
        <v>34</v>
      </c>
      <c r="G831" s="360" t="s">
        <v>32</v>
      </c>
      <c r="H831" s="360" t="s">
        <v>33</v>
      </c>
      <c r="I831" s="796" t="s">
        <v>6888</v>
      </c>
      <c r="J831" s="796" t="s">
        <v>5001</v>
      </c>
      <c r="K831" s="789" t="s">
        <v>5417</v>
      </c>
      <c r="L831" s="857">
        <v>1641836.6486</v>
      </c>
      <c r="M831" s="857">
        <v>0</v>
      </c>
      <c r="N831" s="945">
        <v>2020.07</v>
      </c>
      <c r="O831" s="796" t="s">
        <v>6991</v>
      </c>
      <c r="P831" s="793" t="s">
        <v>6992</v>
      </c>
      <c r="Q831" s="884" t="s">
        <v>6993</v>
      </c>
      <c r="R831" s="793" t="s">
        <v>5001</v>
      </c>
      <c r="S831" s="789" t="s">
        <v>4670</v>
      </c>
      <c r="T831" s="769"/>
      <c r="U831" s="960"/>
      <c r="V831" s="1589"/>
    </row>
    <row r="832" spans="1:22" ht="24" hidden="1" customHeight="1">
      <c r="A832" s="789"/>
      <c r="B832" s="893" t="s">
        <v>526</v>
      </c>
      <c r="C832" s="789" t="s">
        <v>5418</v>
      </c>
      <c r="D832" s="893" t="s">
        <v>464</v>
      </c>
      <c r="E832" s="893">
        <v>7</v>
      </c>
      <c r="F832" s="796" t="s">
        <v>34</v>
      </c>
      <c r="G832" s="796" t="s">
        <v>32</v>
      </c>
      <c r="H832" s="796" t="s">
        <v>33</v>
      </c>
      <c r="I832" s="789" t="s">
        <v>6888</v>
      </c>
      <c r="J832" s="796" t="s">
        <v>5001</v>
      </c>
      <c r="K832" s="789" t="s">
        <v>4862</v>
      </c>
      <c r="L832" s="857">
        <v>5884.97</v>
      </c>
      <c r="M832" s="857">
        <v>2942.4850000000001</v>
      </c>
      <c r="N832" s="961">
        <v>2021.06</v>
      </c>
      <c r="O832" s="796" t="s">
        <v>5419</v>
      </c>
      <c r="P832" s="793" t="s">
        <v>6992</v>
      </c>
      <c r="Q832" s="884" t="s">
        <v>6993</v>
      </c>
      <c r="R832" s="789" t="s">
        <v>5001</v>
      </c>
      <c r="S832" s="789" t="s">
        <v>4670</v>
      </c>
      <c r="T832" s="789"/>
      <c r="U832" s="960"/>
      <c r="V832" s="1589"/>
    </row>
    <row r="833" spans="1:22" ht="24" hidden="1" customHeight="1">
      <c r="A833" s="789"/>
      <c r="B833" s="893" t="s">
        <v>526</v>
      </c>
      <c r="C833" s="789" t="s">
        <v>5420</v>
      </c>
      <c r="D833" s="893" t="s">
        <v>464</v>
      </c>
      <c r="E833" s="893">
        <v>2</v>
      </c>
      <c r="F833" s="796" t="s">
        <v>34</v>
      </c>
      <c r="G833" s="796" t="s">
        <v>32</v>
      </c>
      <c r="H833" s="796" t="s">
        <v>33</v>
      </c>
      <c r="I833" s="789" t="s">
        <v>6888</v>
      </c>
      <c r="J833" s="796" t="s">
        <v>5001</v>
      </c>
      <c r="K833" s="789" t="s">
        <v>4862</v>
      </c>
      <c r="L833" s="857">
        <v>2230.08</v>
      </c>
      <c r="M833" s="857">
        <v>1115.04</v>
      </c>
      <c r="N833" s="961">
        <v>2021.06</v>
      </c>
      <c r="O833" s="796" t="s">
        <v>5419</v>
      </c>
      <c r="P833" s="793" t="s">
        <v>6992</v>
      </c>
      <c r="Q833" s="884" t="s">
        <v>6993</v>
      </c>
      <c r="R833" s="789" t="s">
        <v>5001</v>
      </c>
      <c r="S833" s="789" t="s">
        <v>4670</v>
      </c>
      <c r="T833" s="789"/>
      <c r="U833" s="960"/>
      <c r="V833" s="1589"/>
    </row>
    <row r="834" spans="1:22" ht="24" hidden="1" customHeight="1">
      <c r="A834" s="789"/>
      <c r="B834" s="934" t="s">
        <v>5421</v>
      </c>
      <c r="C834" s="789" t="s">
        <v>5422</v>
      </c>
      <c r="D834" s="893" t="s">
        <v>79</v>
      </c>
      <c r="E834" s="893">
        <v>116</v>
      </c>
      <c r="F834" s="796" t="s">
        <v>34</v>
      </c>
      <c r="G834" s="796" t="s">
        <v>32</v>
      </c>
      <c r="H834" s="796" t="s">
        <v>33</v>
      </c>
      <c r="I834" s="789" t="s">
        <v>6888</v>
      </c>
      <c r="J834" s="796" t="s">
        <v>5001</v>
      </c>
      <c r="K834" s="789" t="s">
        <v>4862</v>
      </c>
      <c r="L834" s="857">
        <v>58951.199999999997</v>
      </c>
      <c r="M834" s="857">
        <v>29475.599999999999</v>
      </c>
      <c r="N834" s="961">
        <v>2021.06</v>
      </c>
      <c r="O834" s="796" t="s">
        <v>5419</v>
      </c>
      <c r="P834" s="793" t="s">
        <v>6992</v>
      </c>
      <c r="Q834" s="884" t="s">
        <v>6993</v>
      </c>
      <c r="R834" s="789" t="s">
        <v>5001</v>
      </c>
      <c r="S834" s="789" t="s">
        <v>4670</v>
      </c>
      <c r="T834" s="789"/>
      <c r="U834" s="960"/>
      <c r="V834" s="1589"/>
    </row>
    <row r="835" spans="1:22" ht="24" hidden="1" customHeight="1">
      <c r="A835" s="789"/>
      <c r="B835" s="893" t="s">
        <v>5423</v>
      </c>
      <c r="C835" s="789" t="s">
        <v>5424</v>
      </c>
      <c r="D835" s="893" t="s">
        <v>1193</v>
      </c>
      <c r="E835" s="893">
        <v>222.8</v>
      </c>
      <c r="F835" s="796" t="s">
        <v>34</v>
      </c>
      <c r="G835" s="796" t="s">
        <v>32</v>
      </c>
      <c r="H835" s="796" t="s">
        <v>33</v>
      </c>
      <c r="I835" s="789" t="s">
        <v>6888</v>
      </c>
      <c r="J835" s="796" t="s">
        <v>5001</v>
      </c>
      <c r="K835" s="789" t="s">
        <v>4862</v>
      </c>
      <c r="L835" s="857">
        <v>20702.576000000001</v>
      </c>
      <c r="M835" s="857">
        <v>10351.288</v>
      </c>
      <c r="N835" s="961">
        <v>2021.06</v>
      </c>
      <c r="O835" s="796" t="s">
        <v>5419</v>
      </c>
      <c r="P835" s="793" t="s">
        <v>6992</v>
      </c>
      <c r="Q835" s="884" t="s">
        <v>6993</v>
      </c>
      <c r="R835" s="789" t="s">
        <v>5001</v>
      </c>
      <c r="S835" s="789" t="s">
        <v>4670</v>
      </c>
      <c r="T835" s="789"/>
      <c r="U835" s="960"/>
      <c r="V835" s="1589"/>
    </row>
    <row r="836" spans="1:22" ht="24" hidden="1" customHeight="1">
      <c r="A836" s="789"/>
      <c r="B836" s="934" t="s">
        <v>5425</v>
      </c>
      <c r="C836" s="789" t="s">
        <v>5426</v>
      </c>
      <c r="D836" s="893" t="s">
        <v>79</v>
      </c>
      <c r="E836" s="893">
        <v>232</v>
      </c>
      <c r="F836" s="796" t="s">
        <v>34</v>
      </c>
      <c r="G836" s="796" t="s">
        <v>32</v>
      </c>
      <c r="H836" s="796" t="s">
        <v>33</v>
      </c>
      <c r="I836" s="789" t="s">
        <v>6888</v>
      </c>
      <c r="J836" s="796" t="s">
        <v>5001</v>
      </c>
      <c r="K836" s="789" t="s">
        <v>4862</v>
      </c>
      <c r="L836" s="857">
        <v>21557.439999999999</v>
      </c>
      <c r="M836" s="857">
        <v>10778.72</v>
      </c>
      <c r="N836" s="961">
        <v>2021.06</v>
      </c>
      <c r="O836" s="796" t="s">
        <v>5419</v>
      </c>
      <c r="P836" s="793" t="s">
        <v>6992</v>
      </c>
      <c r="Q836" s="884" t="s">
        <v>6993</v>
      </c>
      <c r="R836" s="789" t="s">
        <v>5001</v>
      </c>
      <c r="S836" s="789" t="s">
        <v>4670</v>
      </c>
      <c r="T836" s="789"/>
      <c r="U836" s="960"/>
      <c r="V836" s="1589"/>
    </row>
    <row r="837" spans="1:22" ht="24" hidden="1" customHeight="1">
      <c r="A837" s="789"/>
      <c r="B837" s="893" t="s">
        <v>5427</v>
      </c>
      <c r="C837" s="789" t="s">
        <v>5428</v>
      </c>
      <c r="D837" s="893" t="s">
        <v>161</v>
      </c>
      <c r="E837" s="893">
        <v>1680</v>
      </c>
      <c r="F837" s="796" t="s">
        <v>34</v>
      </c>
      <c r="G837" s="796" t="s">
        <v>32</v>
      </c>
      <c r="H837" s="796" t="s">
        <v>33</v>
      </c>
      <c r="I837" s="789" t="s">
        <v>6888</v>
      </c>
      <c r="J837" s="796" t="s">
        <v>5001</v>
      </c>
      <c r="K837" s="789" t="s">
        <v>4862</v>
      </c>
      <c r="L837" s="857">
        <v>133812</v>
      </c>
      <c r="M837" s="857">
        <v>66906</v>
      </c>
      <c r="N837" s="961">
        <v>2021.06</v>
      </c>
      <c r="O837" s="796" t="s">
        <v>5419</v>
      </c>
      <c r="P837" s="793" t="s">
        <v>6992</v>
      </c>
      <c r="Q837" s="884" t="s">
        <v>6993</v>
      </c>
      <c r="R837" s="789" t="s">
        <v>5001</v>
      </c>
      <c r="S837" s="789" t="s">
        <v>4670</v>
      </c>
      <c r="T837" s="789"/>
      <c r="U837" s="960"/>
      <c r="V837" s="1589"/>
    </row>
    <row r="838" spans="1:22" ht="24" hidden="1" customHeight="1">
      <c r="A838" s="789"/>
      <c r="B838" s="360" t="s">
        <v>5429</v>
      </c>
      <c r="C838" s="789" t="s">
        <v>5430</v>
      </c>
      <c r="D838" s="360" t="s">
        <v>1193</v>
      </c>
      <c r="E838" s="360">
        <v>20.7</v>
      </c>
      <c r="F838" s="796" t="s">
        <v>34</v>
      </c>
      <c r="G838" s="796" t="s">
        <v>32</v>
      </c>
      <c r="H838" s="796" t="s">
        <v>33</v>
      </c>
      <c r="I838" s="789" t="s">
        <v>6888</v>
      </c>
      <c r="J838" s="796" t="s">
        <v>5001</v>
      </c>
      <c r="K838" s="789" t="s">
        <v>4862</v>
      </c>
      <c r="L838" s="857">
        <v>14288.589</v>
      </c>
      <c r="M838" s="857">
        <v>7144.2945</v>
      </c>
      <c r="N838" s="961">
        <v>2021.06</v>
      </c>
      <c r="O838" s="796" t="s">
        <v>5419</v>
      </c>
      <c r="P838" s="793" t="s">
        <v>6992</v>
      </c>
      <c r="Q838" s="884" t="s">
        <v>6993</v>
      </c>
      <c r="R838" s="789" t="s">
        <v>5001</v>
      </c>
      <c r="S838" s="789" t="s">
        <v>4670</v>
      </c>
      <c r="T838" s="789"/>
      <c r="U838" s="960"/>
      <c r="V838" s="1589"/>
    </row>
    <row r="839" spans="1:22" s="831" customFormat="1" ht="24" hidden="1" customHeight="1">
      <c r="A839" s="1283"/>
      <c r="B839" s="1283" t="s">
        <v>3331</v>
      </c>
      <c r="C839" s="1283" t="s">
        <v>5431</v>
      </c>
      <c r="D839" s="1283" t="s">
        <v>888</v>
      </c>
      <c r="E839" s="1283">
        <v>1840</v>
      </c>
      <c r="F839" s="1283" t="s">
        <v>34</v>
      </c>
      <c r="G839" s="1283" t="s">
        <v>32</v>
      </c>
      <c r="H839" s="962" t="s">
        <v>33</v>
      </c>
      <c r="I839" s="796" t="s">
        <v>6888</v>
      </c>
      <c r="J839" s="792" t="s">
        <v>4931</v>
      </c>
      <c r="K839" s="1283" t="s">
        <v>5432</v>
      </c>
      <c r="L839" s="867">
        <v>242297.03</v>
      </c>
      <c r="M839" s="858">
        <v>186228.57224466099</v>
      </c>
      <c r="N839" s="1283">
        <v>2021.11</v>
      </c>
      <c r="O839" s="1283" t="s">
        <v>4933</v>
      </c>
      <c r="P839" s="1283" t="s">
        <v>4932</v>
      </c>
      <c r="Q839" s="796">
        <v>18633903524</v>
      </c>
      <c r="R839" s="792" t="s">
        <v>4931</v>
      </c>
      <c r="S839" s="796" t="s">
        <v>4670</v>
      </c>
      <c r="T839" s="769"/>
      <c r="U839" s="963"/>
      <c r="V839" s="1592"/>
    </row>
    <row r="840" spans="1:22" s="831" customFormat="1" ht="24" hidden="1" customHeight="1">
      <c r="A840" s="1283"/>
      <c r="B840" s="1283" t="s">
        <v>3331</v>
      </c>
      <c r="C840" s="1283" t="s">
        <v>5433</v>
      </c>
      <c r="D840" s="1283" t="s">
        <v>888</v>
      </c>
      <c r="E840" s="1283">
        <v>823.48</v>
      </c>
      <c r="F840" s="1283" t="s">
        <v>34</v>
      </c>
      <c r="G840" s="1283" t="s">
        <v>32</v>
      </c>
      <c r="H840" s="962" t="s">
        <v>33</v>
      </c>
      <c r="I840" s="796" t="s">
        <v>6888</v>
      </c>
      <c r="J840" s="792" t="s">
        <v>4931</v>
      </c>
      <c r="K840" s="792" t="s">
        <v>5434</v>
      </c>
      <c r="L840" s="867">
        <v>271975.05</v>
      </c>
      <c r="M840" s="858">
        <v>209038.98511537799</v>
      </c>
      <c r="N840" s="1283">
        <v>2021.11</v>
      </c>
      <c r="O840" s="1283" t="s">
        <v>4933</v>
      </c>
      <c r="P840" s="1283" t="s">
        <v>4932</v>
      </c>
      <c r="Q840" s="796">
        <v>18633903524</v>
      </c>
      <c r="R840" s="792" t="s">
        <v>4931</v>
      </c>
      <c r="S840" s="796" t="s">
        <v>4670</v>
      </c>
      <c r="T840" s="769"/>
      <c r="U840" s="963"/>
      <c r="V840" s="1592"/>
    </row>
    <row r="841" spans="1:22" s="831" customFormat="1" ht="24" hidden="1" customHeight="1">
      <c r="A841" s="1283"/>
      <c r="B841" s="1283" t="s">
        <v>3331</v>
      </c>
      <c r="C841" s="1283" t="s">
        <v>3357</v>
      </c>
      <c r="D841" s="1283" t="s">
        <v>888</v>
      </c>
      <c r="E841" s="1283">
        <v>1008.72</v>
      </c>
      <c r="F841" s="1283" t="s">
        <v>34</v>
      </c>
      <c r="G841" s="1283" t="s">
        <v>32</v>
      </c>
      <c r="H841" s="962" t="s">
        <v>33</v>
      </c>
      <c r="I841" s="796" t="s">
        <v>6888</v>
      </c>
      <c r="J841" s="792" t="s">
        <v>4931</v>
      </c>
      <c r="K841" s="792" t="s">
        <v>5434</v>
      </c>
      <c r="L841" s="867">
        <v>231357.8</v>
      </c>
      <c r="M841" s="858">
        <v>177820.72182917799</v>
      </c>
      <c r="N841" s="1283">
        <v>2021.11</v>
      </c>
      <c r="O841" s="1283" t="s">
        <v>4933</v>
      </c>
      <c r="P841" s="1283" t="s">
        <v>4932</v>
      </c>
      <c r="Q841" s="796">
        <v>18633903524</v>
      </c>
      <c r="R841" s="792" t="s">
        <v>4931</v>
      </c>
      <c r="S841" s="796" t="s">
        <v>4670</v>
      </c>
      <c r="T841" s="769"/>
      <c r="U841" s="963"/>
      <c r="V841" s="1592"/>
    </row>
    <row r="842" spans="1:22" s="831" customFormat="1" ht="24" hidden="1" customHeight="1">
      <c r="A842" s="1283"/>
      <c r="B842" s="1283" t="s">
        <v>3331</v>
      </c>
      <c r="C842" s="1283" t="s">
        <v>5435</v>
      </c>
      <c r="D842" s="1283" t="s">
        <v>888</v>
      </c>
      <c r="E842" s="1283">
        <v>720</v>
      </c>
      <c r="F842" s="783" t="s">
        <v>34</v>
      </c>
      <c r="G842" s="1283" t="s">
        <v>32</v>
      </c>
      <c r="H842" s="1283" t="s">
        <v>6904</v>
      </c>
      <c r="I842" s="783" t="s">
        <v>34</v>
      </c>
      <c r="J842" s="783" t="s">
        <v>34</v>
      </c>
      <c r="K842" s="805" t="s">
        <v>5249</v>
      </c>
      <c r="L842" s="858">
        <v>76460.176991150496</v>
      </c>
      <c r="M842" s="858">
        <v>19115.044247787599</v>
      </c>
      <c r="N842" s="964">
        <v>2019.06</v>
      </c>
      <c r="O842" s="783" t="s">
        <v>6956</v>
      </c>
      <c r="P842" s="793" t="s">
        <v>4932</v>
      </c>
      <c r="Q842" s="795">
        <v>18633903524</v>
      </c>
      <c r="R842" s="793" t="s">
        <v>7086</v>
      </c>
      <c r="S842" s="796" t="s">
        <v>4670</v>
      </c>
      <c r="T842" s="769"/>
      <c r="U842" s="963"/>
      <c r="V842" s="1592"/>
    </row>
    <row r="843" spans="1:22" s="831" customFormat="1" ht="24" hidden="1" customHeight="1">
      <c r="A843" s="1283"/>
      <c r="B843" s="1283" t="s">
        <v>5436</v>
      </c>
      <c r="C843" s="1283" t="s">
        <v>5437</v>
      </c>
      <c r="D843" s="1283" t="s">
        <v>5438</v>
      </c>
      <c r="E843" s="1283">
        <v>2000</v>
      </c>
      <c r="F843" s="783" t="s">
        <v>34</v>
      </c>
      <c r="G843" s="1283" t="s">
        <v>32</v>
      </c>
      <c r="H843" s="1283" t="s">
        <v>6904</v>
      </c>
      <c r="I843" s="783" t="s">
        <v>34</v>
      </c>
      <c r="J843" s="783" t="s">
        <v>34</v>
      </c>
      <c r="K843" s="805" t="s">
        <v>5249</v>
      </c>
      <c r="L843" s="858">
        <v>79646.017699115095</v>
      </c>
      <c r="M843" s="858">
        <v>19911.504424778799</v>
      </c>
      <c r="N843" s="964">
        <v>2019.06</v>
      </c>
      <c r="O843" s="783" t="s">
        <v>6956</v>
      </c>
      <c r="P843" s="793" t="s">
        <v>4932</v>
      </c>
      <c r="Q843" s="795">
        <v>18633903524</v>
      </c>
      <c r="R843" s="796" t="s">
        <v>7086</v>
      </c>
      <c r="S843" s="796" t="s">
        <v>4670</v>
      </c>
      <c r="T843" s="769"/>
      <c r="U843" s="861"/>
      <c r="V843" s="1592"/>
    </row>
    <row r="844" spans="1:22" s="831" customFormat="1" ht="24" hidden="1" customHeight="1">
      <c r="A844" s="1283"/>
      <c r="B844" s="1283" t="s">
        <v>1484</v>
      </c>
      <c r="C844" s="965" t="s">
        <v>5439</v>
      </c>
      <c r="D844" s="965" t="s">
        <v>3821</v>
      </c>
      <c r="E844" s="1283">
        <v>325</v>
      </c>
      <c r="F844" s="783" t="s">
        <v>34</v>
      </c>
      <c r="G844" s="1283" t="s">
        <v>32</v>
      </c>
      <c r="H844" s="1283" t="s">
        <v>6904</v>
      </c>
      <c r="I844" s="783" t="s">
        <v>34</v>
      </c>
      <c r="J844" s="783" t="s">
        <v>34</v>
      </c>
      <c r="K844" s="805" t="s">
        <v>5249</v>
      </c>
      <c r="L844" s="858">
        <v>43141.592920354</v>
      </c>
      <c r="M844" s="858">
        <v>10785.3982300885</v>
      </c>
      <c r="N844" s="964">
        <v>2019.06</v>
      </c>
      <c r="O844" s="783" t="s">
        <v>6956</v>
      </c>
      <c r="P844" s="793" t="s">
        <v>4932</v>
      </c>
      <c r="Q844" s="795">
        <v>18633903524</v>
      </c>
      <c r="R844" s="796" t="s">
        <v>7086</v>
      </c>
      <c r="S844" s="796" t="s">
        <v>4670</v>
      </c>
      <c r="T844" s="769"/>
      <c r="U844" s="861"/>
      <c r="V844" s="1592"/>
    </row>
    <row r="845" spans="1:22" s="831" customFormat="1" ht="24" hidden="1" customHeight="1">
      <c r="A845" s="1283"/>
      <c r="B845" s="1283" t="s">
        <v>5440</v>
      </c>
      <c r="C845" s="1283" t="s">
        <v>5441</v>
      </c>
      <c r="D845" s="1283" t="s">
        <v>79</v>
      </c>
      <c r="E845" s="1283">
        <v>1</v>
      </c>
      <c r="F845" s="783" t="s">
        <v>34</v>
      </c>
      <c r="G845" s="1283" t="s">
        <v>32</v>
      </c>
      <c r="H845" s="1283" t="s">
        <v>6904</v>
      </c>
      <c r="I845" s="783" t="s">
        <v>34</v>
      </c>
      <c r="J845" s="783" t="s">
        <v>34</v>
      </c>
      <c r="K845" s="805" t="s">
        <v>5249</v>
      </c>
      <c r="L845" s="858">
        <v>3805.3097345132701</v>
      </c>
      <c r="M845" s="858">
        <v>951.32743362831798</v>
      </c>
      <c r="N845" s="964">
        <v>2019.06</v>
      </c>
      <c r="O845" s="783" t="s">
        <v>6956</v>
      </c>
      <c r="P845" s="793" t="s">
        <v>4932</v>
      </c>
      <c r="Q845" s="795">
        <v>18633903524</v>
      </c>
      <c r="R845" s="796" t="s">
        <v>7086</v>
      </c>
      <c r="S845" s="796" t="s">
        <v>4670</v>
      </c>
      <c r="T845" s="769"/>
      <c r="U845" s="861"/>
      <c r="V845" s="1592"/>
    </row>
    <row r="846" spans="1:22" s="831" customFormat="1" ht="24" hidden="1" customHeight="1">
      <c r="A846" s="1283"/>
      <c r="B846" s="1283" t="s">
        <v>5442</v>
      </c>
      <c r="C846" s="1283" t="s">
        <v>5443</v>
      </c>
      <c r="D846" s="1283" t="s">
        <v>79</v>
      </c>
      <c r="E846" s="1283">
        <v>4</v>
      </c>
      <c r="F846" s="783" t="s">
        <v>34</v>
      </c>
      <c r="G846" s="1283" t="s">
        <v>32</v>
      </c>
      <c r="H846" s="1283" t="s">
        <v>6904</v>
      </c>
      <c r="I846" s="783" t="s">
        <v>34</v>
      </c>
      <c r="J846" s="783" t="s">
        <v>34</v>
      </c>
      <c r="K846" s="805" t="s">
        <v>5249</v>
      </c>
      <c r="L846" s="858">
        <v>8849.5575221238905</v>
      </c>
      <c r="M846" s="858">
        <v>2212.3893805309699</v>
      </c>
      <c r="N846" s="964">
        <v>2019.06</v>
      </c>
      <c r="O846" s="783" t="s">
        <v>6956</v>
      </c>
      <c r="P846" s="793" t="s">
        <v>4932</v>
      </c>
      <c r="Q846" s="795">
        <v>18633903524</v>
      </c>
      <c r="R846" s="796" t="s">
        <v>7086</v>
      </c>
      <c r="S846" s="796" t="s">
        <v>4670</v>
      </c>
      <c r="T846" s="769"/>
      <c r="U846" s="861"/>
      <c r="V846" s="1592"/>
    </row>
    <row r="847" spans="1:22" s="831" customFormat="1" ht="24" hidden="1" customHeight="1">
      <c r="A847" s="1283"/>
      <c r="B847" s="1283" t="s">
        <v>5442</v>
      </c>
      <c r="C847" s="1283" t="s">
        <v>5444</v>
      </c>
      <c r="D847" s="1283" t="s">
        <v>79</v>
      </c>
      <c r="E847" s="1283">
        <v>4</v>
      </c>
      <c r="F847" s="783" t="s">
        <v>34</v>
      </c>
      <c r="G847" s="1283" t="s">
        <v>32</v>
      </c>
      <c r="H847" s="1283" t="s">
        <v>6904</v>
      </c>
      <c r="I847" s="783" t="s">
        <v>34</v>
      </c>
      <c r="J847" s="783" t="s">
        <v>34</v>
      </c>
      <c r="K847" s="805" t="s">
        <v>5249</v>
      </c>
      <c r="L847" s="858">
        <v>4601.7699115044297</v>
      </c>
      <c r="M847" s="858">
        <v>1150.4424778761099</v>
      </c>
      <c r="N847" s="964">
        <v>2019.06</v>
      </c>
      <c r="O847" s="783" t="s">
        <v>6956</v>
      </c>
      <c r="P847" s="793" t="s">
        <v>4932</v>
      </c>
      <c r="Q847" s="795">
        <v>18633903524</v>
      </c>
      <c r="R847" s="796" t="s">
        <v>7086</v>
      </c>
      <c r="S847" s="796" t="s">
        <v>4670</v>
      </c>
      <c r="T847" s="769"/>
      <c r="U847" s="861"/>
      <c r="V847" s="1592"/>
    </row>
    <row r="848" spans="1:22" s="831" customFormat="1" ht="24" hidden="1" customHeight="1">
      <c r="A848" s="1283"/>
      <c r="B848" s="1283" t="s">
        <v>5445</v>
      </c>
      <c r="C848" s="1283" t="s">
        <v>5446</v>
      </c>
      <c r="D848" s="1283" t="s">
        <v>1477</v>
      </c>
      <c r="E848" s="1283">
        <v>3</v>
      </c>
      <c r="F848" s="783" t="s">
        <v>34</v>
      </c>
      <c r="G848" s="1283" t="s">
        <v>32</v>
      </c>
      <c r="H848" s="1283" t="s">
        <v>6904</v>
      </c>
      <c r="I848" s="783" t="s">
        <v>34</v>
      </c>
      <c r="J848" s="783" t="s">
        <v>34</v>
      </c>
      <c r="K848" s="805" t="s">
        <v>5249</v>
      </c>
      <c r="L848" s="858">
        <v>21769.911504424799</v>
      </c>
      <c r="M848" s="858">
        <v>5442.4778761061998</v>
      </c>
      <c r="N848" s="964">
        <v>2019.06</v>
      </c>
      <c r="O848" s="783" t="s">
        <v>6956</v>
      </c>
      <c r="P848" s="793" t="s">
        <v>4932</v>
      </c>
      <c r="Q848" s="795">
        <v>18633903524</v>
      </c>
      <c r="R848" s="796" t="s">
        <v>7086</v>
      </c>
      <c r="S848" s="796" t="s">
        <v>4670</v>
      </c>
      <c r="T848" s="769"/>
      <c r="U848" s="861"/>
      <c r="V848" s="1592"/>
    </row>
    <row r="849" spans="1:22" s="831" customFormat="1" ht="24" hidden="1" customHeight="1">
      <c r="A849" s="1283"/>
      <c r="B849" s="1283" t="s">
        <v>5445</v>
      </c>
      <c r="C849" s="1283" t="s">
        <v>5447</v>
      </c>
      <c r="D849" s="1283" t="s">
        <v>5448</v>
      </c>
      <c r="E849" s="1283">
        <v>1</v>
      </c>
      <c r="F849" s="783" t="s">
        <v>34</v>
      </c>
      <c r="G849" s="1283" t="s">
        <v>32</v>
      </c>
      <c r="H849" s="1283" t="s">
        <v>6904</v>
      </c>
      <c r="I849" s="783" t="s">
        <v>34</v>
      </c>
      <c r="J849" s="783" t="s">
        <v>34</v>
      </c>
      <c r="K849" s="805" t="s">
        <v>5249</v>
      </c>
      <c r="L849" s="858">
        <v>7743.3628318584097</v>
      </c>
      <c r="M849" s="858">
        <v>1935.8407079645999</v>
      </c>
      <c r="N849" s="964">
        <v>2019.06</v>
      </c>
      <c r="O849" s="783" t="s">
        <v>6956</v>
      </c>
      <c r="P849" s="793" t="s">
        <v>4932</v>
      </c>
      <c r="Q849" s="795">
        <v>18633903524</v>
      </c>
      <c r="R849" s="796" t="s">
        <v>7086</v>
      </c>
      <c r="S849" s="796" t="s">
        <v>4670</v>
      </c>
      <c r="T849" s="769"/>
      <c r="U849" s="861"/>
      <c r="V849" s="1592"/>
    </row>
    <row r="850" spans="1:22" s="831" customFormat="1" ht="24" hidden="1" customHeight="1">
      <c r="A850" s="1283"/>
      <c r="B850" s="1283" t="s">
        <v>5449</v>
      </c>
      <c r="C850" s="1283" t="s">
        <v>5450</v>
      </c>
      <c r="D850" s="1283" t="s">
        <v>1477</v>
      </c>
      <c r="E850" s="1283">
        <v>1</v>
      </c>
      <c r="F850" s="783" t="s">
        <v>34</v>
      </c>
      <c r="G850" s="1283" t="s">
        <v>32</v>
      </c>
      <c r="H850" s="1283" t="s">
        <v>6904</v>
      </c>
      <c r="I850" s="783" t="s">
        <v>34</v>
      </c>
      <c r="J850" s="783" t="s">
        <v>34</v>
      </c>
      <c r="K850" s="805" t="s">
        <v>5249</v>
      </c>
      <c r="L850" s="858">
        <v>6371.6814159291998</v>
      </c>
      <c r="M850" s="858">
        <v>1592.9203539823</v>
      </c>
      <c r="N850" s="964">
        <v>2019.06</v>
      </c>
      <c r="O850" s="783" t="s">
        <v>6956</v>
      </c>
      <c r="P850" s="793" t="s">
        <v>4932</v>
      </c>
      <c r="Q850" s="795">
        <v>18633903524</v>
      </c>
      <c r="R850" s="796" t="s">
        <v>7086</v>
      </c>
      <c r="S850" s="796" t="s">
        <v>4670</v>
      </c>
      <c r="T850" s="769"/>
      <c r="U850" s="861"/>
      <c r="V850" s="1592"/>
    </row>
    <row r="851" spans="1:22" s="831" customFormat="1" ht="24" hidden="1" customHeight="1">
      <c r="A851" s="1283"/>
      <c r="B851" s="1283" t="s">
        <v>5449</v>
      </c>
      <c r="C851" s="1283" t="s">
        <v>5451</v>
      </c>
      <c r="D851" s="1283" t="s">
        <v>5448</v>
      </c>
      <c r="E851" s="1283">
        <v>10</v>
      </c>
      <c r="F851" s="783" t="s">
        <v>34</v>
      </c>
      <c r="G851" s="1283" t="s">
        <v>32</v>
      </c>
      <c r="H851" s="1283" t="s">
        <v>6904</v>
      </c>
      <c r="I851" s="783" t="s">
        <v>34</v>
      </c>
      <c r="J851" s="783" t="s">
        <v>34</v>
      </c>
      <c r="K851" s="805" t="s">
        <v>5249</v>
      </c>
      <c r="L851" s="858">
        <v>38716.814159292</v>
      </c>
      <c r="M851" s="858">
        <v>9679.203539823</v>
      </c>
      <c r="N851" s="964">
        <v>2019.06</v>
      </c>
      <c r="O851" s="783" t="s">
        <v>6956</v>
      </c>
      <c r="P851" s="793" t="s">
        <v>4932</v>
      </c>
      <c r="Q851" s="795">
        <v>18633903524</v>
      </c>
      <c r="R851" s="796" t="s">
        <v>7086</v>
      </c>
      <c r="S851" s="796" t="s">
        <v>4670</v>
      </c>
      <c r="T851" s="769"/>
      <c r="U851" s="861"/>
      <c r="V851" s="1592"/>
    </row>
    <row r="852" spans="1:22" s="831" customFormat="1" ht="24" hidden="1" customHeight="1">
      <c r="A852" s="1283"/>
      <c r="B852" s="1283" t="s">
        <v>5449</v>
      </c>
      <c r="C852" s="1283" t="s">
        <v>5452</v>
      </c>
      <c r="D852" s="1283" t="s">
        <v>1477</v>
      </c>
      <c r="E852" s="1283">
        <v>10</v>
      </c>
      <c r="F852" s="783" t="s">
        <v>34</v>
      </c>
      <c r="G852" s="1283" t="s">
        <v>32</v>
      </c>
      <c r="H852" s="1283" t="s">
        <v>6904</v>
      </c>
      <c r="I852" s="783" t="s">
        <v>34</v>
      </c>
      <c r="J852" s="783" t="s">
        <v>34</v>
      </c>
      <c r="K852" s="805" t="s">
        <v>5249</v>
      </c>
      <c r="L852" s="858">
        <v>71238.938053097401</v>
      </c>
      <c r="M852" s="858">
        <v>17809.734513274401</v>
      </c>
      <c r="N852" s="964">
        <v>2019.06</v>
      </c>
      <c r="O852" s="783" t="s">
        <v>6956</v>
      </c>
      <c r="P852" s="793" t="s">
        <v>4932</v>
      </c>
      <c r="Q852" s="795">
        <v>18633903524</v>
      </c>
      <c r="R852" s="796" t="s">
        <v>7086</v>
      </c>
      <c r="S852" s="796" t="s">
        <v>4670</v>
      </c>
      <c r="T852" s="769"/>
      <c r="U852" s="861"/>
      <c r="V852" s="1592"/>
    </row>
    <row r="853" spans="1:22" ht="24" hidden="1" customHeight="1">
      <c r="A853" s="360"/>
      <c r="B853" s="360" t="s">
        <v>5453</v>
      </c>
      <c r="C853" s="360" t="s">
        <v>5218</v>
      </c>
      <c r="D853" s="360" t="s">
        <v>79</v>
      </c>
      <c r="E853" s="360">
        <v>132</v>
      </c>
      <c r="F853" s="919" t="s">
        <v>34</v>
      </c>
      <c r="G853" s="360" t="s">
        <v>32</v>
      </c>
      <c r="H853" s="360" t="s">
        <v>33</v>
      </c>
      <c r="I853" s="919" t="s">
        <v>34</v>
      </c>
      <c r="J853" s="784" t="s">
        <v>4682</v>
      </c>
      <c r="K853" s="899" t="s">
        <v>34</v>
      </c>
      <c r="L853" s="966">
        <v>10252.427196000001</v>
      </c>
      <c r="M853" s="967">
        <v>0</v>
      </c>
      <c r="N853" s="968">
        <v>2020.1</v>
      </c>
      <c r="O853" s="787" t="s">
        <v>5454</v>
      </c>
      <c r="P853" s="801" t="s">
        <v>4684</v>
      </c>
      <c r="Q853" s="787">
        <v>15034117366</v>
      </c>
      <c r="R853" s="789" t="s">
        <v>4682</v>
      </c>
      <c r="S853" s="789" t="s">
        <v>4670</v>
      </c>
      <c r="T853" s="769"/>
      <c r="U853" s="774"/>
    </row>
    <row r="854" spans="1:22" ht="24" hidden="1" customHeight="1">
      <c r="A854" s="360"/>
      <c r="B854" s="360" t="s">
        <v>1412</v>
      </c>
      <c r="C854" s="360" t="s">
        <v>5455</v>
      </c>
      <c r="D854" s="360" t="s">
        <v>79</v>
      </c>
      <c r="E854" s="969">
        <v>1</v>
      </c>
      <c r="F854" s="919" t="s">
        <v>34</v>
      </c>
      <c r="G854" s="360" t="s">
        <v>32</v>
      </c>
      <c r="H854" s="360" t="s">
        <v>33</v>
      </c>
      <c r="I854" s="919" t="s">
        <v>34</v>
      </c>
      <c r="J854" s="784" t="s">
        <v>4682</v>
      </c>
      <c r="K854" s="899" t="s">
        <v>34</v>
      </c>
      <c r="L854" s="970">
        <v>6896.5517200000004</v>
      </c>
      <c r="M854" s="967">
        <v>0</v>
      </c>
      <c r="N854" s="968">
        <v>2020.1</v>
      </c>
      <c r="O854" s="787" t="s">
        <v>5454</v>
      </c>
      <c r="P854" s="801" t="s">
        <v>4684</v>
      </c>
      <c r="Q854" s="787">
        <v>15034117366</v>
      </c>
      <c r="R854" s="789" t="s">
        <v>4682</v>
      </c>
      <c r="S854" s="789" t="s">
        <v>4670</v>
      </c>
      <c r="T854" s="769"/>
      <c r="U854" s="774"/>
    </row>
    <row r="855" spans="1:22" ht="24" hidden="1" customHeight="1">
      <c r="A855" s="360"/>
      <c r="B855" s="360" t="s">
        <v>5456</v>
      </c>
      <c r="C855" s="360" t="s">
        <v>5457</v>
      </c>
      <c r="D855" s="360" t="s">
        <v>79</v>
      </c>
      <c r="E855" s="810">
        <v>15</v>
      </c>
      <c r="F855" s="919" t="s">
        <v>34</v>
      </c>
      <c r="G855" s="360" t="s">
        <v>32</v>
      </c>
      <c r="H855" s="360" t="s">
        <v>33</v>
      </c>
      <c r="I855" s="919" t="s">
        <v>34</v>
      </c>
      <c r="J855" s="784" t="s">
        <v>4682</v>
      </c>
      <c r="K855" s="899" t="s">
        <v>34</v>
      </c>
      <c r="L855" s="970">
        <v>54956.88</v>
      </c>
      <c r="M855" s="967">
        <v>0</v>
      </c>
      <c r="N855" s="968">
        <v>2020.1</v>
      </c>
      <c r="O855" s="787" t="s">
        <v>5454</v>
      </c>
      <c r="P855" s="801" t="s">
        <v>4684</v>
      </c>
      <c r="Q855" s="787">
        <v>15034117366</v>
      </c>
      <c r="R855" s="789" t="s">
        <v>4682</v>
      </c>
      <c r="S855" s="789" t="s">
        <v>4670</v>
      </c>
      <c r="T855" s="769"/>
      <c r="U855" s="774"/>
    </row>
    <row r="856" spans="1:22" ht="24" hidden="1" customHeight="1">
      <c r="A856" s="360"/>
      <c r="B856" s="360" t="s">
        <v>5458</v>
      </c>
      <c r="C856" s="360" t="s">
        <v>5459</v>
      </c>
      <c r="D856" s="360" t="s">
        <v>464</v>
      </c>
      <c r="E856" s="810">
        <v>1</v>
      </c>
      <c r="F856" s="919" t="s">
        <v>34</v>
      </c>
      <c r="G856" s="360" t="s">
        <v>32</v>
      </c>
      <c r="H856" s="360" t="s">
        <v>33</v>
      </c>
      <c r="I856" s="919" t="s">
        <v>34</v>
      </c>
      <c r="J856" s="784" t="s">
        <v>4682</v>
      </c>
      <c r="K856" s="899" t="s">
        <v>34</v>
      </c>
      <c r="L856" s="970">
        <v>2424.5708</v>
      </c>
      <c r="M856" s="967">
        <v>0</v>
      </c>
      <c r="N856" s="968">
        <v>2020.1</v>
      </c>
      <c r="O856" s="787" t="s">
        <v>5454</v>
      </c>
      <c r="P856" s="801" t="s">
        <v>4684</v>
      </c>
      <c r="Q856" s="787">
        <v>15034117366</v>
      </c>
      <c r="R856" s="789" t="s">
        <v>4682</v>
      </c>
      <c r="S856" s="789" t="s">
        <v>4670</v>
      </c>
      <c r="T856" s="769"/>
      <c r="U856" s="774"/>
    </row>
    <row r="857" spans="1:22" ht="24" hidden="1" customHeight="1">
      <c r="A857" s="360"/>
      <c r="B857" s="360" t="s">
        <v>5458</v>
      </c>
      <c r="C857" s="360" t="s">
        <v>5460</v>
      </c>
      <c r="D857" s="360" t="s">
        <v>464</v>
      </c>
      <c r="E857" s="810">
        <v>2</v>
      </c>
      <c r="F857" s="919" t="s">
        <v>34</v>
      </c>
      <c r="G857" s="360" t="s">
        <v>32</v>
      </c>
      <c r="H857" s="360" t="s">
        <v>33</v>
      </c>
      <c r="I857" s="919" t="s">
        <v>34</v>
      </c>
      <c r="J857" s="784" t="s">
        <v>4682</v>
      </c>
      <c r="K857" s="899" t="s">
        <v>34</v>
      </c>
      <c r="L857" s="970">
        <v>5926.7255999999998</v>
      </c>
      <c r="M857" s="967">
        <v>0</v>
      </c>
      <c r="N857" s="968">
        <v>2020.1</v>
      </c>
      <c r="O857" s="787" t="s">
        <v>5454</v>
      </c>
      <c r="P857" s="801" t="s">
        <v>4684</v>
      </c>
      <c r="Q857" s="787">
        <v>15034117366</v>
      </c>
      <c r="R857" s="789" t="s">
        <v>4682</v>
      </c>
      <c r="S857" s="789" t="s">
        <v>4670</v>
      </c>
      <c r="T857" s="769"/>
      <c r="U857" s="774"/>
    </row>
    <row r="858" spans="1:22" ht="24" hidden="1" customHeight="1">
      <c r="A858" s="360"/>
      <c r="B858" s="360" t="s">
        <v>5453</v>
      </c>
      <c r="C858" s="360" t="s">
        <v>5218</v>
      </c>
      <c r="D858" s="360" t="s">
        <v>3821</v>
      </c>
      <c r="E858" s="810">
        <v>113</v>
      </c>
      <c r="F858" s="919" t="s">
        <v>34</v>
      </c>
      <c r="G858" s="360" t="s">
        <v>32</v>
      </c>
      <c r="H858" s="360" t="s">
        <v>33</v>
      </c>
      <c r="I858" s="919" t="s">
        <v>34</v>
      </c>
      <c r="J858" s="784" t="s">
        <v>4682</v>
      </c>
      <c r="K858" s="899" t="s">
        <v>34</v>
      </c>
      <c r="L858" s="970">
        <v>6417.9612209999996</v>
      </c>
      <c r="M858" s="967">
        <v>0</v>
      </c>
      <c r="N858" s="968">
        <v>2020.1</v>
      </c>
      <c r="O858" s="787" t="s">
        <v>5454</v>
      </c>
      <c r="P858" s="801" t="s">
        <v>4684</v>
      </c>
      <c r="Q858" s="787">
        <v>15034117366</v>
      </c>
      <c r="R858" s="789" t="s">
        <v>4682</v>
      </c>
      <c r="S858" s="789" t="s">
        <v>4670</v>
      </c>
      <c r="T858" s="769"/>
      <c r="U858" s="774"/>
    </row>
    <row r="859" spans="1:22" ht="24" hidden="1" customHeight="1">
      <c r="A859" s="360"/>
      <c r="B859" s="360" t="s">
        <v>5456</v>
      </c>
      <c r="C859" s="360" t="s">
        <v>5457</v>
      </c>
      <c r="D859" s="360" t="s">
        <v>79</v>
      </c>
      <c r="E859" s="810">
        <v>2</v>
      </c>
      <c r="F859" s="919" t="s">
        <v>34</v>
      </c>
      <c r="G859" s="360" t="s">
        <v>32</v>
      </c>
      <c r="H859" s="360" t="s">
        <v>33</v>
      </c>
      <c r="I859" s="919" t="s">
        <v>34</v>
      </c>
      <c r="J859" s="784" t="s">
        <v>4682</v>
      </c>
      <c r="K859" s="899" t="s">
        <v>34</v>
      </c>
      <c r="L859" s="970">
        <v>7327.5839999999998</v>
      </c>
      <c r="M859" s="967">
        <v>0</v>
      </c>
      <c r="N859" s="968">
        <v>2020.1</v>
      </c>
      <c r="O859" s="787" t="s">
        <v>5454</v>
      </c>
      <c r="P859" s="801" t="s">
        <v>4684</v>
      </c>
      <c r="Q859" s="787">
        <v>15034117366</v>
      </c>
      <c r="R859" s="789" t="s">
        <v>4682</v>
      </c>
      <c r="S859" s="789" t="s">
        <v>4670</v>
      </c>
      <c r="T859" s="769"/>
      <c r="U859" s="774"/>
    </row>
    <row r="860" spans="1:22" ht="24" hidden="1" customHeight="1">
      <c r="A860" s="360"/>
      <c r="B860" s="360" t="s">
        <v>5461</v>
      </c>
      <c r="C860" s="360" t="s">
        <v>5462</v>
      </c>
      <c r="D860" s="360" t="s">
        <v>79</v>
      </c>
      <c r="E860" s="810">
        <v>2</v>
      </c>
      <c r="F860" s="919" t="s">
        <v>34</v>
      </c>
      <c r="G860" s="360" t="s">
        <v>32</v>
      </c>
      <c r="H860" s="360" t="s">
        <v>33</v>
      </c>
      <c r="I860" s="919" t="s">
        <v>34</v>
      </c>
      <c r="J860" s="784" t="s">
        <v>4682</v>
      </c>
      <c r="K860" s="899" t="s">
        <v>34</v>
      </c>
      <c r="L860" s="970">
        <v>2268.62</v>
      </c>
      <c r="M860" s="967">
        <v>0</v>
      </c>
      <c r="N860" s="968">
        <v>2020.1</v>
      </c>
      <c r="O860" s="787" t="s">
        <v>5454</v>
      </c>
      <c r="P860" s="801" t="s">
        <v>4684</v>
      </c>
      <c r="Q860" s="787">
        <v>15034117366</v>
      </c>
      <c r="R860" s="789" t="s">
        <v>4682</v>
      </c>
      <c r="S860" s="789" t="s">
        <v>4670</v>
      </c>
      <c r="T860" s="769"/>
      <c r="U860" s="774"/>
    </row>
    <row r="861" spans="1:22" ht="24" hidden="1" customHeight="1">
      <c r="A861" s="360"/>
      <c r="B861" s="360" t="s">
        <v>5453</v>
      </c>
      <c r="C861" s="360" t="s">
        <v>5218</v>
      </c>
      <c r="D861" s="360" t="s">
        <v>3821</v>
      </c>
      <c r="E861" s="810">
        <v>174</v>
      </c>
      <c r="F861" s="919" t="s">
        <v>34</v>
      </c>
      <c r="G861" s="360" t="s">
        <v>32</v>
      </c>
      <c r="H861" s="360" t="s">
        <v>33</v>
      </c>
      <c r="I861" s="919" t="s">
        <v>34</v>
      </c>
      <c r="J861" s="784" t="s">
        <v>4682</v>
      </c>
      <c r="K861" s="899" t="s">
        <v>34</v>
      </c>
      <c r="L861" s="970">
        <v>9882.5241839999999</v>
      </c>
      <c r="M861" s="967">
        <v>0</v>
      </c>
      <c r="N861" s="968">
        <v>2020.1</v>
      </c>
      <c r="O861" s="787" t="s">
        <v>5454</v>
      </c>
      <c r="P861" s="801" t="s">
        <v>4684</v>
      </c>
      <c r="Q861" s="787">
        <v>15034117366</v>
      </c>
      <c r="R861" s="789" t="s">
        <v>4682</v>
      </c>
      <c r="S861" s="789" t="s">
        <v>4670</v>
      </c>
      <c r="T861" s="769"/>
      <c r="U861" s="774"/>
    </row>
    <row r="862" spans="1:22" ht="24" hidden="1" customHeight="1">
      <c r="A862" s="360"/>
      <c r="B862" s="360" t="s">
        <v>5453</v>
      </c>
      <c r="C862" s="360" t="s">
        <v>3673</v>
      </c>
      <c r="D862" s="360" t="s">
        <v>79</v>
      </c>
      <c r="E862" s="810">
        <v>156</v>
      </c>
      <c r="F862" s="919" t="s">
        <v>34</v>
      </c>
      <c r="G862" s="360" t="s">
        <v>32</v>
      </c>
      <c r="H862" s="360" t="s">
        <v>33</v>
      </c>
      <c r="I862" s="919" t="s">
        <v>34</v>
      </c>
      <c r="J862" s="784" t="s">
        <v>4682</v>
      </c>
      <c r="K862" s="899" t="s">
        <v>34</v>
      </c>
      <c r="L862" s="970">
        <v>13252.2</v>
      </c>
      <c r="M862" s="857">
        <v>6237.86</v>
      </c>
      <c r="N862" s="968">
        <v>2020.1</v>
      </c>
      <c r="O862" s="787" t="s">
        <v>5454</v>
      </c>
      <c r="P862" s="801" t="s">
        <v>4684</v>
      </c>
      <c r="Q862" s="787">
        <v>15034117366</v>
      </c>
      <c r="R862" s="789" t="s">
        <v>4682</v>
      </c>
      <c r="S862" s="789" t="s">
        <v>4670</v>
      </c>
      <c r="T862" s="769"/>
      <c r="U862" s="774"/>
    </row>
    <row r="863" spans="1:22" ht="24" hidden="1" customHeight="1">
      <c r="A863" s="360"/>
      <c r="B863" s="360" t="s">
        <v>5453</v>
      </c>
      <c r="C863" s="360" t="s">
        <v>5337</v>
      </c>
      <c r="D863" s="360" t="s">
        <v>79</v>
      </c>
      <c r="E863" s="810">
        <v>12</v>
      </c>
      <c r="F863" s="919" t="s">
        <v>34</v>
      </c>
      <c r="G863" s="360" t="s">
        <v>32</v>
      </c>
      <c r="H863" s="360" t="s">
        <v>33</v>
      </c>
      <c r="I863" s="919" t="s">
        <v>34</v>
      </c>
      <c r="J863" s="784" t="s">
        <v>4682</v>
      </c>
      <c r="K863" s="899" t="s">
        <v>34</v>
      </c>
      <c r="L863" s="970">
        <v>1398.6</v>
      </c>
      <c r="M863" s="857">
        <v>699.02909090908997</v>
      </c>
      <c r="N863" s="968">
        <v>2020.1</v>
      </c>
      <c r="O863" s="787" t="s">
        <v>5454</v>
      </c>
      <c r="P863" s="801" t="s">
        <v>4684</v>
      </c>
      <c r="Q863" s="787">
        <v>15034117366</v>
      </c>
      <c r="R863" s="789" t="s">
        <v>4682</v>
      </c>
      <c r="S863" s="789" t="s">
        <v>4670</v>
      </c>
      <c r="T863" s="769"/>
      <c r="U863" s="774"/>
    </row>
    <row r="864" spans="1:22" ht="24" hidden="1" customHeight="1">
      <c r="A864" s="360"/>
      <c r="B864" s="934" t="s">
        <v>5458</v>
      </c>
      <c r="C864" s="360" t="s">
        <v>5463</v>
      </c>
      <c r="D864" s="360" t="s">
        <v>464</v>
      </c>
      <c r="E864" s="810">
        <v>1</v>
      </c>
      <c r="F864" s="919" t="s">
        <v>34</v>
      </c>
      <c r="G864" s="360" t="s">
        <v>32</v>
      </c>
      <c r="H864" s="360" t="s">
        <v>33</v>
      </c>
      <c r="I864" s="919" t="s">
        <v>34</v>
      </c>
      <c r="J864" s="784" t="s">
        <v>4682</v>
      </c>
      <c r="K864" s="899" t="s">
        <v>34</v>
      </c>
      <c r="L864" s="970">
        <v>2963.3628318584101</v>
      </c>
      <c r="M864" s="857">
        <v>1296.4713309518199</v>
      </c>
      <c r="N864" s="968">
        <v>2020.1</v>
      </c>
      <c r="O864" s="787" t="s">
        <v>5454</v>
      </c>
      <c r="P864" s="801" t="s">
        <v>4684</v>
      </c>
      <c r="Q864" s="787">
        <v>15034117366</v>
      </c>
      <c r="R864" s="789" t="s">
        <v>4682</v>
      </c>
      <c r="S864" s="789" t="s">
        <v>4670</v>
      </c>
      <c r="T864" s="769"/>
      <c r="U864" s="774"/>
    </row>
    <row r="865" spans="1:21" ht="24" hidden="1" customHeight="1">
      <c r="A865" s="360"/>
      <c r="B865" s="934" t="s">
        <v>5458</v>
      </c>
      <c r="C865" s="360" t="s">
        <v>5464</v>
      </c>
      <c r="D865" s="360" t="s">
        <v>464</v>
      </c>
      <c r="E865" s="810">
        <v>1</v>
      </c>
      <c r="F865" s="919" t="s">
        <v>34</v>
      </c>
      <c r="G865" s="360" t="s">
        <v>32</v>
      </c>
      <c r="H865" s="360" t="s">
        <v>33</v>
      </c>
      <c r="I865" s="919" t="s">
        <v>34</v>
      </c>
      <c r="J865" s="784" t="s">
        <v>4682</v>
      </c>
      <c r="K865" s="899" t="s">
        <v>34</v>
      </c>
      <c r="L865" s="970">
        <v>2693.9646017699101</v>
      </c>
      <c r="M865" s="857">
        <v>1178.6095969231601</v>
      </c>
      <c r="N865" s="968">
        <v>2020.1</v>
      </c>
      <c r="O865" s="787" t="s">
        <v>5454</v>
      </c>
      <c r="P865" s="801" t="s">
        <v>4684</v>
      </c>
      <c r="Q865" s="787">
        <v>15034117366</v>
      </c>
      <c r="R865" s="789" t="s">
        <v>4682</v>
      </c>
      <c r="S865" s="789" t="s">
        <v>4670</v>
      </c>
      <c r="T865" s="769"/>
      <c r="U865" s="774"/>
    </row>
    <row r="866" spans="1:21" ht="24" hidden="1" customHeight="1">
      <c r="A866" s="360"/>
      <c r="B866" s="934" t="s">
        <v>5458</v>
      </c>
      <c r="C866" s="360" t="s">
        <v>5465</v>
      </c>
      <c r="D866" s="360" t="s">
        <v>464</v>
      </c>
      <c r="E866" s="883">
        <v>2</v>
      </c>
      <c r="F866" s="919" t="s">
        <v>34</v>
      </c>
      <c r="G866" s="360" t="s">
        <v>32</v>
      </c>
      <c r="H866" s="360" t="s">
        <v>33</v>
      </c>
      <c r="I866" s="919" t="s">
        <v>34</v>
      </c>
      <c r="J866" s="784" t="s">
        <v>4682</v>
      </c>
      <c r="K866" s="899" t="s">
        <v>34</v>
      </c>
      <c r="L866" s="970">
        <v>4849.1415929203604</v>
      </c>
      <c r="M866" s="857">
        <v>2121.4995974707099</v>
      </c>
      <c r="N866" s="968">
        <v>2020.1</v>
      </c>
      <c r="O866" s="787" t="s">
        <v>5454</v>
      </c>
      <c r="P866" s="801" t="s">
        <v>4684</v>
      </c>
      <c r="Q866" s="787">
        <v>15034117366</v>
      </c>
      <c r="R866" s="789" t="s">
        <v>4682</v>
      </c>
      <c r="S866" s="789" t="s">
        <v>4670</v>
      </c>
      <c r="T866" s="769"/>
      <c r="U866" s="774"/>
    </row>
    <row r="867" spans="1:21" ht="24" customHeight="1">
      <c r="A867" s="360"/>
      <c r="B867" s="360" t="s">
        <v>5466</v>
      </c>
      <c r="C867" s="360" t="s">
        <v>5467</v>
      </c>
      <c r="D867" s="360" t="s">
        <v>79</v>
      </c>
      <c r="E867" s="883">
        <v>114</v>
      </c>
      <c r="F867" s="919" t="s">
        <v>34</v>
      </c>
      <c r="G867" s="360" t="s">
        <v>32</v>
      </c>
      <c r="H867" s="360" t="s">
        <v>41</v>
      </c>
      <c r="I867" s="919" t="s">
        <v>34</v>
      </c>
      <c r="J867" s="784" t="s">
        <v>4682</v>
      </c>
      <c r="K867" s="899" t="s">
        <v>34</v>
      </c>
      <c r="L867" s="970">
        <v>17503.539823008799</v>
      </c>
      <c r="M867" s="857">
        <v>7657.7992160592003</v>
      </c>
      <c r="N867" s="968">
        <v>2020.1</v>
      </c>
      <c r="O867" s="787" t="s">
        <v>5454</v>
      </c>
      <c r="P867" s="801" t="s">
        <v>4684</v>
      </c>
      <c r="Q867" s="787">
        <v>15034117366</v>
      </c>
      <c r="R867" s="789" t="s">
        <v>4682</v>
      </c>
      <c r="S867" s="789" t="s">
        <v>4670</v>
      </c>
      <c r="T867" s="769"/>
      <c r="U867" s="774"/>
    </row>
    <row r="868" spans="1:21" ht="24" customHeight="1">
      <c r="A868" s="360"/>
      <c r="B868" s="360" t="s">
        <v>5466</v>
      </c>
      <c r="C868" s="360" t="s">
        <v>5468</v>
      </c>
      <c r="D868" s="934" t="s">
        <v>79</v>
      </c>
      <c r="E868" s="883">
        <v>8</v>
      </c>
      <c r="F868" s="919" t="s">
        <v>34</v>
      </c>
      <c r="G868" s="360" t="s">
        <v>32</v>
      </c>
      <c r="H868" s="360" t="s">
        <v>41</v>
      </c>
      <c r="I868" s="919" t="s">
        <v>34</v>
      </c>
      <c r="J868" s="784" t="s">
        <v>4682</v>
      </c>
      <c r="K868" s="899" t="s">
        <v>34</v>
      </c>
      <c r="L868" s="970">
        <v>2552.2123893805301</v>
      </c>
      <c r="M868" s="857">
        <v>1116.5929996013299</v>
      </c>
      <c r="N868" s="968">
        <v>2020.1</v>
      </c>
      <c r="O868" s="787" t="s">
        <v>5454</v>
      </c>
      <c r="P868" s="801" t="s">
        <v>4684</v>
      </c>
      <c r="Q868" s="787">
        <v>15034117366</v>
      </c>
      <c r="R868" s="789" t="s">
        <v>4682</v>
      </c>
      <c r="S868" s="789" t="s">
        <v>4670</v>
      </c>
      <c r="T868" s="769"/>
      <c r="U868" s="774"/>
    </row>
    <row r="869" spans="1:21" ht="24" customHeight="1">
      <c r="A869" s="360"/>
      <c r="B869" s="360" t="s">
        <v>526</v>
      </c>
      <c r="C869" s="360" t="s">
        <v>4773</v>
      </c>
      <c r="D869" s="934" t="s">
        <v>464</v>
      </c>
      <c r="E869" s="883">
        <v>60</v>
      </c>
      <c r="F869" s="919" t="s">
        <v>34</v>
      </c>
      <c r="G869" s="360" t="s">
        <v>32</v>
      </c>
      <c r="H869" s="360" t="s">
        <v>41</v>
      </c>
      <c r="I869" s="919" t="s">
        <v>34</v>
      </c>
      <c r="J869" s="784" t="s">
        <v>4682</v>
      </c>
      <c r="K869" s="899" t="s">
        <v>34</v>
      </c>
      <c r="L869" s="970">
        <v>7592.9203539823202</v>
      </c>
      <c r="M869" s="857">
        <v>3321.9028906308899</v>
      </c>
      <c r="N869" s="968">
        <v>2020.1</v>
      </c>
      <c r="O869" s="787" t="s">
        <v>5454</v>
      </c>
      <c r="P869" s="801" t="s">
        <v>4684</v>
      </c>
      <c r="Q869" s="787">
        <v>15034117366</v>
      </c>
      <c r="R869" s="789" t="s">
        <v>4682</v>
      </c>
      <c r="S869" s="789" t="s">
        <v>4670</v>
      </c>
      <c r="T869" s="769"/>
      <c r="U869" s="774"/>
    </row>
    <row r="870" spans="1:21" ht="24" customHeight="1">
      <c r="A870" s="360"/>
      <c r="B870" s="360" t="s">
        <v>4819</v>
      </c>
      <c r="C870" s="360" t="s">
        <v>4820</v>
      </c>
      <c r="D870" s="934" t="s">
        <v>31</v>
      </c>
      <c r="E870" s="883">
        <v>260</v>
      </c>
      <c r="F870" s="919" t="s">
        <v>34</v>
      </c>
      <c r="G870" s="360" t="s">
        <v>32</v>
      </c>
      <c r="H870" s="360" t="s">
        <v>41</v>
      </c>
      <c r="I870" s="919" t="s">
        <v>34</v>
      </c>
      <c r="J870" s="784" t="s">
        <v>4682</v>
      </c>
      <c r="K870" s="899" t="s">
        <v>34</v>
      </c>
      <c r="L870" s="970">
        <v>4601.7699115044297</v>
      </c>
      <c r="M870" s="857">
        <v>2013.2744791702301</v>
      </c>
      <c r="N870" s="968">
        <v>2020.1</v>
      </c>
      <c r="O870" s="787" t="s">
        <v>5454</v>
      </c>
      <c r="P870" s="801" t="s">
        <v>4684</v>
      </c>
      <c r="Q870" s="787">
        <v>15034117366</v>
      </c>
      <c r="R870" s="789" t="s">
        <v>4682</v>
      </c>
      <c r="S870" s="789" t="s">
        <v>4670</v>
      </c>
      <c r="T870" s="769"/>
      <c r="U870" s="774"/>
    </row>
    <row r="871" spans="1:21" ht="24" hidden="1" customHeight="1">
      <c r="A871" s="360"/>
      <c r="B871" s="934" t="s">
        <v>514</v>
      </c>
      <c r="C871" s="360"/>
      <c r="D871" s="360" t="s">
        <v>62</v>
      </c>
      <c r="E871" s="883">
        <v>17.41</v>
      </c>
      <c r="F871" s="919" t="s">
        <v>34</v>
      </c>
      <c r="G871" s="360" t="s">
        <v>32</v>
      </c>
      <c r="H871" s="360" t="s">
        <v>33</v>
      </c>
      <c r="I871" s="919" t="s">
        <v>34</v>
      </c>
      <c r="J871" s="784" t="s">
        <v>4682</v>
      </c>
      <c r="K871" s="899" t="s">
        <v>34</v>
      </c>
      <c r="L871" s="970">
        <v>37186.407766990298</v>
      </c>
      <c r="M871" s="857">
        <v>16269.0545527131</v>
      </c>
      <c r="N871" s="968">
        <v>2020.1</v>
      </c>
      <c r="O871" s="787" t="s">
        <v>5454</v>
      </c>
      <c r="P871" s="801" t="s">
        <v>4684</v>
      </c>
      <c r="Q871" s="787">
        <v>15034117366</v>
      </c>
      <c r="R871" s="789" t="s">
        <v>4682</v>
      </c>
      <c r="S871" s="789" t="s">
        <v>4670</v>
      </c>
      <c r="T871" s="769"/>
      <c r="U871" s="774"/>
    </row>
    <row r="872" spans="1:21" ht="24" customHeight="1">
      <c r="A872" s="360"/>
      <c r="B872" s="360" t="s">
        <v>5469</v>
      </c>
      <c r="C872" s="360" t="s">
        <v>5470</v>
      </c>
      <c r="D872" s="1283" t="s">
        <v>464</v>
      </c>
      <c r="E872" s="810">
        <v>100</v>
      </c>
      <c r="F872" s="919" t="s">
        <v>34</v>
      </c>
      <c r="G872" s="360" t="s">
        <v>32</v>
      </c>
      <c r="H872" s="360" t="s">
        <v>41</v>
      </c>
      <c r="I872" s="919" t="s">
        <v>34</v>
      </c>
      <c r="J872" s="784" t="s">
        <v>4682</v>
      </c>
      <c r="K872" s="899" t="s">
        <v>34</v>
      </c>
      <c r="L872" s="970">
        <v>3451.3274336283198</v>
      </c>
      <c r="M872" s="857">
        <v>1725.6637168141599</v>
      </c>
      <c r="N872" s="968">
        <v>2020.1</v>
      </c>
      <c r="O872" s="787" t="s">
        <v>5454</v>
      </c>
      <c r="P872" s="801" t="s">
        <v>4684</v>
      </c>
      <c r="Q872" s="787">
        <v>15034117366</v>
      </c>
      <c r="R872" s="789" t="s">
        <v>4682</v>
      </c>
      <c r="S872" s="789" t="s">
        <v>4670</v>
      </c>
      <c r="T872" s="769"/>
      <c r="U872" s="774"/>
    </row>
    <row r="873" spans="1:21" ht="24" customHeight="1">
      <c r="A873" s="360"/>
      <c r="B873" s="360" t="s">
        <v>5471</v>
      </c>
      <c r="C873" s="360" t="s">
        <v>5472</v>
      </c>
      <c r="D873" s="1283" t="s">
        <v>79</v>
      </c>
      <c r="E873" s="810">
        <v>10</v>
      </c>
      <c r="F873" s="919" t="s">
        <v>34</v>
      </c>
      <c r="G873" s="360" t="s">
        <v>32</v>
      </c>
      <c r="H873" s="360" t="s">
        <v>41</v>
      </c>
      <c r="I873" s="919" t="s">
        <v>34</v>
      </c>
      <c r="J873" s="784" t="s">
        <v>4682</v>
      </c>
      <c r="K873" s="899" t="s">
        <v>34</v>
      </c>
      <c r="L873" s="970">
        <v>1017.69911504425</v>
      </c>
      <c r="M873" s="857">
        <v>508.849557522125</v>
      </c>
      <c r="N873" s="968">
        <v>2020.1</v>
      </c>
      <c r="O873" s="787" t="s">
        <v>5454</v>
      </c>
      <c r="P873" s="801" t="s">
        <v>4684</v>
      </c>
      <c r="Q873" s="787">
        <v>15034117366</v>
      </c>
      <c r="R873" s="789" t="s">
        <v>4682</v>
      </c>
      <c r="S873" s="789" t="s">
        <v>4670</v>
      </c>
      <c r="T873" s="769"/>
      <c r="U873" s="774"/>
    </row>
    <row r="874" spans="1:21" ht="24" customHeight="1">
      <c r="A874" s="360"/>
      <c r="B874" s="360" t="s">
        <v>5471</v>
      </c>
      <c r="C874" s="360" t="s">
        <v>5473</v>
      </c>
      <c r="D874" s="1283" t="s">
        <v>79</v>
      </c>
      <c r="E874" s="810">
        <v>20</v>
      </c>
      <c r="F874" s="919" t="s">
        <v>34</v>
      </c>
      <c r="G874" s="360" t="s">
        <v>32</v>
      </c>
      <c r="H874" s="360" t="s">
        <v>41</v>
      </c>
      <c r="I874" s="919" t="s">
        <v>34</v>
      </c>
      <c r="J874" s="784" t="s">
        <v>4682</v>
      </c>
      <c r="K874" s="899" t="s">
        <v>34</v>
      </c>
      <c r="L874" s="970">
        <v>1380.5309734513301</v>
      </c>
      <c r="M874" s="857">
        <v>690.265486725664</v>
      </c>
      <c r="N874" s="968">
        <v>2020.1</v>
      </c>
      <c r="O874" s="787" t="s">
        <v>5454</v>
      </c>
      <c r="P874" s="801" t="s">
        <v>4684</v>
      </c>
      <c r="Q874" s="787">
        <v>15034117366</v>
      </c>
      <c r="R874" s="789" t="s">
        <v>4682</v>
      </c>
      <c r="S874" s="789" t="s">
        <v>4670</v>
      </c>
      <c r="T874" s="769"/>
      <c r="U874" s="774"/>
    </row>
    <row r="875" spans="1:21" ht="24" customHeight="1">
      <c r="A875" s="360"/>
      <c r="B875" s="360" t="s">
        <v>5474</v>
      </c>
      <c r="C875" s="360" t="s">
        <v>5475</v>
      </c>
      <c r="D875" s="1283" t="s">
        <v>3821</v>
      </c>
      <c r="E875" s="810">
        <v>160</v>
      </c>
      <c r="F875" s="919" t="s">
        <v>34</v>
      </c>
      <c r="G875" s="360" t="s">
        <v>32</v>
      </c>
      <c r="H875" s="360" t="s">
        <v>41</v>
      </c>
      <c r="I875" s="919" t="s">
        <v>34</v>
      </c>
      <c r="J875" s="784" t="s">
        <v>4682</v>
      </c>
      <c r="K875" s="899" t="s">
        <v>34</v>
      </c>
      <c r="L875" s="970">
        <v>21946.902654867201</v>
      </c>
      <c r="M875" s="857">
        <v>10973.4513274336</v>
      </c>
      <c r="N875" s="968">
        <v>2020.1</v>
      </c>
      <c r="O875" s="787" t="s">
        <v>5454</v>
      </c>
      <c r="P875" s="801" t="s">
        <v>4684</v>
      </c>
      <c r="Q875" s="787">
        <v>15034117366</v>
      </c>
      <c r="R875" s="789" t="s">
        <v>4682</v>
      </c>
      <c r="S875" s="789" t="s">
        <v>4670</v>
      </c>
      <c r="T875" s="769"/>
      <c r="U875" s="774"/>
    </row>
    <row r="876" spans="1:21" ht="24" customHeight="1">
      <c r="A876" s="360"/>
      <c r="B876" s="360" t="s">
        <v>5474</v>
      </c>
      <c r="C876" s="360" t="s">
        <v>5476</v>
      </c>
      <c r="D876" s="1283" t="s">
        <v>3821</v>
      </c>
      <c r="E876" s="810">
        <v>115</v>
      </c>
      <c r="F876" s="919" t="s">
        <v>34</v>
      </c>
      <c r="G876" s="360" t="s">
        <v>32</v>
      </c>
      <c r="H876" s="360" t="s">
        <v>41</v>
      </c>
      <c r="I876" s="919" t="s">
        <v>34</v>
      </c>
      <c r="J876" s="784" t="s">
        <v>4682</v>
      </c>
      <c r="K876" s="899" t="s">
        <v>34</v>
      </c>
      <c r="L876" s="970">
        <v>14146.017699115</v>
      </c>
      <c r="M876" s="857">
        <v>7073.0088495575101</v>
      </c>
      <c r="N876" s="968">
        <v>2020.1</v>
      </c>
      <c r="O876" s="787" t="s">
        <v>5454</v>
      </c>
      <c r="P876" s="801" t="s">
        <v>4684</v>
      </c>
      <c r="Q876" s="787">
        <v>15034117366</v>
      </c>
      <c r="R876" s="789" t="s">
        <v>4682</v>
      </c>
      <c r="S876" s="789" t="s">
        <v>4670</v>
      </c>
      <c r="T876" s="769"/>
      <c r="U876" s="774"/>
    </row>
    <row r="877" spans="1:21" ht="24" customHeight="1">
      <c r="A877" s="360"/>
      <c r="B877" s="360" t="s">
        <v>5469</v>
      </c>
      <c r="C877" s="360" t="s">
        <v>5470</v>
      </c>
      <c r="D877" s="1283" t="s">
        <v>464</v>
      </c>
      <c r="E877" s="810">
        <v>80</v>
      </c>
      <c r="F877" s="919" t="s">
        <v>34</v>
      </c>
      <c r="G877" s="360" t="s">
        <v>32</v>
      </c>
      <c r="H877" s="360" t="s">
        <v>41</v>
      </c>
      <c r="I877" s="919" t="s">
        <v>34</v>
      </c>
      <c r="J877" s="784" t="s">
        <v>4682</v>
      </c>
      <c r="K877" s="899" t="s">
        <v>34</v>
      </c>
      <c r="L877" s="970">
        <v>2761.0619469026601</v>
      </c>
      <c r="M877" s="857">
        <v>1380.5309734513301</v>
      </c>
      <c r="N877" s="968">
        <v>2020.1</v>
      </c>
      <c r="O877" s="787" t="s">
        <v>5454</v>
      </c>
      <c r="P877" s="801" t="s">
        <v>4684</v>
      </c>
      <c r="Q877" s="787">
        <v>15034117366</v>
      </c>
      <c r="R877" s="789" t="s">
        <v>4682</v>
      </c>
      <c r="S877" s="789" t="s">
        <v>4670</v>
      </c>
      <c r="T877" s="769"/>
      <c r="U877" s="774"/>
    </row>
    <row r="878" spans="1:21" ht="24" hidden="1" customHeight="1">
      <c r="A878" s="360"/>
      <c r="B878" s="360" t="s">
        <v>5477</v>
      </c>
      <c r="C878" s="360" t="s">
        <v>5478</v>
      </c>
      <c r="D878" s="1283" t="s">
        <v>79</v>
      </c>
      <c r="E878" s="810">
        <v>62</v>
      </c>
      <c r="F878" s="919" t="s">
        <v>34</v>
      </c>
      <c r="G878" s="360" t="s">
        <v>32</v>
      </c>
      <c r="H878" s="360" t="s">
        <v>33</v>
      </c>
      <c r="I878" s="919" t="s">
        <v>34</v>
      </c>
      <c r="J878" s="784" t="s">
        <v>4682</v>
      </c>
      <c r="K878" s="899" t="s">
        <v>34</v>
      </c>
      <c r="L878" s="970">
        <v>14814.1592920354</v>
      </c>
      <c r="M878" s="857">
        <v>7407.0796460176798</v>
      </c>
      <c r="N878" s="968">
        <v>2020.1</v>
      </c>
      <c r="O878" s="787" t="s">
        <v>5454</v>
      </c>
      <c r="P878" s="801" t="s">
        <v>4684</v>
      </c>
      <c r="Q878" s="787">
        <v>15034117366</v>
      </c>
      <c r="R878" s="789" t="s">
        <v>4682</v>
      </c>
      <c r="S878" s="789" t="s">
        <v>4670</v>
      </c>
      <c r="T878" s="769"/>
      <c r="U878" s="774"/>
    </row>
    <row r="879" spans="1:21" ht="24" customHeight="1">
      <c r="A879" s="360"/>
      <c r="B879" s="360" t="s">
        <v>5471</v>
      </c>
      <c r="C879" s="360" t="s">
        <v>5479</v>
      </c>
      <c r="D879" s="1283" t="s">
        <v>79</v>
      </c>
      <c r="E879" s="810">
        <v>4</v>
      </c>
      <c r="F879" s="919" t="s">
        <v>34</v>
      </c>
      <c r="G879" s="360" t="s">
        <v>32</v>
      </c>
      <c r="H879" s="360" t="s">
        <v>41</v>
      </c>
      <c r="I879" s="919" t="s">
        <v>34</v>
      </c>
      <c r="J879" s="784" t="s">
        <v>4682</v>
      </c>
      <c r="K879" s="899" t="s">
        <v>34</v>
      </c>
      <c r="L879" s="970">
        <v>725.66371681416001</v>
      </c>
      <c r="M879" s="857">
        <v>362.83185840708001</v>
      </c>
      <c r="N879" s="968">
        <v>2020.1</v>
      </c>
      <c r="O879" s="787" t="s">
        <v>5454</v>
      </c>
      <c r="P879" s="801" t="s">
        <v>4684</v>
      </c>
      <c r="Q879" s="787">
        <v>15034117366</v>
      </c>
      <c r="R879" s="789" t="s">
        <v>4682</v>
      </c>
      <c r="S879" s="789" t="s">
        <v>4670</v>
      </c>
      <c r="T879" s="769"/>
      <c r="U879" s="774"/>
    </row>
    <row r="880" spans="1:21" ht="24" customHeight="1">
      <c r="A880" s="360"/>
      <c r="B880" s="360" t="s">
        <v>5471</v>
      </c>
      <c r="C880" s="360" t="s">
        <v>5480</v>
      </c>
      <c r="D880" s="1283" t="s">
        <v>79</v>
      </c>
      <c r="E880" s="810">
        <v>4</v>
      </c>
      <c r="F880" s="919" t="s">
        <v>34</v>
      </c>
      <c r="G880" s="360" t="s">
        <v>32</v>
      </c>
      <c r="H880" s="360" t="s">
        <v>41</v>
      </c>
      <c r="I880" s="919" t="s">
        <v>34</v>
      </c>
      <c r="J880" s="784" t="s">
        <v>4682</v>
      </c>
      <c r="K880" s="899" t="s">
        <v>34</v>
      </c>
      <c r="L880" s="970">
        <v>619.46902654867199</v>
      </c>
      <c r="M880" s="857">
        <v>309.734513274336</v>
      </c>
      <c r="N880" s="968">
        <v>2020.1</v>
      </c>
      <c r="O880" s="787" t="s">
        <v>5454</v>
      </c>
      <c r="P880" s="801" t="s">
        <v>4684</v>
      </c>
      <c r="Q880" s="787">
        <v>15034117366</v>
      </c>
      <c r="R880" s="789" t="s">
        <v>4682</v>
      </c>
      <c r="S880" s="789" t="s">
        <v>4670</v>
      </c>
      <c r="T880" s="769"/>
      <c r="U880" s="774"/>
    </row>
    <row r="881" spans="1:22" ht="24" customHeight="1">
      <c r="A881" s="360"/>
      <c r="B881" s="360" t="s">
        <v>5471</v>
      </c>
      <c r="C881" s="360" t="s">
        <v>5481</v>
      </c>
      <c r="D881" s="1283" t="s">
        <v>79</v>
      </c>
      <c r="E881" s="810">
        <v>28</v>
      </c>
      <c r="F881" s="919" t="s">
        <v>34</v>
      </c>
      <c r="G881" s="360" t="s">
        <v>32</v>
      </c>
      <c r="H881" s="360" t="s">
        <v>41</v>
      </c>
      <c r="I881" s="919" t="s">
        <v>34</v>
      </c>
      <c r="J881" s="784" t="s">
        <v>4682</v>
      </c>
      <c r="K881" s="899" t="s">
        <v>34</v>
      </c>
      <c r="L881" s="970">
        <v>4584.0707964601797</v>
      </c>
      <c r="M881" s="857">
        <v>2292.0353982300899</v>
      </c>
      <c r="N881" s="968">
        <v>2020.1</v>
      </c>
      <c r="O881" s="787" t="s">
        <v>5454</v>
      </c>
      <c r="P881" s="801" t="s">
        <v>4684</v>
      </c>
      <c r="Q881" s="787">
        <v>15034117366</v>
      </c>
      <c r="R881" s="789" t="s">
        <v>4682</v>
      </c>
      <c r="S881" s="789" t="s">
        <v>4670</v>
      </c>
      <c r="T881" s="769"/>
      <c r="U881" s="774"/>
    </row>
    <row r="882" spans="1:22" ht="24" customHeight="1">
      <c r="A882" s="360"/>
      <c r="B882" s="360" t="s">
        <v>5471</v>
      </c>
      <c r="C882" s="360" t="s">
        <v>5482</v>
      </c>
      <c r="D882" s="1283" t="s">
        <v>79</v>
      </c>
      <c r="E882" s="810">
        <v>4</v>
      </c>
      <c r="F882" s="919" t="s">
        <v>34</v>
      </c>
      <c r="G882" s="360" t="s">
        <v>32</v>
      </c>
      <c r="H882" s="360" t="s">
        <v>41</v>
      </c>
      <c r="I882" s="919" t="s">
        <v>34</v>
      </c>
      <c r="J882" s="784" t="s">
        <v>4682</v>
      </c>
      <c r="K882" s="899" t="s">
        <v>34</v>
      </c>
      <c r="L882" s="970">
        <v>690.265486725664</v>
      </c>
      <c r="M882" s="857">
        <v>345.132743362832</v>
      </c>
      <c r="N882" s="968">
        <v>2020.1</v>
      </c>
      <c r="O882" s="787" t="s">
        <v>5454</v>
      </c>
      <c r="P882" s="801" t="s">
        <v>4684</v>
      </c>
      <c r="Q882" s="787">
        <v>15034117366</v>
      </c>
      <c r="R882" s="789" t="s">
        <v>4682</v>
      </c>
      <c r="S882" s="789" t="s">
        <v>4670</v>
      </c>
      <c r="T882" s="769"/>
      <c r="U882" s="774"/>
    </row>
    <row r="883" spans="1:22" ht="24" customHeight="1">
      <c r="A883" s="360"/>
      <c r="B883" s="360" t="s">
        <v>5471</v>
      </c>
      <c r="C883" s="360" t="s">
        <v>5483</v>
      </c>
      <c r="D883" s="1283" t="s">
        <v>79</v>
      </c>
      <c r="E883" s="810">
        <v>32</v>
      </c>
      <c r="F883" s="919" t="s">
        <v>34</v>
      </c>
      <c r="G883" s="360" t="s">
        <v>32</v>
      </c>
      <c r="H883" s="360" t="s">
        <v>41</v>
      </c>
      <c r="I883" s="919" t="s">
        <v>34</v>
      </c>
      <c r="J883" s="784" t="s">
        <v>4682</v>
      </c>
      <c r="K883" s="899" t="s">
        <v>34</v>
      </c>
      <c r="L883" s="970">
        <v>3256.6371681415999</v>
      </c>
      <c r="M883" s="857">
        <v>1628.3185840707999</v>
      </c>
      <c r="N883" s="968">
        <v>2020.1</v>
      </c>
      <c r="O883" s="787" t="s">
        <v>5454</v>
      </c>
      <c r="P883" s="801" t="s">
        <v>4684</v>
      </c>
      <c r="Q883" s="787">
        <v>15034117366</v>
      </c>
      <c r="R883" s="789" t="s">
        <v>4682</v>
      </c>
      <c r="S883" s="789" t="s">
        <v>4670</v>
      </c>
      <c r="T883" s="769"/>
      <c r="U883" s="774"/>
    </row>
    <row r="884" spans="1:22" ht="24" customHeight="1">
      <c r="A884" s="360"/>
      <c r="B884" s="360" t="s">
        <v>5471</v>
      </c>
      <c r="C884" s="360" t="s">
        <v>5484</v>
      </c>
      <c r="D884" s="1283" t="s">
        <v>79</v>
      </c>
      <c r="E884" s="810">
        <v>20</v>
      </c>
      <c r="F884" s="919" t="s">
        <v>34</v>
      </c>
      <c r="G884" s="360" t="s">
        <v>32</v>
      </c>
      <c r="H884" s="360" t="s">
        <v>41</v>
      </c>
      <c r="I884" s="919" t="s">
        <v>34</v>
      </c>
      <c r="J884" s="784" t="s">
        <v>4682</v>
      </c>
      <c r="K884" s="899" t="s">
        <v>34</v>
      </c>
      <c r="L884" s="970">
        <v>2920.35398230088</v>
      </c>
      <c r="M884" s="857">
        <v>1460.17699115044</v>
      </c>
      <c r="N884" s="968">
        <v>2020.1</v>
      </c>
      <c r="O884" s="787" t="s">
        <v>5454</v>
      </c>
      <c r="P884" s="801" t="s">
        <v>4684</v>
      </c>
      <c r="Q884" s="787">
        <v>15034117366</v>
      </c>
      <c r="R884" s="789" t="s">
        <v>4682</v>
      </c>
      <c r="S884" s="789" t="s">
        <v>4670</v>
      </c>
      <c r="T884" s="769"/>
      <c r="U884" s="774"/>
    </row>
    <row r="885" spans="1:22" ht="24" customHeight="1">
      <c r="A885" s="360"/>
      <c r="B885" s="360" t="s">
        <v>5485</v>
      </c>
      <c r="C885" s="360" t="s">
        <v>5486</v>
      </c>
      <c r="D885" s="971" t="s">
        <v>3821</v>
      </c>
      <c r="E885" s="810">
        <v>42</v>
      </c>
      <c r="F885" s="919" t="s">
        <v>34</v>
      </c>
      <c r="G885" s="360" t="s">
        <v>32</v>
      </c>
      <c r="H885" s="360" t="s">
        <v>41</v>
      </c>
      <c r="I885" s="919" t="s">
        <v>34</v>
      </c>
      <c r="J885" s="784" t="s">
        <v>4682</v>
      </c>
      <c r="K885" s="899" t="s">
        <v>34</v>
      </c>
      <c r="L885" s="970">
        <v>8920.3539823008705</v>
      </c>
      <c r="M885" s="857">
        <v>4460.1769911504298</v>
      </c>
      <c r="N885" s="968">
        <v>2020.1</v>
      </c>
      <c r="O885" s="787" t="s">
        <v>5454</v>
      </c>
      <c r="P885" s="801" t="s">
        <v>4684</v>
      </c>
      <c r="Q885" s="787">
        <v>15034117366</v>
      </c>
      <c r="R885" s="789" t="s">
        <v>4682</v>
      </c>
      <c r="S885" s="789" t="s">
        <v>4670</v>
      </c>
      <c r="T885" s="769"/>
      <c r="U885" s="774"/>
    </row>
    <row r="886" spans="1:22" ht="24" customHeight="1">
      <c r="A886" s="360"/>
      <c r="B886" s="360" t="s">
        <v>5485</v>
      </c>
      <c r="C886" s="360" t="s">
        <v>5487</v>
      </c>
      <c r="D886" s="971" t="s">
        <v>3821</v>
      </c>
      <c r="E886" s="810">
        <v>40</v>
      </c>
      <c r="F886" s="919" t="s">
        <v>34</v>
      </c>
      <c r="G886" s="360" t="s">
        <v>32</v>
      </c>
      <c r="H886" s="360" t="s">
        <v>41</v>
      </c>
      <c r="I886" s="919" t="s">
        <v>34</v>
      </c>
      <c r="J886" s="784" t="s">
        <v>4682</v>
      </c>
      <c r="K886" s="899" t="s">
        <v>34</v>
      </c>
      <c r="L886" s="970">
        <v>9741.5929203539999</v>
      </c>
      <c r="M886" s="857">
        <v>4870.796460177</v>
      </c>
      <c r="N886" s="968">
        <v>2020.1</v>
      </c>
      <c r="O886" s="787" t="s">
        <v>5454</v>
      </c>
      <c r="P886" s="801" t="s">
        <v>4684</v>
      </c>
      <c r="Q886" s="787">
        <v>15034117366</v>
      </c>
      <c r="R886" s="789" t="s">
        <v>4682</v>
      </c>
      <c r="S886" s="789" t="s">
        <v>4670</v>
      </c>
      <c r="T886" s="769"/>
      <c r="U886" s="774"/>
    </row>
    <row r="887" spans="1:22" ht="24" customHeight="1">
      <c r="A887" s="360"/>
      <c r="B887" s="360" t="s">
        <v>5488</v>
      </c>
      <c r="C887" s="360" t="s">
        <v>5470</v>
      </c>
      <c r="D887" s="971" t="s">
        <v>464</v>
      </c>
      <c r="E887" s="810">
        <v>20</v>
      </c>
      <c r="F887" s="919" t="s">
        <v>34</v>
      </c>
      <c r="G887" s="360" t="s">
        <v>32</v>
      </c>
      <c r="H887" s="360" t="s">
        <v>41</v>
      </c>
      <c r="I887" s="919" t="s">
        <v>34</v>
      </c>
      <c r="J887" s="784" t="s">
        <v>4682</v>
      </c>
      <c r="K887" s="899" t="s">
        <v>34</v>
      </c>
      <c r="L887" s="970">
        <v>991.15044247787603</v>
      </c>
      <c r="M887" s="857">
        <v>495.57522123893801</v>
      </c>
      <c r="N887" s="968">
        <v>2020.1</v>
      </c>
      <c r="O887" s="787" t="s">
        <v>5454</v>
      </c>
      <c r="P887" s="801" t="s">
        <v>4684</v>
      </c>
      <c r="Q887" s="787">
        <v>15034117366</v>
      </c>
      <c r="R887" s="789" t="s">
        <v>4682</v>
      </c>
      <c r="S887" s="789" t="s">
        <v>4670</v>
      </c>
      <c r="T887" s="769"/>
      <c r="U887" s="774"/>
    </row>
    <row r="888" spans="1:22" ht="24" customHeight="1">
      <c r="A888" s="360"/>
      <c r="B888" s="360" t="s">
        <v>5469</v>
      </c>
      <c r="C888" s="360">
        <v>1.2</v>
      </c>
      <c r="D888" s="360" t="s">
        <v>131</v>
      </c>
      <c r="E888" s="972">
        <v>200</v>
      </c>
      <c r="F888" s="919" t="s">
        <v>34</v>
      </c>
      <c r="G888" s="360" t="s">
        <v>32</v>
      </c>
      <c r="H888" s="360" t="s">
        <v>41</v>
      </c>
      <c r="I888" s="919" t="s">
        <v>34</v>
      </c>
      <c r="J888" s="784" t="s">
        <v>4682</v>
      </c>
      <c r="K888" s="899" t="s">
        <v>34</v>
      </c>
      <c r="L888" s="970">
        <v>6194.69</v>
      </c>
      <c r="M888" s="857">
        <v>3097.3449999999998</v>
      </c>
      <c r="N888" s="968">
        <v>2020.1</v>
      </c>
      <c r="O888" s="787" t="s">
        <v>5454</v>
      </c>
      <c r="P888" s="801" t="s">
        <v>4684</v>
      </c>
      <c r="Q888" s="787">
        <v>15034117366</v>
      </c>
      <c r="R888" s="789" t="s">
        <v>4682</v>
      </c>
      <c r="S888" s="789" t="s">
        <v>4670</v>
      </c>
      <c r="T888" s="769"/>
      <c r="U888" s="774"/>
    </row>
    <row r="889" spans="1:22" ht="24" customHeight="1">
      <c r="A889" s="360"/>
      <c r="B889" s="360" t="s">
        <v>5469</v>
      </c>
      <c r="C889" s="360">
        <v>1.2</v>
      </c>
      <c r="D889" s="360" t="s">
        <v>131</v>
      </c>
      <c r="E889" s="360">
        <v>200</v>
      </c>
      <c r="F889" s="919" t="s">
        <v>34</v>
      </c>
      <c r="G889" s="360" t="s">
        <v>32</v>
      </c>
      <c r="H889" s="360" t="s">
        <v>41</v>
      </c>
      <c r="I889" s="919" t="s">
        <v>34</v>
      </c>
      <c r="J889" s="784" t="s">
        <v>4682</v>
      </c>
      <c r="K889" s="899" t="s">
        <v>34</v>
      </c>
      <c r="L889" s="970">
        <v>6194.69</v>
      </c>
      <c r="M889" s="857">
        <v>3097.3449999999998</v>
      </c>
      <c r="N889" s="968">
        <v>2020.1</v>
      </c>
      <c r="O889" s="787" t="s">
        <v>5454</v>
      </c>
      <c r="P889" s="801" t="s">
        <v>4684</v>
      </c>
      <c r="Q889" s="787">
        <v>15034117366</v>
      </c>
      <c r="R889" s="789" t="s">
        <v>4682</v>
      </c>
      <c r="S889" s="789" t="s">
        <v>4670</v>
      </c>
      <c r="T889" s="769"/>
      <c r="U889" s="774"/>
    </row>
    <row r="890" spans="1:22" ht="24" hidden="1" customHeight="1">
      <c r="A890" s="360"/>
      <c r="B890" s="792" t="s">
        <v>5489</v>
      </c>
      <c r="C890" s="1283" t="s">
        <v>5490</v>
      </c>
      <c r="D890" s="896" t="s">
        <v>1477</v>
      </c>
      <c r="E890" s="294">
        <v>8</v>
      </c>
      <c r="F890" s="360"/>
      <c r="G890" s="360" t="s">
        <v>32</v>
      </c>
      <c r="H890" s="360" t="s">
        <v>33</v>
      </c>
      <c r="I890" s="919" t="s">
        <v>6888</v>
      </c>
      <c r="J890" s="360" t="s">
        <v>6888</v>
      </c>
      <c r="K890" s="360" t="s">
        <v>5491</v>
      </c>
      <c r="L890" s="857">
        <v>10796.46</v>
      </c>
      <c r="M890" s="857">
        <v>117664.0775</v>
      </c>
      <c r="N890" s="945" t="s">
        <v>7084</v>
      </c>
      <c r="O890" s="793" t="s">
        <v>4690</v>
      </c>
      <c r="P890" s="793" t="s">
        <v>6990</v>
      </c>
      <c r="Q890" s="795">
        <v>13485329413</v>
      </c>
      <c r="R890" s="796" t="s">
        <v>4688</v>
      </c>
      <c r="S890" s="796" t="s">
        <v>4670</v>
      </c>
      <c r="T890" s="360"/>
      <c r="U890" s="774"/>
      <c r="V890" s="1589"/>
    </row>
    <row r="891" spans="1:22" ht="24" hidden="1" customHeight="1">
      <c r="A891" s="360"/>
      <c r="B891" s="792" t="s">
        <v>3291</v>
      </c>
      <c r="C891" s="1283" t="s">
        <v>5492</v>
      </c>
      <c r="D891" s="896" t="s">
        <v>131</v>
      </c>
      <c r="E891" s="294">
        <v>4</v>
      </c>
      <c r="F891" s="360"/>
      <c r="G891" s="360" t="s">
        <v>32</v>
      </c>
      <c r="H891" s="360" t="s">
        <v>33</v>
      </c>
      <c r="I891" s="919" t="s">
        <v>34</v>
      </c>
      <c r="J891" s="360" t="s">
        <v>6888</v>
      </c>
      <c r="K891" s="360" t="s">
        <v>5493</v>
      </c>
      <c r="L891" s="857">
        <v>62135.92</v>
      </c>
      <c r="M891" s="857">
        <v>10438.252500000001</v>
      </c>
      <c r="N891" s="945">
        <v>2019.12</v>
      </c>
      <c r="O891" s="793" t="s">
        <v>4690</v>
      </c>
      <c r="P891" s="793" t="s">
        <v>6990</v>
      </c>
      <c r="Q891" s="795">
        <v>13485329413</v>
      </c>
      <c r="R891" s="796" t="s">
        <v>4688</v>
      </c>
      <c r="S891" s="796" t="s">
        <v>4670</v>
      </c>
      <c r="T891" s="973"/>
      <c r="U891" s="774"/>
      <c r="V891" s="1589"/>
    </row>
    <row r="892" spans="1:22" ht="24" hidden="1" customHeight="1">
      <c r="A892" s="360"/>
      <c r="B892" s="792" t="s">
        <v>5352</v>
      </c>
      <c r="C892" s="1283" t="s">
        <v>5494</v>
      </c>
      <c r="D892" s="896" t="s">
        <v>131</v>
      </c>
      <c r="E892" s="294">
        <v>4</v>
      </c>
      <c r="F892" s="360"/>
      <c r="G892" s="360" t="s">
        <v>32</v>
      </c>
      <c r="H892" s="360" t="s">
        <v>33</v>
      </c>
      <c r="I892" s="919" t="s">
        <v>34</v>
      </c>
      <c r="J892" s="360" t="s">
        <v>6888</v>
      </c>
      <c r="K892" s="360" t="s">
        <v>5493</v>
      </c>
      <c r="L892" s="857">
        <v>114563.1</v>
      </c>
      <c r="M892" s="857">
        <v>12507.96</v>
      </c>
      <c r="N892" s="945">
        <v>2019.12</v>
      </c>
      <c r="O892" s="793" t="s">
        <v>4690</v>
      </c>
      <c r="P892" s="793" t="s">
        <v>6990</v>
      </c>
      <c r="Q892" s="795">
        <v>13485329413</v>
      </c>
      <c r="R892" s="796" t="s">
        <v>4688</v>
      </c>
      <c r="S892" s="796" t="s">
        <v>4670</v>
      </c>
      <c r="T892" s="973"/>
      <c r="U892" s="774"/>
      <c r="V892" s="1589"/>
    </row>
    <row r="893" spans="1:22" ht="24" hidden="1" customHeight="1">
      <c r="A893" s="360"/>
      <c r="B893" s="792" t="s">
        <v>5303</v>
      </c>
      <c r="C893" s="1283" t="s">
        <v>5495</v>
      </c>
      <c r="D893" s="896" t="s">
        <v>161</v>
      </c>
      <c r="E893" s="294">
        <v>603</v>
      </c>
      <c r="F893" s="360"/>
      <c r="G893" s="360" t="s">
        <v>32</v>
      </c>
      <c r="H893" s="360" t="s">
        <v>33</v>
      </c>
      <c r="I893" s="919" t="s">
        <v>34</v>
      </c>
      <c r="J893" s="360" t="s">
        <v>6888</v>
      </c>
      <c r="K893" s="360" t="s">
        <v>5496</v>
      </c>
      <c r="L893" s="857">
        <v>4413.96</v>
      </c>
      <c r="M893" s="857">
        <v>4615.7050000000299</v>
      </c>
      <c r="N893" s="945">
        <v>2019.12</v>
      </c>
      <c r="O893" s="793" t="s">
        <v>4690</v>
      </c>
      <c r="P893" s="793" t="s">
        <v>6990</v>
      </c>
      <c r="Q893" s="795">
        <v>13485329413</v>
      </c>
      <c r="R893" s="796" t="s">
        <v>4688</v>
      </c>
      <c r="S893" s="796" t="s">
        <v>4670</v>
      </c>
      <c r="T893" s="973"/>
      <c r="U893" s="774"/>
      <c r="V893" s="1589"/>
    </row>
    <row r="894" spans="1:22" ht="24" hidden="1" customHeight="1">
      <c r="A894" s="360"/>
      <c r="B894" s="792" t="s">
        <v>5303</v>
      </c>
      <c r="C894" s="1283" t="s">
        <v>5497</v>
      </c>
      <c r="D894" s="896" t="s">
        <v>161</v>
      </c>
      <c r="E894" s="294">
        <v>474</v>
      </c>
      <c r="F894" s="360"/>
      <c r="G894" s="360" t="s">
        <v>32</v>
      </c>
      <c r="H894" s="360" t="s">
        <v>33</v>
      </c>
      <c r="I894" s="919" t="s">
        <v>34</v>
      </c>
      <c r="J894" s="360" t="s">
        <v>6888</v>
      </c>
      <c r="K894" s="360" t="s">
        <v>5496</v>
      </c>
      <c r="L894" s="857">
        <v>4266</v>
      </c>
      <c r="M894" s="857">
        <v>631.79750000000001</v>
      </c>
      <c r="N894" s="945">
        <v>2019.12</v>
      </c>
      <c r="O894" s="793" t="s">
        <v>4690</v>
      </c>
      <c r="P894" s="793" t="s">
        <v>6990</v>
      </c>
      <c r="Q894" s="795">
        <v>13485329413</v>
      </c>
      <c r="R894" s="796" t="s">
        <v>4688</v>
      </c>
      <c r="S894" s="796" t="s">
        <v>4670</v>
      </c>
      <c r="T894" s="973"/>
      <c r="U894" s="774"/>
      <c r="V894" s="1589"/>
    </row>
    <row r="895" spans="1:22" ht="24" hidden="1" customHeight="1">
      <c r="A895" s="360"/>
      <c r="B895" s="792" t="s">
        <v>5303</v>
      </c>
      <c r="C895" s="1283" t="s">
        <v>5498</v>
      </c>
      <c r="D895" s="896" t="s">
        <v>161</v>
      </c>
      <c r="E895" s="294">
        <v>220</v>
      </c>
      <c r="F895" s="360"/>
      <c r="G895" s="360" t="s">
        <v>32</v>
      </c>
      <c r="H895" s="360" t="s">
        <v>33</v>
      </c>
      <c r="I895" s="919" t="s">
        <v>34</v>
      </c>
      <c r="J895" s="360" t="s">
        <v>6888</v>
      </c>
      <c r="K895" s="360" t="s">
        <v>5496</v>
      </c>
      <c r="L895" s="857">
        <v>1854.6</v>
      </c>
      <c r="M895" s="857">
        <v>421.2</v>
      </c>
      <c r="N895" s="945">
        <v>2019.12</v>
      </c>
      <c r="O895" s="793" t="s">
        <v>4690</v>
      </c>
      <c r="P895" s="793" t="s">
        <v>6990</v>
      </c>
      <c r="Q895" s="795">
        <v>13485329413</v>
      </c>
      <c r="R895" s="796" t="s">
        <v>4688</v>
      </c>
      <c r="S895" s="796" t="s">
        <v>4670</v>
      </c>
      <c r="T895" s="973"/>
      <c r="U895" s="774"/>
      <c r="V895" s="1589"/>
    </row>
    <row r="896" spans="1:22" ht="24" hidden="1" customHeight="1">
      <c r="A896" s="360"/>
      <c r="B896" s="792" t="s">
        <v>1486</v>
      </c>
      <c r="C896" s="896" t="s">
        <v>5499</v>
      </c>
      <c r="D896" s="896" t="s">
        <v>1477</v>
      </c>
      <c r="E896" s="294">
        <v>9</v>
      </c>
      <c r="F896" s="360"/>
      <c r="G896" s="360" t="s">
        <v>32</v>
      </c>
      <c r="H896" s="360" t="s">
        <v>33</v>
      </c>
      <c r="I896" s="919" t="s">
        <v>34</v>
      </c>
      <c r="J896" s="360" t="s">
        <v>6888</v>
      </c>
      <c r="K896" s="360" t="s">
        <v>5496</v>
      </c>
      <c r="L896" s="857">
        <v>1489.68</v>
      </c>
      <c r="M896" s="857">
        <v>1038.8399999999999</v>
      </c>
      <c r="N896" s="945">
        <v>2019.12</v>
      </c>
      <c r="O896" s="793" t="s">
        <v>4690</v>
      </c>
      <c r="P896" s="793" t="s">
        <v>6990</v>
      </c>
      <c r="Q896" s="795">
        <v>13485329413</v>
      </c>
      <c r="R896" s="796" t="s">
        <v>4688</v>
      </c>
      <c r="S896" s="796" t="s">
        <v>4670</v>
      </c>
      <c r="T896" s="973"/>
      <c r="U896" s="774"/>
      <c r="V896" s="1589"/>
    </row>
    <row r="897" spans="1:22" ht="24" hidden="1" customHeight="1">
      <c r="A897" s="360"/>
      <c r="B897" s="934" t="s">
        <v>5500</v>
      </c>
      <c r="C897" s="896" t="s">
        <v>5501</v>
      </c>
      <c r="D897" s="934" t="s">
        <v>79</v>
      </c>
      <c r="E897" s="294">
        <v>640</v>
      </c>
      <c r="F897" s="360"/>
      <c r="G897" s="360" t="s">
        <v>32</v>
      </c>
      <c r="H897" s="360" t="s">
        <v>33</v>
      </c>
      <c r="I897" s="919" t="s">
        <v>34</v>
      </c>
      <c r="J897" s="360" t="s">
        <v>6888</v>
      </c>
      <c r="K897" s="360" t="s">
        <v>5502</v>
      </c>
      <c r="L897" s="857">
        <v>93451.33</v>
      </c>
      <c r="M897" s="857">
        <v>1263.5999999999999</v>
      </c>
      <c r="N897" s="945">
        <v>2020.01</v>
      </c>
      <c r="O897" s="793" t="s">
        <v>4690</v>
      </c>
      <c r="P897" s="793" t="s">
        <v>6990</v>
      </c>
      <c r="Q897" s="795">
        <v>13485329413</v>
      </c>
      <c r="R897" s="796" t="s">
        <v>4688</v>
      </c>
      <c r="S897" s="796" t="s">
        <v>4670</v>
      </c>
      <c r="T897" s="973"/>
      <c r="U897" s="774"/>
      <c r="V897" s="1589"/>
    </row>
    <row r="898" spans="1:22" ht="24" hidden="1" customHeight="1">
      <c r="A898" s="360"/>
      <c r="B898" s="792" t="s">
        <v>5503</v>
      </c>
      <c r="C898" s="792" t="s">
        <v>5504</v>
      </c>
      <c r="D898" s="792" t="s">
        <v>79</v>
      </c>
      <c r="E898" s="294">
        <v>15</v>
      </c>
      <c r="F898" s="360"/>
      <c r="G898" s="360" t="s">
        <v>32</v>
      </c>
      <c r="H898" s="360" t="s">
        <v>33</v>
      </c>
      <c r="I898" s="919" t="s">
        <v>34</v>
      </c>
      <c r="J898" s="360" t="s">
        <v>6888</v>
      </c>
      <c r="K898" s="360" t="s">
        <v>5502</v>
      </c>
      <c r="L898" s="857">
        <v>32522.12</v>
      </c>
      <c r="M898" s="857">
        <v>421.2</v>
      </c>
      <c r="N898" s="945">
        <v>2020.01</v>
      </c>
      <c r="O898" s="793" t="s">
        <v>4690</v>
      </c>
      <c r="P898" s="793" t="s">
        <v>6990</v>
      </c>
      <c r="Q898" s="795">
        <v>13485329413</v>
      </c>
      <c r="R898" s="796" t="s">
        <v>4688</v>
      </c>
      <c r="S898" s="796" t="s">
        <v>4670</v>
      </c>
      <c r="T898" s="973"/>
      <c r="U898" s="774"/>
      <c r="V898" s="1589"/>
    </row>
    <row r="899" spans="1:22" ht="24" hidden="1" customHeight="1">
      <c r="A899" s="360"/>
      <c r="B899" s="792" t="s">
        <v>5503</v>
      </c>
      <c r="C899" s="792" t="s">
        <v>5505</v>
      </c>
      <c r="D899" s="792" t="s">
        <v>79</v>
      </c>
      <c r="E899" s="294">
        <v>6</v>
      </c>
      <c r="F899" s="360"/>
      <c r="G899" s="360" t="s">
        <v>32</v>
      </c>
      <c r="H899" s="360" t="s">
        <v>33</v>
      </c>
      <c r="I899" s="919" t="s">
        <v>34</v>
      </c>
      <c r="J899" s="360" t="s">
        <v>6888</v>
      </c>
      <c r="K899" s="360" t="s">
        <v>5502</v>
      </c>
      <c r="L899" s="857">
        <v>13008.85</v>
      </c>
      <c r="M899" s="857">
        <v>18246.335999999999</v>
      </c>
      <c r="N899" s="945">
        <v>2020.01</v>
      </c>
      <c r="O899" s="793" t="s">
        <v>4690</v>
      </c>
      <c r="P899" s="793" t="s">
        <v>6990</v>
      </c>
      <c r="Q899" s="795">
        <v>13485329413</v>
      </c>
      <c r="R899" s="796" t="s">
        <v>4688</v>
      </c>
      <c r="S899" s="796" t="s">
        <v>4670</v>
      </c>
      <c r="T899" s="973"/>
      <c r="U899" s="774"/>
      <c r="V899" s="1589"/>
    </row>
    <row r="900" spans="1:22" ht="24" hidden="1" customHeight="1">
      <c r="A900" s="360"/>
      <c r="B900" s="792" t="s">
        <v>5500</v>
      </c>
      <c r="C900" s="792" t="s">
        <v>5506</v>
      </c>
      <c r="D900" s="792" t="s">
        <v>79</v>
      </c>
      <c r="E900" s="294">
        <v>20</v>
      </c>
      <c r="F900" s="360"/>
      <c r="G900" s="360" t="s">
        <v>32</v>
      </c>
      <c r="H900" s="360" t="s">
        <v>33</v>
      </c>
      <c r="I900" s="919" t="s">
        <v>34</v>
      </c>
      <c r="J900" s="360" t="s">
        <v>6888</v>
      </c>
      <c r="K900" s="360" t="s">
        <v>5502</v>
      </c>
      <c r="L900" s="857">
        <v>2212.39</v>
      </c>
      <c r="M900" s="857">
        <v>2011.625</v>
      </c>
      <c r="N900" s="945">
        <v>2020.01</v>
      </c>
      <c r="O900" s="793" t="s">
        <v>4690</v>
      </c>
      <c r="P900" s="793" t="s">
        <v>6990</v>
      </c>
      <c r="Q900" s="795">
        <v>13485329413</v>
      </c>
      <c r="R900" s="796" t="s">
        <v>4688</v>
      </c>
      <c r="S900" s="796" t="s">
        <v>4670</v>
      </c>
      <c r="T900" s="973"/>
      <c r="U900" s="774"/>
      <c r="V900" s="1589"/>
    </row>
    <row r="901" spans="1:22" ht="24" hidden="1" customHeight="1">
      <c r="A901" s="360"/>
      <c r="B901" s="792" t="s">
        <v>5500</v>
      </c>
      <c r="C901" s="792" t="s">
        <v>5507</v>
      </c>
      <c r="D901" s="792" t="s">
        <v>79</v>
      </c>
      <c r="E901" s="294">
        <v>16</v>
      </c>
      <c r="F901" s="360"/>
      <c r="G901" s="360" t="s">
        <v>32</v>
      </c>
      <c r="H901" s="360" t="s">
        <v>33</v>
      </c>
      <c r="I901" s="919" t="s">
        <v>34</v>
      </c>
      <c r="J901" s="360" t="s">
        <v>6888</v>
      </c>
      <c r="K901" s="360" t="s">
        <v>5502</v>
      </c>
      <c r="L901" s="857">
        <v>2336.2800000000002</v>
      </c>
      <c r="M901" s="857">
        <v>1168.1400000000001</v>
      </c>
      <c r="N901" s="945">
        <v>2020.01</v>
      </c>
      <c r="O901" s="793" t="s">
        <v>4690</v>
      </c>
      <c r="P901" s="793" t="s">
        <v>6990</v>
      </c>
      <c r="Q901" s="795">
        <v>13485329413</v>
      </c>
      <c r="R901" s="796" t="s">
        <v>4688</v>
      </c>
      <c r="S901" s="796" t="s">
        <v>4670</v>
      </c>
      <c r="T901" s="973"/>
      <c r="U901" s="774"/>
      <c r="V901" s="1589"/>
    </row>
    <row r="902" spans="1:22" ht="24" hidden="1" customHeight="1">
      <c r="A902" s="360"/>
      <c r="B902" s="792" t="s">
        <v>5500</v>
      </c>
      <c r="C902" s="792" t="s">
        <v>5508</v>
      </c>
      <c r="D902" s="792" t="s">
        <v>79</v>
      </c>
      <c r="E902" s="294">
        <v>2</v>
      </c>
      <c r="F902" s="360"/>
      <c r="G902" s="360" t="s">
        <v>32</v>
      </c>
      <c r="H902" s="360" t="s">
        <v>33</v>
      </c>
      <c r="I902" s="919" t="s">
        <v>34</v>
      </c>
      <c r="J902" s="360" t="s">
        <v>6888</v>
      </c>
      <c r="K902" s="360" t="s">
        <v>5502</v>
      </c>
      <c r="L902" s="857">
        <v>221.24</v>
      </c>
      <c r="M902" s="857">
        <v>110.62</v>
      </c>
      <c r="N902" s="945">
        <v>2020.01</v>
      </c>
      <c r="O902" s="793" t="s">
        <v>4690</v>
      </c>
      <c r="P902" s="793" t="s">
        <v>6990</v>
      </c>
      <c r="Q902" s="795">
        <v>13485329413</v>
      </c>
      <c r="R902" s="796" t="s">
        <v>4688</v>
      </c>
      <c r="S902" s="796" t="s">
        <v>4670</v>
      </c>
      <c r="T902" s="973"/>
      <c r="U902" s="774"/>
      <c r="V902" s="1589"/>
    </row>
    <row r="903" spans="1:22" ht="24" hidden="1" customHeight="1">
      <c r="A903" s="360"/>
      <c r="B903" s="792" t="s">
        <v>5509</v>
      </c>
      <c r="C903" s="792" t="s">
        <v>1036</v>
      </c>
      <c r="D903" s="792" t="s">
        <v>464</v>
      </c>
      <c r="E903" s="294">
        <v>60</v>
      </c>
      <c r="F903" s="360"/>
      <c r="G903" s="360" t="s">
        <v>32</v>
      </c>
      <c r="H903" s="360" t="s">
        <v>33</v>
      </c>
      <c r="I903" s="919" t="s">
        <v>34</v>
      </c>
      <c r="J903" s="360" t="s">
        <v>6888</v>
      </c>
      <c r="K903" s="360" t="s">
        <v>5502</v>
      </c>
      <c r="L903" s="857">
        <v>2070.8000000000002</v>
      </c>
      <c r="M903" s="857">
        <v>1035.4000000000001</v>
      </c>
      <c r="N903" s="945">
        <v>2020.01</v>
      </c>
      <c r="O903" s="793" t="s">
        <v>4690</v>
      </c>
      <c r="P903" s="793" t="s">
        <v>6990</v>
      </c>
      <c r="Q903" s="795">
        <v>13485329413</v>
      </c>
      <c r="R903" s="796" t="s">
        <v>4688</v>
      </c>
      <c r="S903" s="796" t="s">
        <v>4670</v>
      </c>
      <c r="T903" s="973"/>
      <c r="U903" s="774"/>
      <c r="V903" s="1589"/>
    </row>
    <row r="904" spans="1:22" ht="24" hidden="1" customHeight="1">
      <c r="A904" s="360"/>
      <c r="B904" s="792" t="s">
        <v>5510</v>
      </c>
      <c r="C904" s="934" t="s">
        <v>1036</v>
      </c>
      <c r="D904" s="934" t="s">
        <v>603</v>
      </c>
      <c r="E904" s="294">
        <v>60</v>
      </c>
      <c r="F904" s="360"/>
      <c r="G904" s="360" t="s">
        <v>32</v>
      </c>
      <c r="H904" s="360" t="s">
        <v>33</v>
      </c>
      <c r="I904" s="919" t="s">
        <v>34</v>
      </c>
      <c r="J904" s="360" t="s">
        <v>6888</v>
      </c>
      <c r="K904" s="360" t="s">
        <v>5502</v>
      </c>
      <c r="L904" s="857">
        <v>371.68</v>
      </c>
      <c r="M904" s="857">
        <v>185.84</v>
      </c>
      <c r="N904" s="945">
        <v>2020.01</v>
      </c>
      <c r="O904" s="793" t="s">
        <v>4690</v>
      </c>
      <c r="P904" s="793" t="s">
        <v>6990</v>
      </c>
      <c r="Q904" s="795">
        <v>13485329413</v>
      </c>
      <c r="R904" s="796" t="s">
        <v>4688</v>
      </c>
      <c r="S904" s="796" t="s">
        <v>4670</v>
      </c>
      <c r="T904" s="973"/>
      <c r="U904" s="774"/>
      <c r="V904" s="1589"/>
    </row>
    <row r="905" spans="1:22" ht="24" hidden="1" customHeight="1">
      <c r="A905" s="360"/>
      <c r="B905" s="792" t="s">
        <v>5511</v>
      </c>
      <c r="C905" s="934"/>
      <c r="D905" s="934" t="s">
        <v>1477</v>
      </c>
      <c r="E905" s="294">
        <v>2</v>
      </c>
      <c r="F905" s="360"/>
      <c r="G905" s="360" t="s">
        <v>32</v>
      </c>
      <c r="H905" s="360" t="s">
        <v>33</v>
      </c>
      <c r="I905" s="919" t="s">
        <v>34</v>
      </c>
      <c r="J905" s="360" t="s">
        <v>6888</v>
      </c>
      <c r="K905" s="360" t="s">
        <v>5270</v>
      </c>
      <c r="L905" s="857">
        <v>28150.44</v>
      </c>
      <c r="M905" s="857">
        <v>8445.1319999999996</v>
      </c>
      <c r="N905" s="945">
        <v>2020.01</v>
      </c>
      <c r="O905" s="793" t="s">
        <v>4690</v>
      </c>
      <c r="P905" s="793" t="s">
        <v>6990</v>
      </c>
      <c r="Q905" s="795">
        <v>13485329413</v>
      </c>
      <c r="R905" s="796" t="s">
        <v>4688</v>
      </c>
      <c r="S905" s="796" t="s">
        <v>4670</v>
      </c>
      <c r="T905" s="973"/>
      <c r="U905" s="774"/>
      <c r="V905" s="1589"/>
    </row>
    <row r="906" spans="1:22" ht="24" hidden="1" customHeight="1">
      <c r="A906" s="360"/>
      <c r="B906" s="792" t="s">
        <v>1673</v>
      </c>
      <c r="C906" s="934"/>
      <c r="D906" s="934" t="s">
        <v>1477</v>
      </c>
      <c r="E906" s="294">
        <v>8</v>
      </c>
      <c r="F906" s="360"/>
      <c r="G906" s="360" t="s">
        <v>32</v>
      </c>
      <c r="H906" s="360" t="s">
        <v>33</v>
      </c>
      <c r="I906" s="919" t="s">
        <v>34</v>
      </c>
      <c r="J906" s="360" t="s">
        <v>6888</v>
      </c>
      <c r="K906" s="360" t="s">
        <v>5270</v>
      </c>
      <c r="L906" s="857">
        <v>77203.539999999994</v>
      </c>
      <c r="M906" s="857">
        <v>23161.062000000002</v>
      </c>
      <c r="N906" s="945">
        <v>2020.01</v>
      </c>
      <c r="O906" s="793" t="s">
        <v>4690</v>
      </c>
      <c r="P906" s="793" t="s">
        <v>6990</v>
      </c>
      <c r="Q906" s="795">
        <v>13485329413</v>
      </c>
      <c r="R906" s="796" t="s">
        <v>4688</v>
      </c>
      <c r="S906" s="796" t="s">
        <v>4670</v>
      </c>
      <c r="T906" s="973"/>
      <c r="U906" s="774"/>
      <c r="V906" s="1589"/>
    </row>
    <row r="907" spans="1:22" ht="24" hidden="1" customHeight="1">
      <c r="A907" s="360"/>
      <c r="B907" s="792" t="s">
        <v>1678</v>
      </c>
      <c r="C907" s="934" t="s">
        <v>5512</v>
      </c>
      <c r="D907" s="934" t="s">
        <v>1477</v>
      </c>
      <c r="E907" s="294">
        <v>31</v>
      </c>
      <c r="F907" s="360"/>
      <c r="G907" s="360" t="s">
        <v>32</v>
      </c>
      <c r="H907" s="360" t="s">
        <v>33</v>
      </c>
      <c r="I907" s="919" t="s">
        <v>34</v>
      </c>
      <c r="J907" s="360" t="s">
        <v>6888</v>
      </c>
      <c r="K907" s="360" t="s">
        <v>5270</v>
      </c>
      <c r="L907" s="857">
        <v>194531.86</v>
      </c>
      <c r="M907" s="857">
        <v>58359.557999999997</v>
      </c>
      <c r="N907" s="945">
        <v>2020.01</v>
      </c>
      <c r="O907" s="793" t="s">
        <v>4690</v>
      </c>
      <c r="P907" s="793" t="s">
        <v>6990</v>
      </c>
      <c r="Q907" s="795">
        <v>13485329413</v>
      </c>
      <c r="R907" s="796" t="s">
        <v>4688</v>
      </c>
      <c r="S907" s="796" t="s">
        <v>4670</v>
      </c>
      <c r="T907" s="973"/>
      <c r="U907" s="774"/>
      <c r="V907" s="1589"/>
    </row>
    <row r="908" spans="1:22" ht="24" hidden="1" customHeight="1">
      <c r="A908" s="360"/>
      <c r="B908" s="792" t="s">
        <v>3870</v>
      </c>
      <c r="C908" s="934"/>
      <c r="D908" s="934" t="s">
        <v>1477</v>
      </c>
      <c r="E908" s="294">
        <v>14</v>
      </c>
      <c r="F908" s="360"/>
      <c r="G908" s="360" t="s">
        <v>32</v>
      </c>
      <c r="H908" s="360" t="s">
        <v>33</v>
      </c>
      <c r="I908" s="919" t="s">
        <v>34</v>
      </c>
      <c r="J908" s="360" t="s">
        <v>6888</v>
      </c>
      <c r="K908" s="360" t="s">
        <v>5270</v>
      </c>
      <c r="L908" s="857">
        <v>12867.86</v>
      </c>
      <c r="M908" s="857">
        <v>3860.3580000000002</v>
      </c>
      <c r="N908" s="945">
        <v>2020.01</v>
      </c>
      <c r="O908" s="793" t="s">
        <v>4690</v>
      </c>
      <c r="P908" s="793" t="s">
        <v>6990</v>
      </c>
      <c r="Q908" s="795">
        <v>13485329413</v>
      </c>
      <c r="R908" s="796" t="s">
        <v>4688</v>
      </c>
      <c r="S908" s="796" t="s">
        <v>4670</v>
      </c>
      <c r="T908" s="973"/>
      <c r="U908" s="774"/>
      <c r="V908" s="1589"/>
    </row>
    <row r="909" spans="1:22" ht="24" hidden="1" customHeight="1">
      <c r="A909" s="360"/>
      <c r="B909" s="789" t="s">
        <v>5513</v>
      </c>
      <c r="C909" s="360" t="s">
        <v>4952</v>
      </c>
      <c r="D909" s="360" t="s">
        <v>131</v>
      </c>
      <c r="E909" s="360">
        <v>1</v>
      </c>
      <c r="F909" s="360"/>
      <c r="G909" s="360" t="s">
        <v>32</v>
      </c>
      <c r="H909" s="360" t="s">
        <v>33</v>
      </c>
      <c r="I909" s="919" t="s">
        <v>34</v>
      </c>
      <c r="J909" s="360" t="s">
        <v>6888</v>
      </c>
      <c r="K909" s="360" t="s">
        <v>4774</v>
      </c>
      <c r="L909" s="857">
        <v>19500</v>
      </c>
      <c r="M909" s="857">
        <v>9750</v>
      </c>
      <c r="N909" s="945">
        <v>2020.03</v>
      </c>
      <c r="O909" s="793" t="s">
        <v>4690</v>
      </c>
      <c r="P909" s="793" t="s">
        <v>6990</v>
      </c>
      <c r="Q909" s="795">
        <v>13485329413</v>
      </c>
      <c r="R909" s="796" t="s">
        <v>4688</v>
      </c>
      <c r="S909" s="796" t="s">
        <v>4670</v>
      </c>
      <c r="T909" s="973"/>
      <c r="U909" s="774"/>
      <c r="V909" s="1589"/>
    </row>
    <row r="910" spans="1:22" ht="24" hidden="1" customHeight="1">
      <c r="A910" s="360"/>
      <c r="B910" s="789" t="s">
        <v>5514</v>
      </c>
      <c r="C910" s="881" t="s">
        <v>5515</v>
      </c>
      <c r="D910" s="360" t="s">
        <v>79</v>
      </c>
      <c r="E910" s="360">
        <v>1</v>
      </c>
      <c r="F910" s="360"/>
      <c r="G910" s="360" t="s">
        <v>32</v>
      </c>
      <c r="H910" s="360" t="s">
        <v>33</v>
      </c>
      <c r="I910" s="919" t="s">
        <v>34</v>
      </c>
      <c r="J910" s="360" t="s">
        <v>6888</v>
      </c>
      <c r="K910" s="360" t="s">
        <v>4774</v>
      </c>
      <c r="L910" s="857">
        <v>31400</v>
      </c>
      <c r="M910" s="857">
        <v>15700</v>
      </c>
      <c r="N910" s="945">
        <v>2020.03</v>
      </c>
      <c r="O910" s="793" t="s">
        <v>4690</v>
      </c>
      <c r="P910" s="793" t="s">
        <v>6990</v>
      </c>
      <c r="Q910" s="795">
        <v>13485329413</v>
      </c>
      <c r="R910" s="796" t="s">
        <v>4688</v>
      </c>
      <c r="S910" s="796" t="s">
        <v>4670</v>
      </c>
      <c r="T910" s="973"/>
      <c r="U910" s="774"/>
      <c r="V910" s="1589"/>
    </row>
    <row r="911" spans="1:22" ht="24" hidden="1" customHeight="1">
      <c r="A911" s="360"/>
      <c r="B911" s="789" t="s">
        <v>5516</v>
      </c>
      <c r="C911" s="360"/>
      <c r="D911" s="360" t="s">
        <v>79</v>
      </c>
      <c r="E911" s="360">
        <v>1</v>
      </c>
      <c r="F911" s="360"/>
      <c r="G911" s="360" t="s">
        <v>32</v>
      </c>
      <c r="H911" s="360" t="s">
        <v>33</v>
      </c>
      <c r="I911" s="919" t="s">
        <v>34</v>
      </c>
      <c r="J911" s="360" t="s">
        <v>6888</v>
      </c>
      <c r="K911" s="360" t="s">
        <v>4774</v>
      </c>
      <c r="L911" s="857">
        <v>12050</v>
      </c>
      <c r="M911" s="857">
        <v>6025</v>
      </c>
      <c r="N911" s="945">
        <v>2020.03</v>
      </c>
      <c r="O911" s="793" t="s">
        <v>4690</v>
      </c>
      <c r="P911" s="793" t="s">
        <v>6990</v>
      </c>
      <c r="Q911" s="795">
        <v>13485329413</v>
      </c>
      <c r="R911" s="796" t="s">
        <v>4688</v>
      </c>
      <c r="S911" s="796" t="s">
        <v>4670</v>
      </c>
      <c r="T911" s="973"/>
      <c r="U911" s="774"/>
      <c r="V911" s="1589"/>
    </row>
    <row r="912" spans="1:22" ht="24" hidden="1" customHeight="1">
      <c r="A912" s="360"/>
      <c r="B912" s="974" t="s">
        <v>1486</v>
      </c>
      <c r="C912" s="974" t="s">
        <v>5517</v>
      </c>
      <c r="D912" s="974" t="s">
        <v>1477</v>
      </c>
      <c r="E912" s="975">
        <v>7</v>
      </c>
      <c r="F912" s="360"/>
      <c r="G912" s="360" t="s">
        <v>32</v>
      </c>
      <c r="H912" s="360" t="s">
        <v>33</v>
      </c>
      <c r="I912" s="919" t="s">
        <v>34</v>
      </c>
      <c r="J912" s="360" t="s">
        <v>6888</v>
      </c>
      <c r="K912" s="360" t="s">
        <v>5518</v>
      </c>
      <c r="L912" s="857">
        <v>32961.949999999997</v>
      </c>
      <c r="M912" s="857">
        <v>9888.59</v>
      </c>
      <c r="N912" s="945">
        <v>2020.12</v>
      </c>
      <c r="O912" s="793" t="s">
        <v>4690</v>
      </c>
      <c r="P912" s="793" t="s">
        <v>6990</v>
      </c>
      <c r="Q912" s="795">
        <v>13485329413</v>
      </c>
      <c r="R912" s="796" t="s">
        <v>4688</v>
      </c>
      <c r="S912" s="796" t="s">
        <v>4670</v>
      </c>
      <c r="T912" s="973"/>
      <c r="U912" s="774"/>
      <c r="V912" s="1589"/>
    </row>
    <row r="913" spans="1:22" ht="24" hidden="1" customHeight="1">
      <c r="A913" s="360"/>
      <c r="B913" s="974" t="s">
        <v>1486</v>
      </c>
      <c r="C913" s="974" t="s">
        <v>5519</v>
      </c>
      <c r="D913" s="974" t="s">
        <v>1477</v>
      </c>
      <c r="E913" s="975">
        <v>4</v>
      </c>
      <c r="F913" s="360"/>
      <c r="G913" s="360" t="s">
        <v>32</v>
      </c>
      <c r="H913" s="360" t="s">
        <v>33</v>
      </c>
      <c r="I913" s="919" t="s">
        <v>34</v>
      </c>
      <c r="J913" s="360" t="s">
        <v>6888</v>
      </c>
      <c r="K913" s="360" t="s">
        <v>5518</v>
      </c>
      <c r="L913" s="857">
        <v>14584.07</v>
      </c>
      <c r="M913" s="857">
        <v>4375.22</v>
      </c>
      <c r="N913" s="945">
        <v>2020.12</v>
      </c>
      <c r="O913" s="793" t="s">
        <v>4690</v>
      </c>
      <c r="P913" s="793" t="s">
        <v>6990</v>
      </c>
      <c r="Q913" s="795">
        <v>13485329413</v>
      </c>
      <c r="R913" s="796" t="s">
        <v>4688</v>
      </c>
      <c r="S913" s="796" t="s">
        <v>4670</v>
      </c>
      <c r="T913" s="973"/>
      <c r="U913" s="774"/>
      <c r="V913" s="1589"/>
    </row>
    <row r="914" spans="1:22" ht="24" hidden="1" customHeight="1">
      <c r="A914" s="360"/>
      <c r="B914" s="974" t="s">
        <v>1486</v>
      </c>
      <c r="C914" s="974" t="s">
        <v>5520</v>
      </c>
      <c r="D914" s="974" t="s">
        <v>1477</v>
      </c>
      <c r="E914" s="975">
        <v>1</v>
      </c>
      <c r="F914" s="360"/>
      <c r="G914" s="360" t="s">
        <v>32</v>
      </c>
      <c r="H914" s="360" t="s">
        <v>33</v>
      </c>
      <c r="I914" s="919" t="s">
        <v>34</v>
      </c>
      <c r="J914" s="360" t="s">
        <v>6888</v>
      </c>
      <c r="K914" s="360" t="s">
        <v>5518</v>
      </c>
      <c r="L914" s="857">
        <v>1908.85</v>
      </c>
      <c r="M914" s="857">
        <v>572.66000000000395</v>
      </c>
      <c r="N914" s="945">
        <v>2020.12</v>
      </c>
      <c r="O914" s="793" t="s">
        <v>4690</v>
      </c>
      <c r="P914" s="793" t="s">
        <v>6990</v>
      </c>
      <c r="Q914" s="795">
        <v>13485329413</v>
      </c>
      <c r="R914" s="796" t="s">
        <v>4688</v>
      </c>
      <c r="S914" s="796" t="s">
        <v>4670</v>
      </c>
      <c r="T914" s="973"/>
      <c r="U914" s="774"/>
      <c r="V914" s="1589"/>
    </row>
    <row r="915" spans="1:22" ht="24" hidden="1" customHeight="1">
      <c r="A915" s="360"/>
      <c r="B915" s="974" t="s">
        <v>1486</v>
      </c>
      <c r="C915" s="974" t="s">
        <v>5521</v>
      </c>
      <c r="D915" s="974" t="s">
        <v>1477</v>
      </c>
      <c r="E915" s="975">
        <v>7</v>
      </c>
      <c r="F915" s="360"/>
      <c r="G915" s="360" t="s">
        <v>32</v>
      </c>
      <c r="H915" s="360" t="s">
        <v>33</v>
      </c>
      <c r="I915" s="919" t="s">
        <v>34</v>
      </c>
      <c r="J915" s="360" t="s">
        <v>6888</v>
      </c>
      <c r="K915" s="360" t="s">
        <v>5518</v>
      </c>
      <c r="L915" s="857">
        <v>21433.63</v>
      </c>
      <c r="M915" s="857">
        <v>6430.09</v>
      </c>
      <c r="N915" s="945">
        <v>2020.12</v>
      </c>
      <c r="O915" s="793" t="s">
        <v>4690</v>
      </c>
      <c r="P915" s="793" t="s">
        <v>6990</v>
      </c>
      <c r="Q915" s="795">
        <v>13485329413</v>
      </c>
      <c r="R915" s="796" t="s">
        <v>4688</v>
      </c>
      <c r="S915" s="796" t="s">
        <v>4670</v>
      </c>
      <c r="T915" s="973"/>
      <c r="U915" s="774"/>
      <c r="V915" s="1589"/>
    </row>
    <row r="916" spans="1:22" ht="24" hidden="1" customHeight="1">
      <c r="A916" s="360"/>
      <c r="B916" s="974" t="s">
        <v>1486</v>
      </c>
      <c r="C916" s="974" t="s">
        <v>5521</v>
      </c>
      <c r="D916" s="974" t="s">
        <v>1477</v>
      </c>
      <c r="E916" s="975">
        <v>3</v>
      </c>
      <c r="F916" s="360"/>
      <c r="G916" s="360" t="s">
        <v>32</v>
      </c>
      <c r="H916" s="360" t="s">
        <v>33</v>
      </c>
      <c r="I916" s="919" t="s">
        <v>34</v>
      </c>
      <c r="J916" s="360" t="s">
        <v>6888</v>
      </c>
      <c r="K916" s="360" t="s">
        <v>5518</v>
      </c>
      <c r="L916" s="857">
        <v>3703.54</v>
      </c>
      <c r="M916" s="857">
        <v>1111.06</v>
      </c>
      <c r="N916" s="945">
        <v>2020.12</v>
      </c>
      <c r="O916" s="793" t="s">
        <v>4690</v>
      </c>
      <c r="P916" s="793" t="s">
        <v>6990</v>
      </c>
      <c r="Q916" s="795">
        <v>13485329413</v>
      </c>
      <c r="R916" s="796" t="s">
        <v>4688</v>
      </c>
      <c r="S916" s="796" t="s">
        <v>4670</v>
      </c>
      <c r="T916" s="973"/>
      <c r="U916" s="774"/>
      <c r="V916" s="1589"/>
    </row>
    <row r="917" spans="1:22" ht="24" hidden="1" customHeight="1">
      <c r="A917" s="360"/>
      <c r="B917" s="974" t="s">
        <v>1486</v>
      </c>
      <c r="C917" s="974" t="s">
        <v>5522</v>
      </c>
      <c r="D917" s="974" t="s">
        <v>1477</v>
      </c>
      <c r="E917" s="975">
        <v>7</v>
      </c>
      <c r="F917" s="360"/>
      <c r="G917" s="360" t="s">
        <v>32</v>
      </c>
      <c r="H917" s="360" t="s">
        <v>33</v>
      </c>
      <c r="I917" s="919" t="s">
        <v>34</v>
      </c>
      <c r="J917" s="360" t="s">
        <v>6888</v>
      </c>
      <c r="K917" s="360" t="s">
        <v>5518</v>
      </c>
      <c r="L917" s="857">
        <v>22610.62</v>
      </c>
      <c r="M917" s="857">
        <v>6783.19</v>
      </c>
      <c r="N917" s="945">
        <v>2020.12</v>
      </c>
      <c r="O917" s="793" t="s">
        <v>4690</v>
      </c>
      <c r="P917" s="793" t="s">
        <v>6990</v>
      </c>
      <c r="Q917" s="795">
        <v>13485329413</v>
      </c>
      <c r="R917" s="796" t="s">
        <v>4688</v>
      </c>
      <c r="S917" s="796" t="s">
        <v>4670</v>
      </c>
      <c r="T917" s="973"/>
      <c r="U917" s="774"/>
      <c r="V917" s="1589"/>
    </row>
    <row r="918" spans="1:22" ht="24" hidden="1" customHeight="1">
      <c r="A918" s="360"/>
      <c r="B918" s="974" t="s">
        <v>1486</v>
      </c>
      <c r="C918" s="974" t="s">
        <v>5523</v>
      </c>
      <c r="D918" s="974" t="s">
        <v>1477</v>
      </c>
      <c r="E918" s="975">
        <v>28</v>
      </c>
      <c r="F918" s="360"/>
      <c r="G918" s="360" t="s">
        <v>32</v>
      </c>
      <c r="H918" s="360" t="s">
        <v>33</v>
      </c>
      <c r="I918" s="919" t="s">
        <v>34</v>
      </c>
      <c r="J918" s="360" t="s">
        <v>6888</v>
      </c>
      <c r="K918" s="360" t="s">
        <v>5518</v>
      </c>
      <c r="L918" s="857">
        <v>156725.66</v>
      </c>
      <c r="M918" s="857">
        <v>47017.7</v>
      </c>
      <c r="N918" s="945">
        <v>2020.12</v>
      </c>
      <c r="O918" s="793" t="s">
        <v>4690</v>
      </c>
      <c r="P918" s="793" t="s">
        <v>6990</v>
      </c>
      <c r="Q918" s="795">
        <v>13485329413</v>
      </c>
      <c r="R918" s="796" t="s">
        <v>4688</v>
      </c>
      <c r="S918" s="796" t="s">
        <v>4670</v>
      </c>
      <c r="T918" s="973"/>
      <c r="U918" s="774"/>
      <c r="V918" s="1589"/>
    </row>
    <row r="919" spans="1:22" ht="24" hidden="1" customHeight="1">
      <c r="A919" s="360"/>
      <c r="B919" s="976" t="s">
        <v>5524</v>
      </c>
      <c r="C919" s="976" t="s">
        <v>5525</v>
      </c>
      <c r="D919" s="976" t="s">
        <v>79</v>
      </c>
      <c r="E919" s="976">
        <v>7</v>
      </c>
      <c r="F919" s="360"/>
      <c r="G919" s="360" t="s">
        <v>32</v>
      </c>
      <c r="H919" s="360" t="s">
        <v>33</v>
      </c>
      <c r="I919" s="919" t="s">
        <v>34</v>
      </c>
      <c r="J919" s="360" t="s">
        <v>6888</v>
      </c>
      <c r="K919" s="360" t="s">
        <v>5526</v>
      </c>
      <c r="L919" s="857">
        <v>86990.25</v>
      </c>
      <c r="M919" s="857">
        <v>43495.13</v>
      </c>
      <c r="N919" s="945">
        <v>2020.12</v>
      </c>
      <c r="O919" s="793" t="s">
        <v>4690</v>
      </c>
      <c r="P919" s="793" t="s">
        <v>6990</v>
      </c>
      <c r="Q919" s="795">
        <v>13485329413</v>
      </c>
      <c r="R919" s="796" t="s">
        <v>4688</v>
      </c>
      <c r="S919" s="796" t="s">
        <v>4670</v>
      </c>
      <c r="T919" s="973"/>
      <c r="U919" s="774"/>
      <c r="V919" s="1589"/>
    </row>
    <row r="920" spans="1:22" ht="24" hidden="1" customHeight="1">
      <c r="A920" s="360"/>
      <c r="B920" s="976" t="s">
        <v>5527</v>
      </c>
      <c r="C920" s="976" t="s">
        <v>5528</v>
      </c>
      <c r="D920" s="976" t="s">
        <v>79</v>
      </c>
      <c r="E920" s="976">
        <v>7</v>
      </c>
      <c r="F920" s="360"/>
      <c r="G920" s="360" t="s">
        <v>32</v>
      </c>
      <c r="H920" s="360" t="s">
        <v>33</v>
      </c>
      <c r="I920" s="919" t="s">
        <v>34</v>
      </c>
      <c r="J920" s="360" t="s">
        <v>6888</v>
      </c>
      <c r="K920" s="360" t="s">
        <v>5526</v>
      </c>
      <c r="L920" s="857">
        <v>66941.762376237602</v>
      </c>
      <c r="M920" s="857">
        <v>33470.879999999903</v>
      </c>
      <c r="N920" s="945">
        <v>2020.12</v>
      </c>
      <c r="O920" s="793" t="s">
        <v>4690</v>
      </c>
      <c r="P920" s="793" t="s">
        <v>6990</v>
      </c>
      <c r="Q920" s="795">
        <v>13485329413</v>
      </c>
      <c r="R920" s="796" t="s">
        <v>4688</v>
      </c>
      <c r="S920" s="796" t="s">
        <v>4670</v>
      </c>
      <c r="T920" s="973"/>
      <c r="U920" s="774"/>
      <c r="V920" s="1589"/>
    </row>
    <row r="921" spans="1:22" ht="24" hidden="1" customHeight="1">
      <c r="A921" s="360"/>
      <c r="B921" s="974" t="s">
        <v>5529</v>
      </c>
      <c r="C921" s="974" t="s">
        <v>5530</v>
      </c>
      <c r="D921" s="974" t="s">
        <v>1477</v>
      </c>
      <c r="E921" s="975">
        <v>12</v>
      </c>
      <c r="F921" s="360"/>
      <c r="G921" s="360" t="s">
        <v>32</v>
      </c>
      <c r="H921" s="360" t="s">
        <v>33</v>
      </c>
      <c r="I921" s="919" t="s">
        <v>34</v>
      </c>
      <c r="J921" s="360" t="s">
        <v>6888</v>
      </c>
      <c r="K921" s="360" t="s">
        <v>5531</v>
      </c>
      <c r="L921" s="857">
        <v>54174.772277227697</v>
      </c>
      <c r="M921" s="857">
        <v>16252.43</v>
      </c>
      <c r="N921" s="945">
        <v>2021.01</v>
      </c>
      <c r="O921" s="793" t="s">
        <v>4690</v>
      </c>
      <c r="P921" s="793" t="s">
        <v>6990</v>
      </c>
      <c r="Q921" s="795">
        <v>13485329413</v>
      </c>
      <c r="R921" s="796" t="s">
        <v>4688</v>
      </c>
      <c r="S921" s="796" t="s">
        <v>4670</v>
      </c>
      <c r="T921" s="973"/>
      <c r="U921" s="774"/>
      <c r="V921" s="1589"/>
    </row>
    <row r="922" spans="1:22" ht="24" hidden="1" customHeight="1">
      <c r="A922" s="360"/>
      <c r="B922" s="974" t="s">
        <v>5532</v>
      </c>
      <c r="C922" s="974" t="s">
        <v>5533</v>
      </c>
      <c r="D922" s="974" t="s">
        <v>79</v>
      </c>
      <c r="E922" s="975">
        <v>180</v>
      </c>
      <c r="F922" s="360"/>
      <c r="G922" s="360" t="s">
        <v>32</v>
      </c>
      <c r="H922" s="360" t="s">
        <v>33</v>
      </c>
      <c r="I922" s="919" t="s">
        <v>34</v>
      </c>
      <c r="J922" s="360" t="s">
        <v>6888</v>
      </c>
      <c r="K922" s="360" t="s">
        <v>5502</v>
      </c>
      <c r="L922" s="857">
        <v>27079.646017699099</v>
      </c>
      <c r="M922" s="857">
        <v>13539.82</v>
      </c>
      <c r="N922" s="945">
        <v>2021.01</v>
      </c>
      <c r="O922" s="793" t="s">
        <v>4690</v>
      </c>
      <c r="P922" s="793" t="s">
        <v>6990</v>
      </c>
      <c r="Q922" s="795">
        <v>13485329413</v>
      </c>
      <c r="R922" s="796" t="s">
        <v>4688</v>
      </c>
      <c r="S922" s="796" t="s">
        <v>4670</v>
      </c>
      <c r="T922" s="973"/>
      <c r="U922" s="774"/>
      <c r="V922" s="1589"/>
    </row>
    <row r="923" spans="1:22" ht="24" hidden="1" customHeight="1">
      <c r="A923" s="360"/>
      <c r="B923" s="974" t="s">
        <v>5532</v>
      </c>
      <c r="C923" s="974" t="s">
        <v>5533</v>
      </c>
      <c r="D923" s="974" t="s">
        <v>3821</v>
      </c>
      <c r="E923" s="975">
        <v>120</v>
      </c>
      <c r="F923" s="360"/>
      <c r="G923" s="360" t="s">
        <v>32</v>
      </c>
      <c r="H923" s="360" t="s">
        <v>33</v>
      </c>
      <c r="I923" s="919" t="s">
        <v>34</v>
      </c>
      <c r="J923" s="360" t="s">
        <v>6888</v>
      </c>
      <c r="K923" s="360" t="s">
        <v>5502</v>
      </c>
      <c r="L923" s="857">
        <v>15929.203539823</v>
      </c>
      <c r="M923" s="857">
        <v>7964.5999999999003</v>
      </c>
      <c r="N923" s="945">
        <v>2021.01</v>
      </c>
      <c r="O923" s="793" t="s">
        <v>4690</v>
      </c>
      <c r="P923" s="793" t="s">
        <v>6990</v>
      </c>
      <c r="Q923" s="795">
        <v>13485329413</v>
      </c>
      <c r="R923" s="796" t="s">
        <v>4688</v>
      </c>
      <c r="S923" s="796" t="s">
        <v>4670</v>
      </c>
      <c r="T923" s="973"/>
      <c r="U923" s="774"/>
      <c r="V923" s="1589"/>
    </row>
    <row r="924" spans="1:22" ht="24" hidden="1" customHeight="1">
      <c r="A924" s="360"/>
      <c r="B924" s="974" t="s">
        <v>5534</v>
      </c>
      <c r="C924" s="974" t="s">
        <v>5535</v>
      </c>
      <c r="D924" s="974" t="s">
        <v>3169</v>
      </c>
      <c r="E924" s="975">
        <v>20</v>
      </c>
      <c r="F924" s="360"/>
      <c r="G924" s="360" t="s">
        <v>32</v>
      </c>
      <c r="H924" s="360" t="s">
        <v>33</v>
      </c>
      <c r="I924" s="919" t="s">
        <v>34</v>
      </c>
      <c r="J924" s="360" t="s">
        <v>6888</v>
      </c>
      <c r="K924" s="360" t="s">
        <v>5502</v>
      </c>
      <c r="L924" s="857">
        <v>3362.8318584070798</v>
      </c>
      <c r="M924" s="857">
        <v>1681.42</v>
      </c>
      <c r="N924" s="945">
        <v>2021.01</v>
      </c>
      <c r="O924" s="793" t="s">
        <v>4690</v>
      </c>
      <c r="P924" s="793" t="s">
        <v>6990</v>
      </c>
      <c r="Q924" s="795">
        <v>13485329413</v>
      </c>
      <c r="R924" s="796" t="s">
        <v>4688</v>
      </c>
      <c r="S924" s="796" t="s">
        <v>4670</v>
      </c>
      <c r="T924" s="973"/>
      <c r="U924" s="774"/>
      <c r="V924" s="1589"/>
    </row>
    <row r="925" spans="1:22" ht="24" hidden="1" customHeight="1">
      <c r="A925" s="360"/>
      <c r="B925" s="974" t="s">
        <v>5534</v>
      </c>
      <c r="C925" s="974" t="s">
        <v>5536</v>
      </c>
      <c r="D925" s="974" t="s">
        <v>3169</v>
      </c>
      <c r="E925" s="975">
        <v>20</v>
      </c>
      <c r="F925" s="360"/>
      <c r="G925" s="360" t="s">
        <v>32</v>
      </c>
      <c r="H925" s="360" t="s">
        <v>33</v>
      </c>
      <c r="I925" s="919" t="s">
        <v>34</v>
      </c>
      <c r="J925" s="360" t="s">
        <v>6888</v>
      </c>
      <c r="K925" s="360" t="s">
        <v>5502</v>
      </c>
      <c r="L925" s="857">
        <v>3716.8141592920401</v>
      </c>
      <c r="M925" s="857">
        <v>1858.41</v>
      </c>
      <c r="N925" s="945">
        <v>2021.01</v>
      </c>
      <c r="O925" s="793" t="s">
        <v>4690</v>
      </c>
      <c r="P925" s="793" t="s">
        <v>6990</v>
      </c>
      <c r="Q925" s="795">
        <v>13485329413</v>
      </c>
      <c r="R925" s="796" t="s">
        <v>4688</v>
      </c>
      <c r="S925" s="796" t="s">
        <v>4670</v>
      </c>
      <c r="T925" s="973"/>
      <c r="U925" s="774"/>
      <c r="V925" s="1589"/>
    </row>
    <row r="926" spans="1:22" ht="24" hidden="1" customHeight="1">
      <c r="A926" s="360"/>
      <c r="B926" s="974" t="s">
        <v>5537</v>
      </c>
      <c r="C926" s="974" t="s">
        <v>5538</v>
      </c>
      <c r="D926" s="974" t="s">
        <v>79</v>
      </c>
      <c r="E926" s="975">
        <v>374</v>
      </c>
      <c r="F926" s="360"/>
      <c r="G926" s="360" t="s">
        <v>32</v>
      </c>
      <c r="H926" s="360" t="s">
        <v>33</v>
      </c>
      <c r="I926" s="919" t="s">
        <v>34</v>
      </c>
      <c r="J926" s="360" t="s">
        <v>6888</v>
      </c>
      <c r="K926" s="360" t="s">
        <v>5502</v>
      </c>
      <c r="L926" s="857">
        <v>115840.707964602</v>
      </c>
      <c r="M926" s="857">
        <v>57920.349999999897</v>
      </c>
      <c r="N926" s="945">
        <v>2021.01</v>
      </c>
      <c r="O926" s="793" t="s">
        <v>4690</v>
      </c>
      <c r="P926" s="793" t="s">
        <v>6990</v>
      </c>
      <c r="Q926" s="795">
        <v>13485329413</v>
      </c>
      <c r="R926" s="796" t="s">
        <v>4688</v>
      </c>
      <c r="S926" s="796" t="s">
        <v>4670</v>
      </c>
      <c r="T926" s="973"/>
      <c r="U926" s="774"/>
      <c r="V926" s="1589"/>
    </row>
    <row r="927" spans="1:22" ht="24" hidden="1" customHeight="1">
      <c r="A927" s="360"/>
      <c r="B927" s="974" t="s">
        <v>5539</v>
      </c>
      <c r="C927" s="974" t="s">
        <v>5540</v>
      </c>
      <c r="D927" s="974" t="s">
        <v>3821</v>
      </c>
      <c r="E927" s="975">
        <v>136</v>
      </c>
      <c r="F927" s="360"/>
      <c r="G927" s="360" t="s">
        <v>32</v>
      </c>
      <c r="H927" s="360" t="s">
        <v>33</v>
      </c>
      <c r="I927" s="919" t="s">
        <v>34</v>
      </c>
      <c r="J927" s="360" t="s">
        <v>6888</v>
      </c>
      <c r="K927" s="360" t="s">
        <v>5502</v>
      </c>
      <c r="L927" s="857">
        <v>21663.716814159299</v>
      </c>
      <c r="M927" s="857">
        <v>10831.86</v>
      </c>
      <c r="N927" s="945">
        <v>2021.01</v>
      </c>
      <c r="O927" s="793" t="s">
        <v>4690</v>
      </c>
      <c r="P927" s="793" t="s">
        <v>6990</v>
      </c>
      <c r="Q927" s="795">
        <v>13485329413</v>
      </c>
      <c r="R927" s="796" t="s">
        <v>4688</v>
      </c>
      <c r="S927" s="796" t="s">
        <v>4670</v>
      </c>
      <c r="T927" s="973"/>
      <c r="U927" s="774"/>
      <c r="V927" s="1589"/>
    </row>
    <row r="928" spans="1:22" ht="24" hidden="1" customHeight="1">
      <c r="A928" s="360"/>
      <c r="B928" s="976" t="s">
        <v>5539</v>
      </c>
      <c r="C928" s="976" t="s">
        <v>5541</v>
      </c>
      <c r="D928" s="976" t="s">
        <v>3821</v>
      </c>
      <c r="E928" s="976">
        <v>187</v>
      </c>
      <c r="F928" s="360"/>
      <c r="G928" s="360" t="s">
        <v>32</v>
      </c>
      <c r="H928" s="360" t="s">
        <v>33</v>
      </c>
      <c r="I928" s="919" t="s">
        <v>34</v>
      </c>
      <c r="J928" s="360" t="s">
        <v>6888</v>
      </c>
      <c r="K928" s="360" t="s">
        <v>5502</v>
      </c>
      <c r="L928" s="857">
        <v>26477.876106194701</v>
      </c>
      <c r="M928" s="857">
        <v>13238.94</v>
      </c>
      <c r="N928" s="945">
        <v>2021.01</v>
      </c>
      <c r="O928" s="793" t="s">
        <v>4690</v>
      </c>
      <c r="P928" s="793" t="s">
        <v>6990</v>
      </c>
      <c r="Q928" s="795">
        <v>13485329413</v>
      </c>
      <c r="R928" s="796" t="s">
        <v>4688</v>
      </c>
      <c r="S928" s="796" t="s">
        <v>4670</v>
      </c>
      <c r="T928" s="973"/>
      <c r="U928" s="774"/>
      <c r="V928" s="1589"/>
    </row>
    <row r="929" spans="1:22" ht="24" hidden="1" customHeight="1">
      <c r="A929" s="360"/>
      <c r="B929" s="976" t="s">
        <v>5539</v>
      </c>
      <c r="C929" s="976" t="s">
        <v>5542</v>
      </c>
      <c r="D929" s="976" t="s">
        <v>3821</v>
      </c>
      <c r="E929" s="976">
        <v>68</v>
      </c>
      <c r="F929" s="360"/>
      <c r="G929" s="360" t="s">
        <v>32</v>
      </c>
      <c r="H929" s="360" t="s">
        <v>33</v>
      </c>
      <c r="I929" s="919" t="s">
        <v>34</v>
      </c>
      <c r="J929" s="360" t="s">
        <v>6888</v>
      </c>
      <c r="K929" s="360" t="s">
        <v>5502</v>
      </c>
      <c r="L929" s="857">
        <v>7221.2389380531004</v>
      </c>
      <c r="M929" s="857">
        <v>3610.62</v>
      </c>
      <c r="N929" s="945">
        <v>2021.01</v>
      </c>
      <c r="O929" s="793" t="s">
        <v>4690</v>
      </c>
      <c r="P929" s="793" t="s">
        <v>6990</v>
      </c>
      <c r="Q929" s="795">
        <v>13485329413</v>
      </c>
      <c r="R929" s="796" t="s">
        <v>4688</v>
      </c>
      <c r="S929" s="796" t="s">
        <v>4670</v>
      </c>
      <c r="T929" s="973"/>
      <c r="U929" s="774"/>
      <c r="V929" s="1589"/>
    </row>
    <row r="930" spans="1:22" ht="24" hidden="1" customHeight="1">
      <c r="A930" s="360"/>
      <c r="B930" s="976" t="s">
        <v>5539</v>
      </c>
      <c r="C930" s="976" t="s">
        <v>5543</v>
      </c>
      <c r="D930" s="976" t="s">
        <v>3821</v>
      </c>
      <c r="E930" s="976">
        <v>68</v>
      </c>
      <c r="F930" s="360"/>
      <c r="G930" s="360" t="s">
        <v>32</v>
      </c>
      <c r="H930" s="360" t="s">
        <v>33</v>
      </c>
      <c r="I930" s="919" t="s">
        <v>34</v>
      </c>
      <c r="J930" s="360" t="s">
        <v>6888</v>
      </c>
      <c r="K930" s="360" t="s">
        <v>5502</v>
      </c>
      <c r="L930" s="857">
        <v>11132.7433628319</v>
      </c>
      <c r="M930" s="857">
        <v>5566.3700000000099</v>
      </c>
      <c r="N930" s="945">
        <v>2021.01</v>
      </c>
      <c r="O930" s="793" t="s">
        <v>4690</v>
      </c>
      <c r="P930" s="793" t="s">
        <v>6990</v>
      </c>
      <c r="Q930" s="795">
        <v>13485329413</v>
      </c>
      <c r="R930" s="796" t="s">
        <v>4688</v>
      </c>
      <c r="S930" s="796" t="s">
        <v>4670</v>
      </c>
      <c r="T930" s="973"/>
      <c r="U930" s="774"/>
      <c r="V930" s="1589"/>
    </row>
    <row r="931" spans="1:22" ht="24" hidden="1" customHeight="1">
      <c r="A931" s="360"/>
      <c r="B931" s="974" t="s">
        <v>5539</v>
      </c>
      <c r="C931" s="974" t="s">
        <v>5544</v>
      </c>
      <c r="D931" s="974" t="s">
        <v>3821</v>
      </c>
      <c r="E931" s="975">
        <v>34</v>
      </c>
      <c r="F931" s="360"/>
      <c r="G931" s="360" t="s">
        <v>32</v>
      </c>
      <c r="H931" s="360" t="s">
        <v>33</v>
      </c>
      <c r="I931" s="919" t="s">
        <v>34</v>
      </c>
      <c r="J931" s="360" t="s">
        <v>6888</v>
      </c>
      <c r="K931" s="360" t="s">
        <v>5502</v>
      </c>
      <c r="L931" s="857">
        <v>4814.1592920353996</v>
      </c>
      <c r="M931" s="857">
        <v>2407.08</v>
      </c>
      <c r="N931" s="945">
        <v>2021.01</v>
      </c>
      <c r="O931" s="793" t="s">
        <v>4690</v>
      </c>
      <c r="P931" s="793" t="s">
        <v>6990</v>
      </c>
      <c r="Q931" s="795">
        <v>13485329413</v>
      </c>
      <c r="R931" s="796" t="s">
        <v>4688</v>
      </c>
      <c r="S931" s="796" t="s">
        <v>4670</v>
      </c>
      <c r="T931" s="973"/>
      <c r="U931" s="774"/>
      <c r="V931" s="1589"/>
    </row>
    <row r="932" spans="1:22" ht="24" hidden="1" customHeight="1">
      <c r="A932" s="360"/>
      <c r="B932" s="974" t="s">
        <v>5539</v>
      </c>
      <c r="C932" s="974" t="s">
        <v>5545</v>
      </c>
      <c r="D932" s="974" t="s">
        <v>3821</v>
      </c>
      <c r="E932" s="975">
        <v>34</v>
      </c>
      <c r="F932" s="360"/>
      <c r="G932" s="360" t="s">
        <v>32</v>
      </c>
      <c r="H932" s="360" t="s">
        <v>33</v>
      </c>
      <c r="I932" s="919" t="s">
        <v>34</v>
      </c>
      <c r="J932" s="360" t="s">
        <v>6888</v>
      </c>
      <c r="K932" s="360" t="s">
        <v>5502</v>
      </c>
      <c r="L932" s="857">
        <v>4663.7168141592902</v>
      </c>
      <c r="M932" s="857">
        <v>2331.86</v>
      </c>
      <c r="N932" s="945">
        <v>2021.01</v>
      </c>
      <c r="O932" s="793" t="s">
        <v>4690</v>
      </c>
      <c r="P932" s="793" t="s">
        <v>6990</v>
      </c>
      <c r="Q932" s="795">
        <v>13485329413</v>
      </c>
      <c r="R932" s="796" t="s">
        <v>4688</v>
      </c>
      <c r="S932" s="796" t="s">
        <v>4670</v>
      </c>
      <c r="T932" s="973"/>
      <c r="U932" s="774"/>
      <c r="V932" s="1589"/>
    </row>
    <row r="933" spans="1:22" ht="24" hidden="1" customHeight="1">
      <c r="A933" s="360"/>
      <c r="B933" s="974" t="s">
        <v>5539</v>
      </c>
      <c r="C933" s="974" t="s">
        <v>5546</v>
      </c>
      <c r="D933" s="974" t="s">
        <v>3821</v>
      </c>
      <c r="E933" s="975">
        <v>34</v>
      </c>
      <c r="F933" s="360"/>
      <c r="G933" s="360" t="s">
        <v>32</v>
      </c>
      <c r="H933" s="360" t="s">
        <v>33</v>
      </c>
      <c r="I933" s="919" t="s">
        <v>34</v>
      </c>
      <c r="J933" s="360" t="s">
        <v>6888</v>
      </c>
      <c r="K933" s="360" t="s">
        <v>5502</v>
      </c>
      <c r="L933" s="857">
        <v>5115.0442477876104</v>
      </c>
      <c r="M933" s="857">
        <v>2557.52000000001</v>
      </c>
      <c r="N933" s="945">
        <v>2021.01</v>
      </c>
      <c r="O933" s="793" t="s">
        <v>4690</v>
      </c>
      <c r="P933" s="793" t="s">
        <v>6990</v>
      </c>
      <c r="Q933" s="795">
        <v>13485329413</v>
      </c>
      <c r="R933" s="796" t="s">
        <v>4688</v>
      </c>
      <c r="S933" s="796" t="s">
        <v>4670</v>
      </c>
      <c r="T933" s="973"/>
      <c r="U933" s="774"/>
      <c r="V933" s="1589"/>
    </row>
    <row r="934" spans="1:22" ht="24" hidden="1" customHeight="1">
      <c r="A934" s="360"/>
      <c r="B934" s="974" t="s">
        <v>5539</v>
      </c>
      <c r="C934" s="974" t="s">
        <v>5547</v>
      </c>
      <c r="D934" s="974" t="s">
        <v>3821</v>
      </c>
      <c r="E934" s="975">
        <v>68</v>
      </c>
      <c r="F934" s="360"/>
      <c r="G934" s="360" t="s">
        <v>32</v>
      </c>
      <c r="H934" s="360" t="s">
        <v>33</v>
      </c>
      <c r="I934" s="919" t="s">
        <v>34</v>
      </c>
      <c r="J934" s="360" t="s">
        <v>6888</v>
      </c>
      <c r="K934" s="360" t="s">
        <v>5502</v>
      </c>
      <c r="L934" s="857">
        <v>11734.513274336299</v>
      </c>
      <c r="M934" s="857">
        <v>5867.26</v>
      </c>
      <c r="N934" s="945">
        <v>2021.01</v>
      </c>
      <c r="O934" s="793" t="s">
        <v>4690</v>
      </c>
      <c r="P934" s="793" t="s">
        <v>6990</v>
      </c>
      <c r="Q934" s="795">
        <v>13485329413</v>
      </c>
      <c r="R934" s="796" t="s">
        <v>4688</v>
      </c>
      <c r="S934" s="796" t="s">
        <v>4670</v>
      </c>
      <c r="T934" s="973"/>
      <c r="U934" s="774"/>
      <c r="V934" s="1589"/>
    </row>
    <row r="935" spans="1:22" ht="24" hidden="1" customHeight="1">
      <c r="A935" s="360"/>
      <c r="B935" s="974" t="s">
        <v>5548</v>
      </c>
      <c r="C935" s="974" t="s">
        <v>5549</v>
      </c>
      <c r="D935" s="974" t="s">
        <v>131</v>
      </c>
      <c r="E935" s="975">
        <v>6</v>
      </c>
      <c r="F935" s="360"/>
      <c r="G935" s="360" t="s">
        <v>32</v>
      </c>
      <c r="H935" s="360" t="s">
        <v>33</v>
      </c>
      <c r="I935" s="919" t="s">
        <v>34</v>
      </c>
      <c r="J935" s="360" t="s">
        <v>6888</v>
      </c>
      <c r="K935" s="360" t="s">
        <v>5526</v>
      </c>
      <c r="L935" s="857">
        <v>39611.643564356396</v>
      </c>
      <c r="M935" s="857">
        <v>19805.82</v>
      </c>
      <c r="N935" s="945">
        <v>2021.01</v>
      </c>
      <c r="O935" s="793" t="s">
        <v>4690</v>
      </c>
      <c r="P935" s="793" t="s">
        <v>6990</v>
      </c>
      <c r="Q935" s="795">
        <v>13485329413</v>
      </c>
      <c r="R935" s="796" t="s">
        <v>4688</v>
      </c>
      <c r="S935" s="796" t="s">
        <v>4670</v>
      </c>
      <c r="T935" s="973"/>
      <c r="U935" s="774"/>
      <c r="V935" s="1589"/>
    </row>
    <row r="936" spans="1:22" ht="24" hidden="1" customHeight="1">
      <c r="A936" s="360"/>
      <c r="B936" s="977" t="s">
        <v>5548</v>
      </c>
      <c r="C936" s="977" t="s">
        <v>5549</v>
      </c>
      <c r="D936" s="977" t="s">
        <v>131</v>
      </c>
      <c r="E936" s="978">
        <v>2</v>
      </c>
      <c r="F936" s="360"/>
      <c r="G936" s="360" t="s">
        <v>32</v>
      </c>
      <c r="H936" s="360" t="s">
        <v>33</v>
      </c>
      <c r="I936" s="919" t="s">
        <v>34</v>
      </c>
      <c r="J936" s="360" t="s">
        <v>6888</v>
      </c>
      <c r="K936" s="360" t="s">
        <v>5526</v>
      </c>
      <c r="L936" s="857">
        <v>13203.88</v>
      </c>
      <c r="M936" s="857">
        <v>6601.94</v>
      </c>
      <c r="N936" s="945">
        <v>2021.07</v>
      </c>
      <c r="O936" s="793" t="s">
        <v>4690</v>
      </c>
      <c r="P936" s="794" t="s">
        <v>6990</v>
      </c>
      <c r="Q936" s="792">
        <v>13485329413</v>
      </c>
      <c r="R936" s="792" t="s">
        <v>4688</v>
      </c>
      <c r="S936" s="792" t="s">
        <v>4670</v>
      </c>
      <c r="T936" s="973"/>
      <c r="U936" s="774"/>
      <c r="V936" s="1589"/>
    </row>
    <row r="937" spans="1:22" ht="24" hidden="1" customHeight="1">
      <c r="A937" s="360"/>
      <c r="B937" s="977" t="s">
        <v>5550</v>
      </c>
      <c r="C937" s="977" t="s">
        <v>5551</v>
      </c>
      <c r="D937" s="977" t="s">
        <v>3821</v>
      </c>
      <c r="E937" s="978">
        <v>1000</v>
      </c>
      <c r="F937" s="360"/>
      <c r="G937" s="360" t="s">
        <v>32</v>
      </c>
      <c r="H937" s="360" t="s">
        <v>33</v>
      </c>
      <c r="I937" s="919" t="s">
        <v>34</v>
      </c>
      <c r="J937" s="360" t="s">
        <v>6888</v>
      </c>
      <c r="K937" s="360" t="s">
        <v>5502</v>
      </c>
      <c r="L937" s="857">
        <v>132743.35999999999</v>
      </c>
      <c r="M937" s="857">
        <v>66371.679999999993</v>
      </c>
      <c r="N937" s="945">
        <v>2021.08</v>
      </c>
      <c r="O937" s="793" t="s">
        <v>4690</v>
      </c>
      <c r="P937" s="794" t="s">
        <v>6990</v>
      </c>
      <c r="Q937" s="792">
        <v>13485329413</v>
      </c>
      <c r="R937" s="792" t="s">
        <v>4688</v>
      </c>
      <c r="S937" s="792" t="s">
        <v>4670</v>
      </c>
      <c r="T937" s="973"/>
      <c r="U937" s="774"/>
      <c r="V937" s="1589"/>
    </row>
    <row r="938" spans="1:22" ht="24" hidden="1" customHeight="1">
      <c r="A938" s="792"/>
      <c r="B938" s="889" t="s">
        <v>5552</v>
      </c>
      <c r="C938" s="889" t="s">
        <v>5439</v>
      </c>
      <c r="D938" s="889" t="s">
        <v>79</v>
      </c>
      <c r="E938" s="934">
        <v>500</v>
      </c>
      <c r="F938" s="360" t="s">
        <v>34</v>
      </c>
      <c r="G938" s="360" t="s">
        <v>32</v>
      </c>
      <c r="H938" s="360" t="s">
        <v>33</v>
      </c>
      <c r="I938" s="360" t="s">
        <v>6888</v>
      </c>
      <c r="J938" s="360" t="s">
        <v>6888</v>
      </c>
      <c r="K938" s="792" t="s">
        <v>5553</v>
      </c>
      <c r="L938" s="857">
        <v>78000</v>
      </c>
      <c r="M938" s="857">
        <v>41481.9742069192</v>
      </c>
      <c r="N938" s="945">
        <v>2020.07</v>
      </c>
      <c r="O938" s="979" t="s">
        <v>6997</v>
      </c>
      <c r="P938" s="793" t="s">
        <v>5055</v>
      </c>
      <c r="Q938" s="980">
        <v>13847129712</v>
      </c>
      <c r="R938" s="979" t="s">
        <v>5056</v>
      </c>
      <c r="S938" s="979" t="s">
        <v>4670</v>
      </c>
      <c r="T938" s="769"/>
      <c r="U938" s="774"/>
      <c r="V938" s="1589"/>
    </row>
    <row r="939" spans="1:22" ht="24" hidden="1" customHeight="1">
      <c r="A939" s="792"/>
      <c r="B939" s="981" t="s">
        <v>5554</v>
      </c>
      <c r="C939" s="893" t="s">
        <v>5555</v>
      </c>
      <c r="D939" s="893" t="s">
        <v>161</v>
      </c>
      <c r="E939" s="893">
        <v>117</v>
      </c>
      <c r="F939" s="360" t="s">
        <v>34</v>
      </c>
      <c r="G939" s="360" t="s">
        <v>32</v>
      </c>
      <c r="H939" s="360" t="s">
        <v>33</v>
      </c>
      <c r="I939" s="360" t="s">
        <v>6888</v>
      </c>
      <c r="J939" s="360" t="s">
        <v>6888</v>
      </c>
      <c r="K939" s="792" t="s">
        <v>5556</v>
      </c>
      <c r="L939" s="857">
        <v>6359.7029702970303</v>
      </c>
      <c r="M939" s="857">
        <v>404.73599195999299</v>
      </c>
      <c r="N939" s="945">
        <v>2020.07</v>
      </c>
      <c r="O939" s="979" t="s">
        <v>6997</v>
      </c>
      <c r="P939" s="793" t="s">
        <v>5055</v>
      </c>
      <c r="Q939" s="980">
        <v>13847129712</v>
      </c>
      <c r="R939" s="979" t="s">
        <v>5056</v>
      </c>
      <c r="S939" s="979" t="s">
        <v>4670</v>
      </c>
      <c r="T939" s="769"/>
      <c r="U939" s="774"/>
      <c r="V939" s="1589"/>
    </row>
    <row r="940" spans="1:22" ht="24" hidden="1" customHeight="1">
      <c r="A940" s="792"/>
      <c r="B940" s="981" t="s">
        <v>5554</v>
      </c>
      <c r="C940" s="893" t="s">
        <v>5557</v>
      </c>
      <c r="D940" s="893" t="s">
        <v>161</v>
      </c>
      <c r="E940" s="893">
        <v>78</v>
      </c>
      <c r="F940" s="360" t="s">
        <v>34</v>
      </c>
      <c r="G940" s="360" t="s">
        <v>32</v>
      </c>
      <c r="H940" s="360" t="s">
        <v>33</v>
      </c>
      <c r="I940" s="360" t="s">
        <v>6888</v>
      </c>
      <c r="J940" s="360" t="s">
        <v>6888</v>
      </c>
      <c r="K940" s="792" t="s">
        <v>5556</v>
      </c>
      <c r="L940" s="857">
        <v>3436.63366336634</v>
      </c>
      <c r="M940" s="857">
        <v>218.70663803545401</v>
      </c>
      <c r="N940" s="945">
        <v>2020.07</v>
      </c>
      <c r="O940" s="979" t="s">
        <v>6997</v>
      </c>
      <c r="P940" s="793" t="s">
        <v>5055</v>
      </c>
      <c r="Q940" s="980">
        <v>13847129712</v>
      </c>
      <c r="R940" s="979" t="s">
        <v>5056</v>
      </c>
      <c r="S940" s="979" t="s">
        <v>4670</v>
      </c>
      <c r="T940" s="769"/>
      <c r="U940" s="774"/>
      <c r="V940" s="1589"/>
    </row>
    <row r="941" spans="1:22" ht="24" hidden="1" customHeight="1">
      <c r="A941" s="792"/>
      <c r="B941" s="981" t="s">
        <v>5554</v>
      </c>
      <c r="C941" s="893" t="s">
        <v>5558</v>
      </c>
      <c r="D941" s="893" t="s">
        <v>161</v>
      </c>
      <c r="E941" s="893">
        <v>80</v>
      </c>
      <c r="F941" s="360" t="s">
        <v>34</v>
      </c>
      <c r="G941" s="360" t="s">
        <v>32</v>
      </c>
      <c r="H941" s="360" t="s">
        <v>33</v>
      </c>
      <c r="I941" s="360" t="s">
        <v>6888</v>
      </c>
      <c r="J941" s="360" t="s">
        <v>6888</v>
      </c>
      <c r="K941" s="792" t="s">
        <v>5556</v>
      </c>
      <c r="L941" s="857">
        <v>2764.35643564356</v>
      </c>
      <c r="M941" s="857">
        <v>175.92603670267599</v>
      </c>
      <c r="N941" s="945">
        <v>2020.07</v>
      </c>
      <c r="O941" s="979" t="s">
        <v>6997</v>
      </c>
      <c r="P941" s="793" t="s">
        <v>5055</v>
      </c>
      <c r="Q941" s="980">
        <v>13847129712</v>
      </c>
      <c r="R941" s="979" t="s">
        <v>5056</v>
      </c>
      <c r="S941" s="979" t="s">
        <v>4670</v>
      </c>
      <c r="T941" s="769"/>
      <c r="U941" s="774"/>
      <c r="V941" s="1589"/>
    </row>
    <row r="942" spans="1:22" ht="24" hidden="1" customHeight="1">
      <c r="A942" s="792"/>
      <c r="B942" s="981" t="s">
        <v>5554</v>
      </c>
      <c r="C942" s="893" t="s">
        <v>5559</v>
      </c>
      <c r="D942" s="893" t="s">
        <v>161</v>
      </c>
      <c r="E942" s="893">
        <v>150</v>
      </c>
      <c r="F942" s="360" t="s">
        <v>34</v>
      </c>
      <c r="G942" s="360" t="s">
        <v>32</v>
      </c>
      <c r="H942" s="360" t="s">
        <v>33</v>
      </c>
      <c r="I942" s="360" t="s">
        <v>6888</v>
      </c>
      <c r="J942" s="360" t="s">
        <v>6888</v>
      </c>
      <c r="K942" s="792" t="s">
        <v>5556</v>
      </c>
      <c r="L942" s="857">
        <v>2979.2079207920801</v>
      </c>
      <c r="M942" s="857">
        <v>189.600352592533</v>
      </c>
      <c r="N942" s="945">
        <v>2020.07</v>
      </c>
      <c r="O942" s="979" t="s">
        <v>6997</v>
      </c>
      <c r="P942" s="793" t="s">
        <v>5055</v>
      </c>
      <c r="Q942" s="980">
        <v>13847129712</v>
      </c>
      <c r="R942" s="979" t="s">
        <v>5056</v>
      </c>
      <c r="S942" s="979" t="s">
        <v>4670</v>
      </c>
      <c r="T942" s="769"/>
      <c r="U942" s="774"/>
      <c r="V942" s="1589"/>
    </row>
    <row r="943" spans="1:22" ht="24" hidden="1" customHeight="1">
      <c r="A943" s="792"/>
      <c r="B943" s="893" t="s">
        <v>5315</v>
      </c>
      <c r="C943" s="893" t="s">
        <v>5232</v>
      </c>
      <c r="D943" s="893" t="s">
        <v>161</v>
      </c>
      <c r="E943" s="893">
        <v>690</v>
      </c>
      <c r="F943" s="360" t="s">
        <v>34</v>
      </c>
      <c r="G943" s="360" t="s">
        <v>32</v>
      </c>
      <c r="H943" s="360" t="s">
        <v>33</v>
      </c>
      <c r="I943" s="360" t="s">
        <v>6888</v>
      </c>
      <c r="J943" s="360" t="s">
        <v>6888</v>
      </c>
      <c r="K943" s="792" t="s">
        <v>5556</v>
      </c>
      <c r="L943" s="857">
        <v>66267.326732673304</v>
      </c>
      <c r="M943" s="857">
        <v>4217.2764170881501</v>
      </c>
      <c r="N943" s="945">
        <v>2020.07</v>
      </c>
      <c r="O943" s="979" t="s">
        <v>6997</v>
      </c>
      <c r="P943" s="793" t="s">
        <v>5055</v>
      </c>
      <c r="Q943" s="980">
        <v>13847129712</v>
      </c>
      <c r="R943" s="979" t="s">
        <v>5056</v>
      </c>
      <c r="S943" s="979" t="s">
        <v>4670</v>
      </c>
      <c r="T943" s="769"/>
      <c r="U943" s="774"/>
      <c r="V943" s="1589"/>
    </row>
    <row r="944" spans="1:22" ht="24" hidden="1" customHeight="1">
      <c r="A944" s="792"/>
      <c r="B944" s="982" t="s">
        <v>5560</v>
      </c>
      <c r="C944" s="893" t="s">
        <v>5561</v>
      </c>
      <c r="D944" s="893" t="s">
        <v>1477</v>
      </c>
      <c r="E944" s="893">
        <v>1</v>
      </c>
      <c r="F944" s="360" t="s">
        <v>34</v>
      </c>
      <c r="G944" s="360" t="s">
        <v>32</v>
      </c>
      <c r="H944" s="360" t="s">
        <v>33</v>
      </c>
      <c r="I944" s="360" t="s">
        <v>6888</v>
      </c>
      <c r="J944" s="360" t="s">
        <v>6888</v>
      </c>
      <c r="K944" s="792" t="s">
        <v>5556</v>
      </c>
      <c r="L944" s="857">
        <v>12475.25</v>
      </c>
      <c r="M944" s="857">
        <v>793.931954483813</v>
      </c>
      <c r="N944" s="945">
        <v>2020.07</v>
      </c>
      <c r="O944" s="979" t="s">
        <v>6997</v>
      </c>
      <c r="P944" s="793" t="s">
        <v>5055</v>
      </c>
      <c r="Q944" s="980">
        <v>13847129712</v>
      </c>
      <c r="R944" s="979" t="s">
        <v>5056</v>
      </c>
      <c r="S944" s="979" t="s">
        <v>4670</v>
      </c>
      <c r="T944" s="769"/>
      <c r="U944" s="774"/>
      <c r="V944" s="1589"/>
    </row>
    <row r="945" spans="1:22" ht="24" hidden="1" customHeight="1">
      <c r="A945" s="792"/>
      <c r="B945" s="982" t="s">
        <v>5560</v>
      </c>
      <c r="C945" s="893" t="s">
        <v>5562</v>
      </c>
      <c r="D945" s="893" t="s">
        <v>1477</v>
      </c>
      <c r="E945" s="893">
        <v>1</v>
      </c>
      <c r="F945" s="360" t="s">
        <v>34</v>
      </c>
      <c r="G945" s="360" t="s">
        <v>32</v>
      </c>
      <c r="H945" s="360" t="s">
        <v>33</v>
      </c>
      <c r="I945" s="360" t="s">
        <v>6888</v>
      </c>
      <c r="J945" s="360" t="s">
        <v>6888</v>
      </c>
      <c r="K945" s="792" t="s">
        <v>5556</v>
      </c>
      <c r="L945" s="857">
        <v>12475.25</v>
      </c>
      <c r="M945" s="857">
        <v>793.931954483813</v>
      </c>
      <c r="N945" s="945">
        <v>2020.07</v>
      </c>
      <c r="O945" s="979" t="s">
        <v>6997</v>
      </c>
      <c r="P945" s="793" t="s">
        <v>5055</v>
      </c>
      <c r="Q945" s="980">
        <v>13847129712</v>
      </c>
      <c r="R945" s="979" t="s">
        <v>5056</v>
      </c>
      <c r="S945" s="979" t="s">
        <v>4670</v>
      </c>
      <c r="T945" s="769"/>
      <c r="U945" s="774"/>
      <c r="V945" s="1589"/>
    </row>
    <row r="946" spans="1:22" ht="24" hidden="1" customHeight="1">
      <c r="A946" s="792"/>
      <c r="B946" s="893" t="s">
        <v>5273</v>
      </c>
      <c r="C946" s="893" t="s">
        <v>5563</v>
      </c>
      <c r="D946" s="893" t="s">
        <v>1477</v>
      </c>
      <c r="E946" s="893">
        <v>1</v>
      </c>
      <c r="F946" s="360" t="s">
        <v>34</v>
      </c>
      <c r="G946" s="360" t="s">
        <v>32</v>
      </c>
      <c r="H946" s="360" t="s">
        <v>33</v>
      </c>
      <c r="I946" s="360" t="s">
        <v>6888</v>
      </c>
      <c r="J946" s="360" t="s">
        <v>6888</v>
      </c>
      <c r="K946" s="792" t="s">
        <v>5556</v>
      </c>
      <c r="L946" s="857">
        <v>6237.6237623762399</v>
      </c>
      <c r="M946" s="857">
        <v>396.96207422165401</v>
      </c>
      <c r="N946" s="945">
        <v>2020.07</v>
      </c>
      <c r="O946" s="979" t="s">
        <v>6997</v>
      </c>
      <c r="P946" s="793" t="s">
        <v>5055</v>
      </c>
      <c r="Q946" s="980">
        <v>13847129712</v>
      </c>
      <c r="R946" s="979" t="s">
        <v>5056</v>
      </c>
      <c r="S946" s="979" t="s">
        <v>4670</v>
      </c>
      <c r="T946" s="769"/>
      <c r="U946" s="774"/>
      <c r="V946" s="1589"/>
    </row>
    <row r="947" spans="1:22" ht="24" hidden="1" customHeight="1">
      <c r="A947" s="792"/>
      <c r="B947" s="893" t="s">
        <v>5273</v>
      </c>
      <c r="C947" s="893" t="s">
        <v>5564</v>
      </c>
      <c r="D947" s="893" t="s">
        <v>1477</v>
      </c>
      <c r="E947" s="893">
        <v>1</v>
      </c>
      <c r="F947" s="360" t="s">
        <v>34</v>
      </c>
      <c r="G947" s="360" t="s">
        <v>32</v>
      </c>
      <c r="H947" s="360" t="s">
        <v>33</v>
      </c>
      <c r="I947" s="360" t="s">
        <v>6888</v>
      </c>
      <c r="J947" s="360" t="s">
        <v>6888</v>
      </c>
      <c r="K947" s="792" t="s">
        <v>5556</v>
      </c>
      <c r="L947" s="857">
        <v>5346.5346534653499</v>
      </c>
      <c r="M947" s="857">
        <v>340.25749218998902</v>
      </c>
      <c r="N947" s="945">
        <v>2020.07</v>
      </c>
      <c r="O947" s="979" t="s">
        <v>6997</v>
      </c>
      <c r="P947" s="793" t="s">
        <v>5055</v>
      </c>
      <c r="Q947" s="980">
        <v>13847129712</v>
      </c>
      <c r="R947" s="979" t="s">
        <v>5056</v>
      </c>
      <c r="S947" s="979" t="s">
        <v>4670</v>
      </c>
      <c r="T947" s="769"/>
      <c r="U947" s="774"/>
      <c r="V947" s="1589"/>
    </row>
    <row r="948" spans="1:22" ht="24" hidden="1" customHeight="1">
      <c r="A948" s="792"/>
      <c r="B948" s="893" t="s">
        <v>5273</v>
      </c>
      <c r="C948" s="893" t="s">
        <v>5565</v>
      </c>
      <c r="D948" s="893" t="s">
        <v>1477</v>
      </c>
      <c r="E948" s="893">
        <v>1</v>
      </c>
      <c r="F948" s="360" t="s">
        <v>34</v>
      </c>
      <c r="G948" s="360" t="s">
        <v>32</v>
      </c>
      <c r="H948" s="360" t="s">
        <v>33</v>
      </c>
      <c r="I948" s="360" t="s">
        <v>6888</v>
      </c>
      <c r="J948" s="360" t="s">
        <v>6888</v>
      </c>
      <c r="K948" s="792" t="s">
        <v>5556</v>
      </c>
      <c r="L948" s="857">
        <v>5168.32</v>
      </c>
      <c r="M948" s="857">
        <v>328.90976751550198</v>
      </c>
      <c r="N948" s="945">
        <v>2020.07</v>
      </c>
      <c r="O948" s="979" t="s">
        <v>6997</v>
      </c>
      <c r="P948" s="793" t="s">
        <v>5055</v>
      </c>
      <c r="Q948" s="980">
        <v>13847129712</v>
      </c>
      <c r="R948" s="979" t="s">
        <v>5056</v>
      </c>
      <c r="S948" s="979" t="s">
        <v>4670</v>
      </c>
      <c r="T948" s="769"/>
      <c r="U948" s="774"/>
      <c r="V948" s="1589"/>
    </row>
    <row r="949" spans="1:22" ht="24" hidden="1" customHeight="1">
      <c r="A949" s="792"/>
      <c r="B949" s="893" t="s">
        <v>5273</v>
      </c>
      <c r="C949" s="893" t="s">
        <v>5566</v>
      </c>
      <c r="D949" s="893" t="s">
        <v>1477</v>
      </c>
      <c r="E949" s="893">
        <v>1</v>
      </c>
      <c r="F949" s="360" t="s">
        <v>34</v>
      </c>
      <c r="G949" s="360" t="s">
        <v>32</v>
      </c>
      <c r="H949" s="360" t="s">
        <v>33</v>
      </c>
      <c r="I949" s="360" t="s">
        <v>6888</v>
      </c>
      <c r="J949" s="360" t="s">
        <v>6888</v>
      </c>
      <c r="K949" s="792" t="s">
        <v>5556</v>
      </c>
      <c r="L949" s="857">
        <v>6059.41</v>
      </c>
      <c r="M949" s="857">
        <v>385.62355972174799</v>
      </c>
      <c r="N949" s="945">
        <v>2020.07</v>
      </c>
      <c r="O949" s="979" t="s">
        <v>6997</v>
      </c>
      <c r="P949" s="793" t="s">
        <v>5055</v>
      </c>
      <c r="Q949" s="980">
        <v>13847129712</v>
      </c>
      <c r="R949" s="979" t="s">
        <v>5056</v>
      </c>
      <c r="S949" s="979" t="s">
        <v>4670</v>
      </c>
      <c r="T949" s="769"/>
      <c r="U949" s="774"/>
      <c r="V949" s="1589"/>
    </row>
    <row r="950" spans="1:22" ht="24" hidden="1" customHeight="1">
      <c r="A950" s="792"/>
      <c r="B950" s="893" t="s">
        <v>5273</v>
      </c>
      <c r="C950" s="893" t="s">
        <v>5567</v>
      </c>
      <c r="D950" s="893" t="s">
        <v>1477</v>
      </c>
      <c r="E950" s="893">
        <v>1</v>
      </c>
      <c r="F950" s="360" t="s">
        <v>34</v>
      </c>
      <c r="G950" s="360" t="s">
        <v>32</v>
      </c>
      <c r="H950" s="360" t="s">
        <v>33</v>
      </c>
      <c r="I950" s="360" t="s">
        <v>6888</v>
      </c>
      <c r="J950" s="360" t="s">
        <v>6888</v>
      </c>
      <c r="K950" s="792" t="s">
        <v>5556</v>
      </c>
      <c r="L950" s="857">
        <v>7663.37</v>
      </c>
      <c r="M950" s="857">
        <v>487.69815841226603</v>
      </c>
      <c r="N950" s="945">
        <v>2020.07</v>
      </c>
      <c r="O950" s="979" t="s">
        <v>6997</v>
      </c>
      <c r="P950" s="793" t="s">
        <v>5055</v>
      </c>
      <c r="Q950" s="980">
        <v>13847129712</v>
      </c>
      <c r="R950" s="979" t="s">
        <v>5056</v>
      </c>
      <c r="S950" s="979" t="s">
        <v>4670</v>
      </c>
      <c r="T950" s="769"/>
      <c r="U950" s="774"/>
      <c r="V950" s="1589"/>
    </row>
    <row r="951" spans="1:22" ht="24" hidden="1" customHeight="1">
      <c r="A951" s="792"/>
      <c r="B951" s="893" t="s">
        <v>5273</v>
      </c>
      <c r="C951" s="893" t="s">
        <v>5568</v>
      </c>
      <c r="D951" s="893" t="s">
        <v>1477</v>
      </c>
      <c r="E951" s="893">
        <v>1</v>
      </c>
      <c r="F951" s="360" t="s">
        <v>34</v>
      </c>
      <c r="G951" s="360" t="s">
        <v>32</v>
      </c>
      <c r="H951" s="360" t="s">
        <v>33</v>
      </c>
      <c r="I951" s="360" t="s">
        <v>6888</v>
      </c>
      <c r="J951" s="360" t="s">
        <v>6888</v>
      </c>
      <c r="K951" s="792" t="s">
        <v>5556</v>
      </c>
      <c r="L951" s="857">
        <v>5346.5346534653499</v>
      </c>
      <c r="M951" s="857">
        <v>340.25749218998902</v>
      </c>
      <c r="N951" s="945">
        <v>2020.07</v>
      </c>
      <c r="O951" s="979" t="s">
        <v>6997</v>
      </c>
      <c r="P951" s="793" t="s">
        <v>5055</v>
      </c>
      <c r="Q951" s="980">
        <v>13847129712</v>
      </c>
      <c r="R951" s="979" t="s">
        <v>5056</v>
      </c>
      <c r="S951" s="979" t="s">
        <v>4670</v>
      </c>
      <c r="T951" s="769"/>
      <c r="U951" s="774"/>
      <c r="V951" s="1589"/>
    </row>
    <row r="952" spans="1:22" ht="24" hidden="1" customHeight="1">
      <c r="A952" s="792"/>
      <c r="B952" s="893" t="s">
        <v>5273</v>
      </c>
      <c r="C952" s="893" t="s">
        <v>5569</v>
      </c>
      <c r="D952" s="893" t="s">
        <v>1477</v>
      </c>
      <c r="E952" s="893">
        <v>1</v>
      </c>
      <c r="F952" s="360" t="s">
        <v>34</v>
      </c>
      <c r="G952" s="360" t="s">
        <v>32</v>
      </c>
      <c r="H952" s="360" t="s">
        <v>33</v>
      </c>
      <c r="I952" s="360" t="s">
        <v>6888</v>
      </c>
      <c r="J952" s="360" t="s">
        <v>6888</v>
      </c>
      <c r="K952" s="792" t="s">
        <v>5556</v>
      </c>
      <c r="L952" s="857">
        <v>6059.41</v>
      </c>
      <c r="M952" s="857">
        <v>385.62355972174799</v>
      </c>
      <c r="N952" s="945">
        <v>2020.07</v>
      </c>
      <c r="O952" s="979" t="s">
        <v>6997</v>
      </c>
      <c r="P952" s="793" t="s">
        <v>5055</v>
      </c>
      <c r="Q952" s="980">
        <v>13847129712</v>
      </c>
      <c r="R952" s="979" t="s">
        <v>5056</v>
      </c>
      <c r="S952" s="979" t="s">
        <v>4670</v>
      </c>
      <c r="T952" s="769"/>
      <c r="U952" s="774"/>
      <c r="V952" s="1589"/>
    </row>
    <row r="953" spans="1:22" ht="24" hidden="1" customHeight="1">
      <c r="A953" s="792"/>
      <c r="B953" s="893" t="s">
        <v>5273</v>
      </c>
      <c r="C953" s="893" t="s">
        <v>5570</v>
      </c>
      <c r="D953" s="893" t="s">
        <v>1477</v>
      </c>
      <c r="E953" s="893">
        <v>1</v>
      </c>
      <c r="F953" s="360" t="s">
        <v>34</v>
      </c>
      <c r="G953" s="360" t="s">
        <v>32</v>
      </c>
      <c r="H953" s="360" t="s">
        <v>33</v>
      </c>
      <c r="I953" s="360" t="s">
        <v>6888</v>
      </c>
      <c r="J953" s="360" t="s">
        <v>6888</v>
      </c>
      <c r="K953" s="792" t="s">
        <v>5556</v>
      </c>
      <c r="L953" s="857">
        <v>7663.3663366336596</v>
      </c>
      <c r="M953" s="857">
        <v>487.70140547231699</v>
      </c>
      <c r="N953" s="945">
        <v>2020.07</v>
      </c>
      <c r="O953" s="979" t="s">
        <v>6997</v>
      </c>
      <c r="P953" s="793" t="s">
        <v>5055</v>
      </c>
      <c r="Q953" s="980">
        <v>13847129712</v>
      </c>
      <c r="R953" s="979" t="s">
        <v>5056</v>
      </c>
      <c r="S953" s="979" t="s">
        <v>4670</v>
      </c>
      <c r="T953" s="769"/>
      <c r="U953" s="774"/>
      <c r="V953" s="1589"/>
    </row>
    <row r="954" spans="1:22" ht="24" hidden="1" customHeight="1">
      <c r="A954" s="792"/>
      <c r="B954" s="893" t="s">
        <v>1486</v>
      </c>
      <c r="C954" s="893" t="s">
        <v>5571</v>
      </c>
      <c r="D954" s="893" t="s">
        <v>1477</v>
      </c>
      <c r="E954" s="893">
        <v>1</v>
      </c>
      <c r="F954" s="360" t="s">
        <v>34</v>
      </c>
      <c r="G954" s="360" t="s">
        <v>32</v>
      </c>
      <c r="H954" s="360" t="s">
        <v>33</v>
      </c>
      <c r="I954" s="360" t="s">
        <v>6888</v>
      </c>
      <c r="J954" s="360" t="s">
        <v>6888</v>
      </c>
      <c r="K954" s="792" t="s">
        <v>5556</v>
      </c>
      <c r="L954" s="857">
        <v>12178.2178217822</v>
      </c>
      <c r="M954" s="857">
        <v>775.02928776608405</v>
      </c>
      <c r="N954" s="945">
        <v>2020.07</v>
      </c>
      <c r="O954" s="979" t="s">
        <v>6997</v>
      </c>
      <c r="P954" s="793" t="s">
        <v>5055</v>
      </c>
      <c r="Q954" s="980">
        <v>13847129712</v>
      </c>
      <c r="R954" s="979" t="s">
        <v>5056</v>
      </c>
      <c r="S954" s="979" t="s">
        <v>4670</v>
      </c>
      <c r="T954" s="769"/>
      <c r="U954" s="774"/>
      <c r="V954" s="1589"/>
    </row>
    <row r="955" spans="1:22" ht="24" hidden="1" customHeight="1">
      <c r="A955" s="792"/>
      <c r="B955" s="893" t="s">
        <v>1486</v>
      </c>
      <c r="C955" s="893" t="s">
        <v>5572</v>
      </c>
      <c r="D955" s="893" t="s">
        <v>1477</v>
      </c>
      <c r="E955" s="893">
        <v>1</v>
      </c>
      <c r="F955" s="360" t="s">
        <v>34</v>
      </c>
      <c r="G955" s="360" t="s">
        <v>32</v>
      </c>
      <c r="H955" s="360" t="s">
        <v>33</v>
      </c>
      <c r="I955" s="360" t="s">
        <v>6888</v>
      </c>
      <c r="J955" s="360" t="s">
        <v>6888</v>
      </c>
      <c r="K955" s="792" t="s">
        <v>5556</v>
      </c>
      <c r="L955" s="857">
        <v>2475.2475247524799</v>
      </c>
      <c r="M955" s="857">
        <v>157.53050564351301</v>
      </c>
      <c r="N955" s="945">
        <v>2020.07</v>
      </c>
      <c r="O955" s="979" t="s">
        <v>6997</v>
      </c>
      <c r="P955" s="793" t="s">
        <v>5055</v>
      </c>
      <c r="Q955" s="980">
        <v>13847129712</v>
      </c>
      <c r="R955" s="979" t="s">
        <v>5056</v>
      </c>
      <c r="S955" s="979" t="s">
        <v>4670</v>
      </c>
      <c r="T955" s="769"/>
      <c r="U955" s="774"/>
      <c r="V955" s="1589"/>
    </row>
    <row r="956" spans="1:22" ht="24" hidden="1" customHeight="1">
      <c r="A956" s="792"/>
      <c r="B956" s="893" t="s">
        <v>1486</v>
      </c>
      <c r="C956" s="893" t="s">
        <v>5573</v>
      </c>
      <c r="D956" s="893" t="s">
        <v>1477</v>
      </c>
      <c r="E956" s="893">
        <v>1</v>
      </c>
      <c r="F956" s="360" t="s">
        <v>34</v>
      </c>
      <c r="G956" s="360" t="s">
        <v>32</v>
      </c>
      <c r="H956" s="360" t="s">
        <v>33</v>
      </c>
      <c r="I956" s="360" t="s">
        <v>6888</v>
      </c>
      <c r="J956" s="360" t="s">
        <v>6888</v>
      </c>
      <c r="K956" s="792" t="s">
        <v>5556</v>
      </c>
      <c r="L956" s="857">
        <v>6435.64356435644</v>
      </c>
      <c r="M956" s="857">
        <v>409.56531467313499</v>
      </c>
      <c r="N956" s="945">
        <v>2020.07</v>
      </c>
      <c r="O956" s="979" t="s">
        <v>6997</v>
      </c>
      <c r="P956" s="793" t="s">
        <v>5055</v>
      </c>
      <c r="Q956" s="980">
        <v>13847129712</v>
      </c>
      <c r="R956" s="979" t="s">
        <v>5056</v>
      </c>
      <c r="S956" s="979" t="s">
        <v>4670</v>
      </c>
      <c r="T956" s="769"/>
      <c r="U956" s="774"/>
      <c r="V956" s="1589"/>
    </row>
    <row r="957" spans="1:22" ht="24" hidden="1" customHeight="1">
      <c r="A957" s="792"/>
      <c r="B957" s="893" t="s">
        <v>1486</v>
      </c>
      <c r="C957" s="893" t="s">
        <v>5574</v>
      </c>
      <c r="D957" s="893" t="s">
        <v>1477</v>
      </c>
      <c r="E957" s="893">
        <v>1</v>
      </c>
      <c r="F957" s="360" t="s">
        <v>34</v>
      </c>
      <c r="G957" s="360" t="s">
        <v>32</v>
      </c>
      <c r="H957" s="360" t="s">
        <v>33</v>
      </c>
      <c r="I957" s="360" t="s">
        <v>6888</v>
      </c>
      <c r="J957" s="360" t="s">
        <v>6888</v>
      </c>
      <c r="K957" s="792" t="s">
        <v>5556</v>
      </c>
      <c r="L957" s="857">
        <v>5693.0693069306899</v>
      </c>
      <c r="M957" s="857">
        <v>362.31316298008102</v>
      </c>
      <c r="N957" s="945">
        <v>2020.07</v>
      </c>
      <c r="O957" s="979" t="s">
        <v>6997</v>
      </c>
      <c r="P957" s="793" t="s">
        <v>5055</v>
      </c>
      <c r="Q957" s="980">
        <v>13847129712</v>
      </c>
      <c r="R957" s="979" t="s">
        <v>5056</v>
      </c>
      <c r="S957" s="979" t="s">
        <v>4670</v>
      </c>
      <c r="T957" s="769"/>
      <c r="U957" s="774"/>
      <c r="V957" s="1589"/>
    </row>
    <row r="958" spans="1:22" ht="24" hidden="1" customHeight="1">
      <c r="A958" s="792"/>
      <c r="B958" s="893" t="s">
        <v>1486</v>
      </c>
      <c r="C958" s="893" t="s">
        <v>5575</v>
      </c>
      <c r="D958" s="893" t="s">
        <v>1477</v>
      </c>
      <c r="E958" s="893">
        <v>2</v>
      </c>
      <c r="F958" s="360" t="s">
        <v>34</v>
      </c>
      <c r="G958" s="360" t="s">
        <v>32</v>
      </c>
      <c r="H958" s="360" t="s">
        <v>33</v>
      </c>
      <c r="I958" s="360" t="s">
        <v>6888</v>
      </c>
      <c r="J958" s="360" t="s">
        <v>6888</v>
      </c>
      <c r="K958" s="792" t="s">
        <v>5556</v>
      </c>
      <c r="L958" s="857">
        <v>752.47524752475204</v>
      </c>
      <c r="M958" s="857">
        <v>47.886313715628098</v>
      </c>
      <c r="N958" s="945">
        <v>2020.07</v>
      </c>
      <c r="O958" s="979" t="s">
        <v>6997</v>
      </c>
      <c r="P958" s="793" t="s">
        <v>5055</v>
      </c>
      <c r="Q958" s="980">
        <v>13847129712</v>
      </c>
      <c r="R958" s="979" t="s">
        <v>5056</v>
      </c>
      <c r="S958" s="979" t="s">
        <v>4670</v>
      </c>
      <c r="T958" s="769"/>
      <c r="U958" s="774"/>
      <c r="V958" s="1589"/>
    </row>
    <row r="959" spans="1:22" ht="24" hidden="1" customHeight="1">
      <c r="A959" s="792"/>
      <c r="B959" s="893" t="s">
        <v>1486</v>
      </c>
      <c r="C959" s="893" t="s">
        <v>5576</v>
      </c>
      <c r="D959" s="893" t="s">
        <v>1477</v>
      </c>
      <c r="E959" s="893">
        <v>1</v>
      </c>
      <c r="F959" s="360" t="s">
        <v>34</v>
      </c>
      <c r="G959" s="360" t="s">
        <v>32</v>
      </c>
      <c r="H959" s="360" t="s">
        <v>33</v>
      </c>
      <c r="I959" s="360" t="s">
        <v>6888</v>
      </c>
      <c r="J959" s="360" t="s">
        <v>6888</v>
      </c>
      <c r="K959" s="792" t="s">
        <v>5556</v>
      </c>
      <c r="L959" s="857">
        <v>376.23762376237602</v>
      </c>
      <c r="M959" s="857">
        <v>23.948156857813998</v>
      </c>
      <c r="N959" s="945">
        <v>2020.07</v>
      </c>
      <c r="O959" s="979" t="s">
        <v>6997</v>
      </c>
      <c r="P959" s="793" t="s">
        <v>5055</v>
      </c>
      <c r="Q959" s="980">
        <v>13847129712</v>
      </c>
      <c r="R959" s="979" t="s">
        <v>5056</v>
      </c>
      <c r="S959" s="979" t="s">
        <v>4670</v>
      </c>
      <c r="T959" s="769"/>
      <c r="U959" s="774"/>
      <c r="V959" s="1589"/>
    </row>
    <row r="960" spans="1:22" ht="24" hidden="1" customHeight="1">
      <c r="A960" s="792"/>
      <c r="B960" s="893" t="s">
        <v>1486</v>
      </c>
      <c r="C960" s="893" t="s">
        <v>5577</v>
      </c>
      <c r="D960" s="893" t="s">
        <v>1477</v>
      </c>
      <c r="E960" s="893">
        <v>1</v>
      </c>
      <c r="F960" s="360" t="s">
        <v>34</v>
      </c>
      <c r="G960" s="360" t="s">
        <v>32</v>
      </c>
      <c r="H960" s="360" t="s">
        <v>33</v>
      </c>
      <c r="I960" s="360" t="s">
        <v>6888</v>
      </c>
      <c r="J960" s="360" t="s">
        <v>6888</v>
      </c>
      <c r="K960" s="792" t="s">
        <v>5556</v>
      </c>
      <c r="L960" s="857">
        <v>217.821782178218</v>
      </c>
      <c r="M960" s="857">
        <v>13.8615644966292</v>
      </c>
      <c r="N960" s="945">
        <v>2020.07</v>
      </c>
      <c r="O960" s="979" t="s">
        <v>6997</v>
      </c>
      <c r="P960" s="793" t="s">
        <v>5055</v>
      </c>
      <c r="Q960" s="980">
        <v>13847129712</v>
      </c>
      <c r="R960" s="979" t="s">
        <v>5056</v>
      </c>
      <c r="S960" s="979" t="s">
        <v>4670</v>
      </c>
      <c r="T960" s="769"/>
      <c r="U960" s="774"/>
      <c r="V960" s="1589"/>
    </row>
    <row r="961" spans="1:22" ht="24" hidden="1" customHeight="1">
      <c r="A961" s="792"/>
      <c r="B961" s="893" t="s">
        <v>1486</v>
      </c>
      <c r="C961" s="893" t="s">
        <v>5578</v>
      </c>
      <c r="D961" s="893" t="s">
        <v>1477</v>
      </c>
      <c r="E961" s="893">
        <v>1</v>
      </c>
      <c r="F961" s="360" t="s">
        <v>34</v>
      </c>
      <c r="G961" s="360" t="s">
        <v>32</v>
      </c>
      <c r="H961" s="360" t="s">
        <v>33</v>
      </c>
      <c r="I961" s="360" t="s">
        <v>6888</v>
      </c>
      <c r="J961" s="360" t="s">
        <v>6888</v>
      </c>
      <c r="K961" s="792" t="s">
        <v>5556</v>
      </c>
      <c r="L961" s="857">
        <v>554.45544554455398</v>
      </c>
      <c r="M961" s="857">
        <v>35.2830732641469</v>
      </c>
      <c r="N961" s="945">
        <v>2020.07</v>
      </c>
      <c r="O961" s="979" t="s">
        <v>6997</v>
      </c>
      <c r="P961" s="793" t="s">
        <v>5055</v>
      </c>
      <c r="Q961" s="980">
        <v>13847129712</v>
      </c>
      <c r="R961" s="979" t="s">
        <v>5056</v>
      </c>
      <c r="S961" s="979" t="s">
        <v>4670</v>
      </c>
      <c r="T961" s="769"/>
      <c r="U961" s="774"/>
      <c r="V961" s="1589"/>
    </row>
    <row r="962" spans="1:22" ht="24" hidden="1" customHeight="1">
      <c r="A962" s="792"/>
      <c r="B962" s="893" t="s">
        <v>1486</v>
      </c>
      <c r="C962" s="893" t="s">
        <v>5579</v>
      </c>
      <c r="D962" s="893" t="s">
        <v>1477</v>
      </c>
      <c r="E962" s="893">
        <v>36</v>
      </c>
      <c r="F962" s="360" t="s">
        <v>34</v>
      </c>
      <c r="G962" s="360" t="s">
        <v>32</v>
      </c>
      <c r="H962" s="360" t="s">
        <v>33</v>
      </c>
      <c r="I962" s="360" t="s">
        <v>6888</v>
      </c>
      <c r="J962" s="360" t="s">
        <v>6888</v>
      </c>
      <c r="K962" s="792" t="s">
        <v>5556</v>
      </c>
      <c r="L962" s="857">
        <v>9623.7623762376206</v>
      </c>
      <c r="M962" s="857">
        <v>612.45548594197999</v>
      </c>
      <c r="N962" s="945">
        <v>2020.07</v>
      </c>
      <c r="O962" s="979" t="s">
        <v>6997</v>
      </c>
      <c r="P962" s="793" t="s">
        <v>5055</v>
      </c>
      <c r="Q962" s="980">
        <v>13847129712</v>
      </c>
      <c r="R962" s="979" t="s">
        <v>5056</v>
      </c>
      <c r="S962" s="979" t="s">
        <v>4670</v>
      </c>
      <c r="T962" s="769"/>
      <c r="U962" s="774"/>
      <c r="V962" s="1589"/>
    </row>
    <row r="963" spans="1:22" ht="24" hidden="1" customHeight="1">
      <c r="A963" s="792"/>
      <c r="B963" s="893" t="s">
        <v>1486</v>
      </c>
      <c r="C963" s="893" t="s">
        <v>5580</v>
      </c>
      <c r="D963" s="893" t="s">
        <v>1477</v>
      </c>
      <c r="E963" s="893">
        <v>1</v>
      </c>
      <c r="F963" s="360" t="s">
        <v>34</v>
      </c>
      <c r="G963" s="360" t="s">
        <v>32</v>
      </c>
      <c r="H963" s="360" t="s">
        <v>33</v>
      </c>
      <c r="I963" s="360" t="s">
        <v>6888</v>
      </c>
      <c r="J963" s="360" t="s">
        <v>6888</v>
      </c>
      <c r="K963" s="792" t="s">
        <v>5556</v>
      </c>
      <c r="L963" s="857">
        <v>504.95049504950498</v>
      </c>
      <c r="M963" s="857">
        <v>32.132263151276703</v>
      </c>
      <c r="N963" s="945">
        <v>2020.07</v>
      </c>
      <c r="O963" s="979" t="s">
        <v>6997</v>
      </c>
      <c r="P963" s="793" t="s">
        <v>5055</v>
      </c>
      <c r="Q963" s="980">
        <v>13847129712</v>
      </c>
      <c r="R963" s="979" t="s">
        <v>5056</v>
      </c>
      <c r="S963" s="979" t="s">
        <v>4670</v>
      </c>
      <c r="T963" s="769"/>
      <c r="U963" s="774"/>
      <c r="V963" s="1589"/>
    </row>
    <row r="964" spans="1:22" ht="24" hidden="1" customHeight="1">
      <c r="A964" s="792"/>
      <c r="B964" s="893" t="s">
        <v>5581</v>
      </c>
      <c r="C964" s="893" t="s">
        <v>5582</v>
      </c>
      <c r="D964" s="893" t="s">
        <v>1477</v>
      </c>
      <c r="E964" s="893">
        <v>1</v>
      </c>
      <c r="F964" s="360" t="s">
        <v>34</v>
      </c>
      <c r="G964" s="360" t="s">
        <v>32</v>
      </c>
      <c r="H964" s="360" t="s">
        <v>33</v>
      </c>
      <c r="I964" s="360" t="s">
        <v>6888</v>
      </c>
      <c r="J964" s="360" t="s">
        <v>6888</v>
      </c>
      <c r="K964" s="792" t="s">
        <v>5556</v>
      </c>
      <c r="L964" s="857">
        <v>1346.5346534653499</v>
      </c>
      <c r="M964" s="857">
        <v>85.696035070071304</v>
      </c>
      <c r="N964" s="945">
        <v>2020.07</v>
      </c>
      <c r="O964" s="979" t="s">
        <v>6997</v>
      </c>
      <c r="P964" s="793" t="s">
        <v>5055</v>
      </c>
      <c r="Q964" s="980">
        <v>13847129712</v>
      </c>
      <c r="R964" s="979" t="s">
        <v>5056</v>
      </c>
      <c r="S964" s="979" t="s">
        <v>4670</v>
      </c>
      <c r="T964" s="769"/>
      <c r="U964" s="774"/>
      <c r="V964" s="1589"/>
    </row>
    <row r="965" spans="1:22" ht="24" hidden="1" customHeight="1">
      <c r="A965" s="792"/>
      <c r="B965" s="893" t="s">
        <v>5583</v>
      </c>
      <c r="C965" s="893" t="s">
        <v>5584</v>
      </c>
      <c r="D965" s="893" t="s">
        <v>131</v>
      </c>
      <c r="E965" s="893">
        <v>1</v>
      </c>
      <c r="F965" s="360" t="s">
        <v>34</v>
      </c>
      <c r="G965" s="360" t="s">
        <v>32</v>
      </c>
      <c r="H965" s="360" t="s">
        <v>33</v>
      </c>
      <c r="I965" s="360" t="s">
        <v>6888</v>
      </c>
      <c r="J965" s="360" t="s">
        <v>6888</v>
      </c>
      <c r="K965" s="792" t="s">
        <v>5556</v>
      </c>
      <c r="L965" s="857">
        <v>174.25742574257399</v>
      </c>
      <c r="M965" s="857">
        <v>11.082251597303401</v>
      </c>
      <c r="N965" s="945">
        <v>2020.07</v>
      </c>
      <c r="O965" s="979" t="s">
        <v>6997</v>
      </c>
      <c r="P965" s="793" t="s">
        <v>5055</v>
      </c>
      <c r="Q965" s="980">
        <v>13847129712</v>
      </c>
      <c r="R965" s="979" t="s">
        <v>5056</v>
      </c>
      <c r="S965" s="979" t="s">
        <v>4670</v>
      </c>
      <c r="T965" s="769"/>
      <c r="U965" s="774"/>
      <c r="V965" s="1589"/>
    </row>
    <row r="966" spans="1:22" ht="24" hidden="1" customHeight="1">
      <c r="A966" s="792"/>
      <c r="B966" s="889" t="s">
        <v>5585</v>
      </c>
      <c r="C966" s="889"/>
      <c r="D966" s="1283" t="s">
        <v>1165</v>
      </c>
      <c r="E966" s="1283">
        <v>2</v>
      </c>
      <c r="F966" s="360" t="s">
        <v>34</v>
      </c>
      <c r="G966" s="360" t="s">
        <v>32</v>
      </c>
      <c r="H966" s="360" t="s">
        <v>33</v>
      </c>
      <c r="I966" s="360" t="s">
        <v>6888</v>
      </c>
      <c r="J966" s="360" t="s">
        <v>6888</v>
      </c>
      <c r="K966" s="792" t="s">
        <v>5586</v>
      </c>
      <c r="L966" s="857">
        <v>15522.12</v>
      </c>
      <c r="M966" s="857">
        <v>6796.8505598382899</v>
      </c>
      <c r="N966" s="945">
        <v>2020.07</v>
      </c>
      <c r="O966" s="979" t="s">
        <v>6997</v>
      </c>
      <c r="P966" s="793" t="s">
        <v>5055</v>
      </c>
      <c r="Q966" s="980">
        <v>13847129712</v>
      </c>
      <c r="R966" s="979" t="s">
        <v>5056</v>
      </c>
      <c r="S966" s="979" t="s">
        <v>4670</v>
      </c>
      <c r="T966" s="769"/>
      <c r="U966" s="774"/>
      <c r="V966" s="1589"/>
    </row>
    <row r="967" spans="1:22" ht="24" hidden="1" customHeight="1">
      <c r="A967" s="792"/>
      <c r="B967" s="983" t="s">
        <v>5587</v>
      </c>
      <c r="C967" s="984" t="s">
        <v>5588</v>
      </c>
      <c r="D967" s="984" t="s">
        <v>79</v>
      </c>
      <c r="E967" s="1283">
        <v>4</v>
      </c>
      <c r="F967" s="360" t="s">
        <v>34</v>
      </c>
      <c r="G967" s="360" t="s">
        <v>32</v>
      </c>
      <c r="H967" s="360" t="s">
        <v>33</v>
      </c>
      <c r="I967" s="360" t="s">
        <v>6888</v>
      </c>
      <c r="J967" s="360" t="s">
        <v>6888</v>
      </c>
      <c r="K967" s="792" t="s">
        <v>5586</v>
      </c>
      <c r="L967" s="857">
        <v>6513.28</v>
      </c>
      <c r="M967" s="857">
        <v>2852.04539163359</v>
      </c>
      <c r="N967" s="945">
        <v>2020.07</v>
      </c>
      <c r="O967" s="979" t="s">
        <v>6997</v>
      </c>
      <c r="P967" s="793" t="s">
        <v>5055</v>
      </c>
      <c r="Q967" s="980">
        <v>13847129712</v>
      </c>
      <c r="R967" s="979" t="s">
        <v>5056</v>
      </c>
      <c r="S967" s="979" t="s">
        <v>4670</v>
      </c>
      <c r="T967" s="769"/>
      <c r="U967" s="774"/>
      <c r="V967" s="1589"/>
    </row>
    <row r="968" spans="1:22" ht="24" hidden="1" customHeight="1">
      <c r="A968" s="792"/>
      <c r="B968" s="983" t="s">
        <v>5589</v>
      </c>
      <c r="C968" s="984" t="s">
        <v>5590</v>
      </c>
      <c r="D968" s="984" t="s">
        <v>79</v>
      </c>
      <c r="E968" s="1283">
        <v>6</v>
      </c>
      <c r="F968" s="360" t="s">
        <v>34</v>
      </c>
      <c r="G968" s="360" t="s">
        <v>32</v>
      </c>
      <c r="H968" s="360" t="s">
        <v>33</v>
      </c>
      <c r="I968" s="360" t="s">
        <v>6888</v>
      </c>
      <c r="J968" s="360" t="s">
        <v>6888</v>
      </c>
      <c r="K968" s="792" t="s">
        <v>5591</v>
      </c>
      <c r="L968" s="857">
        <v>197.7</v>
      </c>
      <c r="M968" s="857">
        <v>18.664776941228901</v>
      </c>
      <c r="N968" s="945">
        <v>2020.09</v>
      </c>
      <c r="O968" s="979" t="s">
        <v>6997</v>
      </c>
      <c r="P968" s="793" t="s">
        <v>5055</v>
      </c>
      <c r="Q968" s="980">
        <v>13847129712</v>
      </c>
      <c r="R968" s="979" t="s">
        <v>5056</v>
      </c>
      <c r="S968" s="979" t="s">
        <v>4670</v>
      </c>
      <c r="T968" s="769"/>
      <c r="U968" s="774"/>
      <c r="V968" s="1589"/>
    </row>
    <row r="969" spans="1:22" ht="24" hidden="1" customHeight="1">
      <c r="A969" s="792"/>
      <c r="B969" s="983" t="s">
        <v>5589</v>
      </c>
      <c r="C969" s="984" t="s">
        <v>5422</v>
      </c>
      <c r="D969" s="984" t="s">
        <v>79</v>
      </c>
      <c r="E969" s="1283">
        <v>4</v>
      </c>
      <c r="F969" s="360" t="s">
        <v>34</v>
      </c>
      <c r="G969" s="360" t="s">
        <v>32</v>
      </c>
      <c r="H969" s="360" t="s">
        <v>33</v>
      </c>
      <c r="I969" s="360" t="s">
        <v>6888</v>
      </c>
      <c r="J969" s="360" t="s">
        <v>6888</v>
      </c>
      <c r="K969" s="792" t="s">
        <v>5591</v>
      </c>
      <c r="L969" s="857">
        <v>137.6</v>
      </c>
      <c r="M969" s="857">
        <v>12.990760278771299</v>
      </c>
      <c r="N969" s="945">
        <v>2020.09</v>
      </c>
      <c r="O969" s="979" t="s">
        <v>6997</v>
      </c>
      <c r="P969" s="793" t="s">
        <v>5055</v>
      </c>
      <c r="Q969" s="980">
        <v>13847129712</v>
      </c>
      <c r="R969" s="979" t="s">
        <v>5056</v>
      </c>
      <c r="S969" s="979" t="s">
        <v>4670</v>
      </c>
      <c r="T969" s="769"/>
      <c r="U969" s="774"/>
      <c r="V969" s="1589"/>
    </row>
    <row r="970" spans="1:22" ht="24" hidden="1" customHeight="1">
      <c r="A970" s="792"/>
      <c r="B970" s="983" t="s">
        <v>5338</v>
      </c>
      <c r="C970" s="984" t="s">
        <v>5592</v>
      </c>
      <c r="D970" s="984" t="s">
        <v>79</v>
      </c>
      <c r="E970" s="1283">
        <v>3</v>
      </c>
      <c r="F970" s="360" t="s">
        <v>34</v>
      </c>
      <c r="G970" s="360" t="s">
        <v>32</v>
      </c>
      <c r="H970" s="360" t="s">
        <v>33</v>
      </c>
      <c r="I970" s="360" t="s">
        <v>6888</v>
      </c>
      <c r="J970" s="360" t="s">
        <v>6888</v>
      </c>
      <c r="K970" s="792" t="s">
        <v>5591</v>
      </c>
      <c r="L970" s="857">
        <v>490.5</v>
      </c>
      <c r="M970" s="857">
        <v>46.3079063716376</v>
      </c>
      <c r="N970" s="945">
        <v>2020.09</v>
      </c>
      <c r="O970" s="979" t="s">
        <v>6997</v>
      </c>
      <c r="P970" s="793" t="s">
        <v>5055</v>
      </c>
      <c r="Q970" s="980">
        <v>13847129712</v>
      </c>
      <c r="R970" s="979" t="s">
        <v>5056</v>
      </c>
      <c r="S970" s="979" t="s">
        <v>4670</v>
      </c>
      <c r="T970" s="769"/>
      <c r="U970" s="774"/>
      <c r="V970" s="1589"/>
    </row>
    <row r="971" spans="1:22" ht="24" hidden="1" customHeight="1">
      <c r="A971" s="792"/>
      <c r="B971" s="983" t="s">
        <v>5338</v>
      </c>
      <c r="C971" s="984" t="s">
        <v>5593</v>
      </c>
      <c r="D971" s="984" t="s">
        <v>79</v>
      </c>
      <c r="E971" s="1283">
        <v>1</v>
      </c>
      <c r="F971" s="360" t="s">
        <v>34</v>
      </c>
      <c r="G971" s="360" t="s">
        <v>32</v>
      </c>
      <c r="H971" s="360" t="s">
        <v>33</v>
      </c>
      <c r="I971" s="360" t="s">
        <v>6888</v>
      </c>
      <c r="J971" s="360" t="s">
        <v>6888</v>
      </c>
      <c r="K971" s="792" t="s">
        <v>5591</v>
      </c>
      <c r="L971" s="857">
        <v>121.9</v>
      </c>
      <c r="M971" s="857">
        <v>11.5085296364987</v>
      </c>
      <c r="N971" s="945">
        <v>2020.09</v>
      </c>
      <c r="O971" s="979" t="s">
        <v>6997</v>
      </c>
      <c r="P971" s="793" t="s">
        <v>5055</v>
      </c>
      <c r="Q971" s="980">
        <v>13847129712</v>
      </c>
      <c r="R971" s="979" t="s">
        <v>5056</v>
      </c>
      <c r="S971" s="979" t="s">
        <v>4670</v>
      </c>
      <c r="T971" s="769"/>
      <c r="U971" s="774"/>
      <c r="V971" s="1589"/>
    </row>
    <row r="972" spans="1:22" ht="24" hidden="1" customHeight="1">
      <c r="A972" s="792"/>
      <c r="B972" s="983" t="s">
        <v>1533</v>
      </c>
      <c r="C972" s="984" t="s">
        <v>5594</v>
      </c>
      <c r="D972" s="984" t="s">
        <v>79</v>
      </c>
      <c r="E972" s="1283">
        <v>129</v>
      </c>
      <c r="F972" s="360" t="s">
        <v>34</v>
      </c>
      <c r="G972" s="360" t="s">
        <v>32</v>
      </c>
      <c r="H972" s="360" t="s">
        <v>33</v>
      </c>
      <c r="I972" s="360" t="s">
        <v>6888</v>
      </c>
      <c r="J972" s="360" t="s">
        <v>6888</v>
      </c>
      <c r="K972" s="792" t="s">
        <v>5591</v>
      </c>
      <c r="L972" s="857">
        <v>2113.09611</v>
      </c>
      <c r="M972" s="857">
        <v>199.496548045162</v>
      </c>
      <c r="N972" s="945">
        <v>2020.09</v>
      </c>
      <c r="O972" s="979" t="s">
        <v>6997</v>
      </c>
      <c r="P972" s="793" t="s">
        <v>5055</v>
      </c>
      <c r="Q972" s="980">
        <v>13847129712</v>
      </c>
      <c r="R972" s="979" t="s">
        <v>5056</v>
      </c>
      <c r="S972" s="979" t="s">
        <v>4670</v>
      </c>
      <c r="T972" s="769"/>
      <c r="U972" s="774"/>
      <c r="V972" s="1589"/>
    </row>
    <row r="973" spans="1:22" ht="24" hidden="1" customHeight="1">
      <c r="A973" s="792"/>
      <c r="B973" s="982" t="s">
        <v>5339</v>
      </c>
      <c r="C973" s="983"/>
      <c r="D973" s="984"/>
      <c r="E973" s="934">
        <v>9</v>
      </c>
      <c r="F973" s="360" t="s">
        <v>34</v>
      </c>
      <c r="G973" s="360" t="s">
        <v>32</v>
      </c>
      <c r="H973" s="360" t="s">
        <v>33</v>
      </c>
      <c r="I973" s="360" t="s">
        <v>6888</v>
      </c>
      <c r="J973" s="360" t="s">
        <v>6888</v>
      </c>
      <c r="K973" s="792" t="s">
        <v>5595</v>
      </c>
      <c r="L973" s="857">
        <v>9915.9422123893801</v>
      </c>
      <c r="M973" s="857">
        <v>5934.5610076418197</v>
      </c>
      <c r="N973" s="945">
        <v>2020.11</v>
      </c>
      <c r="O973" s="979" t="s">
        <v>6997</v>
      </c>
      <c r="P973" s="793" t="s">
        <v>5055</v>
      </c>
      <c r="Q973" s="980">
        <v>13847129712</v>
      </c>
      <c r="R973" s="979" t="s">
        <v>5056</v>
      </c>
      <c r="S973" s="979" t="s">
        <v>4670</v>
      </c>
      <c r="T973" s="769"/>
      <c r="U973" s="774"/>
      <c r="V973" s="1589"/>
    </row>
    <row r="974" spans="1:22" ht="24" hidden="1" customHeight="1">
      <c r="A974" s="792"/>
      <c r="B974" s="982" t="s">
        <v>3995</v>
      </c>
      <c r="C974" s="792" t="s">
        <v>5596</v>
      </c>
      <c r="D974" s="984"/>
      <c r="E974" s="982">
        <v>1</v>
      </c>
      <c r="F974" s="360" t="s">
        <v>34</v>
      </c>
      <c r="G974" s="360" t="s">
        <v>32</v>
      </c>
      <c r="H974" s="360" t="s">
        <v>33</v>
      </c>
      <c r="I974" s="360" t="s">
        <v>6888</v>
      </c>
      <c r="J974" s="360" t="s">
        <v>6888</v>
      </c>
      <c r="K974" s="792" t="s">
        <v>5595</v>
      </c>
      <c r="L974" s="857">
        <v>15912.389380531</v>
      </c>
      <c r="M974" s="857">
        <v>3134.3221741459902</v>
      </c>
      <c r="N974" s="945">
        <v>2020.11</v>
      </c>
      <c r="O974" s="979" t="s">
        <v>6997</v>
      </c>
      <c r="P974" s="793" t="s">
        <v>5055</v>
      </c>
      <c r="Q974" s="980">
        <v>13847129712</v>
      </c>
      <c r="R974" s="979" t="s">
        <v>5056</v>
      </c>
      <c r="S974" s="979" t="s">
        <v>4670</v>
      </c>
      <c r="T974" s="769"/>
      <c r="U974" s="774"/>
      <c r="V974" s="1589"/>
    </row>
    <row r="975" spans="1:22" ht="24" hidden="1" customHeight="1">
      <c r="A975" s="792"/>
      <c r="B975" s="982" t="s">
        <v>5597</v>
      </c>
      <c r="C975" s="983"/>
      <c r="D975" s="984"/>
      <c r="E975" s="982">
        <v>4</v>
      </c>
      <c r="F975" s="360" t="s">
        <v>34</v>
      </c>
      <c r="G975" s="360" t="s">
        <v>32</v>
      </c>
      <c r="H975" s="360" t="s">
        <v>33</v>
      </c>
      <c r="I975" s="360" t="s">
        <v>6888</v>
      </c>
      <c r="J975" s="360" t="s">
        <v>6888</v>
      </c>
      <c r="K975" s="792" t="s">
        <v>5595</v>
      </c>
      <c r="L975" s="857">
        <v>36014.159292035401</v>
      </c>
      <c r="M975" s="857">
        <v>21554.000707111201</v>
      </c>
      <c r="N975" s="945">
        <v>2020.11</v>
      </c>
      <c r="O975" s="979" t="s">
        <v>6997</v>
      </c>
      <c r="P975" s="793" t="s">
        <v>5055</v>
      </c>
      <c r="Q975" s="980">
        <v>13847129712</v>
      </c>
      <c r="R975" s="979" t="s">
        <v>5056</v>
      </c>
      <c r="S975" s="979" t="s">
        <v>4670</v>
      </c>
      <c r="T975" s="769"/>
      <c r="U975" s="774"/>
      <c r="V975" s="1589"/>
    </row>
    <row r="976" spans="1:22" ht="24" hidden="1" customHeight="1">
      <c r="A976" s="792"/>
      <c r="B976" s="982" t="s">
        <v>5352</v>
      </c>
      <c r="C976" s="792" t="s">
        <v>5598</v>
      </c>
      <c r="D976" s="984"/>
      <c r="E976" s="792">
        <v>48</v>
      </c>
      <c r="F976" s="360" t="s">
        <v>34</v>
      </c>
      <c r="G976" s="360" t="s">
        <v>32</v>
      </c>
      <c r="H976" s="360" t="s">
        <v>33</v>
      </c>
      <c r="I976" s="360" t="s">
        <v>6888</v>
      </c>
      <c r="J976" s="360" t="s">
        <v>6888</v>
      </c>
      <c r="K976" s="792" t="s">
        <v>5595</v>
      </c>
      <c r="L976" s="857">
        <v>7242.4778761061998</v>
      </c>
      <c r="M976" s="857">
        <v>4334.5277616227204</v>
      </c>
      <c r="N976" s="945">
        <v>2020.11</v>
      </c>
      <c r="O976" s="979" t="s">
        <v>6997</v>
      </c>
      <c r="P976" s="793" t="s">
        <v>5055</v>
      </c>
      <c r="Q976" s="980">
        <v>13847129712</v>
      </c>
      <c r="R976" s="979" t="s">
        <v>5056</v>
      </c>
      <c r="S976" s="979" t="s">
        <v>4670</v>
      </c>
      <c r="T976" s="769"/>
      <c r="U976" s="774"/>
      <c r="V976" s="1589"/>
    </row>
    <row r="977" spans="1:27" ht="24" hidden="1" customHeight="1">
      <c r="A977" s="792"/>
      <c r="B977" s="982" t="s">
        <v>5599</v>
      </c>
      <c r="C977" s="983"/>
      <c r="D977" s="984"/>
      <c r="E977" s="982">
        <v>97</v>
      </c>
      <c r="F977" s="360" t="s">
        <v>34</v>
      </c>
      <c r="G977" s="360" t="s">
        <v>32</v>
      </c>
      <c r="H977" s="360" t="s">
        <v>33</v>
      </c>
      <c r="I977" s="360" t="s">
        <v>6888</v>
      </c>
      <c r="J977" s="360" t="s">
        <v>6888</v>
      </c>
      <c r="K977" s="792" t="s">
        <v>5595</v>
      </c>
      <c r="L977" s="857">
        <v>6643.3628318584097</v>
      </c>
      <c r="M977" s="857">
        <v>1308.5677415780001</v>
      </c>
      <c r="N977" s="945">
        <v>2020.11</v>
      </c>
      <c r="O977" s="979" t="s">
        <v>6997</v>
      </c>
      <c r="P977" s="793" t="s">
        <v>5055</v>
      </c>
      <c r="Q977" s="980">
        <v>13847129712</v>
      </c>
      <c r="R977" s="979" t="s">
        <v>5056</v>
      </c>
      <c r="S977" s="979" t="s">
        <v>4670</v>
      </c>
      <c r="T977" s="769"/>
      <c r="U977" s="774"/>
      <c r="V977" s="1589"/>
    </row>
    <row r="978" spans="1:27" ht="24" hidden="1" customHeight="1">
      <c r="A978" s="792"/>
      <c r="B978" s="1284" t="s">
        <v>5550</v>
      </c>
      <c r="C978" s="984" t="s">
        <v>7087</v>
      </c>
      <c r="D978" s="984"/>
      <c r="E978" s="1283">
        <v>70</v>
      </c>
      <c r="F978" s="360" t="s">
        <v>34</v>
      </c>
      <c r="G978" s="360" t="s">
        <v>32</v>
      </c>
      <c r="H978" s="360" t="s">
        <v>33</v>
      </c>
      <c r="I978" s="360" t="s">
        <v>6888</v>
      </c>
      <c r="J978" s="360" t="s">
        <v>6888</v>
      </c>
      <c r="K978" s="792" t="s">
        <v>5591</v>
      </c>
      <c r="L978" s="857">
        <v>0</v>
      </c>
      <c r="M978" s="857">
        <v>0</v>
      </c>
      <c r="N978" s="945">
        <v>2021.06</v>
      </c>
      <c r="O978" s="979" t="s">
        <v>6997</v>
      </c>
      <c r="P978" s="360" t="s">
        <v>5055</v>
      </c>
      <c r="Q978" s="980">
        <v>13847129712</v>
      </c>
      <c r="R978" s="979" t="s">
        <v>5056</v>
      </c>
      <c r="S978" s="979" t="s">
        <v>6892</v>
      </c>
      <c r="T978" s="769"/>
      <c r="U978" s="774"/>
      <c r="V978" s="1589"/>
    </row>
    <row r="979" spans="1:27" ht="24" hidden="1" customHeight="1">
      <c r="A979" s="792"/>
      <c r="B979" s="985" t="s">
        <v>7088</v>
      </c>
      <c r="C979" s="792" t="s">
        <v>34</v>
      </c>
      <c r="D979" s="792" t="s">
        <v>79</v>
      </c>
      <c r="E979" s="985">
        <v>77</v>
      </c>
      <c r="F979" s="360" t="s">
        <v>34</v>
      </c>
      <c r="G979" s="360" t="s">
        <v>32</v>
      </c>
      <c r="H979" s="360" t="s">
        <v>33</v>
      </c>
      <c r="I979" s="360" t="s">
        <v>6888</v>
      </c>
      <c r="J979" s="360" t="s">
        <v>6888</v>
      </c>
      <c r="K979" s="792" t="s">
        <v>5600</v>
      </c>
      <c r="L979" s="857">
        <v>14103.9603960396</v>
      </c>
      <c r="M979" s="857">
        <v>5306.8213917774901</v>
      </c>
      <c r="N979" s="945">
        <v>2021.08</v>
      </c>
      <c r="O979" s="979" t="s">
        <v>6997</v>
      </c>
      <c r="P979" s="360" t="s">
        <v>5055</v>
      </c>
      <c r="Q979" s="980">
        <v>13847129712</v>
      </c>
      <c r="R979" s="979" t="s">
        <v>5056</v>
      </c>
      <c r="S979" s="979" t="s">
        <v>6892</v>
      </c>
      <c r="T979" s="769"/>
      <c r="U979" s="774"/>
      <c r="V979" s="1589"/>
    </row>
    <row r="980" spans="1:27" ht="24" hidden="1" customHeight="1">
      <c r="A980" s="360"/>
      <c r="B980" s="789" t="s">
        <v>1412</v>
      </c>
      <c r="C980" s="789" t="s">
        <v>5601</v>
      </c>
      <c r="D980" s="360" t="s">
        <v>131</v>
      </c>
      <c r="E980" s="810">
        <v>1</v>
      </c>
      <c r="F980" s="360" t="s">
        <v>34</v>
      </c>
      <c r="G980" s="360" t="s">
        <v>32</v>
      </c>
      <c r="H980" s="360" t="s">
        <v>6904</v>
      </c>
      <c r="I980" s="360" t="s">
        <v>34</v>
      </c>
      <c r="J980" s="360" t="s">
        <v>34</v>
      </c>
      <c r="K980" s="360" t="s">
        <v>4774</v>
      </c>
      <c r="L980" s="857">
        <v>13793.1</v>
      </c>
      <c r="M980" s="857">
        <v>4137.93103448277</v>
      </c>
      <c r="N980" s="945">
        <v>2019.01</v>
      </c>
      <c r="O980" s="360" t="s">
        <v>6981</v>
      </c>
      <c r="P980" s="793" t="s">
        <v>4776</v>
      </c>
      <c r="Q980" s="811">
        <v>18335831522</v>
      </c>
      <c r="R980" s="360" t="s">
        <v>4777</v>
      </c>
      <c r="S980" s="360" t="s">
        <v>4670</v>
      </c>
      <c r="T980" s="769"/>
      <c r="U980" s="774"/>
      <c r="V980" s="1589"/>
      <c r="AA980" s="986"/>
    </row>
    <row r="981" spans="1:27" ht="24" hidden="1" customHeight="1">
      <c r="A981" s="360"/>
      <c r="B981" s="789" t="s">
        <v>5602</v>
      </c>
      <c r="C981" s="789" t="s">
        <v>5603</v>
      </c>
      <c r="D981" s="360" t="s">
        <v>1437</v>
      </c>
      <c r="E981" s="810">
        <v>10</v>
      </c>
      <c r="F981" s="360" t="s">
        <v>34</v>
      </c>
      <c r="G981" s="360" t="s">
        <v>32</v>
      </c>
      <c r="H981" s="360" t="s">
        <v>6904</v>
      </c>
      <c r="I981" s="360" t="s">
        <v>34</v>
      </c>
      <c r="J981" s="360" t="s">
        <v>34</v>
      </c>
      <c r="K981" s="360" t="s">
        <v>4774</v>
      </c>
      <c r="L981" s="857">
        <v>21551.724137931</v>
      </c>
      <c r="M981" s="857">
        <v>6465.5172413792998</v>
      </c>
      <c r="N981" s="945">
        <v>2019.01</v>
      </c>
      <c r="O981" s="360" t="s">
        <v>6981</v>
      </c>
      <c r="P981" s="793" t="s">
        <v>4776</v>
      </c>
      <c r="Q981" s="811">
        <v>18335831522</v>
      </c>
      <c r="R981" s="360" t="s">
        <v>4777</v>
      </c>
      <c r="S981" s="360" t="s">
        <v>4670</v>
      </c>
      <c r="T981" s="769"/>
      <c r="U981" s="774"/>
      <c r="V981" s="1589"/>
      <c r="AA981" s="986"/>
    </row>
    <row r="982" spans="1:27" ht="24" customHeight="1">
      <c r="A982" s="360"/>
      <c r="B982" s="360" t="s">
        <v>5458</v>
      </c>
      <c r="C982" s="360" t="s">
        <v>5465</v>
      </c>
      <c r="D982" s="360" t="s">
        <v>464</v>
      </c>
      <c r="E982" s="810">
        <v>1</v>
      </c>
      <c r="F982" s="360" t="s">
        <v>34</v>
      </c>
      <c r="G982" s="360" t="s">
        <v>32</v>
      </c>
      <c r="H982" s="360" t="s">
        <v>41</v>
      </c>
      <c r="I982" s="360" t="s">
        <v>34</v>
      </c>
      <c r="J982" s="360" t="s">
        <v>34</v>
      </c>
      <c r="K982" s="360" t="s">
        <v>5604</v>
      </c>
      <c r="L982" s="857">
        <v>4849.1400000000003</v>
      </c>
      <c r="M982" s="857">
        <v>2424.57079292035</v>
      </c>
      <c r="N982" s="945">
        <v>2019.05</v>
      </c>
      <c r="O982" s="360" t="s">
        <v>6981</v>
      </c>
      <c r="P982" s="793" t="s">
        <v>4776</v>
      </c>
      <c r="Q982" s="811">
        <v>18335831522</v>
      </c>
      <c r="R982" s="360" t="s">
        <v>4777</v>
      </c>
      <c r="S982" s="360" t="s">
        <v>4670</v>
      </c>
      <c r="T982" s="769"/>
      <c r="U982" s="774"/>
      <c r="V982" s="1589"/>
    </row>
    <row r="983" spans="1:27" ht="24" hidden="1" customHeight="1">
      <c r="A983" s="360"/>
      <c r="B983" s="789" t="s">
        <v>5605</v>
      </c>
      <c r="C983" s="789" t="s">
        <v>5606</v>
      </c>
      <c r="D983" s="360" t="s">
        <v>131</v>
      </c>
      <c r="E983" s="810">
        <v>2</v>
      </c>
      <c r="F983" s="360" t="s">
        <v>34</v>
      </c>
      <c r="G983" s="360" t="s">
        <v>32</v>
      </c>
      <c r="H983" s="360" t="s">
        <v>6904</v>
      </c>
      <c r="I983" s="360" t="s">
        <v>34</v>
      </c>
      <c r="J983" s="360" t="s">
        <v>34</v>
      </c>
      <c r="K983" s="360" t="s">
        <v>5607</v>
      </c>
      <c r="L983" s="857">
        <v>7572.8155339805799</v>
      </c>
      <c r="M983" s="857">
        <v>3786.4077669902899</v>
      </c>
      <c r="N983" s="945">
        <v>2019.06</v>
      </c>
      <c r="O983" s="360" t="s">
        <v>6981</v>
      </c>
      <c r="P983" s="793" t="s">
        <v>4776</v>
      </c>
      <c r="Q983" s="811">
        <v>18335831522</v>
      </c>
      <c r="R983" s="360" t="s">
        <v>4777</v>
      </c>
      <c r="S983" s="360" t="s">
        <v>4670</v>
      </c>
      <c r="T983" s="769"/>
      <c r="U983" s="774"/>
      <c r="V983" s="1589"/>
    </row>
    <row r="984" spans="1:27" ht="24" hidden="1" customHeight="1">
      <c r="A984" s="360"/>
      <c r="B984" s="789" t="s">
        <v>5453</v>
      </c>
      <c r="C984" s="789" t="s">
        <v>5608</v>
      </c>
      <c r="D984" s="360" t="s">
        <v>79</v>
      </c>
      <c r="E984" s="810">
        <v>336</v>
      </c>
      <c r="F984" s="360" t="s">
        <v>34</v>
      </c>
      <c r="G984" s="360" t="s">
        <v>32</v>
      </c>
      <c r="H984" s="360" t="s">
        <v>6904</v>
      </c>
      <c r="I984" s="360" t="s">
        <v>34</v>
      </c>
      <c r="J984" s="360" t="s">
        <v>34</v>
      </c>
      <c r="K984" s="360" t="s">
        <v>5607</v>
      </c>
      <c r="L984" s="857">
        <v>57087.38</v>
      </c>
      <c r="M984" s="857">
        <v>28543.689320388301</v>
      </c>
      <c r="N984" s="945">
        <v>2019.06</v>
      </c>
      <c r="O984" s="360" t="s">
        <v>6981</v>
      </c>
      <c r="P984" s="793" t="s">
        <v>4776</v>
      </c>
      <c r="Q984" s="811">
        <v>18335831522</v>
      </c>
      <c r="R984" s="360" t="s">
        <v>4777</v>
      </c>
      <c r="S984" s="360" t="s">
        <v>4670</v>
      </c>
      <c r="T984" s="769"/>
      <c r="U984" s="774"/>
      <c r="V984" s="1589"/>
    </row>
    <row r="985" spans="1:27" ht="24" hidden="1" customHeight="1">
      <c r="A985" s="360"/>
      <c r="B985" s="789" t="s">
        <v>5453</v>
      </c>
      <c r="C985" s="934" t="s">
        <v>5257</v>
      </c>
      <c r="D985" s="934" t="s">
        <v>79</v>
      </c>
      <c r="E985" s="810">
        <v>180</v>
      </c>
      <c r="F985" s="360" t="s">
        <v>34</v>
      </c>
      <c r="G985" s="360" t="s">
        <v>32</v>
      </c>
      <c r="H985" s="360" t="s">
        <v>6904</v>
      </c>
      <c r="I985" s="360" t="s">
        <v>34</v>
      </c>
      <c r="J985" s="360" t="s">
        <v>34</v>
      </c>
      <c r="K985" s="360" t="s">
        <v>5607</v>
      </c>
      <c r="L985" s="857">
        <v>41941.75</v>
      </c>
      <c r="M985" s="857">
        <v>20970.873786407799</v>
      </c>
      <c r="N985" s="945">
        <v>2019.06</v>
      </c>
      <c r="O985" s="360" t="s">
        <v>6981</v>
      </c>
      <c r="P985" s="793" t="s">
        <v>4776</v>
      </c>
      <c r="Q985" s="811">
        <v>18335831522</v>
      </c>
      <c r="R985" s="360" t="s">
        <v>4777</v>
      </c>
      <c r="S985" s="360" t="s">
        <v>4670</v>
      </c>
      <c r="T985" s="769"/>
      <c r="U985" s="774"/>
      <c r="V985" s="1589"/>
    </row>
    <row r="986" spans="1:27" ht="24" hidden="1" customHeight="1">
      <c r="A986" s="360"/>
      <c r="B986" s="789" t="s">
        <v>5339</v>
      </c>
      <c r="C986" s="360" t="s">
        <v>5609</v>
      </c>
      <c r="D986" s="360" t="s">
        <v>131</v>
      </c>
      <c r="E986" s="810">
        <v>13</v>
      </c>
      <c r="F986" s="360" t="s">
        <v>34</v>
      </c>
      <c r="G986" s="360" t="s">
        <v>32</v>
      </c>
      <c r="H986" s="360" t="s">
        <v>6904</v>
      </c>
      <c r="I986" s="360" t="s">
        <v>34</v>
      </c>
      <c r="J986" s="360" t="s">
        <v>34</v>
      </c>
      <c r="K986" s="360" t="s">
        <v>4774</v>
      </c>
      <c r="L986" s="857">
        <v>25309.734513274401</v>
      </c>
      <c r="M986" s="857">
        <v>12654.867256637201</v>
      </c>
      <c r="N986" s="945">
        <v>2020.03</v>
      </c>
      <c r="O986" s="360" t="s">
        <v>6981</v>
      </c>
      <c r="P986" s="793" t="s">
        <v>4776</v>
      </c>
      <c r="Q986" s="811">
        <v>18335831522</v>
      </c>
      <c r="R986" s="360" t="s">
        <v>4777</v>
      </c>
      <c r="S986" s="360" t="s">
        <v>4670</v>
      </c>
      <c r="T986" s="769"/>
      <c r="U986" s="774"/>
      <c r="V986" s="1589"/>
    </row>
    <row r="987" spans="1:27" ht="24" hidden="1" customHeight="1">
      <c r="A987" s="360"/>
      <c r="B987" s="789" t="s">
        <v>5610</v>
      </c>
      <c r="C987" s="360" t="s">
        <v>5611</v>
      </c>
      <c r="D987" s="360" t="s">
        <v>131</v>
      </c>
      <c r="E987" s="810">
        <v>9</v>
      </c>
      <c r="F987" s="360" t="s">
        <v>34</v>
      </c>
      <c r="G987" s="360" t="s">
        <v>32</v>
      </c>
      <c r="H987" s="360" t="s">
        <v>6904</v>
      </c>
      <c r="I987" s="360" t="s">
        <v>34</v>
      </c>
      <c r="J987" s="360" t="s">
        <v>34</v>
      </c>
      <c r="K987" s="360" t="s">
        <v>4774</v>
      </c>
      <c r="L987" s="857">
        <v>80283.185840708</v>
      </c>
      <c r="M987" s="857">
        <v>40141.592920354</v>
      </c>
      <c r="N987" s="945">
        <v>2020.03</v>
      </c>
      <c r="O987" s="360" t="s">
        <v>6981</v>
      </c>
      <c r="P987" s="793" t="s">
        <v>4776</v>
      </c>
      <c r="Q987" s="811">
        <v>18335831522</v>
      </c>
      <c r="R987" s="360" t="s">
        <v>4777</v>
      </c>
      <c r="S987" s="360" t="s">
        <v>4670</v>
      </c>
      <c r="T987" s="769"/>
      <c r="U987" s="774"/>
      <c r="V987" s="1589"/>
    </row>
    <row r="988" spans="1:27" ht="24" hidden="1" customHeight="1">
      <c r="A988" s="360"/>
      <c r="B988" s="789" t="s">
        <v>5612</v>
      </c>
      <c r="C988" s="360" t="s">
        <v>5613</v>
      </c>
      <c r="D988" s="360" t="s">
        <v>131</v>
      </c>
      <c r="E988" s="810">
        <v>4</v>
      </c>
      <c r="F988" s="360" t="s">
        <v>34</v>
      </c>
      <c r="G988" s="360" t="s">
        <v>32</v>
      </c>
      <c r="H988" s="360" t="s">
        <v>6904</v>
      </c>
      <c r="I988" s="360" t="s">
        <v>34</v>
      </c>
      <c r="J988" s="360" t="s">
        <v>34</v>
      </c>
      <c r="K988" s="360" t="s">
        <v>4774</v>
      </c>
      <c r="L988" s="857">
        <v>33628.32</v>
      </c>
      <c r="M988" s="857">
        <v>16814.159292035401</v>
      </c>
      <c r="N988" s="945">
        <v>2020.03</v>
      </c>
      <c r="O988" s="360" t="s">
        <v>6981</v>
      </c>
      <c r="P988" s="793" t="s">
        <v>4776</v>
      </c>
      <c r="Q988" s="811">
        <v>18335831522</v>
      </c>
      <c r="R988" s="360" t="s">
        <v>4777</v>
      </c>
      <c r="S988" s="360" t="s">
        <v>4670</v>
      </c>
      <c r="T988" s="769"/>
      <c r="U988" s="774"/>
      <c r="V988" s="1589"/>
    </row>
    <row r="989" spans="1:27" ht="24" hidden="1" customHeight="1">
      <c r="A989" s="360"/>
      <c r="B989" s="789" t="s">
        <v>5612</v>
      </c>
      <c r="C989" s="360" t="s">
        <v>5614</v>
      </c>
      <c r="D989" s="360" t="s">
        <v>131</v>
      </c>
      <c r="E989" s="810">
        <v>4</v>
      </c>
      <c r="F989" s="360" t="s">
        <v>34</v>
      </c>
      <c r="G989" s="360" t="s">
        <v>32</v>
      </c>
      <c r="H989" s="360" t="s">
        <v>6904</v>
      </c>
      <c r="I989" s="360" t="s">
        <v>34</v>
      </c>
      <c r="J989" s="360" t="s">
        <v>34</v>
      </c>
      <c r="K989" s="360" t="s">
        <v>4774</v>
      </c>
      <c r="L989" s="857">
        <v>30088.495575221201</v>
      </c>
      <c r="M989" s="857">
        <v>15044.2477876106</v>
      </c>
      <c r="N989" s="945">
        <v>2020.03</v>
      </c>
      <c r="O989" s="360" t="s">
        <v>6981</v>
      </c>
      <c r="P989" s="793" t="s">
        <v>4776</v>
      </c>
      <c r="Q989" s="811">
        <v>18335831522</v>
      </c>
      <c r="R989" s="360" t="s">
        <v>4777</v>
      </c>
      <c r="S989" s="360" t="s">
        <v>4670</v>
      </c>
      <c r="T989" s="769"/>
      <c r="U989" s="774"/>
      <c r="V989" s="1589"/>
    </row>
    <row r="990" spans="1:27" ht="24" hidden="1" customHeight="1">
      <c r="A990" s="360"/>
      <c r="B990" s="789" t="s">
        <v>5615</v>
      </c>
      <c r="C990" s="789" t="s">
        <v>5616</v>
      </c>
      <c r="D990" s="360" t="s">
        <v>1477</v>
      </c>
      <c r="E990" s="810">
        <v>1</v>
      </c>
      <c r="F990" s="360" t="s">
        <v>34</v>
      </c>
      <c r="G990" s="360" t="s">
        <v>32</v>
      </c>
      <c r="H990" s="360" t="s">
        <v>6904</v>
      </c>
      <c r="I990" s="360" t="s">
        <v>34</v>
      </c>
      <c r="J990" s="360" t="s">
        <v>34</v>
      </c>
      <c r="K990" s="360" t="s">
        <v>5617</v>
      </c>
      <c r="L990" s="857">
        <v>4708.74</v>
      </c>
      <c r="M990" s="857">
        <v>1412.6220000000001</v>
      </c>
      <c r="N990" s="945">
        <v>2019.07</v>
      </c>
      <c r="O990" s="360" t="s">
        <v>6981</v>
      </c>
      <c r="P990" s="793" t="s">
        <v>4776</v>
      </c>
      <c r="Q990" s="811">
        <v>18335831522</v>
      </c>
      <c r="R990" s="360" t="s">
        <v>4777</v>
      </c>
      <c r="S990" s="360" t="s">
        <v>4670</v>
      </c>
      <c r="T990" s="769"/>
      <c r="U990" s="774"/>
      <c r="V990" s="1589"/>
    </row>
    <row r="991" spans="1:27" ht="24" hidden="1" customHeight="1">
      <c r="A991" s="360"/>
      <c r="B991" s="789" t="s">
        <v>5618</v>
      </c>
      <c r="C991" s="789"/>
      <c r="D991" s="360" t="s">
        <v>1477</v>
      </c>
      <c r="E991" s="810">
        <v>1</v>
      </c>
      <c r="F991" s="360" t="s">
        <v>34</v>
      </c>
      <c r="G991" s="360" t="s">
        <v>32</v>
      </c>
      <c r="H991" s="360" t="s">
        <v>6904</v>
      </c>
      <c r="I991" s="360" t="s">
        <v>34</v>
      </c>
      <c r="J991" s="360" t="s">
        <v>34</v>
      </c>
      <c r="K991" s="360" t="s">
        <v>5617</v>
      </c>
      <c r="L991" s="857">
        <v>3106.8</v>
      </c>
      <c r="M991" s="857">
        <v>932.04</v>
      </c>
      <c r="N991" s="945">
        <v>2019.07</v>
      </c>
      <c r="O991" s="360" t="s">
        <v>6981</v>
      </c>
      <c r="P991" s="793" t="s">
        <v>4776</v>
      </c>
      <c r="Q991" s="811">
        <v>18335831522</v>
      </c>
      <c r="R991" s="360" t="s">
        <v>4777</v>
      </c>
      <c r="S991" s="360" t="s">
        <v>4670</v>
      </c>
      <c r="T991" s="769"/>
      <c r="U991" s="774"/>
      <c r="V991" s="1589"/>
    </row>
    <row r="992" spans="1:27" ht="24" hidden="1" customHeight="1">
      <c r="A992" s="360"/>
      <c r="B992" s="789" t="s">
        <v>5619</v>
      </c>
      <c r="C992" s="789" t="s">
        <v>5620</v>
      </c>
      <c r="D992" s="360" t="s">
        <v>1477</v>
      </c>
      <c r="E992" s="810">
        <v>2</v>
      </c>
      <c r="F992" s="360" t="s">
        <v>34</v>
      </c>
      <c r="G992" s="360" t="s">
        <v>32</v>
      </c>
      <c r="H992" s="360" t="s">
        <v>6904</v>
      </c>
      <c r="I992" s="360" t="s">
        <v>34</v>
      </c>
      <c r="J992" s="360" t="s">
        <v>34</v>
      </c>
      <c r="K992" s="360" t="s">
        <v>5617</v>
      </c>
      <c r="L992" s="857">
        <v>7689.32</v>
      </c>
      <c r="M992" s="857">
        <v>2306.7959999999998</v>
      </c>
      <c r="N992" s="945">
        <v>2019.07</v>
      </c>
      <c r="O992" s="360" t="s">
        <v>6981</v>
      </c>
      <c r="P992" s="793" t="s">
        <v>4776</v>
      </c>
      <c r="Q992" s="811">
        <v>18335831522</v>
      </c>
      <c r="R992" s="360" t="s">
        <v>4777</v>
      </c>
      <c r="S992" s="360" t="s">
        <v>4670</v>
      </c>
      <c r="T992" s="769"/>
      <c r="U992" s="774"/>
      <c r="V992" s="1589"/>
    </row>
    <row r="993" spans="1:22" ht="24" hidden="1" customHeight="1">
      <c r="A993" s="360"/>
      <c r="B993" s="789" t="s">
        <v>5621</v>
      </c>
      <c r="C993" s="789" t="s">
        <v>5622</v>
      </c>
      <c r="D993" s="360" t="s">
        <v>131</v>
      </c>
      <c r="E993" s="810">
        <v>1</v>
      </c>
      <c r="F993" s="360" t="s">
        <v>34</v>
      </c>
      <c r="G993" s="360" t="s">
        <v>32</v>
      </c>
      <c r="H993" s="360" t="s">
        <v>6904</v>
      </c>
      <c r="I993" s="360" t="s">
        <v>34</v>
      </c>
      <c r="J993" s="360" t="s">
        <v>34</v>
      </c>
      <c r="K993" s="360" t="s">
        <v>5617</v>
      </c>
      <c r="L993" s="857">
        <v>1009.71</v>
      </c>
      <c r="M993" s="857">
        <v>302.91299999999802</v>
      </c>
      <c r="N993" s="945">
        <v>2019.07</v>
      </c>
      <c r="O993" s="360" t="s">
        <v>6981</v>
      </c>
      <c r="P993" s="793" t="s">
        <v>4776</v>
      </c>
      <c r="Q993" s="811">
        <v>18335831522</v>
      </c>
      <c r="R993" s="360" t="s">
        <v>4777</v>
      </c>
      <c r="S993" s="360" t="s">
        <v>4670</v>
      </c>
      <c r="T993" s="769"/>
      <c r="U993" s="774"/>
      <c r="V993" s="1589"/>
    </row>
    <row r="994" spans="1:22" ht="24" hidden="1" customHeight="1">
      <c r="A994" s="360"/>
      <c r="B994" s="789" t="s">
        <v>5623</v>
      </c>
      <c r="C994" s="789" t="s">
        <v>5624</v>
      </c>
      <c r="D994" s="360" t="s">
        <v>1477</v>
      </c>
      <c r="E994" s="810">
        <v>10</v>
      </c>
      <c r="F994" s="360" t="s">
        <v>34</v>
      </c>
      <c r="G994" s="360" t="s">
        <v>32</v>
      </c>
      <c r="H994" s="360" t="s">
        <v>6904</v>
      </c>
      <c r="I994" s="360" t="s">
        <v>34</v>
      </c>
      <c r="J994" s="360" t="s">
        <v>34</v>
      </c>
      <c r="K994" s="360" t="s">
        <v>5617</v>
      </c>
      <c r="L994" s="857">
        <v>28349.514563106801</v>
      </c>
      <c r="M994" s="857">
        <v>8504.8543689321505</v>
      </c>
      <c r="N994" s="945">
        <v>2019.07</v>
      </c>
      <c r="O994" s="360" t="s">
        <v>6981</v>
      </c>
      <c r="P994" s="793" t="s">
        <v>4776</v>
      </c>
      <c r="Q994" s="811">
        <v>18335831522</v>
      </c>
      <c r="R994" s="360" t="s">
        <v>4777</v>
      </c>
      <c r="S994" s="360" t="s">
        <v>4670</v>
      </c>
      <c r="T994" s="769"/>
      <c r="U994" s="774"/>
      <c r="V994" s="1589"/>
    </row>
    <row r="995" spans="1:22" ht="24" hidden="1" customHeight="1">
      <c r="A995" s="360"/>
      <c r="B995" s="789" t="s">
        <v>5623</v>
      </c>
      <c r="C995" s="789" t="s">
        <v>5625</v>
      </c>
      <c r="D995" s="360" t="s">
        <v>1477</v>
      </c>
      <c r="E995" s="810">
        <v>10</v>
      </c>
      <c r="F995" s="360" t="s">
        <v>34</v>
      </c>
      <c r="G995" s="360" t="s">
        <v>32</v>
      </c>
      <c r="H995" s="360" t="s">
        <v>6904</v>
      </c>
      <c r="I995" s="360" t="s">
        <v>34</v>
      </c>
      <c r="J995" s="360" t="s">
        <v>34</v>
      </c>
      <c r="K995" s="360" t="s">
        <v>5617</v>
      </c>
      <c r="L995" s="857">
        <v>29029.126213592201</v>
      </c>
      <c r="M995" s="857">
        <v>8708.7378640776496</v>
      </c>
      <c r="N995" s="945">
        <v>2019.07</v>
      </c>
      <c r="O995" s="360" t="s">
        <v>6981</v>
      </c>
      <c r="P995" s="793" t="s">
        <v>4776</v>
      </c>
      <c r="Q995" s="811">
        <v>18335831522</v>
      </c>
      <c r="R995" s="360" t="s">
        <v>4777</v>
      </c>
      <c r="S995" s="360" t="s">
        <v>4670</v>
      </c>
      <c r="T995" s="769"/>
      <c r="U995" s="774"/>
      <c r="V995" s="1589"/>
    </row>
    <row r="996" spans="1:22" ht="24" hidden="1" customHeight="1">
      <c r="A996" s="360"/>
      <c r="B996" s="789" t="s">
        <v>5626</v>
      </c>
      <c r="C996" s="789" t="s">
        <v>5627</v>
      </c>
      <c r="D996" s="360" t="s">
        <v>1477</v>
      </c>
      <c r="E996" s="810">
        <v>11</v>
      </c>
      <c r="F996" s="360" t="s">
        <v>34</v>
      </c>
      <c r="G996" s="360" t="s">
        <v>32</v>
      </c>
      <c r="H996" s="360" t="s">
        <v>6904</v>
      </c>
      <c r="I996" s="360" t="s">
        <v>34</v>
      </c>
      <c r="J996" s="360" t="s">
        <v>34</v>
      </c>
      <c r="K996" s="360" t="s">
        <v>5617</v>
      </c>
      <c r="L996" s="857">
        <v>29155.339805825199</v>
      </c>
      <c r="M996" s="857">
        <v>8746.6019417478601</v>
      </c>
      <c r="N996" s="945">
        <v>2019.07</v>
      </c>
      <c r="O996" s="360" t="s">
        <v>6981</v>
      </c>
      <c r="P996" s="793" t="s">
        <v>4776</v>
      </c>
      <c r="Q996" s="811">
        <v>18335831522</v>
      </c>
      <c r="R996" s="360" t="s">
        <v>4777</v>
      </c>
      <c r="S996" s="360" t="s">
        <v>4670</v>
      </c>
      <c r="T996" s="769"/>
      <c r="U996" s="774"/>
      <c r="V996" s="1589"/>
    </row>
    <row r="997" spans="1:22" ht="24" hidden="1" customHeight="1">
      <c r="A997" s="360"/>
      <c r="B997" s="956" t="s">
        <v>5628</v>
      </c>
      <c r="C997" s="956" t="s">
        <v>5629</v>
      </c>
      <c r="D997" s="956" t="s">
        <v>3701</v>
      </c>
      <c r="E997" s="956">
        <v>450</v>
      </c>
      <c r="F997" s="360" t="s">
        <v>34</v>
      </c>
      <c r="G997" s="360" t="s">
        <v>32</v>
      </c>
      <c r="H997" s="360" t="s">
        <v>33</v>
      </c>
      <c r="I997" s="360" t="s">
        <v>34</v>
      </c>
      <c r="J997" s="360" t="s">
        <v>34</v>
      </c>
      <c r="K997" s="360" t="s">
        <v>4843</v>
      </c>
      <c r="L997" s="857">
        <v>211460.19</v>
      </c>
      <c r="M997" s="857">
        <v>0</v>
      </c>
      <c r="N997" s="945">
        <v>2021.01</v>
      </c>
      <c r="O997" s="783" t="s">
        <v>4698</v>
      </c>
      <c r="P997" s="793" t="s">
        <v>4699</v>
      </c>
      <c r="Q997" s="811">
        <v>18605163234</v>
      </c>
      <c r="R997" s="360" t="s">
        <v>4700</v>
      </c>
      <c r="S997" s="1283" t="s">
        <v>4670</v>
      </c>
      <c r="T997" s="769"/>
      <c r="U997" s="774"/>
      <c r="V997" s="1589"/>
    </row>
    <row r="998" spans="1:22" ht="24" hidden="1" customHeight="1">
      <c r="A998" s="360"/>
      <c r="B998" s="360" t="s">
        <v>1040</v>
      </c>
      <c r="C998" s="360" t="s">
        <v>1016</v>
      </c>
      <c r="D998" s="360" t="s">
        <v>2724</v>
      </c>
      <c r="E998" s="360">
        <v>28</v>
      </c>
      <c r="F998" s="360" t="s">
        <v>34</v>
      </c>
      <c r="G998" s="360" t="s">
        <v>32</v>
      </c>
      <c r="H998" s="360" t="s">
        <v>33</v>
      </c>
      <c r="I998" s="360" t="s">
        <v>34</v>
      </c>
      <c r="J998" s="360" t="s">
        <v>34</v>
      </c>
      <c r="K998" s="360" t="s">
        <v>7089</v>
      </c>
      <c r="L998" s="857">
        <v>29120</v>
      </c>
      <c r="M998" s="857">
        <v>24640</v>
      </c>
      <c r="N998" s="360">
        <v>2021.09</v>
      </c>
      <c r="O998" s="793" t="s">
        <v>4698</v>
      </c>
      <c r="P998" s="360" t="s">
        <v>4699</v>
      </c>
      <c r="Q998" s="360">
        <v>18605163234</v>
      </c>
      <c r="R998" s="793" t="s">
        <v>4700</v>
      </c>
      <c r="S998" s="1283" t="s">
        <v>4670</v>
      </c>
      <c r="T998" s="360"/>
      <c r="U998" s="771"/>
      <c r="V998" s="1589"/>
    </row>
    <row r="999" spans="1:22" ht="24" hidden="1" customHeight="1">
      <c r="A999" s="360"/>
      <c r="B999" s="1243" t="s">
        <v>5589</v>
      </c>
      <c r="C999" s="147" t="s">
        <v>5630</v>
      </c>
      <c r="D999" s="1593" t="s">
        <v>79</v>
      </c>
      <c r="E999" s="396">
        <v>8</v>
      </c>
      <c r="F999" s="988" t="s">
        <v>34</v>
      </c>
      <c r="G999" s="238" t="s">
        <v>32</v>
      </c>
      <c r="H999" s="238" t="s">
        <v>33</v>
      </c>
      <c r="I999" s="988" t="s">
        <v>34</v>
      </c>
      <c r="J999" s="988" t="s">
        <v>34</v>
      </c>
      <c r="K999" s="238" t="s">
        <v>34</v>
      </c>
      <c r="L999" s="989">
        <v>13097.3451327434</v>
      </c>
      <c r="M999" s="990">
        <v>6548.6725663716998</v>
      </c>
      <c r="N999" s="238">
        <v>2022.03</v>
      </c>
      <c r="O999" s="1594" t="s">
        <v>4698</v>
      </c>
      <c r="P999" s="238" t="s">
        <v>4699</v>
      </c>
      <c r="Q999" s="238">
        <v>18605163235</v>
      </c>
      <c r="R999" s="1594" t="s">
        <v>4700</v>
      </c>
      <c r="S999" s="1216" t="s">
        <v>4670</v>
      </c>
      <c r="T999" s="238" t="s">
        <v>4347</v>
      </c>
      <c r="U999" s="771"/>
      <c r="V999" s="1589"/>
    </row>
    <row r="1000" spans="1:22" ht="24" hidden="1" customHeight="1">
      <c r="A1000" s="360"/>
      <c r="B1000" s="147" t="s">
        <v>5589</v>
      </c>
      <c r="C1000" s="147" t="s">
        <v>5630</v>
      </c>
      <c r="D1000" s="1593" t="s">
        <v>79</v>
      </c>
      <c r="E1000" s="396">
        <v>2</v>
      </c>
      <c r="F1000" s="988" t="s">
        <v>34</v>
      </c>
      <c r="G1000" s="238" t="s">
        <v>32</v>
      </c>
      <c r="H1000" s="238" t="s">
        <v>33</v>
      </c>
      <c r="I1000" s="988" t="s">
        <v>34</v>
      </c>
      <c r="J1000" s="988" t="s">
        <v>34</v>
      </c>
      <c r="K1000" s="238" t="s">
        <v>34</v>
      </c>
      <c r="L1000" s="989">
        <v>3982.30088495575</v>
      </c>
      <c r="M1000" s="990">
        <v>1991.15044247787</v>
      </c>
      <c r="N1000" s="238">
        <v>2022.03</v>
      </c>
      <c r="O1000" s="1594" t="s">
        <v>4698</v>
      </c>
      <c r="P1000" s="238" t="s">
        <v>4699</v>
      </c>
      <c r="Q1000" s="238">
        <v>18605163236</v>
      </c>
      <c r="R1000" s="1594" t="s">
        <v>4700</v>
      </c>
      <c r="S1000" s="1216" t="s">
        <v>4670</v>
      </c>
      <c r="T1000" s="238" t="s">
        <v>4347</v>
      </c>
      <c r="U1000" s="771"/>
      <c r="V1000" s="1589"/>
    </row>
    <row r="1001" spans="1:22" ht="24" hidden="1" customHeight="1">
      <c r="A1001" s="360"/>
      <c r="B1001" s="1243" t="s">
        <v>5589</v>
      </c>
      <c r="C1001" s="1243" t="s">
        <v>5631</v>
      </c>
      <c r="D1001" s="1593" t="s">
        <v>79</v>
      </c>
      <c r="E1001" s="396">
        <v>10</v>
      </c>
      <c r="F1001" s="988" t="s">
        <v>34</v>
      </c>
      <c r="G1001" s="238" t="s">
        <v>32</v>
      </c>
      <c r="H1001" s="238" t="s">
        <v>33</v>
      </c>
      <c r="I1001" s="988" t="s">
        <v>34</v>
      </c>
      <c r="J1001" s="988" t="s">
        <v>34</v>
      </c>
      <c r="K1001" s="238" t="s">
        <v>34</v>
      </c>
      <c r="L1001" s="989">
        <v>16371.681415929201</v>
      </c>
      <c r="M1001" s="990">
        <v>8185.8407079646004</v>
      </c>
      <c r="N1001" s="238">
        <v>2022.03</v>
      </c>
      <c r="O1001" s="1594" t="s">
        <v>4698</v>
      </c>
      <c r="P1001" s="238" t="s">
        <v>4699</v>
      </c>
      <c r="Q1001" s="238">
        <v>18605163237</v>
      </c>
      <c r="R1001" s="1594" t="s">
        <v>4700</v>
      </c>
      <c r="S1001" s="1216" t="s">
        <v>4670</v>
      </c>
      <c r="T1001" s="238" t="s">
        <v>4347</v>
      </c>
      <c r="U1001" s="771"/>
      <c r="V1001" s="1589"/>
    </row>
    <row r="1002" spans="1:22" ht="24" hidden="1" customHeight="1">
      <c r="A1002" s="360"/>
      <c r="B1002" s="1243" t="s">
        <v>3845</v>
      </c>
      <c r="C1002" s="992" t="s">
        <v>5632</v>
      </c>
      <c r="D1002" s="993" t="s">
        <v>603</v>
      </c>
      <c r="E1002" s="396">
        <v>80</v>
      </c>
      <c r="F1002" s="988" t="s">
        <v>34</v>
      </c>
      <c r="G1002" s="238" t="s">
        <v>32</v>
      </c>
      <c r="H1002" s="238" t="s">
        <v>33</v>
      </c>
      <c r="I1002" s="988" t="s">
        <v>34</v>
      </c>
      <c r="J1002" s="988" t="s">
        <v>34</v>
      </c>
      <c r="K1002" s="238" t="s">
        <v>34</v>
      </c>
      <c r="L1002" s="989">
        <v>4113.1457853109396</v>
      </c>
      <c r="M1002" s="990">
        <v>2056.5728926554698</v>
      </c>
      <c r="N1002" s="238">
        <v>2022.03</v>
      </c>
      <c r="O1002" s="1594" t="s">
        <v>4698</v>
      </c>
      <c r="P1002" s="238" t="s">
        <v>4699</v>
      </c>
      <c r="Q1002" s="238">
        <v>18605163238</v>
      </c>
      <c r="R1002" s="1594" t="s">
        <v>4700</v>
      </c>
      <c r="S1002" s="1216" t="s">
        <v>4670</v>
      </c>
      <c r="T1002" s="238" t="s">
        <v>4347</v>
      </c>
      <c r="U1002" s="771"/>
      <c r="V1002" s="1589"/>
    </row>
    <row r="1003" spans="1:22" ht="24" hidden="1" customHeight="1">
      <c r="A1003" s="360"/>
      <c r="B1003" s="1243" t="s">
        <v>3845</v>
      </c>
      <c r="C1003" s="1243" t="s">
        <v>5633</v>
      </c>
      <c r="D1003" s="993" t="s">
        <v>603</v>
      </c>
      <c r="E1003" s="1595">
        <v>40</v>
      </c>
      <c r="F1003" s="988" t="s">
        <v>34</v>
      </c>
      <c r="G1003" s="238" t="s">
        <v>32</v>
      </c>
      <c r="H1003" s="238" t="s">
        <v>33</v>
      </c>
      <c r="I1003" s="988" t="s">
        <v>34</v>
      </c>
      <c r="J1003" s="988" t="s">
        <v>34</v>
      </c>
      <c r="K1003" s="238" t="s">
        <v>34</v>
      </c>
      <c r="L1003" s="989">
        <v>2460.1773913043498</v>
      </c>
      <c r="M1003" s="990">
        <v>1230.0886956521699</v>
      </c>
      <c r="N1003" s="238">
        <v>2022.03</v>
      </c>
      <c r="O1003" s="1594" t="s">
        <v>4698</v>
      </c>
      <c r="P1003" s="238" t="s">
        <v>4699</v>
      </c>
      <c r="Q1003" s="238">
        <v>18605163239</v>
      </c>
      <c r="R1003" s="1594" t="s">
        <v>4700</v>
      </c>
      <c r="S1003" s="1216" t="s">
        <v>4670</v>
      </c>
      <c r="T1003" s="238" t="s">
        <v>4347</v>
      </c>
      <c r="U1003" s="771"/>
      <c r="V1003" s="1589"/>
    </row>
    <row r="1004" spans="1:22" ht="24" hidden="1" customHeight="1">
      <c r="A1004" s="360"/>
      <c r="B1004" s="1243" t="s">
        <v>3845</v>
      </c>
      <c r="C1004" s="1243" t="s">
        <v>5337</v>
      </c>
      <c r="D1004" s="993" t="s">
        <v>603</v>
      </c>
      <c r="E1004" s="1596">
        <v>120</v>
      </c>
      <c r="F1004" s="988" t="s">
        <v>34</v>
      </c>
      <c r="G1004" s="238" t="s">
        <v>32</v>
      </c>
      <c r="H1004" s="238" t="s">
        <v>33</v>
      </c>
      <c r="I1004" s="988" t="s">
        <v>34</v>
      </c>
      <c r="J1004" s="988" t="s">
        <v>34</v>
      </c>
      <c r="K1004" s="238" t="s">
        <v>34</v>
      </c>
      <c r="L1004" s="989">
        <v>5097.0873786407801</v>
      </c>
      <c r="M1004" s="990">
        <v>2548.5436893203901</v>
      </c>
      <c r="N1004" s="238">
        <v>2022.03</v>
      </c>
      <c r="O1004" s="1594" t="s">
        <v>4698</v>
      </c>
      <c r="P1004" s="238" t="s">
        <v>4699</v>
      </c>
      <c r="Q1004" s="238">
        <v>18605163240</v>
      </c>
      <c r="R1004" s="1594" t="s">
        <v>4700</v>
      </c>
      <c r="S1004" s="1216" t="s">
        <v>4670</v>
      </c>
      <c r="T1004" s="238" t="s">
        <v>4347</v>
      </c>
      <c r="U1004" s="771"/>
      <c r="V1004" s="1589"/>
    </row>
    <row r="1005" spans="1:22" ht="24" hidden="1" customHeight="1">
      <c r="A1005" s="360"/>
      <c r="B1005" s="1597" t="s">
        <v>3845</v>
      </c>
      <c r="C1005" s="1598" t="s">
        <v>5634</v>
      </c>
      <c r="D1005" s="1282" t="s">
        <v>603</v>
      </c>
      <c r="E1005" s="1596">
        <v>80</v>
      </c>
      <c r="F1005" s="988" t="s">
        <v>34</v>
      </c>
      <c r="G1005" s="238" t="s">
        <v>32</v>
      </c>
      <c r="H1005" s="238" t="s">
        <v>33</v>
      </c>
      <c r="I1005" s="988" t="s">
        <v>34</v>
      </c>
      <c r="J1005" s="988" t="s">
        <v>34</v>
      </c>
      <c r="K1005" s="238" t="s">
        <v>34</v>
      </c>
      <c r="L1005" s="994">
        <v>3786.4077669903099</v>
      </c>
      <c r="M1005" s="990">
        <v>1893.20388349515</v>
      </c>
      <c r="N1005" s="238">
        <v>2022.03</v>
      </c>
      <c r="O1005" s="1594" t="s">
        <v>4698</v>
      </c>
      <c r="P1005" s="238" t="s">
        <v>4699</v>
      </c>
      <c r="Q1005" s="238">
        <v>18605163241</v>
      </c>
      <c r="R1005" s="1594" t="s">
        <v>4700</v>
      </c>
      <c r="S1005" s="1216" t="s">
        <v>4670</v>
      </c>
      <c r="T1005" s="238" t="s">
        <v>4347</v>
      </c>
      <c r="U1005" s="771"/>
      <c r="V1005" s="1589"/>
    </row>
    <row r="1006" spans="1:22" ht="24" hidden="1" customHeight="1">
      <c r="A1006" s="360"/>
      <c r="B1006" s="147" t="s">
        <v>5477</v>
      </c>
      <c r="C1006" s="1243"/>
      <c r="D1006" s="168" t="s">
        <v>79</v>
      </c>
      <c r="E1006" s="1595">
        <v>50</v>
      </c>
      <c r="F1006" s="988" t="s">
        <v>34</v>
      </c>
      <c r="G1006" s="238" t="s">
        <v>32</v>
      </c>
      <c r="H1006" s="238" t="s">
        <v>33</v>
      </c>
      <c r="I1006" s="988" t="s">
        <v>34</v>
      </c>
      <c r="J1006" s="988" t="s">
        <v>34</v>
      </c>
      <c r="K1006" s="238" t="s">
        <v>34</v>
      </c>
      <c r="L1006" s="989">
        <v>5973.45</v>
      </c>
      <c r="M1006" s="990">
        <v>5973.45</v>
      </c>
      <c r="N1006" s="238">
        <v>2022.03</v>
      </c>
      <c r="O1006" s="1594" t="s">
        <v>4698</v>
      </c>
      <c r="P1006" s="238" t="s">
        <v>4699</v>
      </c>
      <c r="Q1006" s="238">
        <v>18605163242</v>
      </c>
      <c r="R1006" s="1594" t="s">
        <v>4700</v>
      </c>
      <c r="S1006" s="1216" t="s">
        <v>4670</v>
      </c>
      <c r="T1006" s="238" t="s">
        <v>4347</v>
      </c>
      <c r="U1006" s="771"/>
      <c r="V1006" s="1589"/>
    </row>
    <row r="1007" spans="1:22" ht="24" hidden="1" customHeight="1">
      <c r="A1007" s="360"/>
      <c r="B1007" s="147" t="s">
        <v>5477</v>
      </c>
      <c r="C1007" s="1243"/>
      <c r="D1007" s="168" t="s">
        <v>79</v>
      </c>
      <c r="E1007" s="1595">
        <v>50</v>
      </c>
      <c r="F1007" s="988" t="s">
        <v>34</v>
      </c>
      <c r="G1007" s="238" t="s">
        <v>32</v>
      </c>
      <c r="H1007" s="238" t="s">
        <v>33</v>
      </c>
      <c r="I1007" s="988" t="s">
        <v>34</v>
      </c>
      <c r="J1007" s="988" t="s">
        <v>34</v>
      </c>
      <c r="K1007" s="238" t="s">
        <v>34</v>
      </c>
      <c r="L1007" s="989">
        <v>5973.45</v>
      </c>
      <c r="M1007" s="990">
        <v>5973.45</v>
      </c>
      <c r="N1007" s="238">
        <v>2022.03</v>
      </c>
      <c r="O1007" s="1594" t="s">
        <v>4698</v>
      </c>
      <c r="P1007" s="238" t="s">
        <v>4699</v>
      </c>
      <c r="Q1007" s="238">
        <v>18605163243</v>
      </c>
      <c r="R1007" s="1594" t="s">
        <v>4700</v>
      </c>
      <c r="S1007" s="1216" t="s">
        <v>4670</v>
      </c>
      <c r="T1007" s="238" t="s">
        <v>4347</v>
      </c>
      <c r="U1007" s="771"/>
      <c r="V1007" s="1589"/>
    </row>
    <row r="1008" spans="1:22" ht="24" hidden="1" customHeight="1">
      <c r="A1008" s="360"/>
      <c r="B1008" s="995" t="s">
        <v>5635</v>
      </c>
      <c r="C1008" s="995" t="s">
        <v>5636</v>
      </c>
      <c r="D1008" s="995" t="s">
        <v>1477</v>
      </c>
      <c r="E1008" s="995">
        <v>1</v>
      </c>
      <c r="F1008" s="360" t="s">
        <v>6888</v>
      </c>
      <c r="G1008" s="995" t="s">
        <v>7090</v>
      </c>
      <c r="H1008" s="360" t="s">
        <v>6904</v>
      </c>
      <c r="I1008" s="995" t="s">
        <v>34</v>
      </c>
      <c r="J1008" s="995" t="s">
        <v>34</v>
      </c>
      <c r="K1008" s="360" t="s">
        <v>34</v>
      </c>
      <c r="L1008" s="857">
        <v>8405.1159690226395</v>
      </c>
      <c r="M1008" s="857">
        <f>L1008*42%</f>
        <v>3530.1487069895084</v>
      </c>
      <c r="N1008" s="995">
        <v>2020.07</v>
      </c>
      <c r="O1008" s="995" t="s">
        <v>7001</v>
      </c>
      <c r="P1008" s="995" t="s">
        <v>5062</v>
      </c>
      <c r="Q1008" s="996">
        <v>13546320660</v>
      </c>
      <c r="R1008" s="995" t="s">
        <v>5637</v>
      </c>
      <c r="S1008" s="360" t="s">
        <v>4670</v>
      </c>
      <c r="T1008" s="360"/>
      <c r="U1008" s="767"/>
    </row>
    <row r="1009" spans="1:21" ht="24" hidden="1" customHeight="1">
      <c r="A1009" s="360"/>
      <c r="B1009" s="995" t="s">
        <v>5638</v>
      </c>
      <c r="C1009" s="995" t="s">
        <v>5639</v>
      </c>
      <c r="D1009" s="995" t="s">
        <v>1477</v>
      </c>
      <c r="E1009" s="995">
        <v>1</v>
      </c>
      <c r="F1009" s="360" t="s">
        <v>34</v>
      </c>
      <c r="G1009" s="995" t="s">
        <v>7090</v>
      </c>
      <c r="H1009" s="360" t="s">
        <v>33</v>
      </c>
      <c r="I1009" s="995" t="s">
        <v>34</v>
      </c>
      <c r="J1009" s="995" t="s">
        <v>34</v>
      </c>
      <c r="K1009" s="360" t="s">
        <v>34</v>
      </c>
      <c r="L1009" s="857">
        <v>4554.0135280854802</v>
      </c>
      <c r="M1009" s="857">
        <f t="shared" ref="M1009:M1030" si="1">L1009*42%</f>
        <v>1912.6856817959017</v>
      </c>
      <c r="N1009" s="995">
        <v>2021.07</v>
      </c>
      <c r="O1009" s="995" t="s">
        <v>7001</v>
      </c>
      <c r="P1009" s="995" t="s">
        <v>5062</v>
      </c>
      <c r="Q1009" s="996">
        <v>13546320660</v>
      </c>
      <c r="R1009" s="995" t="s">
        <v>5637</v>
      </c>
      <c r="S1009" s="360" t="s">
        <v>4670</v>
      </c>
      <c r="T1009" s="360"/>
      <c r="U1009" s="767"/>
    </row>
    <row r="1010" spans="1:21" ht="24" hidden="1" customHeight="1">
      <c r="A1010" s="360"/>
      <c r="B1010" s="995" t="s">
        <v>5635</v>
      </c>
      <c r="C1010" s="995" t="s">
        <v>5639</v>
      </c>
      <c r="D1010" s="995" t="s">
        <v>1477</v>
      </c>
      <c r="E1010" s="995">
        <v>1</v>
      </c>
      <c r="F1010" s="360" t="s">
        <v>34</v>
      </c>
      <c r="G1010" s="995" t="s">
        <v>7090</v>
      </c>
      <c r="H1010" s="360" t="s">
        <v>33</v>
      </c>
      <c r="I1010" s="995" t="s">
        <v>34</v>
      </c>
      <c r="J1010" s="995" t="s">
        <v>34</v>
      </c>
      <c r="K1010" s="360" t="s">
        <v>34</v>
      </c>
      <c r="L1010" s="857">
        <v>6237.0085285756304</v>
      </c>
      <c r="M1010" s="857">
        <f t="shared" si="1"/>
        <v>2619.5435820017647</v>
      </c>
      <c r="N1010" s="995">
        <v>2020.07</v>
      </c>
      <c r="O1010" s="995" t="s">
        <v>7001</v>
      </c>
      <c r="P1010" s="995" t="s">
        <v>5062</v>
      </c>
      <c r="Q1010" s="996">
        <v>13546320660</v>
      </c>
      <c r="R1010" s="995" t="s">
        <v>5637</v>
      </c>
      <c r="S1010" s="360" t="s">
        <v>4670</v>
      </c>
      <c r="T1010" s="360"/>
      <c r="U1010" s="767"/>
    </row>
    <row r="1011" spans="1:21" ht="24" hidden="1" customHeight="1">
      <c r="A1011" s="360"/>
      <c r="B1011" s="995" t="s">
        <v>1678</v>
      </c>
      <c r="C1011" s="995" t="s">
        <v>5639</v>
      </c>
      <c r="D1011" s="995" t="s">
        <v>1477</v>
      </c>
      <c r="E1011" s="995">
        <v>1</v>
      </c>
      <c r="F1011" s="360" t="s">
        <v>34</v>
      </c>
      <c r="G1011" s="995" t="s">
        <v>7090</v>
      </c>
      <c r="H1011" s="360" t="s">
        <v>33</v>
      </c>
      <c r="I1011" s="995" t="s">
        <v>34</v>
      </c>
      <c r="J1011" s="995" t="s">
        <v>34</v>
      </c>
      <c r="K1011" s="360" t="s">
        <v>34</v>
      </c>
      <c r="L1011" s="857">
        <v>3346.20194098618</v>
      </c>
      <c r="M1011" s="857">
        <f t="shared" si="1"/>
        <v>1405.4048152141957</v>
      </c>
      <c r="N1011" s="995">
        <v>2020.07</v>
      </c>
      <c r="O1011" s="995" t="s">
        <v>7001</v>
      </c>
      <c r="P1011" s="995" t="s">
        <v>5062</v>
      </c>
      <c r="Q1011" s="996">
        <v>13546320660</v>
      </c>
      <c r="R1011" s="995" t="s">
        <v>5637</v>
      </c>
      <c r="S1011" s="360" t="s">
        <v>4670</v>
      </c>
      <c r="T1011" s="360"/>
      <c r="U1011" s="767"/>
    </row>
    <row r="1012" spans="1:21" ht="24" hidden="1" customHeight="1">
      <c r="A1012" s="360"/>
      <c r="B1012" s="995" t="s">
        <v>1678</v>
      </c>
      <c r="C1012" s="995" t="s">
        <v>5640</v>
      </c>
      <c r="D1012" s="995" t="s">
        <v>1477</v>
      </c>
      <c r="E1012" s="995">
        <v>1</v>
      </c>
      <c r="F1012" s="360" t="s">
        <v>34</v>
      </c>
      <c r="G1012" s="995" t="s">
        <v>7090</v>
      </c>
      <c r="H1012" s="360" t="s">
        <v>33</v>
      </c>
      <c r="I1012" s="995" t="s">
        <v>34</v>
      </c>
      <c r="J1012" s="995" t="s">
        <v>34</v>
      </c>
      <c r="K1012" s="360" t="s">
        <v>34</v>
      </c>
      <c r="L1012" s="857">
        <v>4306.5077933535904</v>
      </c>
      <c r="M1012" s="857">
        <f t="shared" si="1"/>
        <v>1808.7332732085079</v>
      </c>
      <c r="N1012" s="995">
        <v>2020.07</v>
      </c>
      <c r="O1012" s="995" t="s">
        <v>7001</v>
      </c>
      <c r="P1012" s="995" t="s">
        <v>5062</v>
      </c>
      <c r="Q1012" s="996">
        <v>13546320660</v>
      </c>
      <c r="R1012" s="995" t="s">
        <v>5637</v>
      </c>
      <c r="S1012" s="360" t="s">
        <v>4670</v>
      </c>
      <c r="T1012" s="360"/>
      <c r="U1012" s="767"/>
    </row>
    <row r="1013" spans="1:21" ht="24" hidden="1" customHeight="1">
      <c r="A1013" s="360"/>
      <c r="B1013" s="995" t="s">
        <v>1678</v>
      </c>
      <c r="C1013" s="995" t="s">
        <v>5641</v>
      </c>
      <c r="D1013" s="995" t="s">
        <v>1477</v>
      </c>
      <c r="E1013" s="995">
        <v>1</v>
      </c>
      <c r="F1013" s="360" t="s">
        <v>34</v>
      </c>
      <c r="G1013" s="995" t="s">
        <v>7090</v>
      </c>
      <c r="H1013" s="360" t="s">
        <v>33</v>
      </c>
      <c r="I1013" s="995" t="s">
        <v>34</v>
      </c>
      <c r="J1013" s="995" t="s">
        <v>34</v>
      </c>
      <c r="K1013" s="360" t="s">
        <v>34</v>
      </c>
      <c r="L1013" s="857">
        <v>4504.50838153122</v>
      </c>
      <c r="M1013" s="857">
        <f t="shared" si="1"/>
        <v>1891.8935202431123</v>
      </c>
      <c r="N1013" s="995">
        <v>2020.07</v>
      </c>
      <c r="O1013" s="995" t="s">
        <v>7001</v>
      </c>
      <c r="P1013" s="995" t="s">
        <v>5062</v>
      </c>
      <c r="Q1013" s="996">
        <v>13546320660</v>
      </c>
      <c r="R1013" s="995" t="s">
        <v>5637</v>
      </c>
      <c r="S1013" s="360" t="s">
        <v>4670</v>
      </c>
      <c r="T1013" s="360"/>
      <c r="U1013" s="767"/>
    </row>
    <row r="1014" spans="1:21" ht="24" hidden="1" customHeight="1">
      <c r="A1014" s="360"/>
      <c r="B1014" s="995" t="s">
        <v>5635</v>
      </c>
      <c r="C1014" s="995" t="s">
        <v>5642</v>
      </c>
      <c r="D1014" s="995" t="s">
        <v>1477</v>
      </c>
      <c r="E1014" s="995">
        <v>1</v>
      </c>
      <c r="F1014" s="360" t="s">
        <v>34</v>
      </c>
      <c r="G1014" s="995" t="s">
        <v>7090</v>
      </c>
      <c r="H1014" s="360" t="s">
        <v>33</v>
      </c>
      <c r="I1014" s="995" t="s">
        <v>34</v>
      </c>
      <c r="J1014" s="995" t="s">
        <v>34</v>
      </c>
      <c r="K1014" s="360" t="s">
        <v>34</v>
      </c>
      <c r="L1014" s="857">
        <v>12622.5224977943</v>
      </c>
      <c r="M1014" s="857">
        <f t="shared" si="1"/>
        <v>5301.4594490736054</v>
      </c>
      <c r="N1014" s="995">
        <v>2020.07</v>
      </c>
      <c r="O1014" s="995" t="s">
        <v>7001</v>
      </c>
      <c r="P1014" s="995" t="s">
        <v>5062</v>
      </c>
      <c r="Q1014" s="996">
        <v>13546320660</v>
      </c>
      <c r="R1014" s="995" t="s">
        <v>5637</v>
      </c>
      <c r="S1014" s="360" t="s">
        <v>4670</v>
      </c>
      <c r="T1014" s="360"/>
      <c r="U1014" s="767"/>
    </row>
    <row r="1015" spans="1:21" ht="24" hidden="1" customHeight="1">
      <c r="A1015" s="360"/>
      <c r="B1015" s="995" t="s">
        <v>5638</v>
      </c>
      <c r="C1015" s="995" t="s">
        <v>5642</v>
      </c>
      <c r="D1015" s="995" t="s">
        <v>1477</v>
      </c>
      <c r="E1015" s="995">
        <v>5</v>
      </c>
      <c r="F1015" s="360" t="s">
        <v>34</v>
      </c>
      <c r="G1015" s="995" t="s">
        <v>7090</v>
      </c>
      <c r="H1015" s="360" t="s">
        <v>33</v>
      </c>
      <c r="I1015" s="995" t="s">
        <v>34</v>
      </c>
      <c r="J1015" s="995" t="s">
        <v>34</v>
      </c>
      <c r="K1015" s="360" t="s">
        <v>34</v>
      </c>
      <c r="L1015" s="857">
        <v>17028.030585236698</v>
      </c>
      <c r="M1015" s="857">
        <f t="shared" si="1"/>
        <v>7151.7728457994126</v>
      </c>
      <c r="N1015" s="995">
        <v>2020.07</v>
      </c>
      <c r="O1015" s="995" t="s">
        <v>7001</v>
      </c>
      <c r="P1015" s="995" t="s">
        <v>5062</v>
      </c>
      <c r="Q1015" s="996">
        <v>13546320660</v>
      </c>
      <c r="R1015" s="995" t="s">
        <v>5637</v>
      </c>
      <c r="S1015" s="360" t="s">
        <v>4670</v>
      </c>
      <c r="T1015" s="360"/>
      <c r="U1015" s="767"/>
    </row>
    <row r="1016" spans="1:21" ht="24" hidden="1" customHeight="1">
      <c r="A1016" s="360"/>
      <c r="B1016" s="995" t="s">
        <v>5638</v>
      </c>
      <c r="C1016" s="995" t="s">
        <v>5642</v>
      </c>
      <c r="D1016" s="995" t="s">
        <v>1477</v>
      </c>
      <c r="E1016" s="995">
        <v>1</v>
      </c>
      <c r="F1016" s="360" t="s">
        <v>34</v>
      </c>
      <c r="G1016" s="995" t="s">
        <v>7090</v>
      </c>
      <c r="H1016" s="360" t="s">
        <v>33</v>
      </c>
      <c r="I1016" s="995" t="s">
        <v>34</v>
      </c>
      <c r="J1016" s="995" t="s">
        <v>6888</v>
      </c>
      <c r="K1016" s="360" t="s">
        <v>34</v>
      </c>
      <c r="L1016" s="857">
        <v>3405.6061170473499</v>
      </c>
      <c r="M1016" s="857">
        <f t="shared" si="1"/>
        <v>1430.354569159887</v>
      </c>
      <c r="N1016" s="995">
        <v>2020.07</v>
      </c>
      <c r="O1016" s="995" t="s">
        <v>7001</v>
      </c>
      <c r="P1016" s="995" t="s">
        <v>5062</v>
      </c>
      <c r="Q1016" s="996">
        <v>13546320660</v>
      </c>
      <c r="R1016" s="995" t="s">
        <v>5637</v>
      </c>
      <c r="S1016" s="360" t="s">
        <v>4670</v>
      </c>
      <c r="T1016" s="360"/>
      <c r="U1016" s="767"/>
    </row>
    <row r="1017" spans="1:21" ht="24" hidden="1" customHeight="1">
      <c r="A1017" s="360"/>
      <c r="B1017" s="995" t="s">
        <v>5643</v>
      </c>
      <c r="C1017" s="995" t="s">
        <v>5642</v>
      </c>
      <c r="D1017" s="995" t="s">
        <v>1477</v>
      </c>
      <c r="E1017" s="995">
        <v>2</v>
      </c>
      <c r="F1017" s="360" t="s">
        <v>34</v>
      </c>
      <c r="G1017" s="995" t="s">
        <v>7090</v>
      </c>
      <c r="H1017" s="360" t="s">
        <v>33</v>
      </c>
      <c r="I1017" s="995" t="s">
        <v>34</v>
      </c>
      <c r="J1017" s="995" t="s">
        <v>34</v>
      </c>
      <c r="K1017" s="360" t="s">
        <v>34</v>
      </c>
      <c r="L1017" s="857">
        <v>3128.41329281443</v>
      </c>
      <c r="M1017" s="857">
        <f t="shared" si="1"/>
        <v>1313.9335829820604</v>
      </c>
      <c r="N1017" s="995">
        <v>2020.07</v>
      </c>
      <c r="O1017" s="995" t="s">
        <v>7001</v>
      </c>
      <c r="P1017" s="995" t="s">
        <v>5062</v>
      </c>
      <c r="Q1017" s="996">
        <v>13546320660</v>
      </c>
      <c r="R1017" s="995" t="s">
        <v>5637</v>
      </c>
      <c r="S1017" s="360" t="s">
        <v>4670</v>
      </c>
      <c r="T1017" s="360"/>
      <c r="U1017" s="767"/>
    </row>
    <row r="1018" spans="1:21" ht="24" hidden="1" customHeight="1">
      <c r="A1018" s="360"/>
      <c r="B1018" s="995" t="s">
        <v>5635</v>
      </c>
      <c r="C1018" s="995" t="s">
        <v>5644</v>
      </c>
      <c r="D1018" s="995" t="s">
        <v>1477</v>
      </c>
      <c r="E1018" s="995">
        <v>1</v>
      </c>
      <c r="F1018" s="360" t="s">
        <v>34</v>
      </c>
      <c r="G1018" s="995" t="s">
        <v>7090</v>
      </c>
      <c r="H1018" s="360" t="s">
        <v>33</v>
      </c>
      <c r="I1018" s="995" t="s">
        <v>34</v>
      </c>
      <c r="J1018" s="995" t="s">
        <v>34</v>
      </c>
      <c r="K1018" s="360" t="s">
        <v>34</v>
      </c>
      <c r="L1018" s="857">
        <v>6870.6164101558697</v>
      </c>
      <c r="M1018" s="857">
        <f t="shared" si="1"/>
        <v>2885.6588922654651</v>
      </c>
      <c r="N1018" s="995">
        <v>2020.07</v>
      </c>
      <c r="O1018" s="995" t="s">
        <v>7001</v>
      </c>
      <c r="P1018" s="995" t="s">
        <v>5062</v>
      </c>
      <c r="Q1018" s="996">
        <v>13546320660</v>
      </c>
      <c r="R1018" s="995" t="s">
        <v>5637</v>
      </c>
      <c r="S1018" s="360" t="s">
        <v>4670</v>
      </c>
      <c r="T1018" s="360"/>
      <c r="U1018" s="767"/>
    </row>
    <row r="1019" spans="1:21" ht="24" hidden="1" customHeight="1">
      <c r="A1019" s="360"/>
      <c r="B1019" s="995" t="s">
        <v>5638</v>
      </c>
      <c r="C1019" s="995" t="s">
        <v>5644</v>
      </c>
      <c r="D1019" s="995" t="s">
        <v>1477</v>
      </c>
      <c r="E1019" s="995">
        <v>1</v>
      </c>
      <c r="F1019" s="360" t="s">
        <v>34</v>
      </c>
      <c r="G1019" s="995" t="s">
        <v>7090</v>
      </c>
      <c r="H1019" s="360" t="s">
        <v>33</v>
      </c>
      <c r="I1019" s="995" t="s">
        <v>34</v>
      </c>
      <c r="J1019" s="995" t="s">
        <v>34</v>
      </c>
      <c r="K1019" s="360" t="s">
        <v>34</v>
      </c>
      <c r="L1019" s="857">
        <v>3405.6061170473499</v>
      </c>
      <c r="M1019" s="857">
        <f t="shared" si="1"/>
        <v>1430.354569159887</v>
      </c>
      <c r="N1019" s="995">
        <v>2020.07</v>
      </c>
      <c r="O1019" s="995" t="s">
        <v>7001</v>
      </c>
      <c r="P1019" s="995" t="s">
        <v>5062</v>
      </c>
      <c r="Q1019" s="996">
        <v>13546320660</v>
      </c>
      <c r="R1019" s="995" t="s">
        <v>5637</v>
      </c>
      <c r="S1019" s="360" t="s">
        <v>4670</v>
      </c>
      <c r="T1019" s="360"/>
      <c r="U1019" s="767"/>
    </row>
    <row r="1020" spans="1:21" ht="24" hidden="1" customHeight="1">
      <c r="A1020" s="360"/>
      <c r="B1020" s="995" t="s">
        <v>5638</v>
      </c>
      <c r="C1020" s="995" t="s">
        <v>5644</v>
      </c>
      <c r="D1020" s="995" t="s">
        <v>1477</v>
      </c>
      <c r="E1020" s="995">
        <v>1</v>
      </c>
      <c r="F1020" s="360" t="s">
        <v>34</v>
      </c>
      <c r="G1020" s="995" t="s">
        <v>7090</v>
      </c>
      <c r="H1020" s="360" t="s">
        <v>33</v>
      </c>
      <c r="I1020" s="995" t="s">
        <v>34</v>
      </c>
      <c r="J1020" s="995" t="s">
        <v>34</v>
      </c>
      <c r="K1020" s="360" t="s">
        <v>34</v>
      </c>
      <c r="L1020" s="857">
        <v>3405.6061170473499</v>
      </c>
      <c r="M1020" s="857">
        <f t="shared" si="1"/>
        <v>1430.354569159887</v>
      </c>
      <c r="N1020" s="995">
        <v>2020.07</v>
      </c>
      <c r="O1020" s="995" t="s">
        <v>7001</v>
      </c>
      <c r="P1020" s="995" t="s">
        <v>5062</v>
      </c>
      <c r="Q1020" s="996">
        <v>13546320660</v>
      </c>
      <c r="R1020" s="995" t="s">
        <v>5637</v>
      </c>
      <c r="S1020" s="360" t="s">
        <v>4670</v>
      </c>
      <c r="T1020" s="360"/>
      <c r="U1020" s="767"/>
    </row>
    <row r="1021" spans="1:21" ht="24" hidden="1" customHeight="1">
      <c r="A1021" s="360"/>
      <c r="B1021" s="995" t="s">
        <v>5643</v>
      </c>
      <c r="C1021" s="995" t="s">
        <v>5644</v>
      </c>
      <c r="D1021" s="995" t="s">
        <v>1477</v>
      </c>
      <c r="E1021" s="995">
        <v>1</v>
      </c>
      <c r="F1021" s="360" t="s">
        <v>34</v>
      </c>
      <c r="G1021" s="995" t="s">
        <v>7090</v>
      </c>
      <c r="H1021" s="360" t="s">
        <v>33</v>
      </c>
      <c r="I1021" s="995" t="s">
        <v>34</v>
      </c>
      <c r="J1021" s="995" t="s">
        <v>34</v>
      </c>
      <c r="K1021" s="360" t="s">
        <v>34</v>
      </c>
      <c r="L1021" s="857">
        <v>1564.20664640721</v>
      </c>
      <c r="M1021" s="857">
        <f t="shared" si="1"/>
        <v>656.96679149102818</v>
      </c>
      <c r="N1021" s="995">
        <v>2020.07</v>
      </c>
      <c r="O1021" s="995" t="s">
        <v>7001</v>
      </c>
      <c r="P1021" s="995" t="s">
        <v>5062</v>
      </c>
      <c r="Q1021" s="996">
        <v>13546320660</v>
      </c>
      <c r="R1021" s="995" t="s">
        <v>5637</v>
      </c>
      <c r="S1021" s="360" t="s">
        <v>4670</v>
      </c>
      <c r="T1021" s="360"/>
      <c r="U1021" s="767"/>
    </row>
    <row r="1022" spans="1:21" ht="24" hidden="1" customHeight="1">
      <c r="A1022" s="360"/>
      <c r="B1022" s="995" t="s">
        <v>5635</v>
      </c>
      <c r="C1022" s="995"/>
      <c r="D1022" s="995" t="s">
        <v>1477</v>
      </c>
      <c r="E1022" s="995">
        <v>1</v>
      </c>
      <c r="F1022" s="360" t="s">
        <v>34</v>
      </c>
      <c r="G1022" s="995" t="s">
        <v>7090</v>
      </c>
      <c r="H1022" s="360" t="s">
        <v>33</v>
      </c>
      <c r="I1022" s="995" t="s">
        <v>34</v>
      </c>
      <c r="J1022" s="995" t="s">
        <v>34</v>
      </c>
      <c r="K1022" s="360" t="s">
        <v>34</v>
      </c>
      <c r="L1022" s="857">
        <v>6870.6164101558697</v>
      </c>
      <c r="M1022" s="857">
        <f t="shared" si="1"/>
        <v>2885.6588922654651</v>
      </c>
      <c r="N1022" s="995">
        <v>2020.07</v>
      </c>
      <c r="O1022" s="995" t="s">
        <v>7001</v>
      </c>
      <c r="P1022" s="995" t="s">
        <v>5062</v>
      </c>
      <c r="Q1022" s="996">
        <v>13546320660</v>
      </c>
      <c r="R1022" s="995" t="s">
        <v>5637</v>
      </c>
      <c r="S1022" s="360" t="s">
        <v>4670</v>
      </c>
      <c r="T1022" s="360"/>
      <c r="U1022" s="767"/>
    </row>
    <row r="1023" spans="1:21" ht="24" hidden="1" customHeight="1">
      <c r="A1023" s="360"/>
      <c r="B1023" s="995" t="s">
        <v>5635</v>
      </c>
      <c r="C1023" s="995"/>
      <c r="D1023" s="995" t="s">
        <v>1477</v>
      </c>
      <c r="E1023" s="995">
        <v>1</v>
      </c>
      <c r="F1023" s="360" t="s">
        <v>34</v>
      </c>
      <c r="G1023" s="995" t="s">
        <v>7090</v>
      </c>
      <c r="H1023" s="360" t="s">
        <v>33</v>
      </c>
      <c r="I1023" s="995" t="s">
        <v>34</v>
      </c>
      <c r="J1023" s="995" t="s">
        <v>34</v>
      </c>
      <c r="K1023" s="360" t="s">
        <v>34</v>
      </c>
      <c r="L1023" s="857">
        <v>6870.6164101558697</v>
      </c>
      <c r="M1023" s="857">
        <f t="shared" si="1"/>
        <v>2885.6588922654651</v>
      </c>
      <c r="N1023" s="995">
        <v>2020.07</v>
      </c>
      <c r="O1023" s="995" t="s">
        <v>7001</v>
      </c>
      <c r="P1023" s="995" t="s">
        <v>5062</v>
      </c>
      <c r="Q1023" s="996">
        <v>13546320660</v>
      </c>
      <c r="R1023" s="995" t="s">
        <v>5637</v>
      </c>
      <c r="S1023" s="360" t="s">
        <v>4670</v>
      </c>
      <c r="T1023" s="360"/>
      <c r="U1023" s="767"/>
    </row>
    <row r="1024" spans="1:21" ht="24" hidden="1" customHeight="1">
      <c r="A1024" s="360"/>
      <c r="B1024" s="995" t="s">
        <v>5635</v>
      </c>
      <c r="C1024" s="995"/>
      <c r="D1024" s="995" t="s">
        <v>1477</v>
      </c>
      <c r="E1024" s="995">
        <v>1</v>
      </c>
      <c r="F1024" s="360" t="s">
        <v>34</v>
      </c>
      <c r="G1024" s="995" t="s">
        <v>7090</v>
      </c>
      <c r="H1024" s="360" t="s">
        <v>33</v>
      </c>
      <c r="I1024" s="995" t="s">
        <v>34</v>
      </c>
      <c r="J1024" s="995" t="s">
        <v>34</v>
      </c>
      <c r="K1024" s="360" t="s">
        <v>34</v>
      </c>
      <c r="L1024" s="857">
        <v>6870.6164101558697</v>
      </c>
      <c r="M1024" s="857">
        <f t="shared" si="1"/>
        <v>2885.6588922654651</v>
      </c>
      <c r="N1024" s="995">
        <v>2020.07</v>
      </c>
      <c r="O1024" s="995" t="s">
        <v>7001</v>
      </c>
      <c r="P1024" s="995" t="s">
        <v>5062</v>
      </c>
      <c r="Q1024" s="996">
        <v>13546320660</v>
      </c>
      <c r="R1024" s="995" t="s">
        <v>5637</v>
      </c>
      <c r="S1024" s="360" t="s">
        <v>4670</v>
      </c>
      <c r="T1024" s="360"/>
      <c r="U1024" s="767"/>
    </row>
    <row r="1025" spans="1:21" ht="24" hidden="1" customHeight="1">
      <c r="A1025" s="360"/>
      <c r="B1025" s="995" t="s">
        <v>5635</v>
      </c>
      <c r="C1025" s="995"/>
      <c r="D1025" s="995" t="s">
        <v>1477</v>
      </c>
      <c r="E1025" s="995">
        <v>1</v>
      </c>
      <c r="F1025" s="360" t="s">
        <v>34</v>
      </c>
      <c r="G1025" s="995" t="s">
        <v>7090</v>
      </c>
      <c r="H1025" s="360" t="s">
        <v>33</v>
      </c>
      <c r="I1025" s="995" t="s">
        <v>34</v>
      </c>
      <c r="J1025" s="995" t="s">
        <v>34</v>
      </c>
      <c r="K1025" s="360" t="s">
        <v>34</v>
      </c>
      <c r="L1025" s="857">
        <v>6870.6164101558697</v>
      </c>
      <c r="M1025" s="857">
        <f t="shared" si="1"/>
        <v>2885.6588922654651</v>
      </c>
      <c r="N1025" s="995">
        <v>2020.07</v>
      </c>
      <c r="O1025" s="995" t="s">
        <v>7001</v>
      </c>
      <c r="P1025" s="995" t="s">
        <v>5062</v>
      </c>
      <c r="Q1025" s="996">
        <v>13546320660</v>
      </c>
      <c r="R1025" s="995" t="s">
        <v>5637</v>
      </c>
      <c r="S1025" s="360" t="s">
        <v>4670</v>
      </c>
      <c r="T1025" s="360"/>
      <c r="U1025" s="767"/>
    </row>
    <row r="1026" spans="1:21" ht="24" hidden="1" customHeight="1">
      <c r="A1026" s="360"/>
      <c r="B1026" s="995" t="s">
        <v>1678</v>
      </c>
      <c r="C1026" s="995" t="s">
        <v>5645</v>
      </c>
      <c r="D1026" s="995" t="s">
        <v>1477</v>
      </c>
      <c r="E1026" s="995">
        <v>2</v>
      </c>
      <c r="F1026" s="360" t="s">
        <v>34</v>
      </c>
      <c r="G1026" s="995" t="s">
        <v>7090</v>
      </c>
      <c r="H1026" s="360" t="s">
        <v>33</v>
      </c>
      <c r="I1026" s="995" t="s">
        <v>34</v>
      </c>
      <c r="J1026" s="995" t="s">
        <v>34</v>
      </c>
      <c r="K1026" s="360" t="s">
        <v>34</v>
      </c>
      <c r="L1026" s="857">
        <v>6811.2122340946999</v>
      </c>
      <c r="M1026" s="857">
        <f t="shared" si="1"/>
        <v>2860.709138319774</v>
      </c>
      <c r="N1026" s="995">
        <v>2020.07</v>
      </c>
      <c r="O1026" s="995" t="s">
        <v>7001</v>
      </c>
      <c r="P1026" s="995" t="s">
        <v>5062</v>
      </c>
      <c r="Q1026" s="996">
        <v>13546320660</v>
      </c>
      <c r="R1026" s="995" t="s">
        <v>5637</v>
      </c>
      <c r="S1026" s="360" t="s">
        <v>4670</v>
      </c>
      <c r="T1026" s="360"/>
      <c r="U1026" s="767"/>
    </row>
    <row r="1027" spans="1:21" ht="24" hidden="1" customHeight="1">
      <c r="A1027" s="360"/>
      <c r="B1027" s="995" t="s">
        <v>1678</v>
      </c>
      <c r="C1027" s="995" t="s">
        <v>5646</v>
      </c>
      <c r="D1027" s="995" t="s">
        <v>1477</v>
      </c>
      <c r="E1027" s="995">
        <v>2</v>
      </c>
      <c r="F1027" s="360" t="s">
        <v>34</v>
      </c>
      <c r="G1027" s="995" t="s">
        <v>7090</v>
      </c>
      <c r="H1027" s="360" t="s">
        <v>33</v>
      </c>
      <c r="I1027" s="995" t="s">
        <v>34</v>
      </c>
      <c r="J1027" s="995" t="s">
        <v>34</v>
      </c>
      <c r="K1027" s="360" t="s">
        <v>34</v>
      </c>
      <c r="L1027" s="857">
        <v>6811.2122340946999</v>
      </c>
      <c r="M1027" s="857">
        <f t="shared" si="1"/>
        <v>2860.709138319774</v>
      </c>
      <c r="N1027" s="995">
        <v>2020.07</v>
      </c>
      <c r="O1027" s="995" t="s">
        <v>7001</v>
      </c>
      <c r="P1027" s="995" t="s">
        <v>5062</v>
      </c>
      <c r="Q1027" s="996">
        <v>13546320660</v>
      </c>
      <c r="R1027" s="995" t="s">
        <v>5637</v>
      </c>
      <c r="S1027" s="360" t="s">
        <v>4670</v>
      </c>
      <c r="T1027" s="360"/>
      <c r="U1027" s="767"/>
    </row>
    <row r="1028" spans="1:21" ht="24" hidden="1" customHeight="1">
      <c r="A1028" s="360"/>
      <c r="B1028" s="995" t="s">
        <v>1678</v>
      </c>
      <c r="C1028" s="995" t="s">
        <v>5647</v>
      </c>
      <c r="D1028" s="995" t="s">
        <v>1477</v>
      </c>
      <c r="E1028" s="995">
        <v>5</v>
      </c>
      <c r="F1028" s="360" t="s">
        <v>34</v>
      </c>
      <c r="G1028" s="995" t="s">
        <v>7090</v>
      </c>
      <c r="H1028" s="360" t="s">
        <v>33</v>
      </c>
      <c r="I1028" s="995" t="s">
        <v>34</v>
      </c>
      <c r="J1028" s="995" t="s">
        <v>34</v>
      </c>
      <c r="K1028" s="360" t="s">
        <v>34</v>
      </c>
      <c r="L1028" s="857">
        <v>17028.030585236698</v>
      </c>
      <c r="M1028" s="857">
        <f t="shared" si="1"/>
        <v>7151.7728457994126</v>
      </c>
      <c r="N1028" s="995">
        <v>2020.07</v>
      </c>
      <c r="O1028" s="995" t="s">
        <v>7001</v>
      </c>
      <c r="P1028" s="995" t="s">
        <v>5062</v>
      </c>
      <c r="Q1028" s="996">
        <v>13546320660</v>
      </c>
      <c r="R1028" s="995" t="s">
        <v>5637</v>
      </c>
      <c r="S1028" s="360" t="s">
        <v>4670</v>
      </c>
      <c r="T1028" s="360"/>
      <c r="U1028" s="767"/>
    </row>
    <row r="1029" spans="1:21" ht="24" hidden="1" customHeight="1">
      <c r="A1029" s="360"/>
      <c r="B1029" s="995" t="s">
        <v>1678</v>
      </c>
      <c r="C1029" s="995" t="s">
        <v>5648</v>
      </c>
      <c r="D1029" s="995" t="s">
        <v>1477</v>
      </c>
      <c r="E1029" s="995">
        <v>1</v>
      </c>
      <c r="F1029" s="360" t="s">
        <v>34</v>
      </c>
      <c r="G1029" s="995" t="s">
        <v>7090</v>
      </c>
      <c r="H1029" s="360" t="s">
        <v>33</v>
      </c>
      <c r="I1029" s="995" t="s">
        <v>34</v>
      </c>
      <c r="J1029" s="995" t="s">
        <v>34</v>
      </c>
      <c r="K1029" s="360" t="s">
        <v>34</v>
      </c>
      <c r="L1029" s="857">
        <v>1722.6011175374999</v>
      </c>
      <c r="M1029" s="857">
        <f t="shared" si="1"/>
        <v>723.49246936574991</v>
      </c>
      <c r="N1029" s="995">
        <v>2020.07</v>
      </c>
      <c r="O1029" s="995" t="s">
        <v>7001</v>
      </c>
      <c r="P1029" s="995" t="s">
        <v>5062</v>
      </c>
      <c r="Q1029" s="996">
        <v>13546320660</v>
      </c>
      <c r="R1029" s="995" t="s">
        <v>5637</v>
      </c>
      <c r="S1029" s="360" t="s">
        <v>4670</v>
      </c>
      <c r="T1029" s="769"/>
      <c r="U1029" s="767"/>
    </row>
    <row r="1030" spans="1:21" ht="24" hidden="1" customHeight="1">
      <c r="A1030" s="360"/>
      <c r="B1030" s="995" t="s">
        <v>5649</v>
      </c>
      <c r="C1030" s="995"/>
      <c r="D1030" s="995" t="s">
        <v>1477</v>
      </c>
      <c r="E1030" s="995">
        <v>1</v>
      </c>
      <c r="F1030" s="360" t="s">
        <v>34</v>
      </c>
      <c r="G1030" s="995" t="s">
        <v>7090</v>
      </c>
      <c r="H1030" s="360" t="s">
        <v>33</v>
      </c>
      <c r="I1030" s="995" t="s">
        <v>34</v>
      </c>
      <c r="J1030" s="995" t="s">
        <v>34</v>
      </c>
      <c r="K1030" s="360" t="s">
        <v>34</v>
      </c>
      <c r="L1030" s="857">
        <v>17780.4368199196</v>
      </c>
      <c r="M1030" s="857">
        <f t="shared" si="1"/>
        <v>7467.7834643662318</v>
      </c>
      <c r="N1030" s="995">
        <v>2020.09</v>
      </c>
      <c r="O1030" s="995" t="s">
        <v>7001</v>
      </c>
      <c r="P1030" s="995" t="s">
        <v>5062</v>
      </c>
      <c r="Q1030" s="996">
        <v>13546320660</v>
      </c>
      <c r="R1030" s="995" t="s">
        <v>5637</v>
      </c>
      <c r="S1030" s="360" t="s">
        <v>4670</v>
      </c>
      <c r="T1030" s="769"/>
      <c r="U1030" s="767"/>
    </row>
    <row r="1031" spans="1:21" ht="24" hidden="1" customHeight="1">
      <c r="A1031" s="360"/>
      <c r="B1031" s="360" t="s">
        <v>5560</v>
      </c>
      <c r="C1031" s="360" t="s">
        <v>5650</v>
      </c>
      <c r="D1031" s="360" t="s">
        <v>1477</v>
      </c>
      <c r="E1031" s="360">
        <v>1</v>
      </c>
      <c r="F1031" s="360" t="s">
        <v>34</v>
      </c>
      <c r="G1031" s="360" t="s">
        <v>32</v>
      </c>
      <c r="H1031" s="360" t="s">
        <v>33</v>
      </c>
      <c r="I1031" s="360" t="s">
        <v>34</v>
      </c>
      <c r="J1031" s="360" t="s">
        <v>34</v>
      </c>
      <c r="K1031" s="360" t="s">
        <v>5651</v>
      </c>
      <c r="L1031" s="857">
        <v>8581.42</v>
      </c>
      <c r="M1031" s="857">
        <v>6436.06</v>
      </c>
      <c r="N1031" s="360">
        <v>2021.05</v>
      </c>
      <c r="O1031" s="360" t="s">
        <v>5060</v>
      </c>
      <c r="P1031" s="360" t="s">
        <v>6999</v>
      </c>
      <c r="Q1031" s="360">
        <v>13933878035</v>
      </c>
      <c r="R1031" s="360" t="s">
        <v>5652</v>
      </c>
      <c r="S1031" s="360" t="s">
        <v>4670</v>
      </c>
      <c r="T1031" s="769"/>
      <c r="U1031" s="798"/>
    </row>
    <row r="1032" spans="1:21" ht="24" hidden="1" customHeight="1">
      <c r="A1032" s="360"/>
      <c r="B1032" s="360" t="s">
        <v>5560</v>
      </c>
      <c r="C1032" s="360" t="s">
        <v>5653</v>
      </c>
      <c r="D1032" s="360" t="s">
        <v>1477</v>
      </c>
      <c r="E1032" s="360">
        <v>1</v>
      </c>
      <c r="F1032" s="360" t="s">
        <v>34</v>
      </c>
      <c r="G1032" s="360" t="s">
        <v>32</v>
      </c>
      <c r="H1032" s="360" t="s">
        <v>33</v>
      </c>
      <c r="I1032" s="360" t="s">
        <v>34</v>
      </c>
      <c r="J1032" s="360" t="s">
        <v>34</v>
      </c>
      <c r="K1032" s="360" t="s">
        <v>5651</v>
      </c>
      <c r="L1032" s="857">
        <v>7894.69</v>
      </c>
      <c r="M1032" s="857">
        <v>5921.04</v>
      </c>
      <c r="N1032" s="360">
        <v>2021.05</v>
      </c>
      <c r="O1032" s="360" t="s">
        <v>5060</v>
      </c>
      <c r="P1032" s="360" t="s">
        <v>6999</v>
      </c>
      <c r="Q1032" s="360">
        <v>13933878035</v>
      </c>
      <c r="R1032" s="360" t="s">
        <v>5652</v>
      </c>
      <c r="S1032" s="360" t="s">
        <v>4670</v>
      </c>
      <c r="T1032" s="769"/>
      <c r="U1032" s="798"/>
    </row>
    <row r="1033" spans="1:21" ht="24" hidden="1" customHeight="1">
      <c r="A1033" s="360"/>
      <c r="B1033" s="360" t="s">
        <v>5273</v>
      </c>
      <c r="C1033" s="360" t="s">
        <v>5654</v>
      </c>
      <c r="D1033" s="360" t="s">
        <v>1477</v>
      </c>
      <c r="E1033" s="360">
        <v>4</v>
      </c>
      <c r="F1033" s="360" t="s">
        <v>34</v>
      </c>
      <c r="G1033" s="360" t="s">
        <v>32</v>
      </c>
      <c r="H1033" s="360" t="s">
        <v>33</v>
      </c>
      <c r="I1033" s="360" t="s">
        <v>34</v>
      </c>
      <c r="J1033" s="360" t="s">
        <v>34</v>
      </c>
      <c r="K1033" s="360" t="s">
        <v>5651</v>
      </c>
      <c r="L1033" s="857">
        <v>15985.84</v>
      </c>
      <c r="M1033" s="857">
        <v>11989.4</v>
      </c>
      <c r="N1033" s="360">
        <v>2021.05</v>
      </c>
      <c r="O1033" s="360" t="s">
        <v>5060</v>
      </c>
      <c r="P1033" s="360" t="s">
        <v>6999</v>
      </c>
      <c r="Q1033" s="360">
        <v>13933878035</v>
      </c>
      <c r="R1033" s="360" t="s">
        <v>5652</v>
      </c>
      <c r="S1033" s="360" t="s">
        <v>4670</v>
      </c>
      <c r="T1033" s="769"/>
      <c r="U1033" s="798"/>
    </row>
    <row r="1034" spans="1:21" ht="24" hidden="1" customHeight="1">
      <c r="A1034" s="360"/>
      <c r="B1034" s="360" t="s">
        <v>5655</v>
      </c>
      <c r="C1034" s="360" t="s">
        <v>3898</v>
      </c>
      <c r="D1034" s="360" t="s">
        <v>161</v>
      </c>
      <c r="E1034" s="360">
        <v>200</v>
      </c>
      <c r="F1034" s="360" t="s">
        <v>34</v>
      </c>
      <c r="G1034" s="360" t="s">
        <v>32</v>
      </c>
      <c r="H1034" s="360" t="s">
        <v>33</v>
      </c>
      <c r="I1034" s="360" t="s">
        <v>34</v>
      </c>
      <c r="J1034" s="360" t="s">
        <v>34</v>
      </c>
      <c r="K1034" s="360" t="s">
        <v>5656</v>
      </c>
      <c r="L1034" s="857">
        <v>5504.42</v>
      </c>
      <c r="M1034" s="857">
        <v>4128.29</v>
      </c>
      <c r="N1034" s="360">
        <v>2021.05</v>
      </c>
      <c r="O1034" s="360" t="s">
        <v>5060</v>
      </c>
      <c r="P1034" s="360" t="s">
        <v>6999</v>
      </c>
      <c r="Q1034" s="360">
        <v>13933878035</v>
      </c>
      <c r="R1034" s="360" t="s">
        <v>5652</v>
      </c>
      <c r="S1034" s="360" t="s">
        <v>4670</v>
      </c>
      <c r="T1034" s="769"/>
      <c r="U1034" s="798"/>
    </row>
    <row r="1035" spans="1:21" ht="24" hidden="1" customHeight="1">
      <c r="A1035" s="360"/>
      <c r="B1035" s="360" t="s">
        <v>5657</v>
      </c>
      <c r="C1035" s="360" t="s">
        <v>1222</v>
      </c>
      <c r="D1035" s="360" t="s">
        <v>79</v>
      </c>
      <c r="E1035" s="360">
        <v>1</v>
      </c>
      <c r="F1035" s="360" t="s">
        <v>34</v>
      </c>
      <c r="G1035" s="360" t="s">
        <v>32</v>
      </c>
      <c r="H1035" s="360" t="s">
        <v>33</v>
      </c>
      <c r="I1035" s="360" t="s">
        <v>34</v>
      </c>
      <c r="J1035" s="360" t="s">
        <v>34</v>
      </c>
      <c r="K1035" s="360" t="s">
        <v>34</v>
      </c>
      <c r="L1035" s="857">
        <v>13746.25</v>
      </c>
      <c r="M1035" s="857">
        <v>10574.05</v>
      </c>
      <c r="N1035" s="360">
        <v>2021.03</v>
      </c>
      <c r="O1035" s="360" t="s">
        <v>5060</v>
      </c>
      <c r="P1035" s="360" t="s">
        <v>6999</v>
      </c>
      <c r="Q1035" s="360">
        <v>13933878035</v>
      </c>
      <c r="R1035" s="360" t="s">
        <v>5652</v>
      </c>
      <c r="S1035" s="360" t="s">
        <v>4670</v>
      </c>
      <c r="T1035" s="769"/>
      <c r="U1035" s="798"/>
    </row>
    <row r="1036" spans="1:21" ht="24" hidden="1" customHeight="1">
      <c r="A1036" s="360"/>
      <c r="B1036" s="360" t="s">
        <v>1486</v>
      </c>
      <c r="C1036" s="360" t="s">
        <v>1633</v>
      </c>
      <c r="D1036" s="360" t="s">
        <v>1477</v>
      </c>
      <c r="E1036" s="360">
        <v>3</v>
      </c>
      <c r="F1036" s="360" t="s">
        <v>34</v>
      </c>
      <c r="G1036" s="360" t="s">
        <v>32</v>
      </c>
      <c r="H1036" s="360" t="s">
        <v>33</v>
      </c>
      <c r="I1036" s="360" t="s">
        <v>34</v>
      </c>
      <c r="J1036" s="360" t="s">
        <v>34</v>
      </c>
      <c r="K1036" s="360" t="s">
        <v>34</v>
      </c>
      <c r="L1036" s="857">
        <v>18000</v>
      </c>
      <c r="M1036" s="857">
        <v>13846.14</v>
      </c>
      <c r="N1036" s="360">
        <v>2021.06</v>
      </c>
      <c r="O1036" s="360" t="s">
        <v>5060</v>
      </c>
      <c r="P1036" s="360" t="s">
        <v>6999</v>
      </c>
      <c r="Q1036" s="360">
        <v>13933878035</v>
      </c>
      <c r="R1036" s="360" t="s">
        <v>5652</v>
      </c>
      <c r="S1036" s="360" t="s">
        <v>4670</v>
      </c>
      <c r="T1036" s="769"/>
      <c r="U1036" s="798"/>
    </row>
    <row r="1037" spans="1:21" ht="24" hidden="1" customHeight="1">
      <c r="A1037" s="360"/>
      <c r="B1037" s="360" t="s">
        <v>1486</v>
      </c>
      <c r="C1037" s="360" t="s">
        <v>1634</v>
      </c>
      <c r="D1037" s="360" t="s">
        <v>1477</v>
      </c>
      <c r="E1037" s="360">
        <v>11</v>
      </c>
      <c r="F1037" s="360" t="s">
        <v>34</v>
      </c>
      <c r="G1037" s="360" t="s">
        <v>32</v>
      </c>
      <c r="H1037" s="360" t="s">
        <v>33</v>
      </c>
      <c r="I1037" s="360" t="s">
        <v>34</v>
      </c>
      <c r="J1037" s="360" t="s">
        <v>34</v>
      </c>
      <c r="K1037" s="360" t="s">
        <v>34</v>
      </c>
      <c r="L1037" s="857">
        <v>36417.480000000003</v>
      </c>
      <c r="M1037" s="857">
        <v>28013.46</v>
      </c>
      <c r="N1037" s="360">
        <v>2021.06</v>
      </c>
      <c r="O1037" s="360" t="s">
        <v>5060</v>
      </c>
      <c r="P1037" s="360" t="s">
        <v>6999</v>
      </c>
      <c r="Q1037" s="360">
        <v>13933878035</v>
      </c>
      <c r="R1037" s="360" t="s">
        <v>5652</v>
      </c>
      <c r="S1037" s="360" t="s">
        <v>4670</v>
      </c>
      <c r="T1037" s="769"/>
      <c r="U1037" s="798"/>
    </row>
    <row r="1038" spans="1:21" ht="24" hidden="1" customHeight="1">
      <c r="A1038" s="360"/>
      <c r="B1038" s="360" t="s">
        <v>1486</v>
      </c>
      <c r="C1038" s="360" t="s">
        <v>5499</v>
      </c>
      <c r="D1038" s="360" t="s">
        <v>1477</v>
      </c>
      <c r="E1038" s="360">
        <v>19</v>
      </c>
      <c r="F1038" s="360" t="s">
        <v>34</v>
      </c>
      <c r="G1038" s="360" t="s">
        <v>32</v>
      </c>
      <c r="H1038" s="360" t="s">
        <v>33</v>
      </c>
      <c r="I1038" s="360" t="s">
        <v>34</v>
      </c>
      <c r="J1038" s="360" t="s">
        <v>34</v>
      </c>
      <c r="K1038" s="360" t="s">
        <v>34</v>
      </c>
      <c r="L1038" s="857">
        <v>17155.29</v>
      </c>
      <c r="M1038" s="857">
        <v>13719.75</v>
      </c>
      <c r="N1038" s="360">
        <v>2021.06</v>
      </c>
      <c r="O1038" s="360" t="s">
        <v>5060</v>
      </c>
      <c r="P1038" s="360" t="s">
        <v>6999</v>
      </c>
      <c r="Q1038" s="360">
        <v>13933878035</v>
      </c>
      <c r="R1038" s="360" t="s">
        <v>5652</v>
      </c>
      <c r="S1038" s="360" t="s">
        <v>4670</v>
      </c>
      <c r="T1038" s="769"/>
      <c r="U1038" s="798"/>
    </row>
    <row r="1039" spans="1:21" ht="24" hidden="1" customHeight="1">
      <c r="A1039" s="360"/>
      <c r="B1039" s="360" t="s">
        <v>4600</v>
      </c>
      <c r="C1039" s="360" t="s">
        <v>5658</v>
      </c>
      <c r="D1039" s="360" t="s">
        <v>2724</v>
      </c>
      <c r="E1039" s="360">
        <v>300</v>
      </c>
      <c r="F1039" s="360" t="s">
        <v>34</v>
      </c>
      <c r="G1039" s="360" t="s">
        <v>32</v>
      </c>
      <c r="H1039" s="360" t="s">
        <v>33</v>
      </c>
      <c r="I1039" s="360" t="s">
        <v>6888</v>
      </c>
      <c r="J1039" s="360" t="s">
        <v>34</v>
      </c>
      <c r="K1039" s="360" t="s">
        <v>34</v>
      </c>
      <c r="L1039" s="857">
        <v>3000</v>
      </c>
      <c r="M1039" s="857">
        <v>2307.7199999999998</v>
      </c>
      <c r="N1039" s="360">
        <v>2021.06</v>
      </c>
      <c r="O1039" s="360" t="s">
        <v>5060</v>
      </c>
      <c r="P1039" s="360" t="s">
        <v>6999</v>
      </c>
      <c r="Q1039" s="360">
        <v>13933878035</v>
      </c>
      <c r="R1039" s="360" t="s">
        <v>5652</v>
      </c>
      <c r="S1039" s="360" t="s">
        <v>4670</v>
      </c>
      <c r="T1039" s="769"/>
      <c r="U1039" s="798"/>
    </row>
    <row r="1040" spans="1:21" ht="24" hidden="1" customHeight="1">
      <c r="A1040" s="360"/>
      <c r="B1040" s="792" t="s">
        <v>1678</v>
      </c>
      <c r="C1040" s="792"/>
      <c r="D1040" s="896" t="s">
        <v>1477</v>
      </c>
      <c r="E1040" s="360">
        <v>1</v>
      </c>
      <c r="F1040" s="360"/>
      <c r="G1040" s="360" t="s">
        <v>32</v>
      </c>
      <c r="H1040" s="817" t="s">
        <v>33</v>
      </c>
      <c r="I1040" s="360" t="s">
        <v>6888</v>
      </c>
      <c r="J1040" s="360" t="s">
        <v>6888</v>
      </c>
      <c r="K1040" s="360" t="s">
        <v>6888</v>
      </c>
      <c r="L1040" s="857">
        <v>2004.86</v>
      </c>
      <c r="M1040" s="654">
        <v>1619.31</v>
      </c>
      <c r="N1040" s="897">
        <v>2021.07</v>
      </c>
      <c r="O1040" s="360" t="s">
        <v>7005</v>
      </c>
      <c r="P1040" s="817" t="s">
        <v>7006</v>
      </c>
      <c r="Q1040" s="360">
        <v>18033772730</v>
      </c>
      <c r="R1040" s="789" t="s">
        <v>5068</v>
      </c>
      <c r="S1040" s="360" t="s">
        <v>4670</v>
      </c>
      <c r="T1040" s="769"/>
      <c r="U1040" s="767"/>
    </row>
    <row r="1041" spans="1:22" ht="24" hidden="1" customHeight="1">
      <c r="A1041" s="360"/>
      <c r="B1041" s="792" t="s">
        <v>1678</v>
      </c>
      <c r="C1041" s="792"/>
      <c r="D1041" s="896" t="s">
        <v>1477</v>
      </c>
      <c r="E1041" s="360">
        <v>5</v>
      </c>
      <c r="F1041" s="360"/>
      <c r="G1041" s="360" t="s">
        <v>32</v>
      </c>
      <c r="H1041" s="817" t="s">
        <v>33</v>
      </c>
      <c r="I1041" s="360" t="s">
        <v>6888</v>
      </c>
      <c r="J1041" s="360" t="s">
        <v>6888</v>
      </c>
      <c r="K1041" s="360" t="s">
        <v>6888</v>
      </c>
      <c r="L1041" s="857">
        <v>8349.5</v>
      </c>
      <c r="M1041" s="654">
        <v>6743.85</v>
      </c>
      <c r="N1041" s="897">
        <v>2021.07</v>
      </c>
      <c r="O1041" s="360" t="s">
        <v>7005</v>
      </c>
      <c r="P1041" s="817" t="s">
        <v>7006</v>
      </c>
      <c r="Q1041" s="360">
        <v>18033772730</v>
      </c>
      <c r="R1041" s="789" t="s">
        <v>5068</v>
      </c>
      <c r="S1041" s="360" t="s">
        <v>4670</v>
      </c>
      <c r="T1041" s="769"/>
      <c r="U1041" s="767"/>
    </row>
    <row r="1042" spans="1:22" ht="24" hidden="1" customHeight="1">
      <c r="A1042" s="360"/>
      <c r="B1042" s="360" t="s">
        <v>5259</v>
      </c>
      <c r="C1042" s="360" t="s">
        <v>5659</v>
      </c>
      <c r="D1042" s="360" t="s">
        <v>79</v>
      </c>
      <c r="E1042" s="360">
        <v>18</v>
      </c>
      <c r="F1042" s="810" t="s">
        <v>34</v>
      </c>
      <c r="G1042" s="360" t="s">
        <v>32</v>
      </c>
      <c r="H1042" s="360" t="s">
        <v>6904</v>
      </c>
      <c r="I1042" s="360" t="s">
        <v>179</v>
      </c>
      <c r="J1042" s="360" t="s">
        <v>179</v>
      </c>
      <c r="K1042" s="360" t="s">
        <v>5660</v>
      </c>
      <c r="L1042" s="810">
        <v>0</v>
      </c>
      <c r="M1042" s="810">
        <v>0</v>
      </c>
      <c r="N1042" s="360" t="s">
        <v>5661</v>
      </c>
      <c r="O1042" s="360" t="s">
        <v>5662</v>
      </c>
      <c r="P1042" s="817" t="s">
        <v>7006</v>
      </c>
      <c r="Q1042" s="360">
        <v>18033772730</v>
      </c>
      <c r="R1042" s="360" t="s">
        <v>5663</v>
      </c>
      <c r="S1042" s="360" t="s">
        <v>6892</v>
      </c>
      <c r="T1042" s="769" t="s">
        <v>6901</v>
      </c>
      <c r="U1042" s="774"/>
      <c r="V1042" s="1589"/>
    </row>
    <row r="1043" spans="1:22" ht="24" hidden="1" customHeight="1">
      <c r="A1043" s="360"/>
      <c r="B1043" s="360" t="s">
        <v>5664</v>
      </c>
      <c r="C1043" s="360" t="s">
        <v>5665</v>
      </c>
      <c r="D1043" s="360" t="s">
        <v>4456</v>
      </c>
      <c r="E1043" s="360">
        <v>1</v>
      </c>
      <c r="F1043" s="360" t="s">
        <v>34</v>
      </c>
      <c r="G1043" s="360" t="s">
        <v>32</v>
      </c>
      <c r="H1043" s="360" t="s">
        <v>33</v>
      </c>
      <c r="I1043" s="360" t="s">
        <v>34</v>
      </c>
      <c r="J1043" s="360" t="s">
        <v>34</v>
      </c>
      <c r="K1043" s="360" t="s">
        <v>5666</v>
      </c>
      <c r="L1043" s="810">
        <v>14539.8230088496</v>
      </c>
      <c r="M1043" s="810">
        <v>0</v>
      </c>
      <c r="N1043" s="810">
        <v>2021.1</v>
      </c>
      <c r="O1043" s="360" t="s">
        <v>4780</v>
      </c>
      <c r="P1043" s="360" t="s">
        <v>6889</v>
      </c>
      <c r="Q1043" s="360">
        <v>15635397648</v>
      </c>
      <c r="R1043" s="360" t="s">
        <v>4781</v>
      </c>
      <c r="S1043" s="360" t="s">
        <v>4670</v>
      </c>
      <c r="T1043" s="769"/>
      <c r="U1043" s="767"/>
    </row>
    <row r="1044" spans="1:22" ht="24" hidden="1" customHeight="1">
      <c r="A1044" s="360"/>
      <c r="B1044" s="360" t="s">
        <v>5350</v>
      </c>
      <c r="C1044" s="360" t="s">
        <v>5665</v>
      </c>
      <c r="D1044" s="360" t="s">
        <v>4456</v>
      </c>
      <c r="E1044" s="360">
        <v>1</v>
      </c>
      <c r="F1044" s="360" t="s">
        <v>34</v>
      </c>
      <c r="G1044" s="360" t="s">
        <v>32</v>
      </c>
      <c r="H1044" s="360" t="s">
        <v>33</v>
      </c>
      <c r="I1044" s="360" t="s">
        <v>34</v>
      </c>
      <c r="J1044" s="360" t="s">
        <v>34</v>
      </c>
      <c r="K1044" s="360" t="s">
        <v>5666</v>
      </c>
      <c r="L1044" s="810">
        <v>14159.292035398201</v>
      </c>
      <c r="M1044" s="810">
        <v>0</v>
      </c>
      <c r="N1044" s="810">
        <v>2021.1</v>
      </c>
      <c r="O1044" s="360" t="s">
        <v>4780</v>
      </c>
      <c r="P1044" s="360" t="s">
        <v>6889</v>
      </c>
      <c r="Q1044" s="360">
        <v>15635397648</v>
      </c>
      <c r="R1044" s="360" t="s">
        <v>4781</v>
      </c>
      <c r="S1044" s="360" t="s">
        <v>4670</v>
      </c>
      <c r="T1044" s="769"/>
      <c r="U1044" s="767"/>
    </row>
    <row r="1045" spans="1:22" ht="24" hidden="1" customHeight="1">
      <c r="A1045" s="360"/>
      <c r="B1045" s="360" t="s">
        <v>5347</v>
      </c>
      <c r="C1045" s="360" t="s">
        <v>5665</v>
      </c>
      <c r="D1045" s="360" t="s">
        <v>4456</v>
      </c>
      <c r="E1045" s="360">
        <v>1</v>
      </c>
      <c r="F1045" s="360" t="s">
        <v>34</v>
      </c>
      <c r="G1045" s="360" t="s">
        <v>32</v>
      </c>
      <c r="H1045" s="360" t="s">
        <v>33</v>
      </c>
      <c r="I1045" s="360" t="s">
        <v>34</v>
      </c>
      <c r="J1045" s="360" t="s">
        <v>34</v>
      </c>
      <c r="K1045" s="360" t="s">
        <v>5666</v>
      </c>
      <c r="L1045" s="810">
        <v>14159.292035398201</v>
      </c>
      <c r="M1045" s="810">
        <v>0</v>
      </c>
      <c r="N1045" s="810">
        <v>2021.1</v>
      </c>
      <c r="O1045" s="360" t="s">
        <v>4780</v>
      </c>
      <c r="P1045" s="360" t="s">
        <v>6889</v>
      </c>
      <c r="Q1045" s="360">
        <v>15635397648</v>
      </c>
      <c r="R1045" s="360" t="s">
        <v>4781</v>
      </c>
      <c r="S1045" s="360" t="s">
        <v>4670</v>
      </c>
      <c r="T1045" s="769"/>
      <c r="U1045" s="767"/>
    </row>
    <row r="1046" spans="1:22" ht="24" hidden="1" customHeight="1">
      <c r="A1046" s="360"/>
      <c r="B1046" s="360" t="s">
        <v>5667</v>
      </c>
      <c r="C1046" s="360" t="s">
        <v>5665</v>
      </c>
      <c r="D1046" s="360" t="s">
        <v>4456</v>
      </c>
      <c r="E1046" s="360">
        <v>1</v>
      </c>
      <c r="F1046" s="360" t="s">
        <v>34</v>
      </c>
      <c r="G1046" s="360" t="s">
        <v>32</v>
      </c>
      <c r="H1046" s="360" t="s">
        <v>33</v>
      </c>
      <c r="I1046" s="360" t="s">
        <v>34</v>
      </c>
      <c r="J1046" s="360" t="s">
        <v>34</v>
      </c>
      <c r="K1046" s="360" t="s">
        <v>5666</v>
      </c>
      <c r="L1046" s="810">
        <v>15575.2112389381</v>
      </c>
      <c r="M1046" s="810">
        <v>0</v>
      </c>
      <c r="N1046" s="810">
        <v>2021.1</v>
      </c>
      <c r="O1046" s="360" t="s">
        <v>4780</v>
      </c>
      <c r="P1046" s="360" t="s">
        <v>6889</v>
      </c>
      <c r="Q1046" s="360">
        <v>15635397648</v>
      </c>
      <c r="R1046" s="360" t="s">
        <v>4781</v>
      </c>
      <c r="S1046" s="360" t="s">
        <v>4670</v>
      </c>
      <c r="T1046" s="769"/>
      <c r="U1046" s="767"/>
    </row>
    <row r="1047" spans="1:22" ht="24" hidden="1" customHeight="1">
      <c r="A1047" s="360"/>
      <c r="B1047" s="360" t="s">
        <v>5668</v>
      </c>
      <c r="C1047" s="360" t="s">
        <v>5665</v>
      </c>
      <c r="D1047" s="360" t="s">
        <v>4456</v>
      </c>
      <c r="E1047" s="360">
        <v>1</v>
      </c>
      <c r="F1047" s="360" t="s">
        <v>34</v>
      </c>
      <c r="G1047" s="360" t="s">
        <v>32</v>
      </c>
      <c r="H1047" s="360" t="s">
        <v>33</v>
      </c>
      <c r="I1047" s="360" t="s">
        <v>34</v>
      </c>
      <c r="J1047" s="360" t="s">
        <v>34</v>
      </c>
      <c r="K1047" s="360" t="s">
        <v>5666</v>
      </c>
      <c r="L1047" s="360">
        <v>14159.292035398201</v>
      </c>
      <c r="M1047" s="810">
        <v>0</v>
      </c>
      <c r="N1047" s="810">
        <v>2021.1</v>
      </c>
      <c r="O1047" s="360" t="s">
        <v>4780</v>
      </c>
      <c r="P1047" s="360" t="s">
        <v>6889</v>
      </c>
      <c r="Q1047" s="360">
        <v>15635397648</v>
      </c>
      <c r="R1047" s="360" t="s">
        <v>4781</v>
      </c>
      <c r="S1047" s="360" t="s">
        <v>4670</v>
      </c>
      <c r="T1047" s="769"/>
      <c r="U1047" s="767"/>
    </row>
    <row r="1048" spans="1:22" ht="24" hidden="1" customHeight="1">
      <c r="A1048" s="360"/>
      <c r="B1048" s="360" t="s">
        <v>5669</v>
      </c>
      <c r="C1048" s="360" t="s">
        <v>5665</v>
      </c>
      <c r="D1048" s="360" t="s">
        <v>4456</v>
      </c>
      <c r="E1048" s="360">
        <v>1</v>
      </c>
      <c r="F1048" s="360" t="s">
        <v>34</v>
      </c>
      <c r="G1048" s="360" t="s">
        <v>32</v>
      </c>
      <c r="H1048" s="360" t="s">
        <v>33</v>
      </c>
      <c r="I1048" s="360" t="s">
        <v>34</v>
      </c>
      <c r="J1048" s="360" t="s">
        <v>34</v>
      </c>
      <c r="K1048" s="360" t="s">
        <v>5666</v>
      </c>
      <c r="L1048" s="360">
        <v>14159.292035398201</v>
      </c>
      <c r="M1048" s="810">
        <v>0</v>
      </c>
      <c r="N1048" s="810">
        <v>2021.1</v>
      </c>
      <c r="O1048" s="360" t="s">
        <v>4780</v>
      </c>
      <c r="P1048" s="360" t="s">
        <v>6889</v>
      </c>
      <c r="Q1048" s="360">
        <v>15635397648</v>
      </c>
      <c r="R1048" s="360" t="s">
        <v>4781</v>
      </c>
      <c r="S1048" s="360" t="s">
        <v>4670</v>
      </c>
      <c r="T1048" s="769"/>
      <c r="U1048" s="767"/>
    </row>
    <row r="1049" spans="1:22" ht="24" hidden="1" customHeight="1">
      <c r="A1049" s="360"/>
      <c r="B1049" s="360" t="s">
        <v>5670</v>
      </c>
      <c r="C1049" s="360" t="s">
        <v>5671</v>
      </c>
      <c r="D1049" s="360" t="s">
        <v>131</v>
      </c>
      <c r="E1049" s="360">
        <v>26</v>
      </c>
      <c r="F1049" s="360" t="s">
        <v>34</v>
      </c>
      <c r="G1049" s="360" t="s">
        <v>32</v>
      </c>
      <c r="H1049" s="360" t="s">
        <v>33</v>
      </c>
      <c r="I1049" s="360" t="s">
        <v>34</v>
      </c>
      <c r="J1049" s="360" t="s">
        <v>34</v>
      </c>
      <c r="K1049" s="360" t="s">
        <v>4779</v>
      </c>
      <c r="L1049" s="360">
        <v>80530.973451327402</v>
      </c>
      <c r="M1049" s="360">
        <v>66827.375819799796</v>
      </c>
      <c r="N1049" s="360">
        <v>2021.12</v>
      </c>
      <c r="O1049" s="360" t="s">
        <v>4780</v>
      </c>
      <c r="P1049" s="360" t="s">
        <v>6889</v>
      </c>
      <c r="Q1049" s="360">
        <v>15635397648</v>
      </c>
      <c r="R1049" s="360" t="s">
        <v>4781</v>
      </c>
      <c r="S1049" s="360" t="s">
        <v>4670</v>
      </c>
      <c r="T1049" s="769"/>
      <c r="U1049" s="767"/>
    </row>
    <row r="1050" spans="1:22" ht="24" hidden="1" customHeight="1">
      <c r="A1050" s="360"/>
      <c r="B1050" s="360" t="s">
        <v>5670</v>
      </c>
      <c r="C1050" s="360" t="s">
        <v>5672</v>
      </c>
      <c r="D1050" s="360" t="s">
        <v>131</v>
      </c>
      <c r="E1050" s="360">
        <v>14</v>
      </c>
      <c r="F1050" s="360" t="s">
        <v>34</v>
      </c>
      <c r="G1050" s="360" t="s">
        <v>32</v>
      </c>
      <c r="H1050" s="360" t="s">
        <v>33</v>
      </c>
      <c r="I1050" s="360" t="s">
        <v>34</v>
      </c>
      <c r="J1050" s="360" t="s">
        <v>34</v>
      </c>
      <c r="K1050" s="360" t="s">
        <v>4779</v>
      </c>
      <c r="L1050" s="360">
        <v>43362.831858407102</v>
      </c>
      <c r="M1050" s="360">
        <v>35983.971595276802</v>
      </c>
      <c r="N1050" s="360">
        <v>2021.12</v>
      </c>
      <c r="O1050" s="360" t="s">
        <v>4780</v>
      </c>
      <c r="P1050" s="360" t="s">
        <v>6889</v>
      </c>
      <c r="Q1050" s="360">
        <v>15635397648</v>
      </c>
      <c r="R1050" s="360" t="s">
        <v>4781</v>
      </c>
      <c r="S1050" s="360" t="s">
        <v>4670</v>
      </c>
      <c r="T1050" s="769"/>
      <c r="U1050" s="767"/>
    </row>
    <row r="1051" spans="1:22" ht="24" hidden="1" customHeight="1">
      <c r="A1051" s="360"/>
      <c r="B1051" s="360" t="s">
        <v>5673</v>
      </c>
      <c r="C1051" s="360" t="s">
        <v>5674</v>
      </c>
      <c r="D1051" s="360" t="s">
        <v>3821</v>
      </c>
      <c r="E1051" s="360">
        <v>358</v>
      </c>
      <c r="F1051" s="360" t="s">
        <v>34</v>
      </c>
      <c r="G1051" s="360" t="s">
        <v>32</v>
      </c>
      <c r="H1051" s="360" t="s">
        <v>33</v>
      </c>
      <c r="I1051" s="360" t="s">
        <v>34</v>
      </c>
      <c r="J1051" s="360" t="s">
        <v>34</v>
      </c>
      <c r="K1051" s="360" t="s">
        <v>4779</v>
      </c>
      <c r="L1051" s="360">
        <v>61778.761061946898</v>
      </c>
      <c r="M1051" s="360">
        <v>51266.144021760701</v>
      </c>
      <c r="N1051" s="360">
        <v>2021.12</v>
      </c>
      <c r="O1051" s="360" t="s">
        <v>4780</v>
      </c>
      <c r="P1051" s="360" t="s">
        <v>6889</v>
      </c>
      <c r="Q1051" s="360">
        <v>15635397648</v>
      </c>
      <c r="R1051" s="360" t="s">
        <v>4781</v>
      </c>
      <c r="S1051" s="360" t="s">
        <v>4670</v>
      </c>
      <c r="T1051" s="769"/>
      <c r="U1051" s="767"/>
    </row>
    <row r="1052" spans="1:22" ht="24" hidden="1" customHeight="1">
      <c r="A1052" s="360"/>
      <c r="B1052" s="360" t="s">
        <v>5673</v>
      </c>
      <c r="C1052" s="360" t="s">
        <v>5675</v>
      </c>
      <c r="D1052" s="360" t="s">
        <v>3821</v>
      </c>
      <c r="E1052" s="360">
        <v>234</v>
      </c>
      <c r="F1052" s="360" t="s">
        <v>34</v>
      </c>
      <c r="G1052" s="360" t="s">
        <v>32</v>
      </c>
      <c r="H1052" s="360" t="s">
        <v>33</v>
      </c>
      <c r="I1052" s="360" t="s">
        <v>34</v>
      </c>
      <c r="J1052" s="360" t="s">
        <v>34</v>
      </c>
      <c r="K1052" s="360" t="s">
        <v>4779</v>
      </c>
      <c r="L1052" s="360">
        <v>43486.725663716803</v>
      </c>
      <c r="M1052" s="360">
        <v>36086.782942691898</v>
      </c>
      <c r="N1052" s="360">
        <v>2021.12</v>
      </c>
      <c r="O1052" s="360" t="s">
        <v>4780</v>
      </c>
      <c r="P1052" s="360" t="s">
        <v>6889</v>
      </c>
      <c r="Q1052" s="360">
        <v>15635397648</v>
      </c>
      <c r="R1052" s="360" t="s">
        <v>4781</v>
      </c>
      <c r="S1052" s="360" t="s">
        <v>4670</v>
      </c>
      <c r="T1052" s="769"/>
      <c r="U1052" s="767"/>
    </row>
    <row r="1053" spans="1:22" ht="24" hidden="1" customHeight="1">
      <c r="A1053" s="360"/>
      <c r="B1053" s="360" t="s">
        <v>5673</v>
      </c>
      <c r="C1053" s="360" t="s">
        <v>5676</v>
      </c>
      <c r="D1053" s="360" t="s">
        <v>3821</v>
      </c>
      <c r="E1053" s="360">
        <v>176</v>
      </c>
      <c r="F1053" s="360" t="s">
        <v>34</v>
      </c>
      <c r="G1053" s="360" t="s">
        <v>32</v>
      </c>
      <c r="H1053" s="360" t="s">
        <v>33</v>
      </c>
      <c r="I1053" s="360" t="s">
        <v>34</v>
      </c>
      <c r="J1053" s="360" t="s">
        <v>34</v>
      </c>
      <c r="K1053" s="360" t="s">
        <v>4779</v>
      </c>
      <c r="L1053" s="360">
        <v>19469.026548672598</v>
      </c>
      <c r="M1053" s="360">
        <v>16156.068879512</v>
      </c>
      <c r="N1053" s="360">
        <v>2021.12</v>
      </c>
      <c r="O1053" s="360" t="s">
        <v>4780</v>
      </c>
      <c r="P1053" s="360" t="s">
        <v>6889</v>
      </c>
      <c r="Q1053" s="360">
        <v>15635397648</v>
      </c>
      <c r="R1053" s="360" t="s">
        <v>4781</v>
      </c>
      <c r="S1053" s="360" t="s">
        <v>4670</v>
      </c>
      <c r="T1053" s="769"/>
      <c r="U1053" s="767"/>
    </row>
    <row r="1054" spans="1:22" ht="24" hidden="1" customHeight="1">
      <c r="A1054" s="360"/>
      <c r="B1054" s="360" t="s">
        <v>5677</v>
      </c>
      <c r="C1054" s="360" t="s">
        <v>5678</v>
      </c>
      <c r="D1054" s="360" t="s">
        <v>464</v>
      </c>
      <c r="E1054" s="360">
        <v>800</v>
      </c>
      <c r="F1054" s="360" t="s">
        <v>34</v>
      </c>
      <c r="G1054" s="360" t="s">
        <v>32</v>
      </c>
      <c r="H1054" s="360" t="s">
        <v>33</v>
      </c>
      <c r="I1054" s="360" t="s">
        <v>34</v>
      </c>
      <c r="J1054" s="360" t="s">
        <v>34</v>
      </c>
      <c r="K1054" s="360" t="s">
        <v>5679</v>
      </c>
      <c r="L1054" s="360">
        <v>28208.61</v>
      </c>
      <c r="M1054" s="360">
        <v>23408.476279794599</v>
      </c>
      <c r="N1054" s="360">
        <v>2021.12</v>
      </c>
      <c r="O1054" s="360" t="s">
        <v>4780</v>
      </c>
      <c r="P1054" s="360" t="s">
        <v>6889</v>
      </c>
      <c r="Q1054" s="360">
        <v>15635397648</v>
      </c>
      <c r="R1054" s="360" t="s">
        <v>4781</v>
      </c>
      <c r="S1054" s="360" t="s">
        <v>4670</v>
      </c>
      <c r="T1054" s="769"/>
      <c r="U1054" s="767"/>
    </row>
    <row r="1055" spans="1:22" ht="24" hidden="1" customHeight="1">
      <c r="A1055" s="360"/>
      <c r="B1055" s="997" t="s">
        <v>1486</v>
      </c>
      <c r="C1055" s="997" t="s">
        <v>5680</v>
      </c>
      <c r="D1055" s="998" t="s">
        <v>131</v>
      </c>
      <c r="E1055" s="1283">
        <v>2</v>
      </c>
      <c r="F1055" s="360" t="s">
        <v>34</v>
      </c>
      <c r="G1055" s="360" t="s">
        <v>32</v>
      </c>
      <c r="H1055" s="360" t="s">
        <v>6904</v>
      </c>
      <c r="I1055" s="360" t="s">
        <v>6888</v>
      </c>
      <c r="J1055" s="360" t="s">
        <v>4805</v>
      </c>
      <c r="K1055" s="360" t="s">
        <v>5681</v>
      </c>
      <c r="L1055" s="856">
        <v>7326.73267326732</v>
      </c>
      <c r="M1055" s="856">
        <v>5037.1287128712802</v>
      </c>
      <c r="N1055" s="360">
        <v>2021.09</v>
      </c>
      <c r="O1055" s="360" t="s">
        <v>4807</v>
      </c>
      <c r="P1055" s="793" t="s">
        <v>7050</v>
      </c>
      <c r="Q1055" s="360">
        <v>13008762258</v>
      </c>
      <c r="R1055" s="360" t="s">
        <v>4808</v>
      </c>
      <c r="S1055" s="360" t="s">
        <v>4670</v>
      </c>
      <c r="T1055" s="769"/>
      <c r="U1055" s="767"/>
    </row>
    <row r="1056" spans="1:22" ht="24" hidden="1" customHeight="1">
      <c r="A1056" s="360"/>
      <c r="B1056" s="997" t="s">
        <v>1486</v>
      </c>
      <c r="C1056" s="997" t="s">
        <v>5682</v>
      </c>
      <c r="D1056" s="998" t="s">
        <v>131</v>
      </c>
      <c r="E1056" s="1283">
        <v>4</v>
      </c>
      <c r="F1056" s="360" t="s">
        <v>34</v>
      </c>
      <c r="G1056" s="360" t="s">
        <v>32</v>
      </c>
      <c r="H1056" s="360" t="s">
        <v>6904</v>
      </c>
      <c r="I1056" s="360" t="s">
        <v>6888</v>
      </c>
      <c r="J1056" s="360" t="s">
        <v>4805</v>
      </c>
      <c r="K1056" s="360" t="s">
        <v>5681</v>
      </c>
      <c r="L1056" s="856">
        <v>13861.3861386139</v>
      </c>
      <c r="M1056" s="856">
        <v>9529.7029702970394</v>
      </c>
      <c r="N1056" s="360">
        <v>2021.09</v>
      </c>
      <c r="O1056" s="360" t="s">
        <v>4807</v>
      </c>
      <c r="P1056" s="793" t="s">
        <v>7050</v>
      </c>
      <c r="Q1056" s="360">
        <v>13008762258</v>
      </c>
      <c r="R1056" s="360" t="s">
        <v>4808</v>
      </c>
      <c r="S1056" s="360" t="s">
        <v>4670</v>
      </c>
      <c r="T1056" s="769"/>
      <c r="U1056" s="767"/>
    </row>
    <row r="1057" spans="1:21" ht="24" hidden="1" customHeight="1">
      <c r="A1057" s="360"/>
      <c r="B1057" s="997" t="s">
        <v>1486</v>
      </c>
      <c r="C1057" s="997" t="s">
        <v>5683</v>
      </c>
      <c r="D1057" s="998" t="s">
        <v>131</v>
      </c>
      <c r="E1057" s="1283">
        <v>2</v>
      </c>
      <c r="F1057" s="360" t="s">
        <v>34</v>
      </c>
      <c r="G1057" s="360" t="s">
        <v>32</v>
      </c>
      <c r="H1057" s="360" t="s">
        <v>6904</v>
      </c>
      <c r="I1057" s="360" t="s">
        <v>6888</v>
      </c>
      <c r="J1057" s="360" t="s">
        <v>4805</v>
      </c>
      <c r="K1057" s="360" t="s">
        <v>5681</v>
      </c>
      <c r="L1057" s="856">
        <v>6831.6831683168402</v>
      </c>
      <c r="M1057" s="856">
        <v>4696.7821782178298</v>
      </c>
      <c r="N1057" s="360">
        <v>2021.09</v>
      </c>
      <c r="O1057" s="360" t="s">
        <v>4807</v>
      </c>
      <c r="P1057" s="793" t="s">
        <v>7050</v>
      </c>
      <c r="Q1057" s="360">
        <v>13008762258</v>
      </c>
      <c r="R1057" s="360" t="s">
        <v>4808</v>
      </c>
      <c r="S1057" s="360" t="s">
        <v>4670</v>
      </c>
      <c r="T1057" s="769"/>
      <c r="U1057" s="767"/>
    </row>
    <row r="1058" spans="1:21" ht="24" hidden="1" customHeight="1">
      <c r="A1058" s="360"/>
      <c r="B1058" s="997" t="s">
        <v>1486</v>
      </c>
      <c r="C1058" s="997" t="s">
        <v>5684</v>
      </c>
      <c r="D1058" s="998" t="s">
        <v>131</v>
      </c>
      <c r="E1058" s="1283">
        <v>4</v>
      </c>
      <c r="F1058" s="360" t="s">
        <v>34</v>
      </c>
      <c r="G1058" s="360" t="s">
        <v>32</v>
      </c>
      <c r="H1058" s="360" t="s">
        <v>6904</v>
      </c>
      <c r="I1058" s="360" t="s">
        <v>6888</v>
      </c>
      <c r="J1058" s="360" t="s">
        <v>4805</v>
      </c>
      <c r="K1058" s="360" t="s">
        <v>5681</v>
      </c>
      <c r="L1058" s="856">
        <v>14059.405940594001</v>
      </c>
      <c r="M1058" s="856">
        <v>9665.8415841583992</v>
      </c>
      <c r="N1058" s="360">
        <v>2021.09</v>
      </c>
      <c r="O1058" s="360" t="s">
        <v>4807</v>
      </c>
      <c r="P1058" s="793" t="s">
        <v>7050</v>
      </c>
      <c r="Q1058" s="360">
        <v>13008762258</v>
      </c>
      <c r="R1058" s="360" t="s">
        <v>4808</v>
      </c>
      <c r="S1058" s="360" t="s">
        <v>4670</v>
      </c>
      <c r="T1058" s="769"/>
      <c r="U1058" s="767"/>
    </row>
    <row r="1059" spans="1:21" ht="24" hidden="1" customHeight="1">
      <c r="A1059" s="360"/>
      <c r="B1059" s="997" t="s">
        <v>1486</v>
      </c>
      <c r="C1059" s="997" t="s">
        <v>5685</v>
      </c>
      <c r="D1059" s="998" t="s">
        <v>131</v>
      </c>
      <c r="E1059" s="1283">
        <v>2</v>
      </c>
      <c r="F1059" s="360" t="s">
        <v>34</v>
      </c>
      <c r="G1059" s="360" t="s">
        <v>32</v>
      </c>
      <c r="H1059" s="360" t="s">
        <v>6904</v>
      </c>
      <c r="I1059" s="360" t="s">
        <v>6888</v>
      </c>
      <c r="J1059" s="360" t="s">
        <v>4805</v>
      </c>
      <c r="K1059" s="360" t="s">
        <v>5681</v>
      </c>
      <c r="L1059" s="856">
        <v>4950.4950495049598</v>
      </c>
      <c r="M1059" s="856">
        <v>3403.4653465346601</v>
      </c>
      <c r="N1059" s="360">
        <v>2021.09</v>
      </c>
      <c r="O1059" s="360" t="s">
        <v>4807</v>
      </c>
      <c r="P1059" s="793" t="s">
        <v>7050</v>
      </c>
      <c r="Q1059" s="360">
        <v>13008762258</v>
      </c>
      <c r="R1059" s="360" t="s">
        <v>4808</v>
      </c>
      <c r="S1059" s="360" t="s">
        <v>4670</v>
      </c>
      <c r="T1059" s="769"/>
      <c r="U1059" s="767"/>
    </row>
    <row r="1060" spans="1:21" ht="24" hidden="1" customHeight="1">
      <c r="A1060" s="360"/>
      <c r="B1060" s="997" t="s">
        <v>1486</v>
      </c>
      <c r="C1060" s="997" t="s">
        <v>5686</v>
      </c>
      <c r="D1060" s="998" t="s">
        <v>131</v>
      </c>
      <c r="E1060" s="1283">
        <v>1</v>
      </c>
      <c r="F1060" s="360" t="s">
        <v>34</v>
      </c>
      <c r="G1060" s="360" t="s">
        <v>32</v>
      </c>
      <c r="H1060" s="360" t="s">
        <v>6904</v>
      </c>
      <c r="I1060" s="360" t="s">
        <v>6888</v>
      </c>
      <c r="J1060" s="360" t="s">
        <v>4805</v>
      </c>
      <c r="K1060" s="360" t="s">
        <v>5681</v>
      </c>
      <c r="L1060" s="856">
        <v>2673.26732673267</v>
      </c>
      <c r="M1060" s="856">
        <v>1837.87128712871</v>
      </c>
      <c r="N1060" s="360">
        <v>2021.09</v>
      </c>
      <c r="O1060" s="360" t="s">
        <v>4807</v>
      </c>
      <c r="P1060" s="793" t="s">
        <v>7050</v>
      </c>
      <c r="Q1060" s="360">
        <v>13008762258</v>
      </c>
      <c r="R1060" s="360" t="s">
        <v>4808</v>
      </c>
      <c r="S1060" s="360" t="s">
        <v>4670</v>
      </c>
      <c r="T1060" s="769"/>
      <c r="U1060" s="767"/>
    </row>
    <row r="1061" spans="1:21" ht="24" hidden="1" customHeight="1">
      <c r="A1061" s="360"/>
      <c r="B1061" s="997" t="s">
        <v>1486</v>
      </c>
      <c r="C1061" s="997" t="s">
        <v>5687</v>
      </c>
      <c r="D1061" s="998" t="s">
        <v>131</v>
      </c>
      <c r="E1061" s="1283">
        <v>5</v>
      </c>
      <c r="F1061" s="360" t="s">
        <v>34</v>
      </c>
      <c r="G1061" s="360" t="s">
        <v>32</v>
      </c>
      <c r="H1061" s="360" t="s">
        <v>6904</v>
      </c>
      <c r="I1061" s="360" t="s">
        <v>6888</v>
      </c>
      <c r="J1061" s="360" t="s">
        <v>4805</v>
      </c>
      <c r="K1061" s="360" t="s">
        <v>5681</v>
      </c>
      <c r="L1061" s="856">
        <v>11881.1881188119</v>
      </c>
      <c r="M1061" s="856">
        <v>8168.3168316831798</v>
      </c>
      <c r="N1061" s="360">
        <v>2021.09</v>
      </c>
      <c r="O1061" s="360" t="s">
        <v>4807</v>
      </c>
      <c r="P1061" s="793" t="s">
        <v>7050</v>
      </c>
      <c r="Q1061" s="360">
        <v>13008762258</v>
      </c>
      <c r="R1061" s="360" t="s">
        <v>4808</v>
      </c>
      <c r="S1061" s="360" t="s">
        <v>4670</v>
      </c>
      <c r="T1061" s="769"/>
      <c r="U1061" s="767"/>
    </row>
    <row r="1062" spans="1:21" ht="24" hidden="1" customHeight="1">
      <c r="A1062" s="360"/>
      <c r="B1062" s="997" t="s">
        <v>1486</v>
      </c>
      <c r="C1062" s="997" t="s">
        <v>5688</v>
      </c>
      <c r="D1062" s="998" t="s">
        <v>131</v>
      </c>
      <c r="E1062" s="1283">
        <v>1</v>
      </c>
      <c r="F1062" s="360" t="s">
        <v>34</v>
      </c>
      <c r="G1062" s="360" t="s">
        <v>32</v>
      </c>
      <c r="H1062" s="360" t="s">
        <v>6904</v>
      </c>
      <c r="I1062" s="360" t="s">
        <v>6888</v>
      </c>
      <c r="J1062" s="360" t="s">
        <v>4805</v>
      </c>
      <c r="K1062" s="360" t="s">
        <v>5681</v>
      </c>
      <c r="L1062" s="856">
        <v>2475.2475247524799</v>
      </c>
      <c r="M1062" s="856">
        <v>1701.73267326733</v>
      </c>
      <c r="N1062" s="360">
        <v>2021.09</v>
      </c>
      <c r="O1062" s="360" t="s">
        <v>4807</v>
      </c>
      <c r="P1062" s="793" t="s">
        <v>7050</v>
      </c>
      <c r="Q1062" s="360">
        <v>13008762258</v>
      </c>
      <c r="R1062" s="360" t="s">
        <v>4808</v>
      </c>
      <c r="S1062" s="360" t="s">
        <v>4670</v>
      </c>
      <c r="T1062" s="769"/>
      <c r="U1062" s="767"/>
    </row>
    <row r="1063" spans="1:21" ht="24" hidden="1" customHeight="1">
      <c r="A1063" s="360"/>
      <c r="B1063" s="997" t="s">
        <v>1486</v>
      </c>
      <c r="C1063" s="997" t="s">
        <v>5689</v>
      </c>
      <c r="D1063" s="998" t="s">
        <v>131</v>
      </c>
      <c r="E1063" s="1283">
        <v>1</v>
      </c>
      <c r="F1063" s="360" t="s">
        <v>34</v>
      </c>
      <c r="G1063" s="360" t="s">
        <v>32</v>
      </c>
      <c r="H1063" s="360" t="s">
        <v>6904</v>
      </c>
      <c r="I1063" s="360" t="s">
        <v>6888</v>
      </c>
      <c r="J1063" s="360" t="s">
        <v>4805</v>
      </c>
      <c r="K1063" s="360" t="s">
        <v>5681</v>
      </c>
      <c r="L1063" s="856">
        <v>2475.2475247524799</v>
      </c>
      <c r="M1063" s="856">
        <v>1701.73267326733</v>
      </c>
      <c r="N1063" s="360">
        <v>2021.09</v>
      </c>
      <c r="O1063" s="360" t="s">
        <v>4807</v>
      </c>
      <c r="P1063" s="793" t="s">
        <v>7050</v>
      </c>
      <c r="Q1063" s="360">
        <v>13008762258</v>
      </c>
      <c r="R1063" s="360" t="s">
        <v>4808</v>
      </c>
      <c r="S1063" s="360" t="s">
        <v>4670</v>
      </c>
      <c r="T1063" s="769"/>
      <c r="U1063" s="767"/>
    </row>
    <row r="1064" spans="1:21" ht="24" hidden="1" customHeight="1">
      <c r="A1064" s="360"/>
      <c r="B1064" s="998" t="s">
        <v>5690</v>
      </c>
      <c r="C1064" s="998" t="s">
        <v>5691</v>
      </c>
      <c r="D1064" s="792" t="s">
        <v>161</v>
      </c>
      <c r="E1064" s="1283">
        <v>500</v>
      </c>
      <c r="F1064" s="360" t="s">
        <v>34</v>
      </c>
      <c r="G1064" s="360" t="s">
        <v>32</v>
      </c>
      <c r="H1064" s="360" t="s">
        <v>6904</v>
      </c>
      <c r="I1064" s="360" t="s">
        <v>6888</v>
      </c>
      <c r="J1064" s="360" t="s">
        <v>4805</v>
      </c>
      <c r="K1064" s="360" t="s">
        <v>5681</v>
      </c>
      <c r="L1064" s="856">
        <v>29702.9702970297</v>
      </c>
      <c r="M1064" s="856">
        <v>20420.792079207898</v>
      </c>
      <c r="N1064" s="360">
        <v>2021.09</v>
      </c>
      <c r="O1064" s="360" t="s">
        <v>4807</v>
      </c>
      <c r="P1064" s="793" t="s">
        <v>7050</v>
      </c>
      <c r="Q1064" s="360">
        <v>13008762258</v>
      </c>
      <c r="R1064" s="360" t="s">
        <v>4808</v>
      </c>
      <c r="S1064" s="360" t="s">
        <v>4670</v>
      </c>
      <c r="T1064" s="769"/>
      <c r="U1064" s="767"/>
    </row>
    <row r="1065" spans="1:21" ht="24" hidden="1" customHeight="1">
      <c r="A1065" s="360"/>
      <c r="B1065" s="998" t="s">
        <v>5690</v>
      </c>
      <c r="C1065" s="998" t="s">
        <v>5692</v>
      </c>
      <c r="D1065" s="792" t="s">
        <v>161</v>
      </c>
      <c r="E1065" s="1283">
        <v>200</v>
      </c>
      <c r="F1065" s="360" t="s">
        <v>34</v>
      </c>
      <c r="G1065" s="360" t="s">
        <v>32</v>
      </c>
      <c r="H1065" s="360" t="s">
        <v>6904</v>
      </c>
      <c r="I1065" s="360" t="s">
        <v>6888</v>
      </c>
      <c r="J1065" s="360" t="s">
        <v>4805</v>
      </c>
      <c r="K1065" s="360" t="s">
        <v>5681</v>
      </c>
      <c r="L1065" s="856">
        <v>9900.9900990098995</v>
      </c>
      <c r="M1065" s="856">
        <v>6806.9306930693101</v>
      </c>
      <c r="N1065" s="360">
        <v>2021.09</v>
      </c>
      <c r="O1065" s="360" t="s">
        <v>4807</v>
      </c>
      <c r="P1065" s="793" t="s">
        <v>7050</v>
      </c>
      <c r="Q1065" s="360">
        <v>13008762258</v>
      </c>
      <c r="R1065" s="360" t="s">
        <v>4808</v>
      </c>
      <c r="S1065" s="360" t="s">
        <v>4670</v>
      </c>
      <c r="T1065" s="769"/>
      <c r="U1065" s="767"/>
    </row>
    <row r="1066" spans="1:21" ht="24" hidden="1" customHeight="1">
      <c r="A1066" s="360"/>
      <c r="B1066" s="998" t="s">
        <v>5690</v>
      </c>
      <c r="C1066" s="998" t="s">
        <v>5693</v>
      </c>
      <c r="D1066" s="792" t="s">
        <v>161</v>
      </c>
      <c r="E1066" s="1283">
        <v>40</v>
      </c>
      <c r="F1066" s="360" t="s">
        <v>34</v>
      </c>
      <c r="G1066" s="360" t="s">
        <v>32</v>
      </c>
      <c r="H1066" s="360" t="s">
        <v>6904</v>
      </c>
      <c r="I1066" s="360" t="s">
        <v>6888</v>
      </c>
      <c r="J1066" s="360" t="s">
        <v>4805</v>
      </c>
      <c r="K1066" s="360" t="s">
        <v>5681</v>
      </c>
      <c r="L1066" s="856">
        <v>3564.35643564356</v>
      </c>
      <c r="M1066" s="856">
        <v>2450.4950495049502</v>
      </c>
      <c r="N1066" s="360">
        <v>2021.09</v>
      </c>
      <c r="O1066" s="360" t="s">
        <v>4807</v>
      </c>
      <c r="P1066" s="793" t="s">
        <v>7050</v>
      </c>
      <c r="Q1066" s="360">
        <v>13008762258</v>
      </c>
      <c r="R1066" s="360" t="s">
        <v>4808</v>
      </c>
      <c r="S1066" s="360" t="s">
        <v>4670</v>
      </c>
      <c r="T1066" s="769"/>
      <c r="U1066" s="767"/>
    </row>
    <row r="1067" spans="1:21" ht="24" hidden="1" customHeight="1">
      <c r="A1067" s="360"/>
      <c r="B1067" s="998" t="s">
        <v>5690</v>
      </c>
      <c r="C1067" s="998" t="s">
        <v>5694</v>
      </c>
      <c r="D1067" s="792" t="s">
        <v>161</v>
      </c>
      <c r="E1067" s="1283">
        <v>250</v>
      </c>
      <c r="F1067" s="360" t="s">
        <v>34</v>
      </c>
      <c r="G1067" s="360" t="s">
        <v>32</v>
      </c>
      <c r="H1067" s="360" t="s">
        <v>6904</v>
      </c>
      <c r="I1067" s="360" t="s">
        <v>6888</v>
      </c>
      <c r="J1067" s="360" t="s">
        <v>4805</v>
      </c>
      <c r="K1067" s="360" t="s">
        <v>5681</v>
      </c>
      <c r="L1067" s="856">
        <v>4207.9207920791996</v>
      </c>
      <c r="M1067" s="856">
        <v>2892.94554455445</v>
      </c>
      <c r="N1067" s="360">
        <v>2021.09</v>
      </c>
      <c r="O1067" s="360" t="s">
        <v>4807</v>
      </c>
      <c r="P1067" s="793" t="s">
        <v>7050</v>
      </c>
      <c r="Q1067" s="360">
        <v>13008762258</v>
      </c>
      <c r="R1067" s="360" t="s">
        <v>4808</v>
      </c>
      <c r="S1067" s="360" t="s">
        <v>4670</v>
      </c>
      <c r="T1067" s="769"/>
      <c r="U1067" s="767"/>
    </row>
    <row r="1068" spans="1:21" ht="24" hidden="1" customHeight="1">
      <c r="A1068" s="360"/>
      <c r="B1068" s="998" t="s">
        <v>5690</v>
      </c>
      <c r="C1068" s="998" t="s">
        <v>5695</v>
      </c>
      <c r="D1068" s="792" t="s">
        <v>161</v>
      </c>
      <c r="E1068" s="1283">
        <v>250</v>
      </c>
      <c r="F1068" s="360" t="s">
        <v>34</v>
      </c>
      <c r="G1068" s="360" t="s">
        <v>32</v>
      </c>
      <c r="H1068" s="360" t="s">
        <v>6904</v>
      </c>
      <c r="I1068" s="360" t="s">
        <v>6888</v>
      </c>
      <c r="J1068" s="360" t="s">
        <v>4805</v>
      </c>
      <c r="K1068" s="360" t="s">
        <v>5681</v>
      </c>
      <c r="L1068" s="856">
        <v>6188.1188118811997</v>
      </c>
      <c r="M1068" s="856">
        <v>4254.3316831683296</v>
      </c>
      <c r="N1068" s="360">
        <v>2021.09</v>
      </c>
      <c r="O1068" s="360" t="s">
        <v>4807</v>
      </c>
      <c r="P1068" s="793" t="s">
        <v>7050</v>
      </c>
      <c r="Q1068" s="360">
        <v>13008762258</v>
      </c>
      <c r="R1068" s="360" t="s">
        <v>4808</v>
      </c>
      <c r="S1068" s="360" t="s">
        <v>4670</v>
      </c>
      <c r="T1068" s="769"/>
      <c r="U1068" s="767"/>
    </row>
    <row r="1069" spans="1:21" ht="24" hidden="1" customHeight="1">
      <c r="A1069" s="360"/>
      <c r="B1069" s="998" t="s">
        <v>5690</v>
      </c>
      <c r="C1069" s="998" t="s">
        <v>5696</v>
      </c>
      <c r="D1069" s="792" t="s">
        <v>161</v>
      </c>
      <c r="E1069" s="1283">
        <v>150</v>
      </c>
      <c r="F1069" s="360" t="s">
        <v>34</v>
      </c>
      <c r="G1069" s="360" t="s">
        <v>32</v>
      </c>
      <c r="H1069" s="360" t="s">
        <v>6904</v>
      </c>
      <c r="I1069" s="360" t="s">
        <v>6888</v>
      </c>
      <c r="J1069" s="360" t="s">
        <v>4805</v>
      </c>
      <c r="K1069" s="360" t="s">
        <v>5681</v>
      </c>
      <c r="L1069" s="856">
        <v>4678.2178217821802</v>
      </c>
      <c r="M1069" s="856">
        <v>3216.2747524752499</v>
      </c>
      <c r="N1069" s="360">
        <v>2021.09</v>
      </c>
      <c r="O1069" s="360" t="s">
        <v>4807</v>
      </c>
      <c r="P1069" s="793" t="s">
        <v>7050</v>
      </c>
      <c r="Q1069" s="360">
        <v>13008762258</v>
      </c>
      <c r="R1069" s="360" t="s">
        <v>4808</v>
      </c>
      <c r="S1069" s="360" t="s">
        <v>4670</v>
      </c>
      <c r="T1069" s="769"/>
      <c r="U1069" s="767"/>
    </row>
    <row r="1070" spans="1:21" ht="24" hidden="1" customHeight="1">
      <c r="A1070" s="360"/>
      <c r="B1070" s="998" t="s">
        <v>5690</v>
      </c>
      <c r="C1070" s="998" t="s">
        <v>5697</v>
      </c>
      <c r="D1070" s="792" t="s">
        <v>161</v>
      </c>
      <c r="E1070" s="1283">
        <v>245</v>
      </c>
      <c r="F1070" s="360" t="s">
        <v>34</v>
      </c>
      <c r="G1070" s="360" t="s">
        <v>32</v>
      </c>
      <c r="H1070" s="360" t="s">
        <v>6904</v>
      </c>
      <c r="I1070" s="360" t="s">
        <v>6888</v>
      </c>
      <c r="J1070" s="360" t="s">
        <v>4805</v>
      </c>
      <c r="K1070" s="360" t="s">
        <v>5681</v>
      </c>
      <c r="L1070" s="856">
        <v>11400.990099009899</v>
      </c>
      <c r="M1070" s="856">
        <v>7838.1806930693001</v>
      </c>
      <c r="N1070" s="360">
        <v>2021.09</v>
      </c>
      <c r="O1070" s="360" t="s">
        <v>4807</v>
      </c>
      <c r="P1070" s="793" t="s">
        <v>7050</v>
      </c>
      <c r="Q1070" s="360">
        <v>13008762258</v>
      </c>
      <c r="R1070" s="360" t="s">
        <v>4808</v>
      </c>
      <c r="S1070" s="360" t="s">
        <v>4670</v>
      </c>
      <c r="T1070" s="769"/>
      <c r="U1070" s="767"/>
    </row>
    <row r="1071" spans="1:21" ht="24" hidden="1" customHeight="1">
      <c r="A1071" s="360"/>
      <c r="B1071" s="998" t="s">
        <v>4601</v>
      </c>
      <c r="C1071" s="998" t="s">
        <v>5698</v>
      </c>
      <c r="D1071" s="792" t="s">
        <v>161</v>
      </c>
      <c r="E1071" s="1283">
        <v>165</v>
      </c>
      <c r="F1071" s="360" t="s">
        <v>34</v>
      </c>
      <c r="G1071" s="360" t="s">
        <v>32</v>
      </c>
      <c r="H1071" s="360" t="s">
        <v>6904</v>
      </c>
      <c r="I1071" s="360" t="s">
        <v>6888</v>
      </c>
      <c r="J1071" s="360" t="s">
        <v>4805</v>
      </c>
      <c r="K1071" s="360" t="s">
        <v>5681</v>
      </c>
      <c r="L1071" s="856">
        <v>6534.6534653465296</v>
      </c>
      <c r="M1071" s="856">
        <v>4492.5742574257401</v>
      </c>
      <c r="N1071" s="360">
        <v>2021.09</v>
      </c>
      <c r="O1071" s="360" t="s">
        <v>4807</v>
      </c>
      <c r="P1071" s="793" t="s">
        <v>7050</v>
      </c>
      <c r="Q1071" s="360">
        <v>13008762258</v>
      </c>
      <c r="R1071" s="360" t="s">
        <v>4808</v>
      </c>
      <c r="S1071" s="360" t="s">
        <v>4670</v>
      </c>
      <c r="T1071" s="769"/>
      <c r="U1071" s="767"/>
    </row>
    <row r="1072" spans="1:21" ht="24" hidden="1" customHeight="1">
      <c r="A1072" s="999"/>
      <c r="B1072" s="1000" t="s">
        <v>4601</v>
      </c>
      <c r="C1072" s="1000" t="s">
        <v>5699</v>
      </c>
      <c r="D1072" s="959" t="s">
        <v>161</v>
      </c>
      <c r="E1072" s="984">
        <v>250</v>
      </c>
      <c r="F1072" s="999" t="s">
        <v>6888</v>
      </c>
      <c r="G1072" s="999" t="s">
        <v>32</v>
      </c>
      <c r="H1072" s="360" t="s">
        <v>6904</v>
      </c>
      <c r="I1072" s="360" t="s">
        <v>6888</v>
      </c>
      <c r="J1072" s="999" t="s">
        <v>4805</v>
      </c>
      <c r="K1072" s="999" t="s">
        <v>5681</v>
      </c>
      <c r="L1072" s="1001">
        <v>14851.485148514899</v>
      </c>
      <c r="M1072" s="1001">
        <v>10210.396039604</v>
      </c>
      <c r="N1072" s="999">
        <v>2021.09</v>
      </c>
      <c r="O1072" s="999" t="s">
        <v>4807</v>
      </c>
      <c r="P1072" s="793" t="s">
        <v>7050</v>
      </c>
      <c r="Q1072" s="360">
        <v>13008762258</v>
      </c>
      <c r="R1072" s="999" t="s">
        <v>4808</v>
      </c>
      <c r="S1072" s="789" t="s">
        <v>7045</v>
      </c>
      <c r="T1072" s="897"/>
      <c r="U1072" s="767"/>
    </row>
    <row r="1073" spans="1:21" ht="24" hidden="1" customHeight="1">
      <c r="A1073" s="999"/>
      <c r="B1073" s="1577" t="s">
        <v>5700</v>
      </c>
      <c r="C1073" s="1576" t="s">
        <v>5701</v>
      </c>
      <c r="D1073" s="1576" t="s">
        <v>131</v>
      </c>
      <c r="E1073" s="906">
        <v>1</v>
      </c>
      <c r="F1073" s="906" t="s">
        <v>34</v>
      </c>
      <c r="G1073" s="906" t="s">
        <v>32</v>
      </c>
      <c r="H1073" s="906" t="s">
        <v>33</v>
      </c>
      <c r="I1073" s="906" t="s">
        <v>34</v>
      </c>
      <c r="J1073" s="906" t="s">
        <v>34</v>
      </c>
      <c r="K1073" s="906" t="s">
        <v>5702</v>
      </c>
      <c r="L1073" s="904">
        <v>15486.725663716799</v>
      </c>
      <c r="M1073" s="907">
        <v>9988.9380530973503</v>
      </c>
      <c r="N1073" s="906" t="s">
        <v>1257</v>
      </c>
      <c r="O1073" s="906" t="s">
        <v>4791</v>
      </c>
      <c r="P1073" s="906" t="s">
        <v>4789</v>
      </c>
      <c r="Q1073" s="906">
        <v>13834686587</v>
      </c>
      <c r="R1073" s="906" t="s">
        <v>4790</v>
      </c>
      <c r="S1073" s="789" t="s">
        <v>7045</v>
      </c>
      <c r="T1073" s="897"/>
      <c r="U1073" s="767"/>
    </row>
    <row r="1074" spans="1:21" ht="24" hidden="1" customHeight="1">
      <c r="A1074" s="999"/>
      <c r="B1074" s="1577" t="s">
        <v>5703</v>
      </c>
      <c r="C1074" s="1576" t="s">
        <v>5701</v>
      </c>
      <c r="D1074" s="1576" t="s">
        <v>131</v>
      </c>
      <c r="E1074" s="906">
        <v>1</v>
      </c>
      <c r="F1074" s="906" t="s">
        <v>34</v>
      </c>
      <c r="G1074" s="906" t="s">
        <v>32</v>
      </c>
      <c r="H1074" s="906" t="s">
        <v>33</v>
      </c>
      <c r="I1074" s="906" t="s">
        <v>34</v>
      </c>
      <c r="J1074" s="906" t="s">
        <v>34</v>
      </c>
      <c r="K1074" s="906" t="s">
        <v>5702</v>
      </c>
      <c r="L1074" s="904">
        <v>16548.672566371701</v>
      </c>
      <c r="M1074" s="907">
        <v>10673.893805309701</v>
      </c>
      <c r="N1074" s="906" t="s">
        <v>1257</v>
      </c>
      <c r="O1074" s="906" t="s">
        <v>4791</v>
      </c>
      <c r="P1074" s="906" t="s">
        <v>4789</v>
      </c>
      <c r="Q1074" s="906">
        <v>13834686587</v>
      </c>
      <c r="R1074" s="906" t="s">
        <v>4790</v>
      </c>
      <c r="S1074" s="789" t="s">
        <v>7045</v>
      </c>
      <c r="T1074" s="897"/>
      <c r="U1074" s="767"/>
    </row>
    <row r="1075" spans="1:21" ht="24" hidden="1" customHeight="1">
      <c r="A1075" s="999"/>
      <c r="B1075" s="1577" t="s">
        <v>5350</v>
      </c>
      <c r="C1075" s="1576" t="s">
        <v>5701</v>
      </c>
      <c r="D1075" s="1576" t="s">
        <v>131</v>
      </c>
      <c r="E1075" s="906">
        <v>1</v>
      </c>
      <c r="F1075" s="906" t="s">
        <v>34</v>
      </c>
      <c r="G1075" s="906" t="s">
        <v>32</v>
      </c>
      <c r="H1075" s="906" t="s">
        <v>33</v>
      </c>
      <c r="I1075" s="906" t="s">
        <v>34</v>
      </c>
      <c r="J1075" s="906" t="s">
        <v>34</v>
      </c>
      <c r="K1075" s="906" t="s">
        <v>5702</v>
      </c>
      <c r="L1075" s="904">
        <v>25221.238938053099</v>
      </c>
      <c r="M1075" s="907">
        <v>16267.699115044201</v>
      </c>
      <c r="N1075" s="906" t="s">
        <v>1257</v>
      </c>
      <c r="O1075" s="906" t="s">
        <v>4791</v>
      </c>
      <c r="P1075" s="906" t="s">
        <v>4789</v>
      </c>
      <c r="Q1075" s="906">
        <v>13834686587</v>
      </c>
      <c r="R1075" s="906" t="s">
        <v>4790</v>
      </c>
      <c r="S1075" s="789" t="s">
        <v>7045</v>
      </c>
      <c r="T1075" s="897"/>
      <c r="U1075" s="767"/>
    </row>
    <row r="1076" spans="1:21" ht="24" hidden="1" customHeight="1">
      <c r="A1076" s="999"/>
      <c r="B1076" s="1577" t="s">
        <v>5349</v>
      </c>
      <c r="C1076" s="1576" t="s">
        <v>5701</v>
      </c>
      <c r="D1076" s="1576" t="s">
        <v>131</v>
      </c>
      <c r="E1076" s="906">
        <v>1</v>
      </c>
      <c r="F1076" s="906" t="s">
        <v>34</v>
      </c>
      <c r="G1076" s="906" t="s">
        <v>32</v>
      </c>
      <c r="H1076" s="906" t="s">
        <v>33</v>
      </c>
      <c r="I1076" s="906" t="s">
        <v>34</v>
      </c>
      <c r="J1076" s="906" t="s">
        <v>34</v>
      </c>
      <c r="K1076" s="906" t="s">
        <v>5702</v>
      </c>
      <c r="L1076" s="904">
        <v>15929.203539823</v>
      </c>
      <c r="M1076" s="907">
        <v>10274.336283185799</v>
      </c>
      <c r="N1076" s="906" t="s">
        <v>1257</v>
      </c>
      <c r="O1076" s="906" t="s">
        <v>4791</v>
      </c>
      <c r="P1076" s="906" t="s">
        <v>4789</v>
      </c>
      <c r="Q1076" s="906">
        <v>13834686587</v>
      </c>
      <c r="R1076" s="906" t="s">
        <v>4790</v>
      </c>
      <c r="S1076" s="789" t="s">
        <v>7045</v>
      </c>
      <c r="T1076" s="897"/>
      <c r="U1076" s="767"/>
    </row>
    <row r="1077" spans="1:21" ht="24" hidden="1" customHeight="1">
      <c r="A1077" s="999"/>
      <c r="B1077" s="1577" t="s">
        <v>5668</v>
      </c>
      <c r="C1077" s="1576" t="s">
        <v>5701</v>
      </c>
      <c r="D1077" s="1576" t="s">
        <v>131</v>
      </c>
      <c r="E1077" s="906">
        <v>1</v>
      </c>
      <c r="F1077" s="906" t="s">
        <v>34</v>
      </c>
      <c r="G1077" s="906" t="s">
        <v>32</v>
      </c>
      <c r="H1077" s="906" t="s">
        <v>33</v>
      </c>
      <c r="I1077" s="906" t="s">
        <v>34</v>
      </c>
      <c r="J1077" s="906" t="s">
        <v>34</v>
      </c>
      <c r="K1077" s="906" t="s">
        <v>5702</v>
      </c>
      <c r="L1077" s="904">
        <v>16548.672566371701</v>
      </c>
      <c r="M1077" s="907">
        <v>10673.893805309701</v>
      </c>
      <c r="N1077" s="906" t="s">
        <v>1257</v>
      </c>
      <c r="O1077" s="906" t="s">
        <v>4791</v>
      </c>
      <c r="P1077" s="906" t="s">
        <v>4789</v>
      </c>
      <c r="Q1077" s="906">
        <v>13834686587</v>
      </c>
      <c r="R1077" s="906" t="s">
        <v>4790</v>
      </c>
      <c r="S1077" s="789" t="s">
        <v>7045</v>
      </c>
      <c r="T1077" s="897"/>
      <c r="U1077" s="767"/>
    </row>
    <row r="1078" spans="1:21" ht="24" hidden="1" customHeight="1">
      <c r="A1078" s="999"/>
      <c r="B1078" s="1577" t="s">
        <v>5669</v>
      </c>
      <c r="C1078" s="1576" t="s">
        <v>5701</v>
      </c>
      <c r="D1078" s="1576" t="s">
        <v>131</v>
      </c>
      <c r="E1078" s="906">
        <v>1</v>
      </c>
      <c r="F1078" s="906" t="s">
        <v>34</v>
      </c>
      <c r="G1078" s="906" t="s">
        <v>32</v>
      </c>
      <c r="H1078" s="906" t="s">
        <v>33</v>
      </c>
      <c r="I1078" s="906" t="s">
        <v>34</v>
      </c>
      <c r="J1078" s="906" t="s">
        <v>34</v>
      </c>
      <c r="K1078" s="906" t="s">
        <v>5702</v>
      </c>
      <c r="L1078" s="904">
        <v>16548.672566371701</v>
      </c>
      <c r="M1078" s="907">
        <v>10673.893805309701</v>
      </c>
      <c r="N1078" s="906" t="s">
        <v>1257</v>
      </c>
      <c r="O1078" s="906" t="s">
        <v>4791</v>
      </c>
      <c r="P1078" s="906" t="s">
        <v>4789</v>
      </c>
      <c r="Q1078" s="906">
        <v>13834686587</v>
      </c>
      <c r="R1078" s="906" t="s">
        <v>4790</v>
      </c>
      <c r="S1078" s="789" t="s">
        <v>7045</v>
      </c>
      <c r="T1078" s="897"/>
      <c r="U1078" s="767"/>
    </row>
    <row r="1079" spans="1:21" ht="24" hidden="1" customHeight="1">
      <c r="A1079" s="999"/>
      <c r="B1079" s="1577" t="s">
        <v>5704</v>
      </c>
      <c r="C1079" s="1576" t="s">
        <v>5701</v>
      </c>
      <c r="D1079" s="1576" t="s">
        <v>131</v>
      </c>
      <c r="E1079" s="906">
        <v>1</v>
      </c>
      <c r="F1079" s="906" t="s">
        <v>34</v>
      </c>
      <c r="G1079" s="906" t="s">
        <v>32</v>
      </c>
      <c r="H1079" s="906" t="s">
        <v>33</v>
      </c>
      <c r="I1079" s="906" t="s">
        <v>34</v>
      </c>
      <c r="J1079" s="906" t="s">
        <v>34</v>
      </c>
      <c r="K1079" s="906" t="s">
        <v>5702</v>
      </c>
      <c r="L1079" s="904">
        <v>16548.672566371701</v>
      </c>
      <c r="M1079" s="907">
        <v>10673.893805309701</v>
      </c>
      <c r="N1079" s="906" t="s">
        <v>1257</v>
      </c>
      <c r="O1079" s="906" t="s">
        <v>4791</v>
      </c>
      <c r="P1079" s="906" t="s">
        <v>4789</v>
      </c>
      <c r="Q1079" s="906">
        <v>13834686587</v>
      </c>
      <c r="R1079" s="906" t="s">
        <v>4790</v>
      </c>
      <c r="S1079" s="789" t="s">
        <v>7045</v>
      </c>
      <c r="T1079" s="897"/>
      <c r="U1079" s="767"/>
    </row>
    <row r="1080" spans="1:21" ht="24" hidden="1" customHeight="1">
      <c r="A1080" s="999"/>
      <c r="B1080" s="1577" t="s">
        <v>5705</v>
      </c>
      <c r="C1080" s="1576" t="s">
        <v>5701</v>
      </c>
      <c r="D1080" s="1576" t="s">
        <v>131</v>
      </c>
      <c r="E1080" s="906">
        <v>1</v>
      </c>
      <c r="F1080" s="906" t="s">
        <v>34</v>
      </c>
      <c r="G1080" s="906" t="s">
        <v>32</v>
      </c>
      <c r="H1080" s="906" t="s">
        <v>33</v>
      </c>
      <c r="I1080" s="906" t="s">
        <v>34</v>
      </c>
      <c r="J1080" s="906" t="s">
        <v>34</v>
      </c>
      <c r="K1080" s="906" t="s">
        <v>5702</v>
      </c>
      <c r="L1080" s="904">
        <v>16548.672566371701</v>
      </c>
      <c r="M1080" s="907">
        <v>10673.893805309701</v>
      </c>
      <c r="N1080" s="906" t="s">
        <v>1257</v>
      </c>
      <c r="O1080" s="906" t="s">
        <v>4791</v>
      </c>
      <c r="P1080" s="906" t="s">
        <v>4789</v>
      </c>
      <c r="Q1080" s="906">
        <v>13834686587</v>
      </c>
      <c r="R1080" s="906" t="s">
        <v>4790</v>
      </c>
      <c r="S1080" s="789" t="s">
        <v>7045</v>
      </c>
      <c r="T1080" s="897"/>
      <c r="U1080" s="767"/>
    </row>
    <row r="1081" spans="1:21" ht="24" hidden="1" customHeight="1">
      <c r="A1081" s="999"/>
      <c r="B1081" s="1577" t="s">
        <v>5706</v>
      </c>
      <c r="C1081" s="1576" t="s">
        <v>5707</v>
      </c>
      <c r="D1081" s="1576" t="s">
        <v>131</v>
      </c>
      <c r="E1081" s="906">
        <v>1</v>
      </c>
      <c r="F1081" s="906" t="s">
        <v>34</v>
      </c>
      <c r="G1081" s="906" t="s">
        <v>32</v>
      </c>
      <c r="H1081" s="906" t="s">
        <v>33</v>
      </c>
      <c r="I1081" s="906" t="s">
        <v>34</v>
      </c>
      <c r="J1081" s="906" t="s">
        <v>34</v>
      </c>
      <c r="K1081" s="906" t="s">
        <v>5702</v>
      </c>
      <c r="L1081" s="904">
        <v>8141.5929203539799</v>
      </c>
      <c r="M1081" s="907">
        <v>5251.3274336283203</v>
      </c>
      <c r="N1081" s="906" t="s">
        <v>1257</v>
      </c>
      <c r="O1081" s="906" t="s">
        <v>4791</v>
      </c>
      <c r="P1081" s="906" t="s">
        <v>4789</v>
      </c>
      <c r="Q1081" s="906">
        <v>13834686587</v>
      </c>
      <c r="R1081" s="906" t="s">
        <v>4790</v>
      </c>
      <c r="S1081" s="789" t="s">
        <v>7045</v>
      </c>
      <c r="T1081" s="897"/>
      <c r="U1081" s="767"/>
    </row>
    <row r="1082" spans="1:21" ht="24" hidden="1" customHeight="1">
      <c r="A1082" s="999"/>
      <c r="B1082" s="1577" t="s">
        <v>5708</v>
      </c>
      <c r="C1082" s="1576" t="s">
        <v>5709</v>
      </c>
      <c r="D1082" s="1576" t="s">
        <v>131</v>
      </c>
      <c r="E1082" s="906">
        <v>1</v>
      </c>
      <c r="F1082" s="906" t="s">
        <v>34</v>
      </c>
      <c r="G1082" s="906" t="s">
        <v>32</v>
      </c>
      <c r="H1082" s="906" t="s">
        <v>33</v>
      </c>
      <c r="I1082" s="906" t="s">
        <v>34</v>
      </c>
      <c r="J1082" s="906" t="s">
        <v>34</v>
      </c>
      <c r="K1082" s="906" t="s">
        <v>5702</v>
      </c>
      <c r="L1082" s="904">
        <v>9292.0300000000007</v>
      </c>
      <c r="M1082" s="907">
        <v>5993.3593499999997</v>
      </c>
      <c r="N1082" s="906" t="s">
        <v>1257</v>
      </c>
      <c r="O1082" s="906" t="s">
        <v>4791</v>
      </c>
      <c r="P1082" s="906" t="s">
        <v>4789</v>
      </c>
      <c r="Q1082" s="906">
        <v>13834686587</v>
      </c>
      <c r="R1082" s="906" t="s">
        <v>4790</v>
      </c>
      <c r="S1082" s="789" t="s">
        <v>7045</v>
      </c>
      <c r="T1082" s="897"/>
      <c r="U1082" s="767"/>
    </row>
    <row r="1083" spans="1:21" ht="24" hidden="1" customHeight="1">
      <c r="A1083" s="999"/>
      <c r="B1083" s="1577" t="s">
        <v>5710</v>
      </c>
      <c r="C1083" s="1576" t="s">
        <v>5711</v>
      </c>
      <c r="D1083" s="1576" t="s">
        <v>131</v>
      </c>
      <c r="E1083" s="906">
        <v>1</v>
      </c>
      <c r="F1083" s="906" t="s">
        <v>34</v>
      </c>
      <c r="G1083" s="906" t="s">
        <v>32</v>
      </c>
      <c r="H1083" s="906" t="s">
        <v>33</v>
      </c>
      <c r="I1083" s="906" t="s">
        <v>34</v>
      </c>
      <c r="J1083" s="906" t="s">
        <v>34</v>
      </c>
      <c r="K1083" s="906" t="s">
        <v>5702</v>
      </c>
      <c r="L1083" s="904">
        <v>18849.557522123901</v>
      </c>
      <c r="M1083" s="907">
        <v>12157.9646017699</v>
      </c>
      <c r="N1083" s="906" t="s">
        <v>1257</v>
      </c>
      <c r="O1083" s="906" t="s">
        <v>4791</v>
      </c>
      <c r="P1083" s="906" t="s">
        <v>4789</v>
      </c>
      <c r="Q1083" s="906">
        <v>13834686587</v>
      </c>
      <c r="R1083" s="906" t="s">
        <v>4790</v>
      </c>
      <c r="S1083" s="789" t="s">
        <v>7045</v>
      </c>
      <c r="T1083" s="897"/>
      <c r="U1083" s="767"/>
    </row>
    <row r="1084" spans="1:21" ht="24" hidden="1" customHeight="1">
      <c r="A1084" s="999"/>
      <c r="B1084" s="1577" t="s">
        <v>5712</v>
      </c>
      <c r="C1084" s="1576" t="s">
        <v>5713</v>
      </c>
      <c r="D1084" s="1576" t="s">
        <v>131</v>
      </c>
      <c r="E1084" s="906">
        <v>1</v>
      </c>
      <c r="F1084" s="906" t="s">
        <v>34</v>
      </c>
      <c r="G1084" s="906" t="s">
        <v>32</v>
      </c>
      <c r="H1084" s="906" t="s">
        <v>33</v>
      </c>
      <c r="I1084" s="906" t="s">
        <v>34</v>
      </c>
      <c r="J1084" s="906" t="s">
        <v>34</v>
      </c>
      <c r="K1084" s="906" t="s">
        <v>5702</v>
      </c>
      <c r="L1084" s="904">
        <v>14601.7699115044</v>
      </c>
      <c r="M1084" s="907">
        <v>9418.1415929203595</v>
      </c>
      <c r="N1084" s="906" t="s">
        <v>1257</v>
      </c>
      <c r="O1084" s="906" t="s">
        <v>4791</v>
      </c>
      <c r="P1084" s="906" t="s">
        <v>4789</v>
      </c>
      <c r="Q1084" s="906">
        <v>13834686587</v>
      </c>
      <c r="R1084" s="906" t="s">
        <v>4790</v>
      </c>
      <c r="S1084" s="789" t="s">
        <v>7045</v>
      </c>
      <c r="T1084" s="897"/>
      <c r="U1084" s="767"/>
    </row>
    <row r="1085" spans="1:21" ht="24" hidden="1" customHeight="1">
      <c r="A1085" s="999"/>
      <c r="B1085" s="1577" t="s">
        <v>5714</v>
      </c>
      <c r="C1085" s="1576" t="s">
        <v>5715</v>
      </c>
      <c r="D1085" s="1576" t="s">
        <v>131</v>
      </c>
      <c r="E1085" s="906">
        <v>1</v>
      </c>
      <c r="F1085" s="906" t="s">
        <v>34</v>
      </c>
      <c r="G1085" s="906" t="s">
        <v>32</v>
      </c>
      <c r="H1085" s="906" t="s">
        <v>33</v>
      </c>
      <c r="I1085" s="906" t="s">
        <v>34</v>
      </c>
      <c r="J1085" s="906" t="s">
        <v>34</v>
      </c>
      <c r="K1085" s="906" t="s">
        <v>5702</v>
      </c>
      <c r="L1085" s="904">
        <v>16548.672566371701</v>
      </c>
      <c r="M1085" s="907">
        <v>10673.893805309701</v>
      </c>
      <c r="N1085" s="906" t="s">
        <v>1257</v>
      </c>
      <c r="O1085" s="906" t="s">
        <v>4791</v>
      </c>
      <c r="P1085" s="906" t="s">
        <v>4789</v>
      </c>
      <c r="Q1085" s="906">
        <v>13834686587</v>
      </c>
      <c r="R1085" s="906" t="s">
        <v>4790</v>
      </c>
      <c r="S1085" s="789" t="s">
        <v>7045</v>
      </c>
      <c r="T1085" s="897"/>
      <c r="U1085" s="767"/>
    </row>
    <row r="1086" spans="1:21" ht="24" hidden="1" customHeight="1">
      <c r="A1086" s="999"/>
      <c r="B1086" s="1577" t="s">
        <v>5716</v>
      </c>
      <c r="C1086" s="1576" t="s">
        <v>5717</v>
      </c>
      <c r="D1086" s="1576" t="s">
        <v>131</v>
      </c>
      <c r="E1086" s="906">
        <v>1</v>
      </c>
      <c r="F1086" s="906" t="s">
        <v>34</v>
      </c>
      <c r="G1086" s="906" t="s">
        <v>32</v>
      </c>
      <c r="H1086" s="906" t="s">
        <v>33</v>
      </c>
      <c r="I1086" s="906" t="s">
        <v>34</v>
      </c>
      <c r="J1086" s="906" t="s">
        <v>34</v>
      </c>
      <c r="K1086" s="906" t="s">
        <v>5702</v>
      </c>
      <c r="L1086" s="904">
        <v>9557.5221238938102</v>
      </c>
      <c r="M1086" s="907">
        <v>6164.60176991151</v>
      </c>
      <c r="N1086" s="906" t="s">
        <v>1257</v>
      </c>
      <c r="O1086" s="906" t="s">
        <v>4791</v>
      </c>
      <c r="P1086" s="906" t="s">
        <v>4789</v>
      </c>
      <c r="Q1086" s="906">
        <v>13834686587</v>
      </c>
      <c r="R1086" s="906" t="s">
        <v>4790</v>
      </c>
      <c r="S1086" s="789" t="s">
        <v>7045</v>
      </c>
      <c r="T1086" s="897"/>
      <c r="U1086" s="767"/>
    </row>
    <row r="1087" spans="1:21" ht="24" hidden="1" customHeight="1">
      <c r="A1087" s="999"/>
      <c r="B1087" s="1577" t="s">
        <v>5718</v>
      </c>
      <c r="C1087" s="1576" t="s">
        <v>5719</v>
      </c>
      <c r="D1087" s="1576" t="s">
        <v>131</v>
      </c>
      <c r="E1087" s="906">
        <v>1</v>
      </c>
      <c r="F1087" s="906" t="s">
        <v>34</v>
      </c>
      <c r="G1087" s="906" t="s">
        <v>32</v>
      </c>
      <c r="H1087" s="906" t="s">
        <v>33</v>
      </c>
      <c r="I1087" s="906" t="s">
        <v>34</v>
      </c>
      <c r="J1087" s="906" t="s">
        <v>34</v>
      </c>
      <c r="K1087" s="906" t="s">
        <v>5702</v>
      </c>
      <c r="L1087" s="904">
        <v>4928.33</v>
      </c>
      <c r="M1087" s="907">
        <v>3178.7728499999998</v>
      </c>
      <c r="N1087" s="906" t="s">
        <v>1257</v>
      </c>
      <c r="O1087" s="906" t="s">
        <v>4791</v>
      </c>
      <c r="P1087" s="906" t="s">
        <v>4789</v>
      </c>
      <c r="Q1087" s="906">
        <v>13834686587</v>
      </c>
      <c r="R1087" s="906" t="s">
        <v>4790</v>
      </c>
      <c r="S1087" s="789" t="s">
        <v>7045</v>
      </c>
      <c r="T1087" s="897"/>
      <c r="U1087" s="767"/>
    </row>
    <row r="1088" spans="1:21" ht="24" hidden="1" customHeight="1">
      <c r="A1088" s="999"/>
      <c r="B1088" s="1577" t="s">
        <v>5720</v>
      </c>
      <c r="C1088" s="1599" t="s">
        <v>5721</v>
      </c>
      <c r="D1088" s="1285" t="s">
        <v>79</v>
      </c>
      <c r="E1088" s="906">
        <v>2</v>
      </c>
      <c r="F1088" s="906" t="s">
        <v>34</v>
      </c>
      <c r="G1088" s="906" t="s">
        <v>32</v>
      </c>
      <c r="H1088" s="906" t="s">
        <v>33</v>
      </c>
      <c r="I1088" s="906" t="s">
        <v>34</v>
      </c>
      <c r="J1088" s="906" t="s">
        <v>34</v>
      </c>
      <c r="K1088" s="906" t="s">
        <v>5722</v>
      </c>
      <c r="L1088" s="907">
        <v>57203.88</v>
      </c>
      <c r="M1088" s="907">
        <v>36896.5026</v>
      </c>
      <c r="N1088" s="906" t="s">
        <v>5723</v>
      </c>
      <c r="O1088" s="906" t="s">
        <v>4791</v>
      </c>
      <c r="P1088" s="906" t="s">
        <v>4789</v>
      </c>
      <c r="Q1088" s="906">
        <v>13834686587</v>
      </c>
      <c r="R1088" s="906" t="s">
        <v>4790</v>
      </c>
      <c r="S1088" s="789" t="s">
        <v>7045</v>
      </c>
      <c r="T1088" s="897"/>
      <c r="U1088" s="767"/>
    </row>
    <row r="1089" spans="1:21" ht="24" hidden="1" customHeight="1">
      <c r="A1089" s="999"/>
      <c r="B1089" s="1577" t="s">
        <v>1412</v>
      </c>
      <c r="C1089" s="1599" t="s">
        <v>5724</v>
      </c>
      <c r="D1089" s="1285" t="s">
        <v>79</v>
      </c>
      <c r="E1089" s="906">
        <v>2</v>
      </c>
      <c r="F1089" s="906" t="s">
        <v>34</v>
      </c>
      <c r="G1089" s="906" t="s">
        <v>32</v>
      </c>
      <c r="H1089" s="906" t="s">
        <v>33</v>
      </c>
      <c r="I1089" s="906" t="s">
        <v>34</v>
      </c>
      <c r="J1089" s="906" t="s">
        <v>34</v>
      </c>
      <c r="K1089" s="906" t="s">
        <v>5722</v>
      </c>
      <c r="L1089" s="907">
        <v>57669.89</v>
      </c>
      <c r="M1089" s="907">
        <v>37197.07905</v>
      </c>
      <c r="N1089" s="906" t="s">
        <v>5723</v>
      </c>
      <c r="O1089" s="906" t="s">
        <v>4791</v>
      </c>
      <c r="P1089" s="906" t="s">
        <v>4789</v>
      </c>
      <c r="Q1089" s="906">
        <v>13834686587</v>
      </c>
      <c r="R1089" s="906" t="s">
        <v>4790</v>
      </c>
      <c r="S1089" s="789" t="s">
        <v>7045</v>
      </c>
      <c r="T1089" s="897"/>
      <c r="U1089" s="767"/>
    </row>
    <row r="1090" spans="1:21" ht="24" hidden="1" customHeight="1">
      <c r="A1090" s="999"/>
      <c r="B1090" s="1577" t="s">
        <v>1412</v>
      </c>
      <c r="C1090" s="1599" t="s">
        <v>5183</v>
      </c>
      <c r="D1090" s="1285" t="s">
        <v>79</v>
      </c>
      <c r="E1090" s="906">
        <v>4</v>
      </c>
      <c r="F1090" s="906" t="s">
        <v>34</v>
      </c>
      <c r="G1090" s="906" t="s">
        <v>32</v>
      </c>
      <c r="H1090" s="906" t="s">
        <v>33</v>
      </c>
      <c r="I1090" s="906" t="s">
        <v>34</v>
      </c>
      <c r="J1090" s="906" t="s">
        <v>34</v>
      </c>
      <c r="K1090" s="906" t="s">
        <v>5722</v>
      </c>
      <c r="L1090" s="907">
        <v>19223.3</v>
      </c>
      <c r="M1090" s="907">
        <v>12399.0285</v>
      </c>
      <c r="N1090" s="906" t="s">
        <v>5723</v>
      </c>
      <c r="O1090" s="906" t="s">
        <v>4791</v>
      </c>
      <c r="P1090" s="906" t="s">
        <v>4789</v>
      </c>
      <c r="Q1090" s="906">
        <v>13834686587</v>
      </c>
      <c r="R1090" s="906" t="s">
        <v>4790</v>
      </c>
      <c r="S1090" s="789" t="s">
        <v>7045</v>
      </c>
      <c r="T1090" s="897"/>
      <c r="U1090" s="767"/>
    </row>
    <row r="1091" spans="1:21" ht="24" hidden="1" customHeight="1">
      <c r="A1091" s="999"/>
      <c r="B1091" s="1577" t="s">
        <v>5299</v>
      </c>
      <c r="C1091" s="1599" t="s">
        <v>5725</v>
      </c>
      <c r="D1091" s="1285" t="s">
        <v>79</v>
      </c>
      <c r="E1091" s="906">
        <v>2</v>
      </c>
      <c r="F1091" s="906" t="s">
        <v>34</v>
      </c>
      <c r="G1091" s="906" t="s">
        <v>32</v>
      </c>
      <c r="H1091" s="906" t="s">
        <v>33</v>
      </c>
      <c r="I1091" s="906" t="s">
        <v>34</v>
      </c>
      <c r="J1091" s="906" t="s">
        <v>34</v>
      </c>
      <c r="K1091" s="906" t="s">
        <v>5722</v>
      </c>
      <c r="L1091" s="907">
        <v>26699.03</v>
      </c>
      <c r="M1091" s="907">
        <v>17220.874349999998</v>
      </c>
      <c r="N1091" s="906" t="s">
        <v>5723</v>
      </c>
      <c r="O1091" s="906" t="s">
        <v>4791</v>
      </c>
      <c r="P1091" s="906" t="s">
        <v>4789</v>
      </c>
      <c r="Q1091" s="906">
        <v>13834686587</v>
      </c>
      <c r="R1091" s="906" t="s">
        <v>4790</v>
      </c>
      <c r="S1091" s="789" t="s">
        <v>7045</v>
      </c>
      <c r="T1091" s="897"/>
      <c r="U1091" s="767"/>
    </row>
    <row r="1092" spans="1:21" ht="24" hidden="1" customHeight="1">
      <c r="A1092" s="999"/>
      <c r="B1092" s="1577" t="s">
        <v>5370</v>
      </c>
      <c r="C1092" s="1599" t="s">
        <v>5726</v>
      </c>
      <c r="D1092" s="1285" t="s">
        <v>79</v>
      </c>
      <c r="E1092" s="906">
        <v>200</v>
      </c>
      <c r="F1092" s="906" t="s">
        <v>34</v>
      </c>
      <c r="G1092" s="906" t="s">
        <v>32</v>
      </c>
      <c r="H1092" s="906" t="s">
        <v>33</v>
      </c>
      <c r="I1092" s="906" t="s">
        <v>34</v>
      </c>
      <c r="J1092" s="906" t="s">
        <v>34</v>
      </c>
      <c r="K1092" s="906" t="s">
        <v>5722</v>
      </c>
      <c r="L1092" s="907">
        <v>34951.440000000002</v>
      </c>
      <c r="M1092" s="907">
        <v>22543.678800000002</v>
      </c>
      <c r="N1092" s="906" t="s">
        <v>5723</v>
      </c>
      <c r="O1092" s="906" t="s">
        <v>4791</v>
      </c>
      <c r="P1092" s="906" t="s">
        <v>4789</v>
      </c>
      <c r="Q1092" s="906">
        <v>13834686587</v>
      </c>
      <c r="R1092" s="906" t="s">
        <v>4790</v>
      </c>
      <c r="S1092" s="789" t="s">
        <v>7045</v>
      </c>
      <c r="T1092" s="897"/>
      <c r="U1092" s="767"/>
    </row>
    <row r="1093" spans="1:21" ht="24" hidden="1" customHeight="1">
      <c r="A1093" s="999"/>
      <c r="B1093" s="1577" t="s">
        <v>3845</v>
      </c>
      <c r="C1093" s="1599">
        <v>1.2</v>
      </c>
      <c r="D1093" s="1285" t="s">
        <v>2724</v>
      </c>
      <c r="E1093" s="906">
        <v>36</v>
      </c>
      <c r="F1093" s="906" t="s">
        <v>34</v>
      </c>
      <c r="G1093" s="906" t="s">
        <v>32</v>
      </c>
      <c r="H1093" s="906" t="s">
        <v>33</v>
      </c>
      <c r="I1093" s="906" t="s">
        <v>34</v>
      </c>
      <c r="J1093" s="906" t="s">
        <v>34</v>
      </c>
      <c r="K1093" s="906" t="s">
        <v>5722</v>
      </c>
      <c r="L1093" s="907">
        <v>3320.3899999979999</v>
      </c>
      <c r="M1093" s="907">
        <v>2141.6515499987099</v>
      </c>
      <c r="N1093" s="906" t="s">
        <v>5723</v>
      </c>
      <c r="O1093" s="906" t="s">
        <v>4791</v>
      </c>
      <c r="P1093" s="906" t="s">
        <v>4789</v>
      </c>
      <c r="Q1093" s="906">
        <v>13834686587</v>
      </c>
      <c r="R1093" s="906" t="s">
        <v>4790</v>
      </c>
      <c r="S1093" s="789" t="s">
        <v>7045</v>
      </c>
      <c r="T1093" s="897"/>
      <c r="U1093" s="767"/>
    </row>
    <row r="1094" spans="1:21" ht="24" hidden="1" customHeight="1">
      <c r="A1094" s="999"/>
      <c r="B1094" s="1002" t="s">
        <v>5727</v>
      </c>
      <c r="C1094" s="1003" t="s">
        <v>5728</v>
      </c>
      <c r="D1094" s="906" t="s">
        <v>131</v>
      </c>
      <c r="E1094" s="906">
        <v>10</v>
      </c>
      <c r="F1094" s="906" t="s">
        <v>34</v>
      </c>
      <c r="G1094" s="906" t="s">
        <v>32</v>
      </c>
      <c r="H1094" s="906" t="s">
        <v>33</v>
      </c>
      <c r="I1094" s="906" t="s">
        <v>34</v>
      </c>
      <c r="J1094" s="906" t="s">
        <v>34</v>
      </c>
      <c r="K1094" s="906" t="s">
        <v>5722</v>
      </c>
      <c r="L1094" s="907">
        <v>23300.98</v>
      </c>
      <c r="M1094" s="907">
        <v>15029.132100000001</v>
      </c>
      <c r="N1094" s="906" t="s">
        <v>5729</v>
      </c>
      <c r="O1094" s="906" t="s">
        <v>4791</v>
      </c>
      <c r="P1094" s="906" t="s">
        <v>4789</v>
      </c>
      <c r="Q1094" s="906">
        <v>13834686587</v>
      </c>
      <c r="R1094" s="906" t="s">
        <v>4790</v>
      </c>
      <c r="S1094" s="789" t="s">
        <v>7045</v>
      </c>
      <c r="T1094" s="897"/>
      <c r="U1094" s="767"/>
    </row>
    <row r="1095" spans="1:21" ht="24" hidden="1" customHeight="1">
      <c r="A1095" s="999"/>
      <c r="B1095" s="1577" t="s">
        <v>3995</v>
      </c>
      <c r="C1095" s="1599" t="s">
        <v>5730</v>
      </c>
      <c r="D1095" s="1285" t="s">
        <v>131</v>
      </c>
      <c r="E1095" s="1600">
        <v>1</v>
      </c>
      <c r="F1095" s="906" t="s">
        <v>34</v>
      </c>
      <c r="G1095" s="906" t="s">
        <v>32</v>
      </c>
      <c r="H1095" s="906" t="s">
        <v>33</v>
      </c>
      <c r="I1095" s="906" t="s">
        <v>34</v>
      </c>
      <c r="J1095" s="906" t="s">
        <v>34</v>
      </c>
      <c r="K1095" s="906" t="s">
        <v>5199</v>
      </c>
      <c r="L1095" s="907">
        <v>4950.5</v>
      </c>
      <c r="M1095" s="907">
        <v>3193.0725000000002</v>
      </c>
      <c r="N1095" s="906" t="s">
        <v>5217</v>
      </c>
      <c r="O1095" s="906" t="s">
        <v>4791</v>
      </c>
      <c r="P1095" s="906" t="s">
        <v>4789</v>
      </c>
      <c r="Q1095" s="906">
        <v>13834686587</v>
      </c>
      <c r="R1095" s="906" t="s">
        <v>4790</v>
      </c>
      <c r="S1095" s="789" t="s">
        <v>7045</v>
      </c>
      <c r="T1095" s="897"/>
      <c r="U1095" s="767"/>
    </row>
    <row r="1096" spans="1:21" ht="24" hidden="1" customHeight="1">
      <c r="A1096" s="999"/>
      <c r="B1096" s="1577" t="s">
        <v>5731</v>
      </c>
      <c r="C1096" s="1599" t="s">
        <v>5732</v>
      </c>
      <c r="D1096" s="1285" t="s">
        <v>131</v>
      </c>
      <c r="E1096" s="1600">
        <v>7</v>
      </c>
      <c r="F1096" s="906" t="s">
        <v>34</v>
      </c>
      <c r="G1096" s="906" t="s">
        <v>32</v>
      </c>
      <c r="H1096" s="906" t="s">
        <v>33</v>
      </c>
      <c r="I1096" s="906" t="s">
        <v>34</v>
      </c>
      <c r="J1096" s="906" t="s">
        <v>34</v>
      </c>
      <c r="K1096" s="906" t="s">
        <v>5199</v>
      </c>
      <c r="L1096" s="907">
        <v>24257.43</v>
      </c>
      <c r="M1096" s="907">
        <v>15646.04235</v>
      </c>
      <c r="N1096" s="906" t="s">
        <v>5217</v>
      </c>
      <c r="O1096" s="906" t="s">
        <v>4791</v>
      </c>
      <c r="P1096" s="906" t="s">
        <v>4789</v>
      </c>
      <c r="Q1096" s="906">
        <v>13834686587</v>
      </c>
      <c r="R1096" s="906" t="s">
        <v>4790</v>
      </c>
      <c r="S1096" s="789" t="s">
        <v>7045</v>
      </c>
      <c r="T1096" s="897"/>
      <c r="U1096" s="767"/>
    </row>
    <row r="1097" spans="1:21" ht="24" hidden="1" customHeight="1">
      <c r="A1097" s="999"/>
      <c r="B1097" s="1577" t="s">
        <v>5733</v>
      </c>
      <c r="C1097" s="1599" t="s">
        <v>5734</v>
      </c>
      <c r="D1097" s="1285" t="s">
        <v>131</v>
      </c>
      <c r="E1097" s="1600">
        <v>34</v>
      </c>
      <c r="F1097" s="906" t="s">
        <v>34</v>
      </c>
      <c r="G1097" s="906" t="s">
        <v>32</v>
      </c>
      <c r="H1097" s="906" t="s">
        <v>33</v>
      </c>
      <c r="I1097" s="906" t="s">
        <v>34</v>
      </c>
      <c r="J1097" s="906" t="s">
        <v>34</v>
      </c>
      <c r="K1097" s="906" t="s">
        <v>5199</v>
      </c>
      <c r="L1097" s="907">
        <v>45445.54</v>
      </c>
      <c r="M1097" s="907">
        <v>29312.373299999999</v>
      </c>
      <c r="N1097" s="906" t="s">
        <v>5217</v>
      </c>
      <c r="O1097" s="906" t="s">
        <v>4791</v>
      </c>
      <c r="P1097" s="906" t="s">
        <v>4789</v>
      </c>
      <c r="Q1097" s="906">
        <v>13834686587</v>
      </c>
      <c r="R1097" s="906" t="s">
        <v>4790</v>
      </c>
      <c r="S1097" s="789" t="s">
        <v>7045</v>
      </c>
      <c r="T1097" s="897"/>
      <c r="U1097" s="767"/>
    </row>
    <row r="1098" spans="1:21" ht="24" hidden="1" customHeight="1">
      <c r="A1098" s="999"/>
      <c r="B1098" s="1577" t="s">
        <v>5735</v>
      </c>
      <c r="C1098" s="1599" t="s">
        <v>5736</v>
      </c>
      <c r="D1098" s="1285" t="s">
        <v>5048</v>
      </c>
      <c r="E1098" s="906">
        <v>1</v>
      </c>
      <c r="F1098" s="906" t="s">
        <v>34</v>
      </c>
      <c r="G1098" s="906" t="s">
        <v>32</v>
      </c>
      <c r="H1098" s="906" t="s">
        <v>33</v>
      </c>
      <c r="I1098" s="906" t="s">
        <v>34</v>
      </c>
      <c r="J1098" s="906" t="s">
        <v>34</v>
      </c>
      <c r="K1098" s="906" t="s">
        <v>5737</v>
      </c>
      <c r="L1098" s="907">
        <v>11640.77</v>
      </c>
      <c r="M1098" s="907">
        <v>5442.0599750000001</v>
      </c>
      <c r="N1098" s="906" t="s">
        <v>5217</v>
      </c>
      <c r="O1098" s="906" t="s">
        <v>4791</v>
      </c>
      <c r="P1098" s="906" t="s">
        <v>4789</v>
      </c>
      <c r="Q1098" s="906">
        <v>13834686587</v>
      </c>
      <c r="R1098" s="906" t="s">
        <v>4790</v>
      </c>
      <c r="S1098" s="789" t="s">
        <v>7045</v>
      </c>
      <c r="T1098" s="897"/>
      <c r="U1098" s="767"/>
    </row>
    <row r="1099" spans="1:21" ht="24" hidden="1" customHeight="1">
      <c r="A1099" s="999"/>
      <c r="B1099" s="1577" t="s">
        <v>5738</v>
      </c>
      <c r="C1099" s="1599" t="s">
        <v>5739</v>
      </c>
      <c r="D1099" s="1285" t="s">
        <v>5048</v>
      </c>
      <c r="E1099" s="906">
        <v>1</v>
      </c>
      <c r="F1099" s="906" t="s">
        <v>34</v>
      </c>
      <c r="G1099" s="906" t="s">
        <v>32</v>
      </c>
      <c r="H1099" s="906" t="s">
        <v>33</v>
      </c>
      <c r="I1099" s="906" t="s">
        <v>34</v>
      </c>
      <c r="J1099" s="906" t="s">
        <v>34</v>
      </c>
      <c r="K1099" s="906" t="s">
        <v>5737</v>
      </c>
      <c r="L1099" s="907">
        <v>6310.68</v>
      </c>
      <c r="M1099" s="907">
        <v>2950.2429000000002</v>
      </c>
      <c r="N1099" s="906" t="s">
        <v>5217</v>
      </c>
      <c r="O1099" s="906" t="s">
        <v>4791</v>
      </c>
      <c r="P1099" s="906" t="s">
        <v>4789</v>
      </c>
      <c r="Q1099" s="906">
        <v>13834686587</v>
      </c>
      <c r="R1099" s="906" t="s">
        <v>4790</v>
      </c>
      <c r="S1099" s="789" t="s">
        <v>7045</v>
      </c>
      <c r="T1099" s="897"/>
      <c r="U1099" s="767"/>
    </row>
    <row r="1100" spans="1:21" ht="24" hidden="1" customHeight="1">
      <c r="A1100" s="999"/>
      <c r="B1100" s="1586" t="s">
        <v>5740</v>
      </c>
      <c r="C1100" s="1601" t="s">
        <v>5218</v>
      </c>
      <c r="D1100" s="1202" t="s">
        <v>79</v>
      </c>
      <c r="E1100" s="457">
        <v>500</v>
      </c>
      <c r="F1100" s="457" t="s">
        <v>34</v>
      </c>
      <c r="G1100" s="457" t="s">
        <v>32</v>
      </c>
      <c r="H1100" s="457" t="s">
        <v>33</v>
      </c>
      <c r="I1100" s="457" t="s">
        <v>34</v>
      </c>
      <c r="J1100" s="457" t="s">
        <v>34</v>
      </c>
      <c r="K1100" s="1004" t="s">
        <v>5722</v>
      </c>
      <c r="L1100" s="912">
        <v>74257.460000000006</v>
      </c>
      <c r="M1100" s="912">
        <v>47896.061699999998</v>
      </c>
      <c r="N1100" s="457" t="s">
        <v>5741</v>
      </c>
      <c r="O1100" s="457" t="s">
        <v>4791</v>
      </c>
      <c r="P1100" s="457" t="s">
        <v>4789</v>
      </c>
      <c r="Q1100" s="457">
        <v>13834686587</v>
      </c>
      <c r="R1100" s="457" t="s">
        <v>4790</v>
      </c>
      <c r="S1100" s="789" t="s">
        <v>7045</v>
      </c>
      <c r="T1100" s="897"/>
      <c r="U1100" s="767"/>
    </row>
    <row r="1101" spans="1:21" ht="24" hidden="1" customHeight="1">
      <c r="A1101" s="999"/>
      <c r="B1101" s="1586" t="s">
        <v>5740</v>
      </c>
      <c r="C1101" s="1601" t="s">
        <v>5218</v>
      </c>
      <c r="D1101" s="1202" t="s">
        <v>79</v>
      </c>
      <c r="E1101" s="457">
        <v>600</v>
      </c>
      <c r="F1101" s="457" t="s">
        <v>34</v>
      </c>
      <c r="G1101" s="457" t="s">
        <v>32</v>
      </c>
      <c r="H1101" s="457" t="s">
        <v>33</v>
      </c>
      <c r="I1101" s="457" t="s">
        <v>34</v>
      </c>
      <c r="J1101" s="457" t="s">
        <v>34</v>
      </c>
      <c r="K1101" s="1004" t="s">
        <v>5722</v>
      </c>
      <c r="L1101" s="912">
        <v>89108.95</v>
      </c>
      <c r="M1101" s="912">
        <v>57475.272749999996</v>
      </c>
      <c r="N1101" s="457" t="s">
        <v>5741</v>
      </c>
      <c r="O1101" s="457" t="s">
        <v>4791</v>
      </c>
      <c r="P1101" s="457" t="s">
        <v>4789</v>
      </c>
      <c r="Q1101" s="457">
        <v>13834686587</v>
      </c>
      <c r="R1101" s="457" t="s">
        <v>4790</v>
      </c>
      <c r="S1101" s="789" t="s">
        <v>7045</v>
      </c>
      <c r="T1101" s="897"/>
      <c r="U1101" s="767"/>
    </row>
    <row r="1102" spans="1:21" ht="24" hidden="1" customHeight="1">
      <c r="A1102" s="999"/>
      <c r="B1102" s="1005" t="s">
        <v>5742</v>
      </c>
      <c r="C1102" s="1005" t="s">
        <v>5743</v>
      </c>
      <c r="D1102" s="1005" t="s">
        <v>79</v>
      </c>
      <c r="E1102" s="457">
        <v>136</v>
      </c>
      <c r="F1102" s="457" t="s">
        <v>34</v>
      </c>
      <c r="G1102" s="457" t="s">
        <v>32</v>
      </c>
      <c r="H1102" s="457" t="s">
        <v>33</v>
      </c>
      <c r="I1102" s="457" t="s">
        <v>34</v>
      </c>
      <c r="J1102" s="457" t="s">
        <v>34</v>
      </c>
      <c r="K1102" s="1004" t="s">
        <v>5722</v>
      </c>
      <c r="L1102" s="912">
        <v>25584.158415841601</v>
      </c>
      <c r="M1102" s="912">
        <v>16501.7821782178</v>
      </c>
      <c r="N1102" s="457" t="s">
        <v>5741</v>
      </c>
      <c r="O1102" s="457" t="s">
        <v>4791</v>
      </c>
      <c r="P1102" s="457" t="s">
        <v>4789</v>
      </c>
      <c r="Q1102" s="457">
        <v>13834686587</v>
      </c>
      <c r="R1102" s="457" t="s">
        <v>4790</v>
      </c>
      <c r="S1102" s="789" t="s">
        <v>7045</v>
      </c>
      <c r="T1102" s="897"/>
      <c r="U1102" s="767"/>
    </row>
    <row r="1103" spans="1:21" ht="24" hidden="1" customHeight="1">
      <c r="A1103" s="999"/>
      <c r="B1103" s="1005" t="s">
        <v>5742</v>
      </c>
      <c r="C1103" s="1005" t="s">
        <v>5744</v>
      </c>
      <c r="D1103" s="1005" t="s">
        <v>79</v>
      </c>
      <c r="E1103" s="457">
        <v>12</v>
      </c>
      <c r="F1103" s="457" t="s">
        <v>34</v>
      </c>
      <c r="G1103" s="457" t="s">
        <v>32</v>
      </c>
      <c r="H1103" s="457" t="s">
        <v>33</v>
      </c>
      <c r="I1103" s="457" t="s">
        <v>34</v>
      </c>
      <c r="J1103" s="457" t="s">
        <v>34</v>
      </c>
      <c r="K1103" s="1004" t="s">
        <v>5722</v>
      </c>
      <c r="L1103" s="912">
        <v>3207.9207920792101</v>
      </c>
      <c r="M1103" s="912">
        <v>2069.1089108910901</v>
      </c>
      <c r="N1103" s="457" t="s">
        <v>5741</v>
      </c>
      <c r="O1103" s="457" t="s">
        <v>4791</v>
      </c>
      <c r="P1103" s="457" t="s">
        <v>4789</v>
      </c>
      <c r="Q1103" s="457">
        <v>13834686587</v>
      </c>
      <c r="R1103" s="457" t="s">
        <v>4790</v>
      </c>
      <c r="S1103" s="789" t="s">
        <v>7045</v>
      </c>
      <c r="T1103" s="897"/>
      <c r="U1103" s="767"/>
    </row>
    <row r="1104" spans="1:21" ht="24" hidden="1" customHeight="1">
      <c r="A1104" s="999"/>
      <c r="B1104" s="1005" t="s">
        <v>5742</v>
      </c>
      <c r="C1104" s="1005" t="s">
        <v>5745</v>
      </c>
      <c r="D1104" s="1005" t="s">
        <v>79</v>
      </c>
      <c r="E1104" s="457">
        <v>12</v>
      </c>
      <c r="F1104" s="457" t="s">
        <v>34</v>
      </c>
      <c r="G1104" s="457" t="s">
        <v>32</v>
      </c>
      <c r="H1104" s="457" t="s">
        <v>33</v>
      </c>
      <c r="I1104" s="457" t="s">
        <v>34</v>
      </c>
      <c r="J1104" s="457" t="s">
        <v>34</v>
      </c>
      <c r="K1104" s="1004" t="s">
        <v>5722</v>
      </c>
      <c r="L1104" s="912">
        <v>2910.8910891089099</v>
      </c>
      <c r="M1104" s="912">
        <v>1877.5247524752499</v>
      </c>
      <c r="N1104" s="457" t="s">
        <v>5741</v>
      </c>
      <c r="O1104" s="457" t="s">
        <v>4791</v>
      </c>
      <c r="P1104" s="457" t="s">
        <v>4789</v>
      </c>
      <c r="Q1104" s="457">
        <v>13834686587</v>
      </c>
      <c r="R1104" s="457" t="s">
        <v>4790</v>
      </c>
      <c r="S1104" s="789" t="s">
        <v>7045</v>
      </c>
      <c r="T1104" s="897"/>
      <c r="U1104" s="767"/>
    </row>
    <row r="1105" spans="1:21" ht="24" hidden="1" customHeight="1">
      <c r="A1105" s="999"/>
      <c r="B1105" s="1586" t="s">
        <v>5746</v>
      </c>
      <c r="C1105" s="1586" t="s">
        <v>5747</v>
      </c>
      <c r="D1105" s="1006" t="s">
        <v>131</v>
      </c>
      <c r="E1105" s="457">
        <v>4</v>
      </c>
      <c r="F1105" s="457" t="s">
        <v>34</v>
      </c>
      <c r="G1105" s="457" t="s">
        <v>32</v>
      </c>
      <c r="H1105" s="457" t="s">
        <v>33</v>
      </c>
      <c r="I1105" s="457" t="s">
        <v>34</v>
      </c>
      <c r="J1105" s="457" t="s">
        <v>34</v>
      </c>
      <c r="K1105" s="1004" t="s">
        <v>5722</v>
      </c>
      <c r="L1105" s="912">
        <v>14257.4257425743</v>
      </c>
      <c r="M1105" s="912">
        <v>9196.0396039604002</v>
      </c>
      <c r="N1105" s="457" t="s">
        <v>5741</v>
      </c>
      <c r="O1105" s="457" t="s">
        <v>4791</v>
      </c>
      <c r="P1105" s="457" t="s">
        <v>4789</v>
      </c>
      <c r="Q1105" s="457">
        <v>13834686587</v>
      </c>
      <c r="R1105" s="457" t="s">
        <v>4790</v>
      </c>
      <c r="S1105" s="789" t="s">
        <v>7045</v>
      </c>
      <c r="T1105" s="897"/>
      <c r="U1105" s="767"/>
    </row>
    <row r="1106" spans="1:21" ht="24" hidden="1" customHeight="1">
      <c r="A1106" s="999"/>
      <c r="B1106" s="1586" t="s">
        <v>5746</v>
      </c>
      <c r="C1106" s="1586" t="s">
        <v>5748</v>
      </c>
      <c r="D1106" s="1006" t="s">
        <v>131</v>
      </c>
      <c r="E1106" s="457">
        <v>4</v>
      </c>
      <c r="F1106" s="457" t="s">
        <v>34</v>
      </c>
      <c r="G1106" s="457" t="s">
        <v>32</v>
      </c>
      <c r="H1106" s="457" t="s">
        <v>33</v>
      </c>
      <c r="I1106" s="457" t="s">
        <v>34</v>
      </c>
      <c r="J1106" s="457" t="s">
        <v>34</v>
      </c>
      <c r="K1106" s="1004" t="s">
        <v>5722</v>
      </c>
      <c r="L1106" s="912">
        <v>13861.3861386139</v>
      </c>
      <c r="M1106" s="912">
        <v>8940.5940594059393</v>
      </c>
      <c r="N1106" s="457" t="s">
        <v>5741</v>
      </c>
      <c r="O1106" s="457" t="s">
        <v>4791</v>
      </c>
      <c r="P1106" s="457" t="s">
        <v>4789</v>
      </c>
      <c r="Q1106" s="457">
        <v>13834686587</v>
      </c>
      <c r="R1106" s="457" t="s">
        <v>4790</v>
      </c>
      <c r="S1106" s="789" t="s">
        <v>7045</v>
      </c>
      <c r="T1106" s="897"/>
      <c r="U1106" s="767"/>
    </row>
    <row r="1107" spans="1:21" ht="24" hidden="1" customHeight="1">
      <c r="A1107" s="999"/>
      <c r="B1107" s="1586" t="s">
        <v>5749</v>
      </c>
      <c r="C1107" s="1601" t="s">
        <v>5218</v>
      </c>
      <c r="D1107" s="1202" t="s">
        <v>79</v>
      </c>
      <c r="E1107" s="457">
        <v>500</v>
      </c>
      <c r="F1107" s="457" t="s">
        <v>34</v>
      </c>
      <c r="G1107" s="457" t="s">
        <v>32</v>
      </c>
      <c r="H1107" s="457" t="s">
        <v>33</v>
      </c>
      <c r="I1107" s="457" t="s">
        <v>34</v>
      </c>
      <c r="J1107" s="457" t="s">
        <v>34</v>
      </c>
      <c r="K1107" s="1004" t="s">
        <v>4862</v>
      </c>
      <c r="L1107" s="912">
        <v>59734.51</v>
      </c>
      <c r="M1107" s="912">
        <v>38528.758950000003</v>
      </c>
      <c r="N1107" s="457" t="s">
        <v>5741</v>
      </c>
      <c r="O1107" s="457" t="s">
        <v>4791</v>
      </c>
      <c r="P1107" s="457" t="s">
        <v>4789</v>
      </c>
      <c r="Q1107" s="457">
        <v>13834686587</v>
      </c>
      <c r="R1107" s="457" t="s">
        <v>4790</v>
      </c>
      <c r="S1107" s="789" t="s">
        <v>7045</v>
      </c>
      <c r="T1107" s="897"/>
      <c r="U1107" s="767"/>
    </row>
    <row r="1108" spans="1:21" ht="24" hidden="1" customHeight="1">
      <c r="A1108" s="999"/>
      <c r="B1108" s="1577" t="s">
        <v>5750</v>
      </c>
      <c r="C1108" s="1576" t="s">
        <v>34</v>
      </c>
      <c r="D1108" s="1285" t="s">
        <v>888</v>
      </c>
      <c r="E1108" s="457">
        <v>480</v>
      </c>
      <c r="F1108" s="457" t="s">
        <v>34</v>
      </c>
      <c r="G1108" s="457" t="s">
        <v>32</v>
      </c>
      <c r="H1108" s="457" t="s">
        <v>33</v>
      </c>
      <c r="I1108" s="457" t="s">
        <v>34</v>
      </c>
      <c r="J1108" s="457" t="s">
        <v>34</v>
      </c>
      <c r="K1108" s="1004" t="s">
        <v>4862</v>
      </c>
      <c r="L1108" s="912">
        <v>120212.38</v>
      </c>
      <c r="M1108" s="912">
        <v>77536.985100000005</v>
      </c>
      <c r="N1108" s="457" t="s">
        <v>429</v>
      </c>
      <c r="O1108" s="457" t="s">
        <v>4791</v>
      </c>
      <c r="P1108" s="457" t="s">
        <v>4789</v>
      </c>
      <c r="Q1108" s="457">
        <v>13834686587</v>
      </c>
      <c r="R1108" s="457" t="s">
        <v>4790</v>
      </c>
      <c r="S1108" s="789" t="s">
        <v>7045</v>
      </c>
      <c r="T1108" s="897"/>
      <c r="U1108" s="767"/>
    </row>
    <row r="1109" spans="1:21" ht="24" hidden="1" customHeight="1">
      <c r="A1109" s="999"/>
      <c r="B1109" s="360" t="s">
        <v>5751</v>
      </c>
      <c r="C1109" s="789"/>
      <c r="D1109" s="1007" t="s">
        <v>131</v>
      </c>
      <c r="E1109" s="360">
        <v>5</v>
      </c>
      <c r="F1109" s="360" t="s">
        <v>6888</v>
      </c>
      <c r="G1109" s="360" t="s">
        <v>7040</v>
      </c>
      <c r="H1109" s="360" t="s">
        <v>7041</v>
      </c>
      <c r="I1109" s="360" t="s">
        <v>6888</v>
      </c>
      <c r="J1109" s="360" t="s">
        <v>6888</v>
      </c>
      <c r="K1109" s="360" t="s">
        <v>6888</v>
      </c>
      <c r="L1109" s="810">
        <v>67821.600000000006</v>
      </c>
      <c r="M1109" s="810">
        <v>64995.7</v>
      </c>
      <c r="N1109" s="360">
        <v>2021.11</v>
      </c>
      <c r="O1109" s="789" t="s">
        <v>7042</v>
      </c>
      <c r="P1109" s="360" t="s">
        <v>7043</v>
      </c>
      <c r="Q1109" s="789">
        <v>18335831522</v>
      </c>
      <c r="R1109" s="789" t="s">
        <v>7044</v>
      </c>
      <c r="S1109" s="789" t="s">
        <v>7045</v>
      </c>
      <c r="T1109" s="897"/>
      <c r="U1109" s="767"/>
    </row>
    <row r="1110" spans="1:21" ht="24" hidden="1" customHeight="1">
      <c r="A1110" s="999"/>
      <c r="B1110" s="360" t="s">
        <v>1486</v>
      </c>
      <c r="C1110" s="789" t="s">
        <v>5752</v>
      </c>
      <c r="D1110" s="1007" t="s">
        <v>1477</v>
      </c>
      <c r="E1110" s="360">
        <v>9</v>
      </c>
      <c r="F1110" s="360" t="s">
        <v>6888</v>
      </c>
      <c r="G1110" s="360" t="s">
        <v>7040</v>
      </c>
      <c r="H1110" s="360" t="s">
        <v>7041</v>
      </c>
      <c r="I1110" s="360" t="s">
        <v>6888</v>
      </c>
      <c r="J1110" s="360" t="s">
        <v>6888</v>
      </c>
      <c r="K1110" s="360" t="s">
        <v>6888</v>
      </c>
      <c r="L1110" s="810">
        <v>40544.47</v>
      </c>
      <c r="M1110" s="810">
        <v>39663.068478260873</v>
      </c>
      <c r="N1110" s="360">
        <v>2021.12</v>
      </c>
      <c r="O1110" s="789" t="s">
        <v>7042</v>
      </c>
      <c r="P1110" s="360" t="s">
        <v>7043</v>
      </c>
      <c r="Q1110" s="789">
        <v>18335831522</v>
      </c>
      <c r="R1110" s="789" t="s">
        <v>7044</v>
      </c>
      <c r="S1110" s="789" t="s">
        <v>7045</v>
      </c>
      <c r="T1110" s="897"/>
      <c r="U1110" s="767"/>
    </row>
    <row r="1111" spans="1:21" ht="24" hidden="1" customHeight="1">
      <c r="A1111" s="999"/>
      <c r="B1111" s="360" t="s">
        <v>1486</v>
      </c>
      <c r="C1111" s="789" t="s">
        <v>5753</v>
      </c>
      <c r="D1111" s="1007" t="s">
        <v>1477</v>
      </c>
      <c r="E1111" s="360">
        <v>10</v>
      </c>
      <c r="F1111" s="360" t="s">
        <v>6888</v>
      </c>
      <c r="G1111" s="360" t="s">
        <v>7040</v>
      </c>
      <c r="H1111" s="360" t="s">
        <v>7041</v>
      </c>
      <c r="I1111" s="360" t="s">
        <v>6888</v>
      </c>
      <c r="J1111" s="360" t="s">
        <v>6888</v>
      </c>
      <c r="K1111" s="360" t="s">
        <v>6888</v>
      </c>
      <c r="L1111" s="810">
        <v>28316.831683168297</v>
      </c>
      <c r="M1111" s="810">
        <v>27701.248385708117</v>
      </c>
      <c r="N1111" s="360">
        <v>2021.12</v>
      </c>
      <c r="O1111" s="789" t="s">
        <v>7042</v>
      </c>
      <c r="P1111" s="360" t="s">
        <v>7043</v>
      </c>
      <c r="Q1111" s="789">
        <v>18335831522</v>
      </c>
      <c r="R1111" s="789" t="s">
        <v>7044</v>
      </c>
      <c r="S1111" s="789" t="s">
        <v>7045</v>
      </c>
      <c r="T1111" s="897"/>
      <c r="U1111" s="767"/>
    </row>
    <row r="1112" spans="1:21" ht="24" hidden="1" customHeight="1">
      <c r="A1112" s="999"/>
      <c r="B1112" s="360" t="s">
        <v>1486</v>
      </c>
      <c r="C1112" s="789" t="s">
        <v>5754</v>
      </c>
      <c r="D1112" s="1007" t="s">
        <v>1477</v>
      </c>
      <c r="E1112" s="360">
        <v>5</v>
      </c>
      <c r="F1112" s="360" t="s">
        <v>6888</v>
      </c>
      <c r="G1112" s="360" t="s">
        <v>7040</v>
      </c>
      <c r="H1112" s="360" t="s">
        <v>7041</v>
      </c>
      <c r="I1112" s="360" t="s">
        <v>6888</v>
      </c>
      <c r="J1112" s="360" t="s">
        <v>6888</v>
      </c>
      <c r="K1112" s="360" t="s">
        <v>6888</v>
      </c>
      <c r="L1112" s="810">
        <v>7722.7722772277002</v>
      </c>
      <c r="M1112" s="810">
        <v>7554.8859233749235</v>
      </c>
      <c r="N1112" s="360">
        <v>2021.12</v>
      </c>
      <c r="O1112" s="789" t="s">
        <v>7042</v>
      </c>
      <c r="P1112" s="360" t="s">
        <v>7043</v>
      </c>
      <c r="Q1112" s="789">
        <v>18335831522</v>
      </c>
      <c r="R1112" s="789" t="s">
        <v>7044</v>
      </c>
      <c r="S1112" s="789" t="s">
        <v>7045</v>
      </c>
      <c r="T1112" s="897"/>
      <c r="U1112" s="767"/>
    </row>
    <row r="1113" spans="1:21" ht="24" hidden="1" customHeight="1">
      <c r="A1113" s="999"/>
      <c r="B1113" s="360" t="s">
        <v>1486</v>
      </c>
      <c r="C1113" s="789" t="s">
        <v>5755</v>
      </c>
      <c r="D1113" s="1007" t="s">
        <v>1477</v>
      </c>
      <c r="E1113" s="360">
        <v>8</v>
      </c>
      <c r="F1113" s="360" t="s">
        <v>6888</v>
      </c>
      <c r="G1113" s="360" t="s">
        <v>7040</v>
      </c>
      <c r="H1113" s="360" t="s">
        <v>7041</v>
      </c>
      <c r="I1113" s="360" t="s">
        <v>6888</v>
      </c>
      <c r="J1113" s="360" t="s">
        <v>6888</v>
      </c>
      <c r="K1113" s="360" t="s">
        <v>6888</v>
      </c>
      <c r="L1113" s="810">
        <v>4752.4752475247524</v>
      </c>
      <c r="M1113" s="810">
        <v>4649.1605682307363</v>
      </c>
      <c r="N1113" s="360">
        <v>2021.12</v>
      </c>
      <c r="O1113" s="789" t="s">
        <v>7042</v>
      </c>
      <c r="P1113" s="360" t="s">
        <v>7043</v>
      </c>
      <c r="Q1113" s="789">
        <v>18335831522</v>
      </c>
      <c r="R1113" s="789" t="s">
        <v>7044</v>
      </c>
      <c r="S1113" s="789" t="s">
        <v>7045</v>
      </c>
      <c r="T1113" s="897"/>
      <c r="U1113" s="767"/>
    </row>
    <row r="1114" spans="1:21" ht="24" hidden="1" customHeight="1">
      <c r="A1114" s="360"/>
      <c r="B1114" s="360" t="s">
        <v>1486</v>
      </c>
      <c r="C1114" s="789" t="s">
        <v>5756</v>
      </c>
      <c r="D1114" s="1007" t="s">
        <v>1477</v>
      </c>
      <c r="E1114" s="360">
        <v>10</v>
      </c>
      <c r="F1114" s="360" t="s">
        <v>6888</v>
      </c>
      <c r="G1114" s="360" t="s">
        <v>7040</v>
      </c>
      <c r="H1114" s="360" t="s">
        <v>7041</v>
      </c>
      <c r="I1114" s="360" t="s">
        <v>6888</v>
      </c>
      <c r="J1114" s="360" t="s">
        <v>6888</v>
      </c>
      <c r="K1114" s="360" t="s">
        <v>6888</v>
      </c>
      <c r="L1114" s="810">
        <v>26732.6732673267</v>
      </c>
      <c r="M1114" s="810">
        <v>26151.528196297859</v>
      </c>
      <c r="N1114" s="360">
        <v>2021.12</v>
      </c>
      <c r="O1114" s="789" t="s">
        <v>7042</v>
      </c>
      <c r="P1114" s="360" t="s">
        <v>7043</v>
      </c>
      <c r="Q1114" s="789">
        <v>18335831522</v>
      </c>
      <c r="R1114" s="789" t="s">
        <v>7044</v>
      </c>
      <c r="S1114" s="789" t="s">
        <v>7045</v>
      </c>
      <c r="T1114" s="897"/>
      <c r="U1114" s="767"/>
    </row>
    <row r="1115" spans="1:21" ht="24" hidden="1" customHeight="1">
      <c r="A1115" s="360"/>
      <c r="B1115" s="360" t="s">
        <v>1486</v>
      </c>
      <c r="C1115" s="789" t="s">
        <v>5757</v>
      </c>
      <c r="D1115" s="1007" t="s">
        <v>79</v>
      </c>
      <c r="E1115" s="360">
        <v>1</v>
      </c>
      <c r="F1115" s="360" t="s">
        <v>6888</v>
      </c>
      <c r="G1115" s="360" t="s">
        <v>7040</v>
      </c>
      <c r="H1115" s="360" t="s">
        <v>7041</v>
      </c>
      <c r="I1115" s="360" t="s">
        <v>6888</v>
      </c>
      <c r="J1115" s="360" t="s">
        <v>6888</v>
      </c>
      <c r="K1115" s="360" t="s">
        <v>6888</v>
      </c>
      <c r="L1115" s="810">
        <v>940.59405940594104</v>
      </c>
      <c r="M1115" s="810">
        <v>920.14636246233363</v>
      </c>
      <c r="N1115" s="360">
        <v>2021.12</v>
      </c>
      <c r="O1115" s="789" t="s">
        <v>7042</v>
      </c>
      <c r="P1115" s="360" t="s">
        <v>7043</v>
      </c>
      <c r="Q1115" s="789">
        <v>18335831522</v>
      </c>
      <c r="R1115" s="789" t="s">
        <v>7044</v>
      </c>
      <c r="S1115" s="789" t="s">
        <v>7045</v>
      </c>
      <c r="T1115" s="897"/>
      <c r="U1115" s="767"/>
    </row>
    <row r="1116" spans="1:21" ht="24" hidden="1" customHeight="1">
      <c r="A1116" s="360"/>
      <c r="B1116" s="360" t="s">
        <v>1673</v>
      </c>
      <c r="C1116" s="789"/>
      <c r="D1116" s="973" t="s">
        <v>1477</v>
      </c>
      <c r="E1116" s="360">
        <v>2</v>
      </c>
      <c r="F1116" s="360" t="s">
        <v>6888</v>
      </c>
      <c r="G1116" s="360" t="s">
        <v>7040</v>
      </c>
      <c r="H1116" s="360" t="s">
        <v>7041</v>
      </c>
      <c r="I1116" s="360" t="s">
        <v>6888</v>
      </c>
      <c r="J1116" s="360" t="s">
        <v>6888</v>
      </c>
      <c r="K1116" s="360" t="s">
        <v>6888</v>
      </c>
      <c r="L1116" s="810">
        <v>8621.34</v>
      </c>
      <c r="M1116" s="810">
        <v>8433.9195652173912</v>
      </c>
      <c r="N1116" s="360">
        <v>2021.12</v>
      </c>
      <c r="O1116" s="789" t="s">
        <v>7042</v>
      </c>
      <c r="P1116" s="360" t="s">
        <v>7043</v>
      </c>
      <c r="Q1116" s="789">
        <v>18335831522</v>
      </c>
      <c r="R1116" s="789" t="s">
        <v>7044</v>
      </c>
      <c r="S1116" s="789" t="s">
        <v>7045</v>
      </c>
      <c r="T1116" s="792"/>
      <c r="U1116" s="767"/>
    </row>
    <row r="1117" spans="1:21" ht="24" hidden="1" customHeight="1">
      <c r="A1117" s="360"/>
      <c r="B1117" s="360" t="s">
        <v>1678</v>
      </c>
      <c r="C1117" s="789"/>
      <c r="D1117" s="973" t="s">
        <v>1477</v>
      </c>
      <c r="E1117" s="360">
        <v>4</v>
      </c>
      <c r="F1117" s="360" t="s">
        <v>6888</v>
      </c>
      <c r="G1117" s="360" t="s">
        <v>7040</v>
      </c>
      <c r="H1117" s="360" t="s">
        <v>7041</v>
      </c>
      <c r="I1117" s="360" t="s">
        <v>6888</v>
      </c>
      <c r="J1117" s="360" t="s">
        <v>6888</v>
      </c>
      <c r="K1117" s="360" t="s">
        <v>6888</v>
      </c>
      <c r="L1117" s="810">
        <v>8388.36</v>
      </c>
      <c r="M1117" s="810">
        <v>8206.0043478260868</v>
      </c>
      <c r="N1117" s="360">
        <v>2021.12</v>
      </c>
      <c r="O1117" s="789" t="s">
        <v>7042</v>
      </c>
      <c r="P1117" s="360" t="s">
        <v>7043</v>
      </c>
      <c r="Q1117" s="789">
        <v>18335831522</v>
      </c>
      <c r="R1117" s="789" t="s">
        <v>7044</v>
      </c>
      <c r="S1117" s="789" t="s">
        <v>7045</v>
      </c>
      <c r="T1117" s="792"/>
      <c r="U1117" s="767"/>
    </row>
    <row r="1118" spans="1:21" ht="24" hidden="1" customHeight="1">
      <c r="A1118" s="360"/>
      <c r="B1118" s="360" t="s">
        <v>5758</v>
      </c>
      <c r="C1118" s="789" t="s">
        <v>1343</v>
      </c>
      <c r="D1118" s="973" t="s">
        <v>1193</v>
      </c>
      <c r="E1118" s="360">
        <v>12.38</v>
      </c>
      <c r="F1118" s="360" t="s">
        <v>6888</v>
      </c>
      <c r="G1118" s="360" t="s">
        <v>7040</v>
      </c>
      <c r="H1118" s="360" t="s">
        <v>7041</v>
      </c>
      <c r="I1118" s="360" t="s">
        <v>6888</v>
      </c>
      <c r="J1118" s="360" t="s">
        <v>6888</v>
      </c>
      <c r="K1118" s="360" t="s">
        <v>6888</v>
      </c>
      <c r="L1118" s="810">
        <v>16341.6</v>
      </c>
      <c r="M1118" s="810">
        <v>0</v>
      </c>
      <c r="N1118" s="360">
        <v>2021.12</v>
      </c>
      <c r="O1118" s="789" t="s">
        <v>7042</v>
      </c>
      <c r="P1118" s="360" t="s">
        <v>7043</v>
      </c>
      <c r="Q1118" s="789">
        <v>18335831522</v>
      </c>
      <c r="R1118" s="789" t="s">
        <v>7044</v>
      </c>
      <c r="S1118" s="789" t="s">
        <v>7045</v>
      </c>
      <c r="T1118" s="792"/>
      <c r="U1118" s="767"/>
    </row>
    <row r="1119" spans="1:21" ht="24" hidden="1" customHeight="1">
      <c r="A1119" s="360"/>
      <c r="B1119" s="360" t="s">
        <v>5758</v>
      </c>
      <c r="C1119" s="789" t="s">
        <v>5759</v>
      </c>
      <c r="D1119" s="973" t="s">
        <v>1193</v>
      </c>
      <c r="E1119" s="360">
        <v>12.38</v>
      </c>
      <c r="F1119" s="360" t="s">
        <v>6888</v>
      </c>
      <c r="G1119" s="360" t="s">
        <v>7040</v>
      </c>
      <c r="H1119" s="360" t="s">
        <v>7041</v>
      </c>
      <c r="I1119" s="360" t="s">
        <v>6888</v>
      </c>
      <c r="J1119" s="360" t="s">
        <v>6888</v>
      </c>
      <c r="K1119" s="360" t="s">
        <v>6888</v>
      </c>
      <c r="L1119" s="810">
        <v>579.38400000000001</v>
      </c>
      <c r="M1119" s="810">
        <v>0</v>
      </c>
      <c r="N1119" s="360">
        <v>2021.12</v>
      </c>
      <c r="O1119" s="789" t="s">
        <v>7042</v>
      </c>
      <c r="P1119" s="360" t="s">
        <v>7043</v>
      </c>
      <c r="Q1119" s="789">
        <v>18335831522</v>
      </c>
      <c r="R1119" s="789" t="s">
        <v>7044</v>
      </c>
      <c r="S1119" s="789" t="s">
        <v>7045</v>
      </c>
      <c r="T1119" s="792"/>
      <c r="U1119" s="767"/>
    </row>
    <row r="1120" spans="1:21" ht="24" hidden="1" customHeight="1">
      <c r="A1120" s="360"/>
      <c r="B1120" s="360" t="s">
        <v>4601</v>
      </c>
      <c r="C1120" s="789" t="s">
        <v>5760</v>
      </c>
      <c r="D1120" s="973" t="s">
        <v>161</v>
      </c>
      <c r="E1120" s="360">
        <v>25</v>
      </c>
      <c r="F1120" s="360" t="s">
        <v>6888</v>
      </c>
      <c r="G1120" s="360" t="s">
        <v>7040</v>
      </c>
      <c r="H1120" s="360" t="s">
        <v>7041</v>
      </c>
      <c r="I1120" s="360" t="s">
        <v>6888</v>
      </c>
      <c r="J1120" s="360" t="s">
        <v>6888</v>
      </c>
      <c r="K1120" s="360" t="s">
        <v>6888</v>
      </c>
      <c r="L1120" s="810">
        <v>619</v>
      </c>
      <c r="M1120" s="810">
        <v>605.54347826086962</v>
      </c>
      <c r="N1120" s="360">
        <v>2021.12</v>
      </c>
      <c r="O1120" s="789" t="s">
        <v>7042</v>
      </c>
      <c r="P1120" s="360" t="s">
        <v>7043</v>
      </c>
      <c r="Q1120" s="789">
        <v>18335831522</v>
      </c>
      <c r="R1120" s="789" t="s">
        <v>7044</v>
      </c>
      <c r="S1120" s="789" t="s">
        <v>7045</v>
      </c>
      <c r="T1120" s="792"/>
      <c r="U1120" s="767"/>
    </row>
    <row r="1121" spans="1:21" ht="24" hidden="1" customHeight="1">
      <c r="A1121" s="360"/>
      <c r="B1121" s="360" t="s">
        <v>4601</v>
      </c>
      <c r="C1121" s="789" t="s">
        <v>5761</v>
      </c>
      <c r="D1121" s="973" t="s">
        <v>161</v>
      </c>
      <c r="E1121" s="360">
        <v>300</v>
      </c>
      <c r="F1121" s="360" t="s">
        <v>6888</v>
      </c>
      <c r="G1121" s="360" t="s">
        <v>7040</v>
      </c>
      <c r="H1121" s="360" t="s">
        <v>7041</v>
      </c>
      <c r="I1121" s="360" t="s">
        <v>6888</v>
      </c>
      <c r="J1121" s="360" t="s">
        <v>6888</v>
      </c>
      <c r="K1121" s="360" t="s">
        <v>6888</v>
      </c>
      <c r="L1121" s="810">
        <v>4272</v>
      </c>
      <c r="M1121" s="810">
        <v>4179.130434782609</v>
      </c>
      <c r="N1121" s="360">
        <v>2021.12</v>
      </c>
      <c r="O1121" s="789" t="s">
        <v>7042</v>
      </c>
      <c r="P1121" s="360" t="s">
        <v>7043</v>
      </c>
      <c r="Q1121" s="789">
        <v>18335831522</v>
      </c>
      <c r="R1121" s="789" t="s">
        <v>7044</v>
      </c>
      <c r="S1121" s="789" t="s">
        <v>7045</v>
      </c>
      <c r="T1121" s="792"/>
      <c r="U1121" s="767"/>
    </row>
    <row r="1122" spans="1:21" ht="24" hidden="1" customHeight="1">
      <c r="A1122" s="360"/>
      <c r="B1122" s="653" t="s">
        <v>2815</v>
      </c>
      <c r="C1122" s="653" t="s">
        <v>5762</v>
      </c>
      <c r="D1122" s="653" t="s">
        <v>79</v>
      </c>
      <c r="E1122" s="653">
        <v>1</v>
      </c>
      <c r="F1122" s="360"/>
      <c r="G1122" s="360" t="s">
        <v>7040</v>
      </c>
      <c r="H1122" s="360" t="s">
        <v>7041</v>
      </c>
      <c r="I1122" s="360"/>
      <c r="J1122" s="360"/>
      <c r="K1122" s="360"/>
      <c r="L1122" s="652">
        <v>13451.33</v>
      </c>
      <c r="M1122" s="901">
        <v>13158.9097826087</v>
      </c>
      <c r="N1122" s="360">
        <v>2021.12</v>
      </c>
      <c r="O1122" s="789" t="s">
        <v>7042</v>
      </c>
      <c r="P1122" s="360" t="s">
        <v>7043</v>
      </c>
      <c r="Q1122" s="789">
        <v>18335831522</v>
      </c>
      <c r="R1122" s="789" t="s">
        <v>7044</v>
      </c>
      <c r="S1122" s="789" t="s">
        <v>7045</v>
      </c>
      <c r="T1122" s="769"/>
      <c r="U1122" s="767"/>
    </row>
    <row r="1123" spans="1:21" ht="24" hidden="1" customHeight="1">
      <c r="A1123" s="360"/>
      <c r="B1123" s="1008"/>
      <c r="C1123" s="1008"/>
      <c r="D1123" s="1602"/>
      <c r="E1123" s="480"/>
      <c r="F1123" s="238"/>
      <c r="G1123" s="238"/>
      <c r="H1123" s="238"/>
      <c r="I1123" s="238"/>
      <c r="J1123" s="238"/>
      <c r="K1123" s="238"/>
      <c r="L1123" s="1010">
        <f>SUM(L5:L1122)</f>
        <v>73971806.737247467</v>
      </c>
      <c r="M1123" s="1010">
        <f>SUM(M5:M1122)</f>
        <v>34741838.903243914</v>
      </c>
      <c r="N1123" s="238"/>
      <c r="O1123" s="238"/>
      <c r="P1123" s="238"/>
      <c r="Q1123" s="307"/>
      <c r="R1123" s="238"/>
      <c r="S1123" s="307"/>
      <c r="T1123" s="769"/>
    </row>
    <row r="1124" spans="1:21">
      <c r="A1124" s="767"/>
      <c r="B1124" s="2005"/>
      <c r="C1124" s="2006"/>
      <c r="D1124" s="767"/>
      <c r="E1124" s="767"/>
      <c r="F1124" s="767"/>
      <c r="G1124" s="767"/>
      <c r="H1124" s="767"/>
      <c r="I1124" s="767"/>
      <c r="J1124" s="767"/>
      <c r="K1124" s="767"/>
      <c r="L1124" s="767"/>
      <c r="M1124" s="767"/>
      <c r="N1124" s="767"/>
      <c r="O1124" s="767"/>
      <c r="P1124" s="767"/>
      <c r="Q1124" s="1011"/>
      <c r="R1124" s="767"/>
      <c r="S1124" s="767"/>
      <c r="T1124" s="767"/>
    </row>
    <row r="1125" spans="1:21">
      <c r="T1125" s="847"/>
      <c r="U1125" s="847"/>
    </row>
    <row r="1126" spans="1:21">
      <c r="B1126" s="2007"/>
      <c r="C1126" s="2008"/>
      <c r="N1126" s="944" t="s">
        <v>7091</v>
      </c>
      <c r="T1126" s="847"/>
      <c r="U1126" s="847"/>
    </row>
    <row r="1139" spans="15:15">
      <c r="O1139" s="944"/>
    </row>
  </sheetData>
  <autoFilter ref="A2:AB1123">
    <filterColumn colId="7">
      <filters>
        <filter val="闲置"/>
      </filters>
    </filterColumn>
  </autoFilter>
  <mergeCells count="3">
    <mergeCell ref="A1:S1"/>
    <mergeCell ref="B1124:C1124"/>
    <mergeCell ref="B1126:C1126"/>
  </mergeCells>
  <phoneticPr fontId="1" type="noConversion"/>
  <conditionalFormatting sqref="Y1043:Y1048576 Y730:Y1041 Y564:Y600 Y187:Y204 Y143:Y175 Y1:Y65 Y83:Y99 Y220:Y551 Y111:Y138 Y609:Y704">
    <cfRule type="duplicateValues" dxfId="8" priority="9"/>
  </conditionalFormatting>
  <conditionalFormatting sqref="Y139:Y142">
    <cfRule type="duplicateValues" dxfId="7" priority="8"/>
  </conditionalFormatting>
  <conditionalFormatting sqref="Y66:Y82">
    <cfRule type="duplicateValues" dxfId="6" priority="7"/>
  </conditionalFormatting>
  <conditionalFormatting sqref="Y176:Y186">
    <cfRule type="duplicateValues" dxfId="5" priority="6"/>
  </conditionalFormatting>
  <conditionalFormatting sqref="Y205:Y219">
    <cfRule type="duplicateValues" dxfId="4" priority="5"/>
  </conditionalFormatting>
  <conditionalFormatting sqref="Y552:Y563">
    <cfRule type="duplicateValues" dxfId="3" priority="4"/>
  </conditionalFormatting>
  <conditionalFormatting sqref="Y100:Y110">
    <cfRule type="duplicateValues" dxfId="2" priority="3"/>
  </conditionalFormatting>
  <conditionalFormatting sqref="Y601:Y608">
    <cfRule type="duplicateValues" dxfId="1" priority="2"/>
  </conditionalFormatting>
  <conditionalFormatting sqref="Y1042 Y705:Y729">
    <cfRule type="duplicateValues" dxfId="0" priority="1"/>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T58"/>
  <sheetViews>
    <sheetView topLeftCell="A28" workbookViewId="0">
      <selection activeCell="M14" sqref="M14"/>
    </sheetView>
  </sheetViews>
  <sheetFormatPr defaultColWidth="9" defaultRowHeight="13.5"/>
  <cols>
    <col min="1" max="1" width="6" style="1040" customWidth="1"/>
    <col min="2" max="2" width="16.875" style="1040" customWidth="1"/>
    <col min="3" max="3" width="14.25" style="1040" customWidth="1"/>
    <col min="4" max="4" width="6.875" style="1040" customWidth="1"/>
    <col min="5" max="5" width="9.375" style="1040" customWidth="1"/>
    <col min="6" max="6" width="10.125" style="1040" customWidth="1"/>
    <col min="7" max="7" width="7.125" style="1040" customWidth="1"/>
    <col min="8" max="8" width="8.5" style="1040" customWidth="1"/>
    <col min="9" max="9" width="9.375" style="1040" customWidth="1"/>
    <col min="10" max="10" width="12.75" style="1040" customWidth="1"/>
    <col min="11" max="11" width="13.875" style="1040" customWidth="1"/>
    <col min="12" max="12" width="11.25" style="1040" customWidth="1"/>
    <col min="13" max="13" width="10.625" style="1040" customWidth="1"/>
    <col min="14" max="14" width="10.5" style="1040" customWidth="1"/>
    <col min="15" max="15" width="13.375" style="1040" customWidth="1"/>
    <col min="16" max="16" width="9" style="1040"/>
    <col min="17" max="17" width="11" style="1040" customWidth="1"/>
    <col min="18" max="16384" width="9" style="1040"/>
  </cols>
  <sheetData>
    <row r="1" spans="1:20" s="1018" customFormat="1" ht="18" customHeight="1">
      <c r="A1" s="1013" t="s">
        <v>0</v>
      </c>
      <c r="B1" s="1014"/>
      <c r="C1" s="1014"/>
      <c r="D1" s="1014"/>
      <c r="E1" s="1014"/>
      <c r="F1" s="1014"/>
      <c r="G1" s="1014"/>
      <c r="H1" s="1014"/>
      <c r="I1" s="1014"/>
      <c r="J1" s="1014"/>
      <c r="K1" s="1014"/>
      <c r="L1" s="1014"/>
      <c r="M1" s="1015"/>
      <c r="N1" s="1014"/>
      <c r="O1" s="1016"/>
      <c r="P1" s="1014"/>
      <c r="Q1" s="1014"/>
      <c r="R1" s="1014"/>
      <c r="S1" s="1017"/>
    </row>
    <row r="2" spans="1:20" s="1019" customFormat="1" ht="27">
      <c r="A2" s="1799" t="s">
        <v>5763</v>
      </c>
      <c r="B2" s="1799"/>
      <c r="C2" s="1799"/>
      <c r="D2" s="1799"/>
      <c r="E2" s="1799"/>
      <c r="F2" s="1799"/>
      <c r="G2" s="1799"/>
      <c r="H2" s="1799"/>
      <c r="I2" s="1799"/>
      <c r="J2" s="1799"/>
      <c r="K2" s="1799"/>
      <c r="L2" s="1799"/>
      <c r="M2" s="1799"/>
      <c r="N2" s="1799"/>
      <c r="O2" s="1799"/>
      <c r="P2" s="1799"/>
      <c r="Q2" s="1799"/>
      <c r="R2" s="1799"/>
      <c r="S2" s="1799"/>
      <c r="T2" s="1799"/>
    </row>
    <row r="3" spans="1:20" s="1019" customFormat="1" ht="24.75" customHeight="1">
      <c r="A3" s="1934">
        <v>44648</v>
      </c>
      <c r="B3" s="1935"/>
      <c r="C3" s="1935"/>
      <c r="D3" s="1935"/>
      <c r="E3" s="1935"/>
      <c r="F3" s="1935"/>
      <c r="G3" s="1935"/>
      <c r="H3" s="1935"/>
      <c r="I3" s="1935"/>
      <c r="J3" s="1935"/>
      <c r="K3" s="1935"/>
      <c r="L3" s="1935"/>
      <c r="M3" s="1935"/>
      <c r="N3" s="1935"/>
      <c r="O3" s="1935"/>
      <c r="P3" s="1935"/>
      <c r="Q3" s="1935"/>
      <c r="R3" s="1935"/>
      <c r="S3" s="1935"/>
      <c r="T3" s="1935"/>
    </row>
    <row r="4" spans="1:20" s="1018" customFormat="1" ht="19.5" customHeight="1">
      <c r="A4" s="2009" t="s">
        <v>2</v>
      </c>
      <c r="B4" s="2010" t="s">
        <v>3</v>
      </c>
      <c r="C4" s="2010" t="s">
        <v>4</v>
      </c>
      <c r="D4" s="2009" t="s">
        <v>5</v>
      </c>
      <c r="E4" s="2010" t="s">
        <v>1729</v>
      </c>
      <c r="F4" s="991" t="s">
        <v>1730</v>
      </c>
      <c r="G4" s="2010" t="s">
        <v>8</v>
      </c>
      <c r="H4" s="2011" t="s">
        <v>9</v>
      </c>
      <c r="I4" s="1020" t="s">
        <v>10</v>
      </c>
      <c r="J4" s="2010" t="s">
        <v>11</v>
      </c>
      <c r="K4" s="991" t="s">
        <v>12</v>
      </c>
      <c r="L4" s="991" t="s">
        <v>13</v>
      </c>
      <c r="M4" s="103" t="s">
        <v>14</v>
      </c>
      <c r="N4" s="2010" t="s">
        <v>15</v>
      </c>
      <c r="O4" s="2010" t="s">
        <v>16</v>
      </c>
      <c r="P4" s="2009" t="s">
        <v>17</v>
      </c>
      <c r="Q4" s="2010" t="s">
        <v>18</v>
      </c>
      <c r="R4" s="2014" t="s">
        <v>19</v>
      </c>
      <c r="S4" s="2013" t="s">
        <v>20</v>
      </c>
      <c r="T4" s="2013" t="s">
        <v>21</v>
      </c>
    </row>
    <row r="5" spans="1:20" s="1018" customFormat="1" ht="18" customHeight="1">
      <c r="A5" s="2009"/>
      <c r="B5" s="2010"/>
      <c r="C5" s="2010"/>
      <c r="D5" s="2009"/>
      <c r="E5" s="2010"/>
      <c r="F5" s="991" t="s">
        <v>22</v>
      </c>
      <c r="G5" s="2010"/>
      <c r="H5" s="2012"/>
      <c r="I5" s="1020" t="s">
        <v>23</v>
      </c>
      <c r="J5" s="2010"/>
      <c r="K5" s="991" t="s">
        <v>24</v>
      </c>
      <c r="L5" s="103" t="s">
        <v>25</v>
      </c>
      <c r="M5" s="103" t="s">
        <v>25</v>
      </c>
      <c r="N5" s="2010"/>
      <c r="O5" s="2010"/>
      <c r="P5" s="2009"/>
      <c r="Q5" s="2010"/>
      <c r="R5" s="2014"/>
      <c r="S5" s="2013"/>
      <c r="T5" s="2013"/>
    </row>
    <row r="6" spans="1:20" s="1018" customFormat="1" ht="20.100000000000001" customHeight="1">
      <c r="A6" s="1021" t="s">
        <v>26</v>
      </c>
      <c r="B6" s="1022" t="s">
        <v>27</v>
      </c>
      <c r="C6" s="991"/>
      <c r="D6" s="1020"/>
      <c r="E6" s="991"/>
      <c r="F6" s="991"/>
      <c r="G6" s="991"/>
      <c r="H6" s="1023"/>
      <c r="I6" s="1020"/>
      <c r="J6" s="991"/>
      <c r="K6" s="991"/>
      <c r="L6" s="991"/>
      <c r="M6" s="103"/>
      <c r="N6" s="991"/>
      <c r="O6" s="991"/>
      <c r="P6" s="1020"/>
      <c r="Q6" s="991"/>
      <c r="R6" s="1024"/>
      <c r="S6" s="903"/>
      <c r="T6" s="903"/>
    </row>
    <row r="7" spans="1:20" s="1018" customFormat="1" ht="20.100000000000001" customHeight="1">
      <c r="A7" s="1020">
        <v>1</v>
      </c>
      <c r="B7" s="991" t="s">
        <v>28</v>
      </c>
      <c r="C7" s="991" t="s">
        <v>34</v>
      </c>
      <c r="D7" s="1020" t="s">
        <v>79</v>
      </c>
      <c r="E7" s="991">
        <v>14</v>
      </c>
      <c r="F7" s="991">
        <v>1.4</v>
      </c>
      <c r="G7" s="991" t="s">
        <v>32</v>
      </c>
      <c r="H7" s="1023" t="s">
        <v>33</v>
      </c>
      <c r="I7" s="1020" t="s">
        <v>34</v>
      </c>
      <c r="J7" s="991" t="s">
        <v>34</v>
      </c>
      <c r="K7" s="991" t="s">
        <v>34</v>
      </c>
      <c r="L7" s="991">
        <v>32200</v>
      </c>
      <c r="M7" s="1025">
        <v>3920</v>
      </c>
      <c r="N7" s="991">
        <v>2015.9</v>
      </c>
      <c r="O7" s="991" t="s">
        <v>5764</v>
      </c>
      <c r="P7" s="1020" t="s">
        <v>5765</v>
      </c>
      <c r="Q7" s="1026">
        <v>17888717559</v>
      </c>
      <c r="R7" s="1024" t="s">
        <v>5766</v>
      </c>
      <c r="S7" s="903" t="s">
        <v>5767</v>
      </c>
      <c r="T7" s="903"/>
    </row>
    <row r="8" spans="1:20" s="1018" customFormat="1" ht="20.100000000000001" customHeight="1">
      <c r="A8" s="1020"/>
      <c r="B8" s="991" t="s">
        <v>3717</v>
      </c>
      <c r="C8" s="991"/>
      <c r="D8" s="1020"/>
      <c r="E8" s="991"/>
      <c r="F8" s="991"/>
      <c r="G8" s="991"/>
      <c r="H8" s="1023"/>
      <c r="I8" s="1020"/>
      <c r="J8" s="991"/>
      <c r="K8" s="991"/>
      <c r="L8" s="991"/>
      <c r="M8" s="103"/>
      <c r="N8" s="991"/>
      <c r="O8" s="991"/>
      <c r="P8" s="1020"/>
      <c r="Q8" s="991"/>
      <c r="R8" s="1024"/>
      <c r="S8" s="903"/>
      <c r="T8" s="903"/>
    </row>
    <row r="9" spans="1:20" s="1018" customFormat="1" ht="20.100000000000001" customHeight="1">
      <c r="A9" s="1020">
        <v>2</v>
      </c>
      <c r="B9" s="991" t="s">
        <v>84</v>
      </c>
      <c r="C9" s="991"/>
      <c r="D9" s="1020"/>
      <c r="E9" s="991"/>
      <c r="F9" s="991"/>
      <c r="G9" s="991"/>
      <c r="H9" s="1023"/>
      <c r="I9" s="1020"/>
      <c r="J9" s="991"/>
      <c r="K9" s="991"/>
      <c r="L9" s="991"/>
      <c r="M9" s="103"/>
      <c r="N9" s="991"/>
      <c r="O9" s="991"/>
      <c r="P9" s="1020"/>
      <c r="Q9" s="991"/>
      <c r="R9" s="1024"/>
      <c r="S9" s="903"/>
      <c r="T9" s="903"/>
    </row>
    <row r="10" spans="1:20" s="1018" customFormat="1" ht="20.100000000000001" customHeight="1">
      <c r="A10" s="1020"/>
      <c r="B10" s="991" t="s">
        <v>3717</v>
      </c>
      <c r="C10" s="991"/>
      <c r="D10" s="1020"/>
      <c r="E10" s="991"/>
      <c r="F10" s="991"/>
      <c r="G10" s="991"/>
      <c r="H10" s="1023"/>
      <c r="I10" s="1020"/>
      <c r="J10" s="991"/>
      <c r="K10" s="991"/>
      <c r="L10" s="991"/>
      <c r="M10" s="103"/>
      <c r="N10" s="991"/>
      <c r="O10" s="991"/>
      <c r="P10" s="1020"/>
      <c r="Q10" s="991"/>
      <c r="R10" s="1024"/>
      <c r="S10" s="903"/>
      <c r="T10" s="903"/>
    </row>
    <row r="11" spans="1:20" s="1018" customFormat="1" ht="20.100000000000001" customHeight="1">
      <c r="A11" s="1020">
        <v>3</v>
      </c>
      <c r="B11" s="991" t="s">
        <v>134</v>
      </c>
      <c r="C11" s="991"/>
      <c r="D11" s="1020"/>
      <c r="E11" s="991"/>
      <c r="F11" s="991"/>
      <c r="G11" s="991"/>
      <c r="H11" s="1023"/>
      <c r="I11" s="1020"/>
      <c r="J11" s="991"/>
      <c r="K11" s="991"/>
      <c r="L11" s="991"/>
      <c r="M11" s="103"/>
      <c r="N11" s="991"/>
      <c r="O11" s="991"/>
      <c r="P11" s="1020"/>
      <c r="Q11" s="991"/>
      <c r="R11" s="1024"/>
      <c r="S11" s="903"/>
      <c r="T11" s="903"/>
    </row>
    <row r="12" spans="1:20" s="1018" customFormat="1" ht="20.100000000000001" customHeight="1">
      <c r="A12" s="1020"/>
      <c r="B12" s="991" t="s">
        <v>3717</v>
      </c>
      <c r="C12" s="991"/>
      <c r="D12" s="1020"/>
      <c r="E12" s="991"/>
      <c r="F12" s="991"/>
      <c r="G12" s="991"/>
      <c r="H12" s="1023"/>
      <c r="I12" s="1020"/>
      <c r="J12" s="991"/>
      <c r="K12" s="991"/>
      <c r="L12" s="991"/>
      <c r="M12" s="103"/>
      <c r="N12" s="991"/>
      <c r="O12" s="991"/>
      <c r="P12" s="1020"/>
      <c r="Q12" s="991"/>
      <c r="R12" s="1024"/>
      <c r="S12" s="903"/>
      <c r="T12" s="903"/>
    </row>
    <row r="13" spans="1:20" s="1018" customFormat="1" ht="20.100000000000001" customHeight="1">
      <c r="A13" s="1020">
        <v>4</v>
      </c>
      <c r="B13" s="991" t="s">
        <v>353</v>
      </c>
      <c r="C13" s="991"/>
      <c r="D13" s="1020"/>
      <c r="E13" s="991"/>
      <c r="F13" s="991"/>
      <c r="G13" s="991"/>
      <c r="H13" s="1023"/>
      <c r="I13" s="1020"/>
      <c r="J13" s="991"/>
      <c r="K13" s="991"/>
      <c r="L13" s="991"/>
      <c r="M13" s="103"/>
      <c r="N13" s="991"/>
      <c r="O13" s="991"/>
      <c r="P13" s="1020"/>
      <c r="Q13" s="991"/>
      <c r="R13" s="1024"/>
      <c r="S13" s="903"/>
      <c r="T13" s="903"/>
    </row>
    <row r="14" spans="1:20" s="1018" customFormat="1" ht="20.100000000000001" customHeight="1">
      <c r="A14" s="1020"/>
      <c r="B14" s="991" t="s">
        <v>3717</v>
      </c>
      <c r="C14" s="991"/>
      <c r="D14" s="1020"/>
      <c r="E14" s="991"/>
      <c r="F14" s="991"/>
      <c r="G14" s="991"/>
      <c r="H14" s="1023"/>
      <c r="I14" s="1020"/>
      <c r="J14" s="991"/>
      <c r="K14" s="991"/>
      <c r="L14" s="991"/>
      <c r="M14" s="103"/>
      <c r="N14" s="991"/>
      <c r="O14" s="991"/>
      <c r="P14" s="1020"/>
      <c r="Q14" s="991"/>
      <c r="R14" s="1024"/>
      <c r="S14" s="903"/>
      <c r="T14" s="903"/>
    </row>
    <row r="15" spans="1:20" s="1018" customFormat="1" ht="20.100000000000001" customHeight="1">
      <c r="A15" s="1020">
        <v>5</v>
      </c>
      <c r="B15" s="991" t="s">
        <v>510</v>
      </c>
      <c r="C15" s="991"/>
      <c r="D15" s="1020"/>
      <c r="E15" s="991"/>
      <c r="F15" s="991"/>
      <c r="G15" s="991"/>
      <c r="H15" s="1023"/>
      <c r="I15" s="1020"/>
      <c r="J15" s="991"/>
      <c r="K15" s="991"/>
      <c r="L15" s="991"/>
      <c r="M15" s="103"/>
      <c r="N15" s="991"/>
      <c r="O15" s="991"/>
      <c r="P15" s="1020"/>
      <c r="Q15" s="991"/>
      <c r="R15" s="1024"/>
      <c r="S15" s="903"/>
      <c r="T15" s="903"/>
    </row>
    <row r="16" spans="1:20" s="1018" customFormat="1" ht="20.100000000000001" customHeight="1">
      <c r="A16" s="1020"/>
      <c r="B16" s="991" t="s">
        <v>3717</v>
      </c>
      <c r="C16" s="991"/>
      <c r="D16" s="1020"/>
      <c r="E16" s="991"/>
      <c r="F16" s="991"/>
      <c r="G16" s="991"/>
      <c r="H16" s="1023"/>
      <c r="I16" s="1020"/>
      <c r="J16" s="991"/>
      <c r="K16" s="991"/>
      <c r="L16" s="991"/>
      <c r="M16" s="103"/>
      <c r="N16" s="991"/>
      <c r="O16" s="991"/>
      <c r="P16" s="1020"/>
      <c r="Q16" s="991"/>
      <c r="R16" s="1024"/>
      <c r="S16" s="903"/>
      <c r="T16" s="903"/>
    </row>
    <row r="17" spans="1:20" s="1030" customFormat="1" ht="20.100000000000001" customHeight="1">
      <c r="A17" s="1027" t="s">
        <v>511</v>
      </c>
      <c r="B17" s="1028" t="s">
        <v>512</v>
      </c>
      <c r="C17" s="1029"/>
      <c r="D17" s="312"/>
      <c r="E17" s="312"/>
      <c r="F17" s="312"/>
      <c r="G17" s="312"/>
      <c r="H17" s="312"/>
      <c r="I17" s="312"/>
      <c r="J17" s="312"/>
      <c r="K17" s="312"/>
      <c r="L17" s="312"/>
      <c r="M17" s="312"/>
      <c r="N17" s="312"/>
      <c r="O17" s="312"/>
      <c r="P17" s="312"/>
      <c r="Q17" s="312"/>
      <c r="R17" s="312"/>
      <c r="S17" s="312"/>
      <c r="T17" s="312"/>
    </row>
    <row r="18" spans="1:20" s="1030" customFormat="1" ht="20.100000000000001" customHeight="1">
      <c r="A18" s="1027">
        <v>1</v>
      </c>
      <c r="B18" s="1027" t="s">
        <v>513</v>
      </c>
      <c r="C18" s="906" t="s">
        <v>5768</v>
      </c>
      <c r="D18" s="1020" t="s">
        <v>1193</v>
      </c>
      <c r="E18" s="1020">
        <v>1359</v>
      </c>
      <c r="F18" s="1020">
        <v>226.5</v>
      </c>
      <c r="G18" s="1020" t="s">
        <v>32</v>
      </c>
      <c r="H18" s="1020" t="s">
        <v>5769</v>
      </c>
      <c r="I18" s="991" t="s">
        <v>34</v>
      </c>
      <c r="J18" s="991" t="s">
        <v>34</v>
      </c>
      <c r="K18" s="991" t="s">
        <v>34</v>
      </c>
      <c r="L18" s="1020">
        <v>1208000</v>
      </c>
      <c r="M18" s="991" t="s">
        <v>34</v>
      </c>
      <c r="N18" s="991" t="s">
        <v>34</v>
      </c>
      <c r="O18" s="991" t="s">
        <v>5770</v>
      </c>
      <c r="P18" s="1020" t="s">
        <v>5771</v>
      </c>
      <c r="Q18" s="1020">
        <v>13681376520</v>
      </c>
      <c r="R18" s="1020" t="s">
        <v>5772</v>
      </c>
      <c r="S18" s="1020" t="s">
        <v>5767</v>
      </c>
      <c r="T18" s="1020" t="s">
        <v>5773</v>
      </c>
    </row>
    <row r="19" spans="1:20" s="1030" customFormat="1" ht="20.100000000000001" customHeight="1">
      <c r="A19" s="1027"/>
      <c r="B19" s="1028" t="s">
        <v>3717</v>
      </c>
      <c r="C19" s="1029"/>
      <c r="D19" s="312"/>
      <c r="E19" s="312"/>
      <c r="F19" s="312"/>
      <c r="G19" s="312"/>
      <c r="H19" s="312"/>
      <c r="I19" s="312"/>
      <c r="J19" s="312"/>
      <c r="K19" s="312"/>
      <c r="L19" s="312"/>
      <c r="M19" s="312"/>
      <c r="N19" s="312"/>
      <c r="O19" s="312"/>
      <c r="P19" s="312"/>
      <c r="Q19" s="312"/>
      <c r="R19" s="312"/>
      <c r="S19" s="312"/>
      <c r="T19" s="312"/>
    </row>
    <row r="20" spans="1:20" s="1030" customFormat="1" ht="20.100000000000001" customHeight="1">
      <c r="A20" s="1027">
        <v>2</v>
      </c>
      <c r="B20" s="906" t="s">
        <v>890</v>
      </c>
      <c r="C20" s="1029"/>
      <c r="D20" s="312"/>
      <c r="E20" s="312"/>
      <c r="F20" s="312"/>
      <c r="G20" s="312"/>
      <c r="H20" s="312"/>
      <c r="I20" s="312"/>
      <c r="J20" s="312"/>
      <c r="K20" s="312"/>
      <c r="L20" s="312"/>
      <c r="M20" s="312"/>
      <c r="N20" s="312"/>
      <c r="O20" s="312"/>
      <c r="P20" s="312"/>
      <c r="Q20" s="312"/>
      <c r="R20" s="312"/>
      <c r="S20" s="312"/>
      <c r="T20" s="312"/>
    </row>
    <row r="21" spans="1:20" s="1030" customFormat="1" ht="20.100000000000001" customHeight="1">
      <c r="A21" s="1027"/>
      <c r="B21" s="906" t="s">
        <v>3717</v>
      </c>
      <c r="C21" s="1029"/>
      <c r="D21" s="312"/>
      <c r="E21" s="312"/>
      <c r="F21" s="312"/>
      <c r="G21" s="312"/>
      <c r="H21" s="312"/>
      <c r="I21" s="312"/>
      <c r="J21" s="312"/>
      <c r="K21" s="312"/>
      <c r="L21" s="312"/>
      <c r="M21" s="312"/>
      <c r="N21" s="312"/>
      <c r="O21" s="312"/>
      <c r="P21" s="312"/>
      <c r="Q21" s="312"/>
      <c r="R21" s="312"/>
      <c r="S21" s="312"/>
      <c r="T21" s="312"/>
    </row>
    <row r="22" spans="1:20" s="1030" customFormat="1" ht="20.100000000000001" customHeight="1">
      <c r="A22" s="1027">
        <v>3</v>
      </c>
      <c r="B22" s="906" t="s">
        <v>981</v>
      </c>
      <c r="C22" s="1029"/>
      <c r="D22" s="312"/>
      <c r="E22" s="312"/>
      <c r="F22" s="312"/>
      <c r="G22" s="312"/>
      <c r="H22" s="312"/>
      <c r="I22" s="312"/>
      <c r="J22" s="312"/>
      <c r="K22" s="312"/>
      <c r="L22" s="312"/>
      <c r="M22" s="312"/>
      <c r="N22" s="312"/>
      <c r="O22" s="312"/>
      <c r="P22" s="312"/>
      <c r="Q22" s="312"/>
      <c r="R22" s="312"/>
      <c r="S22" s="312"/>
      <c r="T22" s="312"/>
    </row>
    <row r="23" spans="1:20" s="1030" customFormat="1" ht="20.100000000000001" customHeight="1">
      <c r="A23" s="1027"/>
      <c r="B23" s="906" t="s">
        <v>3717</v>
      </c>
      <c r="C23" s="1029"/>
      <c r="D23" s="312"/>
      <c r="E23" s="312"/>
      <c r="F23" s="312"/>
      <c r="G23" s="312"/>
      <c r="H23" s="312"/>
      <c r="I23" s="312"/>
      <c r="J23" s="312"/>
      <c r="K23" s="312"/>
      <c r="L23" s="312"/>
      <c r="M23" s="312"/>
      <c r="N23" s="312"/>
      <c r="O23" s="312"/>
      <c r="P23" s="312"/>
      <c r="Q23" s="312"/>
      <c r="R23" s="312"/>
      <c r="S23" s="312"/>
      <c r="T23" s="312"/>
    </row>
    <row r="24" spans="1:20" s="1030" customFormat="1" ht="20.100000000000001" customHeight="1">
      <c r="A24" s="1027">
        <v>4</v>
      </c>
      <c r="B24" s="906" t="s">
        <v>982</v>
      </c>
      <c r="C24" s="1029"/>
      <c r="D24" s="312"/>
      <c r="E24" s="312"/>
      <c r="F24" s="312"/>
      <c r="G24" s="312"/>
      <c r="H24" s="312"/>
      <c r="I24" s="312"/>
      <c r="J24" s="312"/>
      <c r="K24" s="312"/>
      <c r="L24" s="312"/>
      <c r="M24" s="312"/>
      <c r="N24" s="312"/>
      <c r="O24" s="312"/>
      <c r="P24" s="312"/>
      <c r="Q24" s="312"/>
      <c r="R24" s="312"/>
      <c r="S24" s="312"/>
      <c r="T24" s="312"/>
    </row>
    <row r="25" spans="1:20" s="1030" customFormat="1" ht="20.100000000000001" customHeight="1">
      <c r="A25" s="1027"/>
      <c r="B25" s="906" t="s">
        <v>3717</v>
      </c>
      <c r="C25" s="1029"/>
      <c r="D25" s="312"/>
      <c r="E25" s="312"/>
      <c r="F25" s="312"/>
      <c r="G25" s="312"/>
      <c r="H25" s="312"/>
      <c r="I25" s="312"/>
      <c r="J25" s="312"/>
      <c r="K25" s="312"/>
      <c r="L25" s="312"/>
      <c r="M25" s="312"/>
      <c r="N25" s="312"/>
      <c r="O25" s="312"/>
      <c r="P25" s="312"/>
      <c r="Q25" s="312"/>
      <c r="R25" s="312"/>
      <c r="S25" s="312"/>
      <c r="T25" s="312"/>
    </row>
    <row r="26" spans="1:20" s="1030" customFormat="1" ht="20.100000000000001" customHeight="1">
      <c r="A26" s="1028" t="s">
        <v>1006</v>
      </c>
      <c r="B26" s="1031" t="s">
        <v>1007</v>
      </c>
      <c r="C26" s="1029"/>
      <c r="D26" s="312"/>
      <c r="E26" s="312"/>
      <c r="F26" s="312"/>
      <c r="G26" s="312"/>
      <c r="H26" s="312"/>
      <c r="I26" s="312"/>
      <c r="J26" s="312"/>
      <c r="K26" s="312"/>
      <c r="L26" s="312"/>
      <c r="M26" s="312"/>
      <c r="N26" s="312"/>
      <c r="O26" s="312"/>
      <c r="P26" s="312"/>
      <c r="Q26" s="312"/>
      <c r="R26" s="312"/>
      <c r="S26" s="312"/>
      <c r="T26" s="312"/>
    </row>
    <row r="27" spans="1:20" s="1030" customFormat="1" ht="20.100000000000001" customHeight="1">
      <c r="A27" s="1029">
        <v>1</v>
      </c>
      <c r="B27" s="906" t="s">
        <v>1008</v>
      </c>
      <c r="C27" s="1029"/>
      <c r="D27" s="312"/>
      <c r="E27" s="312"/>
      <c r="F27" s="312"/>
      <c r="G27" s="312"/>
      <c r="H27" s="312"/>
      <c r="I27" s="312"/>
      <c r="J27" s="312"/>
      <c r="K27" s="312"/>
      <c r="L27" s="312"/>
      <c r="M27" s="312"/>
      <c r="N27" s="312"/>
      <c r="O27" s="312"/>
      <c r="P27" s="312"/>
      <c r="Q27" s="312"/>
      <c r="R27" s="312"/>
      <c r="S27" s="312"/>
      <c r="T27" s="312"/>
    </row>
    <row r="28" spans="1:20" s="1030" customFormat="1" ht="20.100000000000001" customHeight="1">
      <c r="A28" s="1029"/>
      <c r="B28" s="906" t="s">
        <v>3717</v>
      </c>
      <c r="C28" s="1032"/>
      <c r="D28" s="1032"/>
      <c r="E28" s="1032"/>
      <c r="F28" s="1032"/>
      <c r="G28" s="1032"/>
      <c r="H28" s="1032"/>
      <c r="I28" s="1033"/>
      <c r="J28" s="1032"/>
      <c r="K28" s="1032"/>
      <c r="L28" s="1032"/>
      <c r="M28" s="1009"/>
      <c r="N28" s="1032"/>
      <c r="O28" s="1032"/>
      <c r="P28" s="1032"/>
      <c r="Q28" s="1032"/>
      <c r="R28" s="1034"/>
      <c r="S28" s="902"/>
      <c r="T28" s="906"/>
    </row>
    <row r="29" spans="1:20" s="1030" customFormat="1" ht="20.100000000000001" customHeight="1">
      <c r="A29" s="1029">
        <v>2</v>
      </c>
      <c r="B29" s="906" t="s">
        <v>1042</v>
      </c>
      <c r="C29" s="1029"/>
      <c r="D29" s="1035"/>
      <c r="E29" s="312"/>
      <c r="F29" s="312"/>
      <c r="G29" s="312"/>
      <c r="H29" s="312"/>
      <c r="I29" s="312"/>
      <c r="J29" s="312"/>
      <c r="K29" s="312"/>
      <c r="L29" s="312"/>
      <c r="M29" s="312"/>
      <c r="N29" s="312"/>
      <c r="O29" s="312"/>
      <c r="P29" s="312"/>
      <c r="Q29" s="312"/>
      <c r="R29" s="312"/>
      <c r="S29" s="312"/>
      <c r="T29" s="312"/>
    </row>
    <row r="30" spans="1:20" s="1030" customFormat="1" ht="20.100000000000001" customHeight="1">
      <c r="A30" s="1029"/>
      <c r="B30" s="906" t="s">
        <v>3717</v>
      </c>
      <c r="C30" s="1029"/>
      <c r="D30" s="312"/>
      <c r="E30" s="312"/>
      <c r="F30" s="312"/>
      <c r="G30" s="312"/>
      <c r="H30" s="312"/>
      <c r="I30" s="312"/>
      <c r="J30" s="312"/>
      <c r="K30" s="312"/>
      <c r="L30" s="312"/>
      <c r="M30" s="312"/>
      <c r="N30" s="312"/>
      <c r="O30" s="312"/>
      <c r="P30" s="312"/>
      <c r="Q30" s="312"/>
      <c r="R30" s="312"/>
      <c r="S30" s="312"/>
      <c r="T30" s="312"/>
    </row>
    <row r="31" spans="1:20" s="1030" customFormat="1" ht="20.100000000000001" customHeight="1">
      <c r="A31" s="1029">
        <v>3</v>
      </c>
      <c r="B31" s="906" t="s">
        <v>1043</v>
      </c>
      <c r="C31" s="1029"/>
      <c r="D31" s="312"/>
      <c r="E31" s="312"/>
      <c r="F31" s="312"/>
      <c r="G31" s="312"/>
      <c r="H31" s="312"/>
      <c r="I31" s="312"/>
      <c r="J31" s="312"/>
      <c r="K31" s="312"/>
      <c r="L31" s="312"/>
      <c r="M31" s="312"/>
      <c r="N31" s="312"/>
      <c r="O31" s="312"/>
      <c r="P31" s="312"/>
      <c r="Q31" s="312"/>
      <c r="R31" s="312"/>
      <c r="S31" s="312"/>
      <c r="T31" s="312"/>
    </row>
    <row r="32" spans="1:20" s="1030" customFormat="1" ht="20.100000000000001" customHeight="1">
      <c r="A32" s="1029"/>
      <c r="B32" s="906" t="s">
        <v>3717</v>
      </c>
      <c r="C32" s="1029"/>
      <c r="D32" s="312"/>
      <c r="E32" s="312"/>
      <c r="F32" s="312"/>
      <c r="G32" s="312"/>
      <c r="H32" s="312"/>
      <c r="I32" s="312"/>
      <c r="J32" s="312"/>
      <c r="K32" s="312"/>
      <c r="L32" s="312"/>
      <c r="M32" s="312"/>
      <c r="N32" s="312"/>
      <c r="O32" s="312"/>
      <c r="P32" s="312"/>
      <c r="Q32" s="312"/>
      <c r="R32" s="312"/>
      <c r="S32" s="312"/>
      <c r="T32" s="312"/>
    </row>
    <row r="33" spans="1:20" s="1030" customFormat="1" ht="20.100000000000001" customHeight="1">
      <c r="A33" s="1029">
        <v>4</v>
      </c>
      <c r="B33" s="906" t="s">
        <v>1044</v>
      </c>
      <c r="C33" s="1029"/>
      <c r="D33" s="312"/>
      <c r="E33" s="312"/>
      <c r="F33" s="312"/>
      <c r="G33" s="312"/>
      <c r="H33" s="312"/>
      <c r="I33" s="312"/>
      <c r="J33" s="312"/>
      <c r="K33" s="312"/>
      <c r="L33" s="312"/>
      <c r="M33" s="312"/>
      <c r="N33" s="312"/>
      <c r="O33" s="312"/>
      <c r="P33" s="312"/>
      <c r="Q33" s="312"/>
      <c r="R33" s="312"/>
      <c r="S33" s="312"/>
      <c r="T33" s="312"/>
    </row>
    <row r="34" spans="1:20" s="1030" customFormat="1" ht="20.100000000000001" customHeight="1">
      <c r="A34" s="1029"/>
      <c r="B34" s="906" t="s">
        <v>3717</v>
      </c>
      <c r="C34" s="1029"/>
      <c r="D34" s="312"/>
      <c r="E34" s="312"/>
      <c r="F34" s="312"/>
      <c r="G34" s="312"/>
      <c r="H34" s="312"/>
      <c r="I34" s="312"/>
      <c r="J34" s="312"/>
      <c r="K34" s="312"/>
      <c r="L34" s="312"/>
      <c r="M34" s="312"/>
      <c r="N34" s="312"/>
      <c r="O34" s="312"/>
      <c r="P34" s="312"/>
      <c r="Q34" s="312"/>
      <c r="R34" s="312"/>
      <c r="S34" s="312"/>
      <c r="T34" s="312"/>
    </row>
    <row r="35" spans="1:20" s="1030" customFormat="1" ht="20.100000000000001" customHeight="1">
      <c r="A35" s="1029">
        <v>5</v>
      </c>
      <c r="B35" s="906" t="s">
        <v>1097</v>
      </c>
      <c r="C35" s="1029"/>
      <c r="D35" s="312"/>
      <c r="E35" s="312"/>
      <c r="F35" s="312"/>
      <c r="G35" s="312"/>
      <c r="H35" s="312"/>
      <c r="I35" s="312"/>
      <c r="J35" s="312"/>
      <c r="K35" s="312"/>
      <c r="L35" s="312"/>
      <c r="M35" s="312"/>
      <c r="N35" s="312"/>
      <c r="O35" s="312"/>
      <c r="P35" s="312"/>
      <c r="Q35" s="312"/>
      <c r="R35" s="312"/>
      <c r="S35" s="312"/>
      <c r="T35" s="312"/>
    </row>
    <row r="36" spans="1:20" s="1030" customFormat="1" ht="20.100000000000001" customHeight="1">
      <c r="A36" s="1029"/>
      <c r="B36" s="906" t="s">
        <v>3717</v>
      </c>
      <c r="C36" s="1029"/>
      <c r="D36" s="312"/>
      <c r="E36" s="312"/>
      <c r="F36" s="312"/>
      <c r="G36" s="312"/>
      <c r="H36" s="312"/>
      <c r="I36" s="312"/>
      <c r="J36" s="312"/>
      <c r="K36" s="312"/>
      <c r="L36" s="312"/>
      <c r="M36" s="312"/>
      <c r="N36" s="312"/>
      <c r="O36" s="312"/>
      <c r="P36" s="312"/>
      <c r="Q36" s="312"/>
      <c r="R36" s="312"/>
      <c r="S36" s="312"/>
      <c r="T36" s="312"/>
    </row>
    <row r="37" spans="1:20" s="1030" customFormat="1" ht="20.100000000000001" customHeight="1">
      <c r="A37" s="1029">
        <v>6</v>
      </c>
      <c r="B37" s="906" t="s">
        <v>1107</v>
      </c>
      <c r="C37" s="1029"/>
      <c r="D37" s="312"/>
      <c r="E37" s="312"/>
      <c r="F37" s="312"/>
      <c r="G37" s="312"/>
      <c r="H37" s="312"/>
      <c r="I37" s="312"/>
      <c r="J37" s="312"/>
      <c r="K37" s="312"/>
      <c r="L37" s="312"/>
      <c r="M37" s="312"/>
      <c r="N37" s="312"/>
      <c r="O37" s="312"/>
      <c r="P37" s="312"/>
      <c r="Q37" s="312"/>
      <c r="R37" s="312"/>
      <c r="S37" s="312"/>
      <c r="T37" s="312"/>
    </row>
    <row r="38" spans="1:20" s="1030" customFormat="1" ht="20.100000000000001" customHeight="1">
      <c r="A38" s="1029"/>
      <c r="B38" s="906" t="s">
        <v>3717</v>
      </c>
      <c r="C38" s="1029"/>
      <c r="D38" s="312"/>
      <c r="E38" s="312"/>
      <c r="F38" s="312"/>
      <c r="G38" s="312"/>
      <c r="H38" s="312"/>
      <c r="I38" s="312"/>
      <c r="J38" s="312"/>
      <c r="K38" s="312"/>
      <c r="L38" s="312"/>
      <c r="M38" s="312"/>
      <c r="N38" s="312"/>
      <c r="O38" s="312"/>
      <c r="P38" s="312"/>
      <c r="Q38" s="312"/>
      <c r="R38" s="312"/>
      <c r="S38" s="312"/>
      <c r="T38" s="312"/>
    </row>
    <row r="39" spans="1:20" s="1030" customFormat="1" ht="20.100000000000001" customHeight="1">
      <c r="A39" s="1028" t="s">
        <v>1108</v>
      </c>
      <c r="B39" s="1028" t="s">
        <v>1109</v>
      </c>
      <c r="C39" s="1029"/>
      <c r="D39" s="312"/>
      <c r="E39" s="312"/>
      <c r="F39" s="312"/>
      <c r="G39" s="312"/>
      <c r="H39" s="312"/>
      <c r="I39" s="312"/>
      <c r="J39" s="312"/>
      <c r="K39" s="312"/>
      <c r="L39" s="312"/>
      <c r="M39" s="312"/>
      <c r="N39" s="312"/>
      <c r="O39" s="312"/>
      <c r="P39" s="312"/>
      <c r="Q39" s="312"/>
      <c r="R39" s="312"/>
      <c r="S39" s="312"/>
      <c r="T39" s="312"/>
    </row>
    <row r="40" spans="1:20" s="1030" customFormat="1" ht="20.100000000000001" customHeight="1">
      <c r="A40" s="1029">
        <v>1</v>
      </c>
      <c r="B40" s="906" t="s">
        <v>1110</v>
      </c>
      <c r="C40" s="1029"/>
      <c r="D40" s="312"/>
      <c r="E40" s="312"/>
      <c r="F40" s="312"/>
      <c r="G40" s="312"/>
      <c r="H40" s="312"/>
      <c r="I40" s="312"/>
      <c r="J40" s="312"/>
      <c r="K40" s="312"/>
      <c r="L40" s="312"/>
      <c r="M40" s="312"/>
      <c r="N40" s="312"/>
      <c r="O40" s="312"/>
      <c r="P40" s="312"/>
      <c r="Q40" s="312"/>
      <c r="R40" s="312"/>
      <c r="S40" s="312"/>
      <c r="T40" s="312"/>
    </row>
    <row r="41" spans="1:20" s="1030" customFormat="1" ht="20.100000000000001" customHeight="1">
      <c r="A41" s="1029"/>
      <c r="B41" s="906" t="s">
        <v>3717</v>
      </c>
      <c r="C41" s="1029"/>
      <c r="D41" s="312"/>
      <c r="E41" s="312"/>
      <c r="F41" s="312"/>
      <c r="G41" s="312"/>
      <c r="H41" s="312"/>
      <c r="I41" s="312"/>
      <c r="J41" s="312"/>
      <c r="K41" s="312"/>
      <c r="L41" s="312"/>
      <c r="M41" s="312"/>
      <c r="N41" s="312"/>
      <c r="O41" s="312"/>
      <c r="P41" s="312"/>
      <c r="Q41" s="312"/>
      <c r="R41" s="312"/>
      <c r="S41" s="312"/>
      <c r="T41" s="312"/>
    </row>
    <row r="42" spans="1:20" s="1030" customFormat="1" ht="20.100000000000001" customHeight="1">
      <c r="A42" s="1029">
        <v>2</v>
      </c>
      <c r="B42" s="906" t="s">
        <v>1146</v>
      </c>
      <c r="C42" s="1029"/>
      <c r="D42" s="312"/>
      <c r="E42" s="312"/>
      <c r="F42" s="312"/>
      <c r="G42" s="312"/>
      <c r="H42" s="312"/>
      <c r="I42" s="312"/>
      <c r="J42" s="312"/>
      <c r="K42" s="312"/>
      <c r="L42" s="312"/>
      <c r="M42" s="312"/>
      <c r="N42" s="312"/>
      <c r="O42" s="312"/>
      <c r="P42" s="312"/>
      <c r="Q42" s="312"/>
      <c r="R42" s="312"/>
      <c r="S42" s="312"/>
      <c r="T42" s="312"/>
    </row>
    <row r="43" spans="1:20" s="1030" customFormat="1" ht="20.100000000000001" customHeight="1">
      <c r="A43" s="1029"/>
      <c r="B43" s="906" t="s">
        <v>3717</v>
      </c>
      <c r="C43" s="1029"/>
      <c r="D43" s="312"/>
      <c r="E43" s="312"/>
      <c r="F43" s="312"/>
      <c r="G43" s="312"/>
      <c r="H43" s="312"/>
      <c r="I43" s="312"/>
      <c r="J43" s="312"/>
      <c r="K43" s="312"/>
      <c r="L43" s="312"/>
      <c r="M43" s="312"/>
      <c r="N43" s="312"/>
      <c r="O43" s="312"/>
      <c r="P43" s="312"/>
      <c r="Q43" s="312"/>
      <c r="R43" s="312"/>
      <c r="S43" s="312"/>
      <c r="T43" s="312"/>
    </row>
    <row r="44" spans="1:20" s="1030" customFormat="1" ht="20.100000000000001" customHeight="1">
      <c r="A44" s="1029">
        <v>3</v>
      </c>
      <c r="B44" s="906" t="s">
        <v>1147</v>
      </c>
      <c r="C44" s="1029"/>
      <c r="D44" s="312"/>
      <c r="E44" s="312"/>
      <c r="F44" s="312"/>
      <c r="G44" s="312"/>
      <c r="H44" s="312"/>
      <c r="I44" s="312"/>
      <c r="J44" s="312"/>
      <c r="K44" s="312"/>
      <c r="L44" s="312"/>
      <c r="M44" s="312"/>
      <c r="N44" s="312"/>
      <c r="O44" s="312"/>
      <c r="P44" s="312"/>
      <c r="Q44" s="312"/>
      <c r="R44" s="312"/>
      <c r="S44" s="312"/>
      <c r="T44" s="312"/>
    </row>
    <row r="45" spans="1:20" s="1030" customFormat="1" ht="20.100000000000001" customHeight="1">
      <c r="A45" s="1029"/>
      <c r="B45" s="906" t="s">
        <v>3717</v>
      </c>
      <c r="C45" s="1029"/>
      <c r="D45" s="312"/>
      <c r="E45" s="312"/>
      <c r="F45" s="312"/>
      <c r="G45" s="312"/>
      <c r="H45" s="312"/>
      <c r="I45" s="312"/>
      <c r="J45" s="312"/>
      <c r="K45" s="312"/>
      <c r="L45" s="312"/>
      <c r="M45" s="312"/>
      <c r="N45" s="312"/>
      <c r="O45" s="312"/>
      <c r="P45" s="312"/>
      <c r="Q45" s="312"/>
      <c r="R45" s="312"/>
      <c r="S45" s="312"/>
      <c r="T45" s="312"/>
    </row>
    <row r="46" spans="1:20" s="1030" customFormat="1" ht="20.100000000000001" customHeight="1">
      <c r="A46" s="1028" t="s">
        <v>1151</v>
      </c>
      <c r="B46" s="1028" t="s">
        <v>1152</v>
      </c>
      <c r="C46" s="1029"/>
      <c r="D46" s="312"/>
      <c r="E46" s="312"/>
      <c r="F46" s="312"/>
      <c r="G46" s="312"/>
      <c r="H46" s="312"/>
      <c r="I46" s="312"/>
      <c r="J46" s="312"/>
      <c r="K46" s="312"/>
      <c r="L46" s="312"/>
      <c r="M46" s="312"/>
      <c r="N46" s="312"/>
      <c r="O46" s="312"/>
      <c r="P46" s="312"/>
      <c r="Q46" s="312"/>
      <c r="R46" s="312"/>
      <c r="S46" s="312"/>
      <c r="T46" s="312"/>
    </row>
    <row r="47" spans="1:20" s="1030" customFormat="1" ht="20.100000000000001" customHeight="1">
      <c r="A47" s="1029">
        <v>1</v>
      </c>
      <c r="B47" s="906" t="s">
        <v>1153</v>
      </c>
      <c r="C47" s="1029"/>
      <c r="D47" s="312"/>
      <c r="E47" s="312"/>
      <c r="F47" s="312"/>
      <c r="G47" s="312"/>
      <c r="H47" s="312"/>
      <c r="I47" s="312"/>
      <c r="J47" s="312"/>
      <c r="K47" s="312"/>
      <c r="L47" s="312"/>
      <c r="M47" s="312"/>
      <c r="N47" s="312"/>
      <c r="O47" s="312"/>
      <c r="P47" s="312"/>
      <c r="Q47" s="312"/>
      <c r="R47" s="312"/>
      <c r="S47" s="312"/>
      <c r="T47" s="312"/>
    </row>
    <row r="48" spans="1:20" s="1030" customFormat="1" ht="20.100000000000001" customHeight="1">
      <c r="A48" s="1029"/>
      <c r="B48" s="906" t="s">
        <v>3717</v>
      </c>
      <c r="C48" s="1029"/>
      <c r="D48" s="312"/>
      <c r="E48" s="312"/>
      <c r="F48" s="312"/>
      <c r="G48" s="312"/>
      <c r="H48" s="312"/>
      <c r="I48" s="312"/>
      <c r="J48" s="312"/>
      <c r="K48" s="312"/>
      <c r="L48" s="312"/>
      <c r="M48" s="312"/>
      <c r="N48" s="312"/>
      <c r="O48" s="312"/>
      <c r="P48" s="312"/>
      <c r="Q48" s="312"/>
      <c r="R48" s="312"/>
      <c r="S48" s="312"/>
      <c r="T48" s="312"/>
    </row>
    <row r="49" spans="1:20" s="1030" customFormat="1" ht="20.100000000000001" customHeight="1">
      <c r="A49" s="1029">
        <v>2</v>
      </c>
      <c r="B49" s="906" t="s">
        <v>1158</v>
      </c>
      <c r="C49" s="1029"/>
      <c r="D49" s="312"/>
      <c r="E49" s="312"/>
      <c r="F49" s="312"/>
      <c r="G49" s="312"/>
      <c r="H49" s="312"/>
      <c r="I49" s="312"/>
      <c r="J49" s="312"/>
      <c r="K49" s="312"/>
      <c r="L49" s="312"/>
      <c r="M49" s="312"/>
      <c r="N49" s="312"/>
      <c r="O49" s="312"/>
      <c r="P49" s="312"/>
      <c r="Q49" s="312"/>
      <c r="R49" s="312"/>
      <c r="S49" s="312"/>
      <c r="T49" s="312"/>
    </row>
    <row r="50" spans="1:20" s="1030" customFormat="1" ht="20.100000000000001" customHeight="1">
      <c r="A50" s="1029"/>
      <c r="B50" s="906" t="s">
        <v>3717</v>
      </c>
      <c r="C50" s="1029"/>
      <c r="D50" s="312"/>
      <c r="E50" s="312"/>
      <c r="F50" s="312"/>
      <c r="G50" s="312"/>
      <c r="H50" s="312"/>
      <c r="I50" s="312"/>
      <c r="J50" s="1036"/>
      <c r="K50" s="312"/>
      <c r="L50" s="312"/>
      <c r="M50" s="312"/>
      <c r="N50" s="312"/>
      <c r="O50" s="1036"/>
      <c r="P50" s="312"/>
      <c r="Q50" s="312"/>
      <c r="R50" s="1037"/>
      <c r="S50" s="312"/>
      <c r="T50" s="312"/>
    </row>
    <row r="51" spans="1:20" s="1030" customFormat="1" ht="20.100000000000001" customHeight="1">
      <c r="A51" s="1028" t="s">
        <v>1159</v>
      </c>
      <c r="B51" s="1028" t="s">
        <v>1160</v>
      </c>
      <c r="C51" s="906"/>
      <c r="D51" s="312"/>
      <c r="E51" s="312"/>
      <c r="F51" s="312"/>
      <c r="G51" s="312"/>
      <c r="H51" s="312"/>
      <c r="I51" s="312"/>
      <c r="J51" s="312"/>
      <c r="K51" s="312"/>
      <c r="L51" s="312"/>
      <c r="M51" s="312"/>
      <c r="N51" s="312"/>
      <c r="O51" s="312"/>
      <c r="P51" s="312"/>
      <c r="Q51" s="312"/>
      <c r="R51" s="312"/>
      <c r="S51" s="312"/>
      <c r="T51" s="312"/>
    </row>
    <row r="52" spans="1:20" s="1030" customFormat="1" ht="20.100000000000001" customHeight="1">
      <c r="A52" s="1029">
        <v>1</v>
      </c>
      <c r="B52" s="906" t="s">
        <v>1161</v>
      </c>
      <c r="C52" s="1029"/>
      <c r="D52" s="312"/>
      <c r="E52" s="312"/>
      <c r="F52" s="312"/>
      <c r="G52" s="312"/>
      <c r="H52" s="312"/>
      <c r="I52" s="312"/>
      <c r="J52" s="312"/>
      <c r="K52" s="312"/>
      <c r="L52" s="312"/>
      <c r="M52" s="312"/>
      <c r="N52" s="312"/>
      <c r="O52" s="312"/>
      <c r="P52" s="312"/>
      <c r="Q52" s="312"/>
      <c r="R52" s="312"/>
      <c r="S52" s="312"/>
      <c r="T52" s="312"/>
    </row>
    <row r="53" spans="1:20" s="1030" customFormat="1" ht="20.100000000000001" customHeight="1">
      <c r="A53" s="1029"/>
      <c r="B53" s="906" t="s">
        <v>3717</v>
      </c>
      <c r="C53" s="1029"/>
      <c r="D53" s="312"/>
      <c r="E53" s="312"/>
      <c r="F53" s="312"/>
      <c r="G53" s="312"/>
      <c r="H53" s="312"/>
      <c r="I53" s="312"/>
      <c r="J53" s="312"/>
      <c r="K53" s="312"/>
      <c r="L53" s="312"/>
      <c r="M53" s="312"/>
      <c r="N53" s="312"/>
      <c r="O53" s="312"/>
      <c r="P53" s="312"/>
      <c r="Q53" s="312"/>
      <c r="R53" s="312"/>
      <c r="S53" s="312"/>
      <c r="T53" s="312"/>
    </row>
    <row r="54" spans="1:20" s="1030" customFormat="1" ht="20.100000000000001" customHeight="1">
      <c r="A54" s="1029">
        <v>2</v>
      </c>
      <c r="B54" s="906" t="s">
        <v>1162</v>
      </c>
      <c r="C54" s="906"/>
      <c r="D54" s="312"/>
      <c r="E54" s="312"/>
      <c r="F54" s="312"/>
      <c r="G54" s="312"/>
      <c r="H54" s="312"/>
      <c r="I54" s="312"/>
      <c r="J54" s="312"/>
      <c r="K54" s="312"/>
      <c r="L54" s="312"/>
      <c r="M54" s="312"/>
      <c r="N54" s="312"/>
      <c r="O54" s="312"/>
      <c r="P54" s="312"/>
      <c r="Q54" s="312"/>
      <c r="R54" s="312"/>
      <c r="S54" s="312"/>
      <c r="T54" s="312"/>
    </row>
    <row r="55" spans="1:20" s="1030" customFormat="1" ht="20.100000000000001" customHeight="1">
      <c r="A55" s="1029"/>
      <c r="B55" s="906" t="s">
        <v>3717</v>
      </c>
      <c r="C55" s="1029"/>
      <c r="D55" s="312"/>
      <c r="E55" s="312"/>
      <c r="F55" s="312"/>
      <c r="G55" s="312"/>
      <c r="H55" s="312"/>
      <c r="I55" s="312"/>
      <c r="J55" s="312"/>
      <c r="K55" s="312"/>
      <c r="L55" s="312"/>
      <c r="M55" s="312"/>
      <c r="N55" s="312"/>
      <c r="O55" s="312"/>
      <c r="P55" s="312"/>
      <c r="Q55" s="312"/>
      <c r="R55" s="312"/>
      <c r="S55" s="312"/>
      <c r="T55" s="312"/>
    </row>
    <row r="56" spans="1:20" s="1030" customFormat="1" ht="20.100000000000001" customHeight="1">
      <c r="A56" s="1029">
        <v>3</v>
      </c>
      <c r="B56" s="906" t="s">
        <v>1362</v>
      </c>
      <c r="C56" s="1029"/>
      <c r="D56" s="312"/>
      <c r="E56" s="312"/>
      <c r="F56" s="312"/>
      <c r="G56" s="312"/>
      <c r="H56" s="312"/>
      <c r="I56" s="312"/>
      <c r="J56" s="312"/>
      <c r="K56" s="312"/>
      <c r="L56" s="312"/>
      <c r="M56" s="312"/>
      <c r="N56" s="312"/>
      <c r="O56" s="312"/>
      <c r="P56" s="312"/>
      <c r="Q56" s="312"/>
      <c r="R56" s="312"/>
      <c r="S56" s="312"/>
      <c r="T56" s="312"/>
    </row>
    <row r="57" spans="1:20" ht="20.100000000000001" customHeight="1">
      <c r="A57" s="1038"/>
      <c r="B57" s="1029" t="s">
        <v>3717</v>
      </c>
      <c r="C57" s="1038"/>
      <c r="D57" s="1039"/>
      <c r="E57" s="1039"/>
      <c r="F57" s="1039"/>
      <c r="G57" s="1039"/>
      <c r="H57" s="1039"/>
      <c r="I57" s="1039"/>
      <c r="J57" s="1039"/>
      <c r="K57" s="1039"/>
      <c r="L57" s="1039"/>
      <c r="M57" s="1039"/>
      <c r="N57" s="1039"/>
      <c r="O57" s="1039"/>
      <c r="P57" s="1039"/>
      <c r="Q57" s="1039"/>
      <c r="R57" s="1039"/>
      <c r="S57" s="1039"/>
      <c r="T57" s="1039"/>
    </row>
    <row r="58" spans="1:20" ht="81" customHeight="1">
      <c r="A58" s="2001" t="s">
        <v>3557</v>
      </c>
      <c r="B58" s="2001"/>
      <c r="C58" s="2001"/>
      <c r="D58" s="2001"/>
      <c r="E58" s="2001"/>
      <c r="F58" s="2001"/>
      <c r="G58" s="2001"/>
      <c r="H58" s="2001"/>
      <c r="I58" s="2001"/>
      <c r="J58" s="2001"/>
      <c r="K58" s="2001"/>
      <c r="L58" s="2001"/>
      <c r="M58" s="2001"/>
      <c r="N58" s="2001"/>
      <c r="O58" s="2001"/>
      <c r="P58" s="2001"/>
      <c r="Q58" s="2001"/>
      <c r="R58" s="2001"/>
      <c r="S58" s="2001"/>
      <c r="T58" s="2001"/>
    </row>
  </sheetData>
  <mergeCells count="18">
    <mergeCell ref="A58:T58"/>
    <mergeCell ref="N4:N5"/>
    <mergeCell ref="O4:O5"/>
    <mergeCell ref="P4:P5"/>
    <mergeCell ref="Q4:Q5"/>
    <mergeCell ref="R4:R5"/>
    <mergeCell ref="S4:S5"/>
    <mergeCell ref="A2:T2"/>
    <mergeCell ref="A3:T3"/>
    <mergeCell ref="A4:A5"/>
    <mergeCell ref="B4:B5"/>
    <mergeCell ref="C4:C5"/>
    <mergeCell ref="D4:D5"/>
    <mergeCell ref="E4:E5"/>
    <mergeCell ref="G4:G5"/>
    <mergeCell ref="H4:H5"/>
    <mergeCell ref="J4:J5"/>
    <mergeCell ref="T4:T5"/>
  </mergeCells>
  <phoneticPr fontId="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AB1190"/>
  <sheetViews>
    <sheetView workbookViewId="0">
      <selection activeCell="F5" sqref="A5:XFD5"/>
    </sheetView>
  </sheetViews>
  <sheetFormatPr defaultColWidth="9" defaultRowHeight="13.5"/>
  <cols>
    <col min="1" max="1" width="6.625" customWidth="1"/>
    <col min="2" max="2" width="16.625" customWidth="1"/>
    <col min="3" max="3" width="14.375" customWidth="1"/>
    <col min="4" max="4" width="7.625" customWidth="1"/>
    <col min="5" max="5" width="8.25" customWidth="1"/>
    <col min="9" max="9" width="5.625" customWidth="1"/>
    <col min="10" max="10" width="6.5" customWidth="1"/>
    <col min="11" max="11" width="18.125" customWidth="1"/>
    <col min="12" max="12" width="11.875" customWidth="1"/>
    <col min="13" max="13" width="12.75" customWidth="1"/>
    <col min="14" max="14" width="13.75" customWidth="1"/>
    <col min="15" max="15" width="19.875" customWidth="1"/>
    <col min="17" max="17" width="13.125" customWidth="1"/>
    <col min="18" max="18" width="18.5" customWidth="1"/>
  </cols>
  <sheetData>
    <row r="1" spans="1:20" ht="14.25">
      <c r="A1" s="96" t="s">
        <v>0</v>
      </c>
      <c r="B1" s="97"/>
      <c r="C1" s="97" t="s">
        <v>1727</v>
      </c>
      <c r="D1" s="97"/>
      <c r="E1" s="97"/>
      <c r="F1" s="97"/>
      <c r="G1" s="97"/>
      <c r="H1" s="97"/>
      <c r="I1" s="97"/>
      <c r="J1" s="97"/>
      <c r="K1" s="97"/>
      <c r="L1" s="97"/>
      <c r="M1" s="98"/>
      <c r="N1" s="97"/>
      <c r="O1" s="99"/>
      <c r="P1" s="97"/>
      <c r="Q1" s="97"/>
      <c r="R1" s="97"/>
      <c r="S1" s="100"/>
      <c r="T1" s="101"/>
    </row>
    <row r="2" spans="1:20" ht="27">
      <c r="A2" s="1799" t="s">
        <v>1728</v>
      </c>
      <c r="B2" s="1799"/>
      <c r="C2" s="1799"/>
      <c r="D2" s="1799"/>
      <c r="E2" s="1799"/>
      <c r="F2" s="1799"/>
      <c r="G2" s="1799"/>
      <c r="H2" s="1799"/>
      <c r="I2" s="1799"/>
      <c r="J2" s="1799"/>
      <c r="K2" s="1799"/>
      <c r="L2" s="1799"/>
      <c r="M2" s="1799"/>
      <c r="N2" s="1799"/>
      <c r="O2" s="1799"/>
      <c r="P2" s="1799"/>
      <c r="Q2" s="1799"/>
      <c r="R2" s="1799"/>
      <c r="S2" s="1799"/>
      <c r="T2" s="1799"/>
    </row>
    <row r="3" spans="1:20" ht="18.75">
      <c r="A3" s="1800">
        <v>44648</v>
      </c>
      <c r="B3" s="1801"/>
      <c r="C3" s="1801"/>
      <c r="D3" s="1801"/>
      <c r="E3" s="1801"/>
      <c r="F3" s="1801"/>
      <c r="G3" s="1801"/>
      <c r="H3" s="1801"/>
      <c r="I3" s="1801"/>
      <c r="J3" s="1801"/>
      <c r="K3" s="1801"/>
      <c r="L3" s="1801"/>
      <c r="M3" s="1801"/>
      <c r="N3" s="1801"/>
      <c r="O3" s="1801"/>
      <c r="P3" s="1801"/>
      <c r="Q3" s="1801"/>
      <c r="R3" s="1801"/>
      <c r="S3" s="1801"/>
      <c r="T3" s="1801"/>
    </row>
    <row r="4" spans="1:20">
      <c r="A4" s="1802" t="s">
        <v>2</v>
      </c>
      <c r="B4" s="1802" t="s">
        <v>3</v>
      </c>
      <c r="C4" s="1803" t="s">
        <v>4</v>
      </c>
      <c r="D4" s="1802" t="s">
        <v>5</v>
      </c>
      <c r="E4" s="1802" t="s">
        <v>1729</v>
      </c>
      <c r="F4" s="102" t="s">
        <v>1730</v>
      </c>
      <c r="G4" s="1802" t="s">
        <v>8</v>
      </c>
      <c r="H4" s="1804" t="s">
        <v>9</v>
      </c>
      <c r="I4" s="102" t="s">
        <v>10</v>
      </c>
      <c r="J4" s="1802" t="s">
        <v>11</v>
      </c>
      <c r="K4" s="102" t="s">
        <v>12</v>
      </c>
      <c r="L4" s="102" t="s">
        <v>13</v>
      </c>
      <c r="M4" s="103" t="s">
        <v>14</v>
      </c>
      <c r="N4" s="1802" t="s">
        <v>15</v>
      </c>
      <c r="O4" s="1802" t="s">
        <v>16</v>
      </c>
      <c r="P4" s="1802" t="s">
        <v>17</v>
      </c>
      <c r="Q4" s="1802" t="s">
        <v>18</v>
      </c>
      <c r="R4" s="1821" t="s">
        <v>19</v>
      </c>
      <c r="S4" s="1806" t="s">
        <v>20</v>
      </c>
      <c r="T4" s="1806" t="s">
        <v>21</v>
      </c>
    </row>
    <row r="5" spans="1:20">
      <c r="A5" s="1802"/>
      <c r="B5" s="1802"/>
      <c r="C5" s="1803"/>
      <c r="D5" s="1802"/>
      <c r="E5" s="1802"/>
      <c r="F5" s="102" t="s">
        <v>22</v>
      </c>
      <c r="G5" s="1802"/>
      <c r="H5" s="1805"/>
      <c r="I5" s="102" t="s">
        <v>23</v>
      </c>
      <c r="J5" s="1802"/>
      <c r="K5" s="102" t="s">
        <v>24</v>
      </c>
      <c r="L5" s="103" t="s">
        <v>25</v>
      </c>
      <c r="M5" s="103" t="s">
        <v>25</v>
      </c>
      <c r="N5" s="1802"/>
      <c r="O5" s="1802"/>
      <c r="P5" s="1802"/>
      <c r="Q5" s="1802"/>
      <c r="R5" s="1821"/>
      <c r="S5" s="1806"/>
      <c r="T5" s="1806"/>
    </row>
    <row r="6" spans="1:20" ht="24.95" customHeight="1">
      <c r="A6" s="104" t="s">
        <v>26</v>
      </c>
      <c r="B6" s="104" t="s">
        <v>27</v>
      </c>
      <c r="C6" s="102"/>
      <c r="D6" s="102"/>
      <c r="E6" s="102"/>
      <c r="F6" s="102"/>
      <c r="G6" s="102"/>
      <c r="H6" s="105"/>
      <c r="I6" s="102"/>
      <c r="J6" s="102"/>
      <c r="K6" s="102"/>
      <c r="L6" s="102"/>
      <c r="M6" s="103"/>
      <c r="N6" s="102"/>
      <c r="O6" s="102"/>
      <c r="P6" s="102"/>
      <c r="Q6" s="102"/>
      <c r="R6" s="106"/>
      <c r="S6" s="103"/>
      <c r="T6" s="103"/>
    </row>
    <row r="7" spans="1:20" ht="24.95" customHeight="1">
      <c r="A7" s="107">
        <v>1</v>
      </c>
      <c r="B7" s="102" t="s">
        <v>28</v>
      </c>
      <c r="C7" s="102"/>
      <c r="D7" s="102"/>
      <c r="E7" s="102"/>
      <c r="F7" s="102"/>
      <c r="G7" s="102"/>
      <c r="H7" s="105"/>
      <c r="I7" s="102"/>
      <c r="J7" s="102"/>
      <c r="K7" s="102"/>
      <c r="L7" s="102"/>
      <c r="M7" s="103"/>
      <c r="N7" s="102"/>
      <c r="O7" s="102"/>
      <c r="P7" s="102"/>
      <c r="Q7" s="102"/>
      <c r="R7" s="106"/>
      <c r="S7" s="103"/>
      <c r="T7" s="103"/>
    </row>
    <row r="8" spans="1:20" ht="24.95" customHeight="1">
      <c r="A8" s="108" t="s">
        <v>1731</v>
      </c>
      <c r="B8" s="109" t="s">
        <v>135</v>
      </c>
      <c r="C8" s="102"/>
      <c r="D8" s="102" t="s">
        <v>62</v>
      </c>
      <c r="E8" s="102"/>
      <c r="F8" s="110">
        <v>33.71</v>
      </c>
      <c r="G8" s="111" t="s">
        <v>32</v>
      </c>
      <c r="H8" s="105" t="s">
        <v>33</v>
      </c>
      <c r="I8" s="112"/>
      <c r="J8" s="102"/>
      <c r="K8" s="102" t="s">
        <v>1732</v>
      </c>
      <c r="L8" s="113">
        <v>134840</v>
      </c>
      <c r="M8" s="114">
        <v>40452</v>
      </c>
      <c r="N8" s="115">
        <v>42248</v>
      </c>
      <c r="O8" s="116" t="s">
        <v>1733</v>
      </c>
      <c r="P8" s="102" t="s">
        <v>1734</v>
      </c>
      <c r="Q8" s="102">
        <v>13935144618</v>
      </c>
      <c r="R8" s="106" t="s">
        <v>1735</v>
      </c>
      <c r="S8" s="103" t="s">
        <v>1736</v>
      </c>
      <c r="T8" s="103"/>
    </row>
    <row r="9" spans="1:20" ht="24.95" customHeight="1">
      <c r="A9" s="117" t="s">
        <v>1737</v>
      </c>
      <c r="B9" s="118" t="s">
        <v>135</v>
      </c>
      <c r="C9" s="102"/>
      <c r="D9" s="102" t="s">
        <v>62</v>
      </c>
      <c r="E9" s="102"/>
      <c r="F9" s="119">
        <v>153.08500000000001</v>
      </c>
      <c r="G9" s="120" t="s">
        <v>32</v>
      </c>
      <c r="H9" s="105" t="s">
        <v>33</v>
      </c>
      <c r="I9" s="121"/>
      <c r="J9" s="102"/>
      <c r="K9" s="102" t="s">
        <v>1732</v>
      </c>
      <c r="L9" s="113">
        <v>2989684.5</v>
      </c>
      <c r="M9" s="114">
        <v>926164.25</v>
      </c>
      <c r="N9" s="122">
        <v>41396</v>
      </c>
      <c r="O9" s="102" t="s">
        <v>1738</v>
      </c>
      <c r="P9" s="123" t="s">
        <v>1734</v>
      </c>
      <c r="Q9" s="102">
        <v>13935144618</v>
      </c>
      <c r="R9" s="124" t="s">
        <v>1739</v>
      </c>
      <c r="S9" s="125" t="s">
        <v>1736</v>
      </c>
      <c r="T9" s="125"/>
    </row>
    <row r="10" spans="1:20" ht="24.95" customHeight="1">
      <c r="A10" s="117" t="s">
        <v>1740</v>
      </c>
      <c r="B10" s="118" t="s">
        <v>135</v>
      </c>
      <c r="C10" s="102"/>
      <c r="D10" s="102" t="s">
        <v>62</v>
      </c>
      <c r="E10" s="102"/>
      <c r="F10" s="102">
        <v>57.64</v>
      </c>
      <c r="G10" s="120" t="s">
        <v>32</v>
      </c>
      <c r="H10" s="105" t="s">
        <v>33</v>
      </c>
      <c r="I10" s="121"/>
      <c r="J10" s="102"/>
      <c r="K10" s="102" t="s">
        <v>1732</v>
      </c>
      <c r="L10" s="113">
        <v>368896</v>
      </c>
      <c r="M10" s="114">
        <v>184448</v>
      </c>
      <c r="N10" s="122">
        <v>41396</v>
      </c>
      <c r="O10" s="102" t="s">
        <v>1738</v>
      </c>
      <c r="P10" s="123" t="s">
        <v>1734</v>
      </c>
      <c r="Q10" s="102">
        <v>13935144618</v>
      </c>
      <c r="R10" s="124" t="s">
        <v>1741</v>
      </c>
      <c r="S10" s="125" t="s">
        <v>1736</v>
      </c>
      <c r="T10" s="125"/>
    </row>
    <row r="11" spans="1:20" ht="24.95" customHeight="1">
      <c r="A11" s="117" t="s">
        <v>1742</v>
      </c>
      <c r="B11" s="118" t="s">
        <v>135</v>
      </c>
      <c r="C11" s="102"/>
      <c r="D11" s="102" t="s">
        <v>62</v>
      </c>
      <c r="E11" s="102"/>
      <c r="F11" s="126">
        <v>9.56</v>
      </c>
      <c r="G11" s="120" t="s">
        <v>32</v>
      </c>
      <c r="H11" s="105" t="s">
        <v>33</v>
      </c>
      <c r="I11" s="121"/>
      <c r="J11" s="102"/>
      <c r="K11" s="102" t="s">
        <v>1732</v>
      </c>
      <c r="L11" s="113">
        <v>54568.14</v>
      </c>
      <c r="M11" s="114">
        <v>16370.44</v>
      </c>
      <c r="N11" s="127">
        <v>43739</v>
      </c>
      <c r="O11" s="102" t="s">
        <v>1743</v>
      </c>
      <c r="P11" s="123" t="s">
        <v>1734</v>
      </c>
      <c r="Q11" s="102">
        <v>13935144618</v>
      </c>
      <c r="R11" s="106" t="s">
        <v>1744</v>
      </c>
      <c r="S11" s="125" t="s">
        <v>1736</v>
      </c>
      <c r="T11" s="125"/>
    </row>
    <row r="12" spans="1:20" ht="24.95" customHeight="1">
      <c r="A12" s="117" t="s">
        <v>1745</v>
      </c>
      <c r="B12" s="128" t="s">
        <v>104</v>
      </c>
      <c r="C12" s="102"/>
      <c r="D12" s="102" t="s">
        <v>62</v>
      </c>
      <c r="E12" s="102"/>
      <c r="F12" s="129">
        <v>34.506999999999998</v>
      </c>
      <c r="G12" s="130" t="s">
        <v>32</v>
      </c>
      <c r="H12" s="105" t="s">
        <v>33</v>
      </c>
      <c r="I12" s="131"/>
      <c r="J12" s="102"/>
      <c r="K12" s="102" t="s">
        <v>1732</v>
      </c>
      <c r="L12" s="113">
        <v>59792.35</v>
      </c>
      <c r="M12" s="113">
        <v>59792.35</v>
      </c>
      <c r="N12" s="132">
        <v>2018.09</v>
      </c>
      <c r="O12" s="102" t="s">
        <v>1743</v>
      </c>
      <c r="P12" s="123" t="s">
        <v>1734</v>
      </c>
      <c r="Q12" s="102">
        <v>13935144618</v>
      </c>
      <c r="R12" s="106" t="s">
        <v>1744</v>
      </c>
      <c r="S12" s="125" t="s">
        <v>1736</v>
      </c>
      <c r="T12" s="125" t="s">
        <v>1746</v>
      </c>
    </row>
    <row r="13" spans="1:20" ht="24.95" customHeight="1">
      <c r="A13" s="117" t="s">
        <v>1747</v>
      </c>
      <c r="B13" s="118" t="s">
        <v>135</v>
      </c>
      <c r="C13" s="102"/>
      <c r="D13" s="102" t="s">
        <v>62</v>
      </c>
      <c r="E13" s="102"/>
      <c r="F13" s="126">
        <v>9.5</v>
      </c>
      <c r="G13" s="130" t="s">
        <v>32</v>
      </c>
      <c r="H13" s="105" t="s">
        <v>33</v>
      </c>
      <c r="I13" s="131"/>
      <c r="J13" s="102"/>
      <c r="K13" s="102" t="s">
        <v>1732</v>
      </c>
      <c r="L13" s="113">
        <v>54225.663716814197</v>
      </c>
      <c r="M13" s="114">
        <v>16267.7</v>
      </c>
      <c r="N13" s="133">
        <v>43800</v>
      </c>
      <c r="O13" s="102" t="s">
        <v>1743</v>
      </c>
      <c r="P13" s="123" t="s">
        <v>1734</v>
      </c>
      <c r="Q13" s="102">
        <v>13935144618</v>
      </c>
      <c r="R13" s="106" t="s">
        <v>1744</v>
      </c>
      <c r="S13" s="125" t="s">
        <v>1736</v>
      </c>
      <c r="T13" s="125"/>
    </row>
    <row r="14" spans="1:20" ht="24.95" customHeight="1">
      <c r="A14" s="117" t="s">
        <v>1748</v>
      </c>
      <c r="B14" s="128" t="s">
        <v>135</v>
      </c>
      <c r="C14" s="102"/>
      <c r="D14" s="102" t="s">
        <v>62</v>
      </c>
      <c r="E14" s="102"/>
      <c r="F14" s="129">
        <v>6.4</v>
      </c>
      <c r="G14" s="130" t="s">
        <v>32</v>
      </c>
      <c r="H14" s="105" t="s">
        <v>33</v>
      </c>
      <c r="I14" s="131"/>
      <c r="J14" s="102"/>
      <c r="K14" s="102" t="s">
        <v>1732</v>
      </c>
      <c r="L14" s="113">
        <v>37097.35</v>
      </c>
      <c r="M14" s="134">
        <v>11129.21</v>
      </c>
      <c r="N14" s="133">
        <v>44136</v>
      </c>
      <c r="O14" s="102" t="s">
        <v>1749</v>
      </c>
      <c r="P14" s="123" t="s">
        <v>1734</v>
      </c>
      <c r="Q14" s="102">
        <v>13935144618</v>
      </c>
      <c r="R14" s="106" t="s">
        <v>1750</v>
      </c>
      <c r="S14" s="125" t="s">
        <v>1736</v>
      </c>
      <c r="T14" s="125"/>
    </row>
    <row r="15" spans="1:20" ht="24.95" customHeight="1">
      <c r="A15" s="117" t="s">
        <v>1751</v>
      </c>
      <c r="B15" s="128" t="s">
        <v>135</v>
      </c>
      <c r="C15" s="102"/>
      <c r="D15" s="102" t="s">
        <v>62</v>
      </c>
      <c r="E15" s="102"/>
      <c r="F15" s="135">
        <v>9.2799999999999994</v>
      </c>
      <c r="G15" s="130" t="s">
        <v>32</v>
      </c>
      <c r="H15" s="105" t="s">
        <v>33</v>
      </c>
      <c r="I15" s="131"/>
      <c r="J15" s="102"/>
      <c r="K15" s="102" t="s">
        <v>1732</v>
      </c>
      <c r="L15" s="136">
        <v>53791.150442477898</v>
      </c>
      <c r="M15" s="137">
        <v>16137.35</v>
      </c>
      <c r="N15" s="133">
        <v>44106</v>
      </c>
      <c r="O15" s="102" t="s">
        <v>1749</v>
      </c>
      <c r="P15" s="123" t="s">
        <v>1734</v>
      </c>
      <c r="Q15" s="102">
        <v>13935144618</v>
      </c>
      <c r="R15" s="106" t="s">
        <v>1750</v>
      </c>
      <c r="S15" s="125" t="s">
        <v>1736</v>
      </c>
      <c r="T15" s="125"/>
    </row>
    <row r="16" spans="1:20" ht="24.95" customHeight="1">
      <c r="A16" s="117" t="s">
        <v>1752</v>
      </c>
      <c r="B16" s="128" t="s">
        <v>135</v>
      </c>
      <c r="C16" s="102"/>
      <c r="D16" s="102" t="s">
        <v>62</v>
      </c>
      <c r="E16" s="102"/>
      <c r="F16" s="129">
        <v>6.1070000000000002</v>
      </c>
      <c r="G16" s="130" t="s">
        <v>32</v>
      </c>
      <c r="H16" s="105" t="s">
        <v>33</v>
      </c>
      <c r="I16" s="131"/>
      <c r="J16" s="102"/>
      <c r="K16" s="102" t="s">
        <v>1732</v>
      </c>
      <c r="L16" s="138">
        <v>34536.14</v>
      </c>
      <c r="M16" s="139">
        <v>10360.84</v>
      </c>
      <c r="N16" s="133">
        <v>44348</v>
      </c>
      <c r="O16" s="102" t="s">
        <v>1743</v>
      </c>
      <c r="P16" s="123" t="s">
        <v>1734</v>
      </c>
      <c r="Q16" s="102">
        <v>13935144619</v>
      </c>
      <c r="R16" s="106" t="s">
        <v>1744</v>
      </c>
      <c r="S16" s="125" t="s">
        <v>1736</v>
      </c>
      <c r="T16" s="125"/>
    </row>
    <row r="17" spans="1:20" ht="24.95" customHeight="1">
      <c r="A17" s="117" t="s">
        <v>1753</v>
      </c>
      <c r="B17" s="102" t="s">
        <v>29</v>
      </c>
      <c r="C17" s="123"/>
      <c r="D17" s="102" t="s">
        <v>62</v>
      </c>
      <c r="E17" s="102"/>
      <c r="F17" s="102">
        <v>70</v>
      </c>
      <c r="G17" s="102" t="s">
        <v>32</v>
      </c>
      <c r="H17" s="105" t="s">
        <v>33</v>
      </c>
      <c r="I17" s="123"/>
      <c r="J17" s="102"/>
      <c r="K17" s="140" t="s">
        <v>1754</v>
      </c>
      <c r="L17" s="102">
        <v>483000</v>
      </c>
      <c r="M17" s="141">
        <v>144900</v>
      </c>
      <c r="N17" s="142">
        <v>43466</v>
      </c>
      <c r="O17" s="102" t="s">
        <v>1755</v>
      </c>
      <c r="P17" s="123" t="s">
        <v>1756</v>
      </c>
      <c r="Q17" s="102">
        <v>18634872802</v>
      </c>
      <c r="R17" s="102" t="s">
        <v>1757</v>
      </c>
      <c r="S17" s="125" t="s">
        <v>1736</v>
      </c>
      <c r="T17" s="125"/>
    </row>
    <row r="18" spans="1:20" ht="24.95" customHeight="1">
      <c r="A18" s="117" t="s">
        <v>1758</v>
      </c>
      <c r="B18" s="143" t="s">
        <v>1759</v>
      </c>
      <c r="C18" s="144" t="s">
        <v>1760</v>
      </c>
      <c r="D18" s="143" t="s">
        <v>62</v>
      </c>
      <c r="E18" s="102" t="s">
        <v>1761</v>
      </c>
      <c r="F18" s="102">
        <v>3.08</v>
      </c>
      <c r="G18" s="140" t="s">
        <v>32</v>
      </c>
      <c r="H18" s="140" t="s">
        <v>32</v>
      </c>
      <c r="I18" s="140" t="s">
        <v>1762</v>
      </c>
      <c r="J18" s="102"/>
      <c r="K18" s="143" t="s">
        <v>1763</v>
      </c>
      <c r="L18" s="145">
        <v>19624.778761061902</v>
      </c>
      <c r="M18" s="145">
        <v>5887.4336283185803</v>
      </c>
      <c r="N18" s="146">
        <v>43709</v>
      </c>
      <c r="O18" s="102" t="s">
        <v>1764</v>
      </c>
      <c r="P18" s="140" t="s">
        <v>1765</v>
      </c>
      <c r="Q18" s="140">
        <v>18235436200</v>
      </c>
      <c r="R18" s="140" t="s">
        <v>1766</v>
      </c>
      <c r="S18" s="125" t="s">
        <v>1736</v>
      </c>
      <c r="T18" s="125"/>
    </row>
    <row r="19" spans="1:20" ht="24.95" customHeight="1">
      <c r="A19" s="117" t="s">
        <v>1767</v>
      </c>
      <c r="B19" s="143" t="s">
        <v>1759</v>
      </c>
      <c r="C19" s="144" t="s">
        <v>1760</v>
      </c>
      <c r="D19" s="143" t="s">
        <v>62</v>
      </c>
      <c r="E19" s="102" t="s">
        <v>1761</v>
      </c>
      <c r="F19" s="102">
        <v>3.08</v>
      </c>
      <c r="G19" s="140" t="s">
        <v>32</v>
      </c>
      <c r="H19" s="140" t="s">
        <v>32</v>
      </c>
      <c r="I19" s="140" t="s">
        <v>1762</v>
      </c>
      <c r="J19" s="102"/>
      <c r="K19" s="143" t="s">
        <v>1763</v>
      </c>
      <c r="L19" s="145">
        <v>19624.778761061902</v>
      </c>
      <c r="M19" s="145">
        <v>5887.43</v>
      </c>
      <c r="N19" s="146">
        <v>43709</v>
      </c>
      <c r="O19" s="102" t="s">
        <v>1768</v>
      </c>
      <c r="P19" s="140" t="s">
        <v>1765</v>
      </c>
      <c r="Q19" s="140">
        <v>18235436200</v>
      </c>
      <c r="R19" s="140" t="s">
        <v>1766</v>
      </c>
      <c r="S19" s="125" t="s">
        <v>1736</v>
      </c>
      <c r="T19" s="125"/>
    </row>
    <row r="20" spans="1:20" ht="24.95" customHeight="1">
      <c r="A20" s="117" t="s">
        <v>1769</v>
      </c>
      <c r="B20" s="143" t="s">
        <v>1759</v>
      </c>
      <c r="C20" s="144" t="s">
        <v>1760</v>
      </c>
      <c r="D20" s="143" t="s">
        <v>62</v>
      </c>
      <c r="E20" s="102" t="s">
        <v>1761</v>
      </c>
      <c r="F20" s="102">
        <v>3.08</v>
      </c>
      <c r="G20" s="140" t="s">
        <v>32</v>
      </c>
      <c r="H20" s="140" t="s">
        <v>32</v>
      </c>
      <c r="I20" s="140" t="s">
        <v>1762</v>
      </c>
      <c r="J20" s="102"/>
      <c r="K20" s="143" t="s">
        <v>1763</v>
      </c>
      <c r="L20" s="145">
        <v>19624.778761061902</v>
      </c>
      <c r="M20" s="145">
        <v>5887.4336283185803</v>
      </c>
      <c r="N20" s="146">
        <v>43709</v>
      </c>
      <c r="O20" s="102" t="s">
        <v>1770</v>
      </c>
      <c r="P20" s="140" t="s">
        <v>1765</v>
      </c>
      <c r="Q20" s="140">
        <v>18235436200</v>
      </c>
      <c r="R20" s="140" t="s">
        <v>1766</v>
      </c>
      <c r="S20" s="125" t="s">
        <v>1736</v>
      </c>
      <c r="T20" s="125"/>
    </row>
    <row r="21" spans="1:20" ht="24.95" customHeight="1">
      <c r="A21" s="117" t="s">
        <v>1771</v>
      </c>
      <c r="B21" s="143" t="s">
        <v>1759</v>
      </c>
      <c r="C21" s="144" t="s">
        <v>1760</v>
      </c>
      <c r="D21" s="143" t="s">
        <v>62</v>
      </c>
      <c r="E21" s="102" t="s">
        <v>1761</v>
      </c>
      <c r="F21" s="102">
        <v>3.08</v>
      </c>
      <c r="G21" s="140" t="s">
        <v>32</v>
      </c>
      <c r="H21" s="140" t="s">
        <v>32</v>
      </c>
      <c r="I21" s="140" t="s">
        <v>1762</v>
      </c>
      <c r="J21" s="102"/>
      <c r="K21" s="143" t="s">
        <v>1763</v>
      </c>
      <c r="L21" s="145">
        <v>19624.778761061902</v>
      </c>
      <c r="M21" s="145">
        <v>5887.43</v>
      </c>
      <c r="N21" s="146">
        <v>43709</v>
      </c>
      <c r="O21" s="102" t="s">
        <v>1772</v>
      </c>
      <c r="P21" s="140" t="s">
        <v>1765</v>
      </c>
      <c r="Q21" s="140">
        <v>18235436200</v>
      </c>
      <c r="R21" s="140" t="s">
        <v>1766</v>
      </c>
      <c r="S21" s="125" t="s">
        <v>1736</v>
      </c>
      <c r="T21" s="125"/>
    </row>
    <row r="22" spans="1:20" ht="24.95" customHeight="1">
      <c r="A22" s="117" t="s">
        <v>1773</v>
      </c>
      <c r="B22" s="147" t="s">
        <v>1774</v>
      </c>
      <c r="C22" s="102" t="s">
        <v>1775</v>
      </c>
      <c r="D22" s="123" t="s">
        <v>79</v>
      </c>
      <c r="E22" s="102">
        <v>60</v>
      </c>
      <c r="F22" s="102"/>
      <c r="G22" s="102" t="s">
        <v>32</v>
      </c>
      <c r="H22" s="105"/>
      <c r="I22" s="123"/>
      <c r="J22" s="102"/>
      <c r="K22" s="102" t="s">
        <v>1776</v>
      </c>
      <c r="L22" s="102">
        <v>69902.91</v>
      </c>
      <c r="M22" s="113">
        <v>123223.008849558</v>
      </c>
      <c r="N22" s="102">
        <v>2019.05</v>
      </c>
      <c r="O22" s="102" t="s">
        <v>1777</v>
      </c>
      <c r="P22" s="123" t="s">
        <v>1778</v>
      </c>
      <c r="Q22" s="102">
        <v>13068030380</v>
      </c>
      <c r="R22" s="106" t="s">
        <v>1779</v>
      </c>
      <c r="S22" s="125" t="s">
        <v>1736</v>
      </c>
      <c r="T22" s="125"/>
    </row>
    <row r="23" spans="1:20" ht="24.95" customHeight="1">
      <c r="A23" s="117" t="s">
        <v>1780</v>
      </c>
      <c r="B23" s="125" t="s">
        <v>1781</v>
      </c>
      <c r="C23" s="102" t="s">
        <v>1782</v>
      </c>
      <c r="D23" s="123" t="s">
        <v>79</v>
      </c>
      <c r="E23" s="102">
        <v>30</v>
      </c>
      <c r="F23" s="102"/>
      <c r="G23" s="102" t="s">
        <v>32</v>
      </c>
      <c r="H23" s="105"/>
      <c r="I23" s="123"/>
      <c r="J23" s="102"/>
      <c r="K23" s="102" t="s">
        <v>1776</v>
      </c>
      <c r="L23" s="102">
        <v>39320.39</v>
      </c>
      <c r="M23" s="103">
        <v>11796.12</v>
      </c>
      <c r="N23" s="102">
        <v>2019.06</v>
      </c>
      <c r="O23" s="102" t="s">
        <v>1777</v>
      </c>
      <c r="P23" s="123" t="s">
        <v>1778</v>
      </c>
      <c r="Q23" s="102">
        <v>13068030380</v>
      </c>
      <c r="R23" s="106" t="s">
        <v>1779</v>
      </c>
      <c r="S23" s="125" t="s">
        <v>1736</v>
      </c>
      <c r="T23" s="125"/>
    </row>
    <row r="24" spans="1:20" ht="24.95" customHeight="1">
      <c r="A24" s="117" t="s">
        <v>1783</v>
      </c>
      <c r="B24" s="125" t="s">
        <v>1784</v>
      </c>
      <c r="C24" s="102" t="s">
        <v>1785</v>
      </c>
      <c r="D24" s="123" t="s">
        <v>79</v>
      </c>
      <c r="E24" s="102">
        <v>4</v>
      </c>
      <c r="F24" s="102"/>
      <c r="G24" s="102" t="s">
        <v>32</v>
      </c>
      <c r="H24" s="105"/>
      <c r="I24" s="123"/>
      <c r="J24" s="102"/>
      <c r="K24" s="102" t="s">
        <v>1776</v>
      </c>
      <c r="L24" s="102">
        <v>582.52</v>
      </c>
      <c r="M24" s="103">
        <v>174.76</v>
      </c>
      <c r="N24" s="102">
        <v>2019.06</v>
      </c>
      <c r="O24" s="102" t="s">
        <v>1777</v>
      </c>
      <c r="P24" s="123" t="s">
        <v>1778</v>
      </c>
      <c r="Q24" s="102">
        <v>13068030380</v>
      </c>
      <c r="R24" s="106" t="s">
        <v>1779</v>
      </c>
      <c r="S24" s="125" t="s">
        <v>1736</v>
      </c>
      <c r="T24" s="125"/>
    </row>
    <row r="25" spans="1:20" ht="24.95" customHeight="1">
      <c r="A25" s="117" t="s">
        <v>1786</v>
      </c>
      <c r="B25" s="125" t="s">
        <v>1787</v>
      </c>
      <c r="C25" s="102" t="s">
        <v>1788</v>
      </c>
      <c r="D25" s="123" t="s">
        <v>79</v>
      </c>
      <c r="E25" s="102">
        <v>4</v>
      </c>
      <c r="F25" s="102"/>
      <c r="G25" s="102" t="s">
        <v>32</v>
      </c>
      <c r="H25" s="105"/>
      <c r="I25" s="123"/>
      <c r="J25" s="102"/>
      <c r="K25" s="102" t="s">
        <v>1776</v>
      </c>
      <c r="L25" s="102">
        <v>4854.37</v>
      </c>
      <c r="M25" s="103">
        <v>1456.31</v>
      </c>
      <c r="N25" s="102">
        <v>2019.06</v>
      </c>
      <c r="O25" s="102" t="s">
        <v>1777</v>
      </c>
      <c r="P25" s="123" t="s">
        <v>1778</v>
      </c>
      <c r="Q25" s="102">
        <v>13068030380</v>
      </c>
      <c r="R25" s="106" t="s">
        <v>1779</v>
      </c>
      <c r="S25" s="125" t="s">
        <v>1736</v>
      </c>
      <c r="T25" s="125"/>
    </row>
    <row r="26" spans="1:20" ht="24.95" customHeight="1">
      <c r="A26" s="117" t="s">
        <v>1789</v>
      </c>
      <c r="B26" s="102" t="s">
        <v>1593</v>
      </c>
      <c r="C26" s="102" t="s">
        <v>1790</v>
      </c>
      <c r="D26" s="123" t="s">
        <v>62</v>
      </c>
      <c r="E26" s="102">
        <v>2</v>
      </c>
      <c r="F26" s="102">
        <v>85</v>
      </c>
      <c r="G26" s="102" t="s">
        <v>32</v>
      </c>
      <c r="H26" s="105" t="s">
        <v>41</v>
      </c>
      <c r="I26" s="123" t="s">
        <v>1762</v>
      </c>
      <c r="J26" s="102"/>
      <c r="K26" s="102" t="s">
        <v>1791</v>
      </c>
      <c r="L26" s="113">
        <v>500221.24044214201</v>
      </c>
      <c r="M26" s="148">
        <v>150066.37213264301</v>
      </c>
      <c r="N26" s="108" t="s">
        <v>1792</v>
      </c>
      <c r="O26" s="102" t="s">
        <v>1793</v>
      </c>
      <c r="P26" s="123" t="s">
        <v>1794</v>
      </c>
      <c r="Q26" s="102">
        <v>15034695244</v>
      </c>
      <c r="R26" s="106" t="s">
        <v>1795</v>
      </c>
      <c r="S26" s="125" t="s">
        <v>1736</v>
      </c>
      <c r="T26" s="125"/>
    </row>
    <row r="27" spans="1:20" ht="24.95" customHeight="1">
      <c r="A27" s="117" t="s">
        <v>1796</v>
      </c>
      <c r="B27" s="102" t="s">
        <v>1593</v>
      </c>
      <c r="C27" s="102" t="s">
        <v>1797</v>
      </c>
      <c r="D27" s="123" t="s">
        <v>62</v>
      </c>
      <c r="E27" s="102">
        <v>2</v>
      </c>
      <c r="F27" s="102">
        <v>77.23</v>
      </c>
      <c r="G27" s="102" t="s">
        <v>32</v>
      </c>
      <c r="H27" s="105" t="s">
        <v>41</v>
      </c>
      <c r="I27" s="123" t="s">
        <v>1762</v>
      </c>
      <c r="J27" s="102"/>
      <c r="K27" s="102" t="s">
        <v>1791</v>
      </c>
      <c r="L27" s="102">
        <v>454495.13</v>
      </c>
      <c r="M27" s="103">
        <v>152400.57</v>
      </c>
      <c r="N27" s="102" t="s">
        <v>1798</v>
      </c>
      <c r="O27" s="102" t="s">
        <v>1793</v>
      </c>
      <c r="P27" s="123" t="s">
        <v>1794</v>
      </c>
      <c r="Q27" s="102">
        <v>15034695244</v>
      </c>
      <c r="R27" s="106" t="s">
        <v>1795</v>
      </c>
      <c r="S27" s="125" t="s">
        <v>1736</v>
      </c>
      <c r="T27" s="125"/>
    </row>
    <row r="28" spans="1:20" ht="24.95" customHeight="1">
      <c r="A28" s="117" t="s">
        <v>1799</v>
      </c>
      <c r="B28" s="102" t="s">
        <v>1593</v>
      </c>
      <c r="C28" s="102" t="s">
        <v>1797</v>
      </c>
      <c r="D28" s="123" t="s">
        <v>62</v>
      </c>
      <c r="E28" s="102">
        <v>1</v>
      </c>
      <c r="F28" s="113">
        <v>37.89</v>
      </c>
      <c r="G28" s="102" t="s">
        <v>32</v>
      </c>
      <c r="H28" s="105" t="s">
        <v>41</v>
      </c>
      <c r="I28" s="123" t="s">
        <v>1762</v>
      </c>
      <c r="J28" s="102"/>
      <c r="K28" s="102" t="s">
        <v>1791</v>
      </c>
      <c r="L28" s="102">
        <v>222969.03</v>
      </c>
      <c r="M28" s="149">
        <v>66890.710000000006</v>
      </c>
      <c r="N28" s="102" t="s">
        <v>1800</v>
      </c>
      <c r="O28" s="102" t="s">
        <v>1793</v>
      </c>
      <c r="P28" s="123" t="s">
        <v>1794</v>
      </c>
      <c r="Q28" s="102">
        <v>15034695244</v>
      </c>
      <c r="R28" s="106" t="s">
        <v>1795</v>
      </c>
      <c r="S28" s="125" t="s">
        <v>1736</v>
      </c>
      <c r="T28" s="125"/>
    </row>
    <row r="29" spans="1:20" ht="24.95" customHeight="1">
      <c r="A29" s="117" t="s">
        <v>1801</v>
      </c>
      <c r="B29" s="102" t="s">
        <v>1593</v>
      </c>
      <c r="C29" s="102" t="s">
        <v>1797</v>
      </c>
      <c r="D29" s="123" t="s">
        <v>62</v>
      </c>
      <c r="E29" s="102">
        <v>1</v>
      </c>
      <c r="F29" s="113">
        <v>35.17</v>
      </c>
      <c r="G29" s="102" t="s">
        <v>32</v>
      </c>
      <c r="H29" s="105" t="s">
        <v>41</v>
      </c>
      <c r="I29" s="123" t="s">
        <v>1762</v>
      </c>
      <c r="J29" s="102"/>
      <c r="K29" s="102" t="s">
        <v>1791</v>
      </c>
      <c r="L29" s="102">
        <v>70337.539999999994</v>
      </c>
      <c r="M29" s="149">
        <v>21101.26</v>
      </c>
      <c r="N29" s="102" t="s">
        <v>1800</v>
      </c>
      <c r="O29" s="102" t="s">
        <v>1793</v>
      </c>
      <c r="P29" s="123" t="s">
        <v>1794</v>
      </c>
      <c r="Q29" s="102">
        <v>15034695244</v>
      </c>
      <c r="R29" s="106" t="s">
        <v>1795</v>
      </c>
      <c r="S29" s="125" t="s">
        <v>1736</v>
      </c>
      <c r="T29" s="125"/>
    </row>
    <row r="30" spans="1:20" ht="24.95" customHeight="1">
      <c r="A30" s="117" t="s">
        <v>1802</v>
      </c>
      <c r="B30" s="102" t="s">
        <v>1803</v>
      </c>
      <c r="C30" s="102"/>
      <c r="D30" s="123" t="s">
        <v>79</v>
      </c>
      <c r="E30" s="102">
        <v>120</v>
      </c>
      <c r="F30" s="102"/>
      <c r="G30" s="102" t="s">
        <v>32</v>
      </c>
      <c r="H30" s="105" t="s">
        <v>41</v>
      </c>
      <c r="I30" s="123"/>
      <c r="J30" s="102"/>
      <c r="K30" s="102"/>
      <c r="L30" s="102">
        <v>165774.76</v>
      </c>
      <c r="M30" s="103">
        <v>49732.428</v>
      </c>
      <c r="N30" s="102">
        <v>2018.5</v>
      </c>
      <c r="O30" s="102" t="s">
        <v>1804</v>
      </c>
      <c r="P30" s="123" t="s">
        <v>1805</v>
      </c>
      <c r="Q30" s="102">
        <v>18835241145</v>
      </c>
      <c r="R30" s="106" t="s">
        <v>1806</v>
      </c>
      <c r="S30" s="125" t="s">
        <v>1736</v>
      </c>
      <c r="T30" s="125"/>
    </row>
    <row r="31" spans="1:20" ht="24.95" customHeight="1">
      <c r="A31" s="117" t="s">
        <v>1807</v>
      </c>
      <c r="B31" s="102" t="s">
        <v>241</v>
      </c>
      <c r="C31" s="102"/>
      <c r="D31" s="123" t="s">
        <v>79</v>
      </c>
      <c r="E31" s="102">
        <v>34</v>
      </c>
      <c r="F31" s="102"/>
      <c r="G31" s="102" t="s">
        <v>32</v>
      </c>
      <c r="H31" s="105" t="s">
        <v>41</v>
      </c>
      <c r="I31" s="123"/>
      <c r="J31" s="102"/>
      <c r="K31" s="102"/>
      <c r="L31" s="102">
        <v>132186.41</v>
      </c>
      <c r="M31" s="103">
        <v>39655.923000000003</v>
      </c>
      <c r="N31" s="102">
        <v>2018.5</v>
      </c>
      <c r="O31" s="102" t="s">
        <v>1804</v>
      </c>
      <c r="P31" s="123" t="s">
        <v>1805</v>
      </c>
      <c r="Q31" s="102">
        <v>18835241145</v>
      </c>
      <c r="R31" s="106" t="s">
        <v>1806</v>
      </c>
      <c r="S31" s="125" t="s">
        <v>1736</v>
      </c>
      <c r="T31" s="125"/>
    </row>
    <row r="32" spans="1:20" ht="24.95" customHeight="1">
      <c r="A32" s="117" t="s">
        <v>1808</v>
      </c>
      <c r="B32" s="150" t="s">
        <v>243</v>
      </c>
      <c r="C32" s="150"/>
      <c r="D32" s="151" t="s">
        <v>62</v>
      </c>
      <c r="E32" s="150">
        <v>20.63</v>
      </c>
      <c r="F32" s="150">
        <v>20.63</v>
      </c>
      <c r="G32" s="152" t="s">
        <v>32</v>
      </c>
      <c r="H32" s="105" t="s">
        <v>33</v>
      </c>
      <c r="I32" s="152"/>
      <c r="J32" s="152" t="s">
        <v>1809</v>
      </c>
      <c r="K32" s="153"/>
      <c r="L32" s="154">
        <v>119156.03306</v>
      </c>
      <c r="M32" s="154">
        <v>83409.223142000003</v>
      </c>
      <c r="N32" s="155" t="s">
        <v>1810</v>
      </c>
      <c r="O32" s="156" t="s">
        <v>1811</v>
      </c>
      <c r="P32" s="152" t="s">
        <v>1812</v>
      </c>
      <c r="Q32" s="152">
        <v>15110423230</v>
      </c>
      <c r="R32" s="106" t="s">
        <v>1813</v>
      </c>
      <c r="S32" s="125" t="s">
        <v>1736</v>
      </c>
      <c r="T32" s="103"/>
    </row>
    <row r="33" spans="1:20" ht="24.95" customHeight="1">
      <c r="A33" s="117" t="s">
        <v>1814</v>
      </c>
      <c r="B33" s="150" t="s">
        <v>1815</v>
      </c>
      <c r="C33" s="150"/>
      <c r="D33" s="151" t="s">
        <v>62</v>
      </c>
      <c r="E33" s="150">
        <v>120.45</v>
      </c>
      <c r="F33" s="150">
        <v>120.45</v>
      </c>
      <c r="G33" s="152" t="s">
        <v>32</v>
      </c>
      <c r="H33" s="105" t="s">
        <v>33</v>
      </c>
      <c r="I33" s="152"/>
      <c r="J33" s="152" t="s">
        <v>1809</v>
      </c>
      <c r="K33" s="153"/>
      <c r="L33" s="154">
        <v>838901.59</v>
      </c>
      <c r="M33" s="154">
        <v>460374.82140620903</v>
      </c>
      <c r="N33" s="155" t="s">
        <v>1816</v>
      </c>
      <c r="O33" s="156" t="s">
        <v>1817</v>
      </c>
      <c r="P33" s="152" t="s">
        <v>1812</v>
      </c>
      <c r="Q33" s="152">
        <v>15110423230</v>
      </c>
      <c r="R33" s="106" t="s">
        <v>1813</v>
      </c>
      <c r="S33" s="125" t="s">
        <v>1736</v>
      </c>
      <c r="T33" s="103"/>
    </row>
    <row r="34" spans="1:20" ht="24.95" customHeight="1">
      <c r="A34" s="117" t="s">
        <v>1818</v>
      </c>
      <c r="B34" s="150" t="s">
        <v>1815</v>
      </c>
      <c r="C34" s="150"/>
      <c r="D34" s="151" t="s">
        <v>62</v>
      </c>
      <c r="E34" s="150">
        <v>192.02</v>
      </c>
      <c r="F34" s="150">
        <v>192.02</v>
      </c>
      <c r="G34" s="152" t="s">
        <v>32</v>
      </c>
      <c r="H34" s="105" t="s">
        <v>33</v>
      </c>
      <c r="I34" s="152"/>
      <c r="J34" s="152" t="s">
        <v>1809</v>
      </c>
      <c r="K34" s="153"/>
      <c r="L34" s="154">
        <v>1184763.3999999999</v>
      </c>
      <c r="M34" s="154">
        <v>829334.38</v>
      </c>
      <c r="N34" s="155" t="s">
        <v>1819</v>
      </c>
      <c r="O34" s="156" t="s">
        <v>1817</v>
      </c>
      <c r="P34" s="152" t="s">
        <v>1812</v>
      </c>
      <c r="Q34" s="152">
        <v>15110423230</v>
      </c>
      <c r="R34" s="106" t="s">
        <v>1813</v>
      </c>
      <c r="S34" s="125" t="s">
        <v>1736</v>
      </c>
      <c r="T34" s="103"/>
    </row>
    <row r="35" spans="1:20" ht="24.95" customHeight="1">
      <c r="A35" s="117" t="s">
        <v>1820</v>
      </c>
      <c r="B35" s="150" t="s">
        <v>1815</v>
      </c>
      <c r="C35" s="150"/>
      <c r="D35" s="151" t="s">
        <v>62</v>
      </c>
      <c r="E35" s="150">
        <v>69.7</v>
      </c>
      <c r="F35" s="150">
        <v>69.7</v>
      </c>
      <c r="G35" s="152" t="s">
        <v>32</v>
      </c>
      <c r="H35" s="105" t="s">
        <v>33</v>
      </c>
      <c r="I35" s="152"/>
      <c r="J35" s="152" t="s">
        <v>1809</v>
      </c>
      <c r="K35" s="153"/>
      <c r="L35" s="154">
        <v>380574.34</v>
      </c>
      <c r="M35" s="154">
        <v>266402.038</v>
      </c>
      <c r="N35" s="155" t="s">
        <v>1821</v>
      </c>
      <c r="O35" s="156" t="s">
        <v>1822</v>
      </c>
      <c r="P35" s="152" t="s">
        <v>1812</v>
      </c>
      <c r="Q35" s="152">
        <v>15110423230</v>
      </c>
      <c r="R35" s="106" t="s">
        <v>1813</v>
      </c>
      <c r="S35" s="125" t="s">
        <v>1736</v>
      </c>
      <c r="T35" s="103"/>
    </row>
    <row r="36" spans="1:20" ht="24.95" customHeight="1">
      <c r="A36" s="117" t="s">
        <v>1823</v>
      </c>
      <c r="B36" s="150" t="s">
        <v>1824</v>
      </c>
      <c r="C36" s="150"/>
      <c r="D36" s="151" t="s">
        <v>62</v>
      </c>
      <c r="E36" s="150">
        <v>29.3</v>
      </c>
      <c r="F36" s="150">
        <v>29.3</v>
      </c>
      <c r="G36" s="152" t="s">
        <v>32</v>
      </c>
      <c r="H36" s="105" t="s">
        <v>33</v>
      </c>
      <c r="I36" s="152"/>
      <c r="J36" s="152" t="s">
        <v>1809</v>
      </c>
      <c r="K36" s="153"/>
      <c r="L36" s="154">
        <v>70796.460000000006</v>
      </c>
      <c r="M36" s="154">
        <v>45376.10608125</v>
      </c>
      <c r="N36" s="155" t="s">
        <v>1821</v>
      </c>
      <c r="O36" s="156" t="s">
        <v>1822</v>
      </c>
      <c r="P36" s="152" t="s">
        <v>1812</v>
      </c>
      <c r="Q36" s="152">
        <v>15110423230</v>
      </c>
      <c r="R36" s="106" t="s">
        <v>1813</v>
      </c>
      <c r="S36" s="125" t="s">
        <v>1736</v>
      </c>
      <c r="T36" s="103"/>
    </row>
    <row r="37" spans="1:20" ht="24.95" customHeight="1">
      <c r="A37" s="117" t="s">
        <v>1825</v>
      </c>
      <c r="B37" s="150" t="s">
        <v>1826</v>
      </c>
      <c r="C37" s="150" t="s">
        <v>1827</v>
      </c>
      <c r="D37" s="151" t="s">
        <v>1828</v>
      </c>
      <c r="E37" s="150">
        <v>292.70999999999998</v>
      </c>
      <c r="F37" s="150">
        <v>30</v>
      </c>
      <c r="G37" s="152" t="s">
        <v>32</v>
      </c>
      <c r="H37" s="105" t="s">
        <v>33</v>
      </c>
      <c r="I37" s="152"/>
      <c r="J37" s="152" t="s">
        <v>1809</v>
      </c>
      <c r="K37" s="153"/>
      <c r="L37" s="154">
        <v>725299.11999999802</v>
      </c>
      <c r="M37" s="154">
        <v>507709.38399999798</v>
      </c>
      <c r="N37" s="155" t="s">
        <v>1821</v>
      </c>
      <c r="O37" s="156" t="s">
        <v>1822</v>
      </c>
      <c r="P37" s="152" t="s">
        <v>1812</v>
      </c>
      <c r="Q37" s="152">
        <v>15110423230</v>
      </c>
      <c r="R37" s="106" t="s">
        <v>1813</v>
      </c>
      <c r="S37" s="125" t="s">
        <v>1736</v>
      </c>
      <c r="T37" s="103"/>
    </row>
    <row r="38" spans="1:20" ht="24.95" customHeight="1">
      <c r="A38" s="117" t="s">
        <v>1829</v>
      </c>
      <c r="B38" s="150" t="s">
        <v>1826</v>
      </c>
      <c r="C38" s="150" t="s">
        <v>1830</v>
      </c>
      <c r="D38" s="151" t="s">
        <v>79</v>
      </c>
      <c r="E38" s="150">
        <v>118.98</v>
      </c>
      <c r="F38" s="150">
        <v>292.70999999999998</v>
      </c>
      <c r="G38" s="152" t="s">
        <v>32</v>
      </c>
      <c r="H38" s="105" t="s">
        <v>33</v>
      </c>
      <c r="I38" s="152"/>
      <c r="J38" s="152" t="s">
        <v>1809</v>
      </c>
      <c r="K38" s="153"/>
      <c r="L38" s="154">
        <v>368522.12</v>
      </c>
      <c r="M38" s="154">
        <v>257965.484</v>
      </c>
      <c r="N38" s="155" t="s">
        <v>1831</v>
      </c>
      <c r="O38" s="156" t="s">
        <v>1832</v>
      </c>
      <c r="P38" s="152" t="s">
        <v>1812</v>
      </c>
      <c r="Q38" s="152">
        <v>15110423230</v>
      </c>
      <c r="R38" s="106" t="s">
        <v>1813</v>
      </c>
      <c r="S38" s="125" t="s">
        <v>1736</v>
      </c>
      <c r="T38" s="103"/>
    </row>
    <row r="39" spans="1:20" ht="24.95" customHeight="1">
      <c r="A39" s="117" t="s">
        <v>1833</v>
      </c>
      <c r="B39" s="150" t="s">
        <v>1834</v>
      </c>
      <c r="C39" s="150"/>
      <c r="D39" s="151" t="s">
        <v>79</v>
      </c>
      <c r="E39" s="150">
        <v>5.16</v>
      </c>
      <c r="F39" s="150">
        <v>118.98</v>
      </c>
      <c r="G39" s="152" t="s">
        <v>32</v>
      </c>
      <c r="H39" s="105" t="s">
        <v>33</v>
      </c>
      <c r="I39" s="152"/>
      <c r="J39" s="152" t="s">
        <v>1809</v>
      </c>
      <c r="K39" s="153"/>
      <c r="L39" s="154">
        <v>28311.5</v>
      </c>
      <c r="M39" s="154">
        <v>19818.05</v>
      </c>
      <c r="N39" s="155" t="s">
        <v>1831</v>
      </c>
      <c r="O39" s="156" t="s">
        <v>1832</v>
      </c>
      <c r="P39" s="152" t="s">
        <v>1812</v>
      </c>
      <c r="Q39" s="152">
        <v>15110423230</v>
      </c>
      <c r="R39" s="106" t="s">
        <v>1813</v>
      </c>
      <c r="S39" s="125" t="s">
        <v>1736</v>
      </c>
      <c r="T39" s="103"/>
    </row>
    <row r="40" spans="1:20" ht="24.95" customHeight="1">
      <c r="A40" s="117" t="s">
        <v>1835</v>
      </c>
      <c r="B40" s="150" t="s">
        <v>1836</v>
      </c>
      <c r="C40" s="150" t="s">
        <v>1837</v>
      </c>
      <c r="D40" s="151" t="s">
        <v>79</v>
      </c>
      <c r="E40" s="150">
        <v>1444</v>
      </c>
      <c r="F40" s="150">
        <v>5.16</v>
      </c>
      <c r="G40" s="152" t="s">
        <v>32</v>
      </c>
      <c r="H40" s="105" t="s">
        <v>33</v>
      </c>
      <c r="I40" s="152"/>
      <c r="J40" s="152" t="s">
        <v>1809</v>
      </c>
      <c r="K40" s="153"/>
      <c r="L40" s="154">
        <v>10223.01</v>
      </c>
      <c r="M40" s="154">
        <v>7156.107</v>
      </c>
      <c r="N40" s="155" t="s">
        <v>1831</v>
      </c>
      <c r="O40" s="156" t="s">
        <v>1832</v>
      </c>
      <c r="P40" s="152" t="s">
        <v>1812</v>
      </c>
      <c r="Q40" s="152">
        <v>15110423230</v>
      </c>
      <c r="R40" s="106" t="s">
        <v>1813</v>
      </c>
      <c r="S40" s="125" t="s">
        <v>1736</v>
      </c>
      <c r="T40" s="103"/>
    </row>
    <row r="41" spans="1:20" ht="24.95" customHeight="1">
      <c r="A41" s="117" t="s">
        <v>1838</v>
      </c>
      <c r="B41" s="150" t="s">
        <v>1836</v>
      </c>
      <c r="C41" s="150" t="s">
        <v>1839</v>
      </c>
      <c r="D41" s="151" t="s">
        <v>79</v>
      </c>
      <c r="E41" s="150">
        <v>700</v>
      </c>
      <c r="F41" s="150">
        <v>1444</v>
      </c>
      <c r="G41" s="152" t="s">
        <v>32</v>
      </c>
      <c r="H41" s="105" t="s">
        <v>33</v>
      </c>
      <c r="I41" s="152"/>
      <c r="J41" s="152" t="s">
        <v>1809</v>
      </c>
      <c r="K41" s="153"/>
      <c r="L41" s="154">
        <v>7433.6299999999801</v>
      </c>
      <c r="M41" s="154">
        <v>5203.5409999999902</v>
      </c>
      <c r="N41" s="155" t="s">
        <v>1831</v>
      </c>
      <c r="O41" s="156" t="s">
        <v>1832</v>
      </c>
      <c r="P41" s="152" t="s">
        <v>1812</v>
      </c>
      <c r="Q41" s="152">
        <v>15110423230</v>
      </c>
      <c r="R41" s="106" t="s">
        <v>1813</v>
      </c>
      <c r="S41" s="125" t="s">
        <v>1736</v>
      </c>
      <c r="T41" s="103"/>
    </row>
    <row r="42" spans="1:20" ht="24.95" customHeight="1">
      <c r="A42" s="117" t="s">
        <v>1840</v>
      </c>
      <c r="B42" s="150" t="s">
        <v>1841</v>
      </c>
      <c r="C42" s="150" t="s">
        <v>1842</v>
      </c>
      <c r="D42" s="151" t="s">
        <v>62</v>
      </c>
      <c r="E42" s="150">
        <v>307.762</v>
      </c>
      <c r="F42" s="150">
        <v>700</v>
      </c>
      <c r="G42" s="152" t="s">
        <v>32</v>
      </c>
      <c r="H42" s="105" t="s">
        <v>33</v>
      </c>
      <c r="I42" s="152"/>
      <c r="J42" s="152" t="s">
        <v>1809</v>
      </c>
      <c r="K42" s="153"/>
      <c r="L42" s="154">
        <v>1252718.98</v>
      </c>
      <c r="M42" s="154">
        <v>1081414.8674182401</v>
      </c>
      <c r="N42" s="155" t="s">
        <v>1831</v>
      </c>
      <c r="O42" s="156" t="s">
        <v>1832</v>
      </c>
      <c r="P42" s="152" t="s">
        <v>1812</v>
      </c>
      <c r="Q42" s="152">
        <v>15110423230</v>
      </c>
      <c r="R42" s="106" t="s">
        <v>1813</v>
      </c>
      <c r="S42" s="125" t="s">
        <v>1736</v>
      </c>
      <c r="T42" s="103"/>
    </row>
    <row r="43" spans="1:20" ht="24.95" customHeight="1">
      <c r="A43" s="117" t="s">
        <v>1843</v>
      </c>
      <c r="B43" s="150" t="s">
        <v>1841</v>
      </c>
      <c r="C43" s="150" t="s">
        <v>1842</v>
      </c>
      <c r="D43" s="151" t="s">
        <v>62</v>
      </c>
      <c r="E43" s="150">
        <v>29.94</v>
      </c>
      <c r="F43" s="150">
        <v>29.94</v>
      </c>
      <c r="G43" s="152" t="s">
        <v>32</v>
      </c>
      <c r="H43" s="105" t="s">
        <v>33</v>
      </c>
      <c r="I43" s="152"/>
      <c r="J43" s="152" t="s">
        <v>1809</v>
      </c>
      <c r="K43" s="153"/>
      <c r="L43" s="154">
        <v>128143.2</v>
      </c>
      <c r="M43" s="154">
        <v>127374.34080000001</v>
      </c>
      <c r="N43" s="155" t="s">
        <v>1844</v>
      </c>
      <c r="O43" s="157" t="s">
        <v>1845</v>
      </c>
      <c r="P43" s="152" t="s">
        <v>1812</v>
      </c>
      <c r="Q43" s="152">
        <v>15110423230</v>
      </c>
      <c r="R43" s="106" t="s">
        <v>1813</v>
      </c>
      <c r="S43" s="125" t="s">
        <v>1736</v>
      </c>
      <c r="T43" s="103"/>
    </row>
    <row r="44" spans="1:20" ht="24.95" customHeight="1">
      <c r="A44" s="117" t="s">
        <v>1846</v>
      </c>
      <c r="B44" s="150" t="s">
        <v>1841</v>
      </c>
      <c r="C44" s="150" t="s">
        <v>1842</v>
      </c>
      <c r="D44" s="151" t="s">
        <v>62</v>
      </c>
      <c r="E44" s="150">
        <v>20.059999999999999</v>
      </c>
      <c r="F44" s="150">
        <v>20.059999999999999</v>
      </c>
      <c r="G44" s="152" t="s">
        <v>32</v>
      </c>
      <c r="H44" s="105" t="s">
        <v>33</v>
      </c>
      <c r="I44" s="152"/>
      <c r="J44" s="152" t="s">
        <v>1809</v>
      </c>
      <c r="K44" s="153"/>
      <c r="L44" s="154">
        <v>85856.8</v>
      </c>
      <c r="M44" s="154">
        <v>85341.659199999995</v>
      </c>
      <c r="N44" s="155" t="s">
        <v>1844</v>
      </c>
      <c r="O44" s="157" t="s">
        <v>1845</v>
      </c>
      <c r="P44" s="152" t="s">
        <v>1812</v>
      </c>
      <c r="Q44" s="152">
        <v>15110423230</v>
      </c>
      <c r="R44" s="106" t="s">
        <v>1813</v>
      </c>
      <c r="S44" s="125" t="s">
        <v>1736</v>
      </c>
      <c r="T44" s="103"/>
    </row>
    <row r="45" spans="1:20" ht="24.95" customHeight="1">
      <c r="A45" s="117" t="s">
        <v>1847</v>
      </c>
      <c r="B45" s="150" t="s">
        <v>1841</v>
      </c>
      <c r="C45" s="150" t="s">
        <v>1842</v>
      </c>
      <c r="D45" s="151" t="s">
        <v>62</v>
      </c>
      <c r="E45" s="150">
        <v>149.58000000000001</v>
      </c>
      <c r="F45" s="150">
        <v>149.58000000000001</v>
      </c>
      <c r="G45" s="152" t="s">
        <v>32</v>
      </c>
      <c r="H45" s="105" t="s">
        <v>33</v>
      </c>
      <c r="I45" s="152"/>
      <c r="J45" s="152" t="s">
        <v>1809</v>
      </c>
      <c r="K45" s="153"/>
      <c r="L45" s="154">
        <v>664135.19999999995</v>
      </c>
      <c r="M45" s="154">
        <v>660150.38879999996</v>
      </c>
      <c r="N45" s="155" t="s">
        <v>1844</v>
      </c>
      <c r="O45" s="157" t="s">
        <v>1845</v>
      </c>
      <c r="P45" s="152" t="s">
        <v>1812</v>
      </c>
      <c r="Q45" s="152">
        <v>15110423230</v>
      </c>
      <c r="R45" s="106" t="s">
        <v>1813</v>
      </c>
      <c r="S45" s="125" t="s">
        <v>1736</v>
      </c>
      <c r="T45" s="103"/>
    </row>
    <row r="46" spans="1:20" ht="24.95" customHeight="1">
      <c r="A46" s="117" t="s">
        <v>1848</v>
      </c>
      <c r="B46" s="150" t="s">
        <v>1849</v>
      </c>
      <c r="C46" s="150" t="s">
        <v>1850</v>
      </c>
      <c r="D46" s="151" t="s">
        <v>62</v>
      </c>
      <c r="E46" s="150">
        <v>18.46</v>
      </c>
      <c r="F46" s="150">
        <v>18.46</v>
      </c>
      <c r="G46" s="152" t="s">
        <v>32</v>
      </c>
      <c r="H46" s="105" t="s">
        <v>33</v>
      </c>
      <c r="I46" s="152"/>
      <c r="J46" s="152" t="s">
        <v>1809</v>
      </c>
      <c r="K46" s="153"/>
      <c r="L46" s="154">
        <v>79378</v>
      </c>
      <c r="M46" s="154">
        <v>78901.732000000004</v>
      </c>
      <c r="N46" s="155" t="s">
        <v>1844</v>
      </c>
      <c r="O46" s="157" t="s">
        <v>1851</v>
      </c>
      <c r="P46" s="152" t="s">
        <v>1812</v>
      </c>
      <c r="Q46" s="152">
        <v>15110423230</v>
      </c>
      <c r="R46" s="106" t="s">
        <v>1813</v>
      </c>
      <c r="S46" s="125" t="s">
        <v>1736</v>
      </c>
      <c r="T46" s="103"/>
    </row>
    <row r="47" spans="1:20" ht="24.95" customHeight="1">
      <c r="A47" s="117" t="s">
        <v>1852</v>
      </c>
      <c r="B47" s="150" t="s">
        <v>1841</v>
      </c>
      <c r="C47" s="150" t="s">
        <v>1853</v>
      </c>
      <c r="D47" s="151" t="s">
        <v>62</v>
      </c>
      <c r="E47" s="150">
        <v>34.58</v>
      </c>
      <c r="F47" s="150">
        <v>34.58</v>
      </c>
      <c r="G47" s="152" t="s">
        <v>32</v>
      </c>
      <c r="H47" s="105" t="s">
        <v>33</v>
      </c>
      <c r="I47" s="152"/>
      <c r="J47" s="152" t="s">
        <v>1809</v>
      </c>
      <c r="K47" s="153"/>
      <c r="L47" s="154">
        <v>145408.9</v>
      </c>
      <c r="M47" s="154">
        <v>144536.4466</v>
      </c>
      <c r="N47" s="155" t="s">
        <v>1844</v>
      </c>
      <c r="O47" s="157" t="s">
        <v>1854</v>
      </c>
      <c r="P47" s="152" t="s">
        <v>1812</v>
      </c>
      <c r="Q47" s="152">
        <v>15110423230</v>
      </c>
      <c r="R47" s="106" t="s">
        <v>1813</v>
      </c>
      <c r="S47" s="125" t="s">
        <v>1736</v>
      </c>
      <c r="T47" s="103"/>
    </row>
    <row r="48" spans="1:20" ht="24.95" customHeight="1">
      <c r="A48" s="117" t="s">
        <v>1855</v>
      </c>
      <c r="B48" s="150" t="s">
        <v>1849</v>
      </c>
      <c r="C48" s="150" t="s">
        <v>1856</v>
      </c>
      <c r="D48" s="151" t="s">
        <v>62</v>
      </c>
      <c r="E48" s="150">
        <v>32.26</v>
      </c>
      <c r="F48" s="150">
        <v>32.26</v>
      </c>
      <c r="G48" s="152" t="s">
        <v>32</v>
      </c>
      <c r="H48" s="105" t="s">
        <v>33</v>
      </c>
      <c r="I48" s="152"/>
      <c r="J48" s="152" t="s">
        <v>1809</v>
      </c>
      <c r="K48" s="153"/>
      <c r="L48" s="154">
        <v>136459.79999999999</v>
      </c>
      <c r="M48" s="154">
        <v>135641.04120000001</v>
      </c>
      <c r="N48" s="155" t="s">
        <v>1844</v>
      </c>
      <c r="O48" s="157" t="s">
        <v>1851</v>
      </c>
      <c r="P48" s="152" t="s">
        <v>1812</v>
      </c>
      <c r="Q48" s="152">
        <v>15110423230</v>
      </c>
      <c r="R48" s="106" t="s">
        <v>1813</v>
      </c>
      <c r="S48" s="125" t="s">
        <v>1736</v>
      </c>
      <c r="T48" s="103"/>
    </row>
    <row r="49" spans="1:20" ht="24.95" customHeight="1">
      <c r="A49" s="117" t="s">
        <v>1857</v>
      </c>
      <c r="B49" s="150" t="s">
        <v>1849</v>
      </c>
      <c r="C49" s="150" t="s">
        <v>1856</v>
      </c>
      <c r="D49" s="151" t="s">
        <v>62</v>
      </c>
      <c r="E49" s="150">
        <v>13.86</v>
      </c>
      <c r="F49" s="150">
        <v>13.86</v>
      </c>
      <c r="G49" s="152" t="s">
        <v>32</v>
      </c>
      <c r="H49" s="105" t="s">
        <v>33</v>
      </c>
      <c r="I49" s="152"/>
      <c r="J49" s="152" t="s">
        <v>1809</v>
      </c>
      <c r="K49" s="153"/>
      <c r="L49" s="154">
        <v>58627.8</v>
      </c>
      <c r="M49" s="154">
        <v>58276.033199999998</v>
      </c>
      <c r="N49" s="155" t="s">
        <v>1844</v>
      </c>
      <c r="O49" s="152" t="s">
        <v>1851</v>
      </c>
      <c r="P49" s="152" t="s">
        <v>1812</v>
      </c>
      <c r="Q49" s="152">
        <v>15110423230</v>
      </c>
      <c r="R49" s="106" t="s">
        <v>1813</v>
      </c>
      <c r="S49" s="125" t="s">
        <v>1736</v>
      </c>
      <c r="T49" s="103"/>
    </row>
    <row r="50" spans="1:20" ht="24.95" customHeight="1">
      <c r="A50" s="117" t="s">
        <v>1858</v>
      </c>
      <c r="B50" s="150" t="s">
        <v>1849</v>
      </c>
      <c r="C50" s="150" t="s">
        <v>601</v>
      </c>
      <c r="D50" s="151" t="s">
        <v>62</v>
      </c>
      <c r="E50" s="150">
        <v>17.84</v>
      </c>
      <c r="F50" s="150">
        <v>17.84</v>
      </c>
      <c r="G50" s="152" t="s">
        <v>32</v>
      </c>
      <c r="H50" s="105" t="s">
        <v>33</v>
      </c>
      <c r="I50" s="152"/>
      <c r="J50" s="152" t="s">
        <v>1809</v>
      </c>
      <c r="K50" s="153"/>
      <c r="L50" s="154">
        <v>75463.199999999997</v>
      </c>
      <c r="M50" s="154">
        <v>75010.420800000007</v>
      </c>
      <c r="N50" s="155" t="s">
        <v>1844</v>
      </c>
      <c r="O50" s="152" t="s">
        <v>1851</v>
      </c>
      <c r="P50" s="152" t="s">
        <v>1812</v>
      </c>
      <c r="Q50" s="152">
        <v>15110423230</v>
      </c>
      <c r="R50" s="106" t="s">
        <v>1813</v>
      </c>
      <c r="S50" s="125" t="s">
        <v>1736</v>
      </c>
      <c r="T50" s="103"/>
    </row>
    <row r="51" spans="1:20" ht="24.95" customHeight="1">
      <c r="A51" s="117" t="s">
        <v>1859</v>
      </c>
      <c r="B51" s="150" t="s">
        <v>1841</v>
      </c>
      <c r="C51" s="150" t="s">
        <v>1860</v>
      </c>
      <c r="D51" s="151" t="s">
        <v>62</v>
      </c>
      <c r="E51" s="150">
        <v>30.43</v>
      </c>
      <c r="F51" s="150">
        <v>30.43</v>
      </c>
      <c r="G51" s="152" t="s">
        <v>32</v>
      </c>
      <c r="H51" s="105" t="s">
        <v>33</v>
      </c>
      <c r="I51" s="152"/>
      <c r="J51" s="152" t="s">
        <v>1809</v>
      </c>
      <c r="K51" s="153"/>
      <c r="L51" s="154">
        <v>132674.79999999999</v>
      </c>
      <c r="M51" s="154">
        <v>131878.7512</v>
      </c>
      <c r="N51" s="155" t="s">
        <v>1844</v>
      </c>
      <c r="O51" s="152" t="s">
        <v>1854</v>
      </c>
      <c r="P51" s="152" t="s">
        <v>1812</v>
      </c>
      <c r="Q51" s="152">
        <v>15110423230</v>
      </c>
      <c r="R51" s="106" t="s">
        <v>1813</v>
      </c>
      <c r="S51" s="125" t="s">
        <v>1736</v>
      </c>
      <c r="T51" s="103"/>
    </row>
    <row r="52" spans="1:20" ht="24.95" customHeight="1">
      <c r="A52" s="117" t="s">
        <v>1861</v>
      </c>
      <c r="B52" s="150" t="s">
        <v>1841</v>
      </c>
      <c r="C52" s="150" t="s">
        <v>1860</v>
      </c>
      <c r="D52" s="151" t="s">
        <v>62</v>
      </c>
      <c r="E52" s="150">
        <v>28.87</v>
      </c>
      <c r="F52" s="150">
        <v>28.87</v>
      </c>
      <c r="G52" s="152" t="s">
        <v>32</v>
      </c>
      <c r="H52" s="105" t="s">
        <v>33</v>
      </c>
      <c r="I52" s="152"/>
      <c r="J52" s="152" t="s">
        <v>1809</v>
      </c>
      <c r="K52" s="153"/>
      <c r="L52" s="154">
        <v>125873.2</v>
      </c>
      <c r="M52" s="154">
        <v>125117.9608</v>
      </c>
      <c r="N52" s="155" t="s">
        <v>1844</v>
      </c>
      <c r="O52" s="152" t="s">
        <v>1854</v>
      </c>
      <c r="P52" s="152" t="s">
        <v>1812</v>
      </c>
      <c r="Q52" s="152">
        <v>15110423230</v>
      </c>
      <c r="R52" s="106" t="s">
        <v>1813</v>
      </c>
      <c r="S52" s="125" t="s">
        <v>1736</v>
      </c>
      <c r="T52" s="103"/>
    </row>
    <row r="53" spans="1:20" ht="24.95" customHeight="1">
      <c r="A53" s="117" t="s">
        <v>1862</v>
      </c>
      <c r="B53" s="150" t="s">
        <v>1841</v>
      </c>
      <c r="C53" s="150" t="s">
        <v>1842</v>
      </c>
      <c r="D53" s="151" t="s">
        <v>62</v>
      </c>
      <c r="E53" s="150">
        <v>122.27</v>
      </c>
      <c r="F53" s="150">
        <v>122.27</v>
      </c>
      <c r="G53" s="152" t="s">
        <v>32</v>
      </c>
      <c r="H53" s="105" t="s">
        <v>33</v>
      </c>
      <c r="I53" s="152"/>
      <c r="J53" s="152" t="s">
        <v>1809</v>
      </c>
      <c r="K53" s="153"/>
      <c r="L53" s="154">
        <v>563664.69999999995</v>
      </c>
      <c r="M53" s="154">
        <v>560282.71180000005</v>
      </c>
      <c r="N53" s="155" t="s">
        <v>1844</v>
      </c>
      <c r="O53" s="152" t="s">
        <v>1854</v>
      </c>
      <c r="P53" s="152" t="s">
        <v>1812</v>
      </c>
      <c r="Q53" s="152">
        <v>15110423230</v>
      </c>
      <c r="R53" s="106" t="s">
        <v>1813</v>
      </c>
      <c r="S53" s="125" t="s">
        <v>1736</v>
      </c>
      <c r="T53" s="103"/>
    </row>
    <row r="54" spans="1:20" ht="24.95" customHeight="1">
      <c r="A54" s="117" t="s">
        <v>1863</v>
      </c>
      <c r="B54" s="150" t="s">
        <v>1841</v>
      </c>
      <c r="C54" s="150" t="s">
        <v>1842</v>
      </c>
      <c r="D54" s="151" t="s">
        <v>62</v>
      </c>
      <c r="E54" s="150">
        <v>64.611999999999995</v>
      </c>
      <c r="F54" s="150">
        <v>64.611999999999995</v>
      </c>
      <c r="G54" s="152" t="s">
        <v>32</v>
      </c>
      <c r="H54" s="105" t="s">
        <v>33</v>
      </c>
      <c r="I54" s="152"/>
      <c r="J54" s="152" t="s">
        <v>1809</v>
      </c>
      <c r="K54" s="153"/>
      <c r="L54" s="154">
        <v>297861.32</v>
      </c>
      <c r="M54" s="154">
        <v>296074.15208000003</v>
      </c>
      <c r="N54" s="155" t="s">
        <v>1844</v>
      </c>
      <c r="O54" s="152" t="s">
        <v>1854</v>
      </c>
      <c r="P54" s="152" t="s">
        <v>1812</v>
      </c>
      <c r="Q54" s="152">
        <v>15110423230</v>
      </c>
      <c r="R54" s="106" t="s">
        <v>1813</v>
      </c>
      <c r="S54" s="125" t="s">
        <v>1736</v>
      </c>
      <c r="T54" s="103"/>
    </row>
    <row r="55" spans="1:20" ht="24.95" customHeight="1">
      <c r="A55" s="117" t="s">
        <v>1864</v>
      </c>
      <c r="B55" s="150" t="s">
        <v>1841</v>
      </c>
      <c r="C55" s="150" t="s">
        <v>1842</v>
      </c>
      <c r="D55" s="151" t="s">
        <v>62</v>
      </c>
      <c r="E55" s="150">
        <v>32.198</v>
      </c>
      <c r="F55" s="150">
        <v>32.198</v>
      </c>
      <c r="G55" s="152" t="s">
        <v>32</v>
      </c>
      <c r="H55" s="105" t="s">
        <v>33</v>
      </c>
      <c r="I55" s="152"/>
      <c r="J55" s="152" t="s">
        <v>1809</v>
      </c>
      <c r="K55" s="153"/>
      <c r="L55" s="154">
        <v>149076.74</v>
      </c>
      <c r="M55" s="154">
        <v>148182.27956</v>
      </c>
      <c r="N55" s="155" t="s">
        <v>1844</v>
      </c>
      <c r="O55" s="152" t="s">
        <v>1854</v>
      </c>
      <c r="P55" s="152" t="s">
        <v>1812</v>
      </c>
      <c r="Q55" s="152">
        <v>15110423230</v>
      </c>
      <c r="R55" s="106" t="s">
        <v>1813</v>
      </c>
      <c r="S55" s="125" t="s">
        <v>1736</v>
      </c>
      <c r="T55" s="103"/>
    </row>
    <row r="56" spans="1:20" ht="24.95" customHeight="1">
      <c r="A56" s="117" t="s">
        <v>1865</v>
      </c>
      <c r="B56" s="150" t="s">
        <v>1866</v>
      </c>
      <c r="C56" s="150" t="s">
        <v>365</v>
      </c>
      <c r="D56" s="151" t="s">
        <v>62</v>
      </c>
      <c r="E56" s="150">
        <v>33.101999999999997</v>
      </c>
      <c r="F56" s="150">
        <v>33.101999999999997</v>
      </c>
      <c r="G56" s="152" t="s">
        <v>32</v>
      </c>
      <c r="H56" s="105" t="s">
        <v>33</v>
      </c>
      <c r="I56" s="152"/>
      <c r="J56" s="152" t="s">
        <v>1809</v>
      </c>
      <c r="K56" s="153"/>
      <c r="L56" s="154">
        <v>144324.72</v>
      </c>
      <c r="M56" s="154">
        <v>143458.77168000001</v>
      </c>
      <c r="N56" s="155" t="s">
        <v>1844</v>
      </c>
      <c r="O56" s="152" t="s">
        <v>1851</v>
      </c>
      <c r="P56" s="152" t="s">
        <v>1812</v>
      </c>
      <c r="Q56" s="152">
        <v>15110423230</v>
      </c>
      <c r="R56" s="106" t="s">
        <v>1813</v>
      </c>
      <c r="S56" s="125" t="s">
        <v>1736</v>
      </c>
      <c r="T56" s="103"/>
    </row>
    <row r="57" spans="1:20" ht="24.95" customHeight="1">
      <c r="A57" s="117" t="s">
        <v>1867</v>
      </c>
      <c r="B57" s="150" t="s">
        <v>1866</v>
      </c>
      <c r="C57" s="150" t="s">
        <v>1868</v>
      </c>
      <c r="D57" s="151" t="s">
        <v>62</v>
      </c>
      <c r="E57" s="150">
        <v>31.911000000000001</v>
      </c>
      <c r="F57" s="150">
        <v>31.911000000000001</v>
      </c>
      <c r="G57" s="152" t="s">
        <v>32</v>
      </c>
      <c r="H57" s="105" t="s">
        <v>33</v>
      </c>
      <c r="I57" s="152"/>
      <c r="J57" s="152" t="s">
        <v>1809</v>
      </c>
      <c r="K57" s="153"/>
      <c r="L57" s="154">
        <v>139131.96</v>
      </c>
      <c r="M57" s="154">
        <v>138297.16824</v>
      </c>
      <c r="N57" s="155" t="s">
        <v>1844</v>
      </c>
      <c r="O57" s="152" t="s">
        <v>1851</v>
      </c>
      <c r="P57" s="152" t="s">
        <v>1812</v>
      </c>
      <c r="Q57" s="152">
        <v>15110423230</v>
      </c>
      <c r="R57" s="106" t="s">
        <v>1813</v>
      </c>
      <c r="S57" s="125" t="s">
        <v>1736</v>
      </c>
      <c r="T57" s="103"/>
    </row>
    <row r="58" spans="1:20" ht="24.95" customHeight="1">
      <c r="A58" s="117" t="s">
        <v>1869</v>
      </c>
      <c r="B58" s="150" t="s">
        <v>1841</v>
      </c>
      <c r="C58" s="150" t="s">
        <v>1842</v>
      </c>
      <c r="D58" s="151" t="s">
        <v>62</v>
      </c>
      <c r="E58" s="150">
        <v>11.605</v>
      </c>
      <c r="F58" s="150">
        <v>11.605</v>
      </c>
      <c r="G58" s="152" t="s">
        <v>32</v>
      </c>
      <c r="H58" s="105" t="s">
        <v>33</v>
      </c>
      <c r="I58" s="152"/>
      <c r="J58" s="152" t="s">
        <v>1809</v>
      </c>
      <c r="K58" s="153"/>
      <c r="L58" s="154">
        <v>51410.15</v>
      </c>
      <c r="M58" s="154">
        <v>51101.689100000003</v>
      </c>
      <c r="N58" s="155" t="s">
        <v>1844</v>
      </c>
      <c r="O58" s="152" t="s">
        <v>1854</v>
      </c>
      <c r="P58" s="152" t="s">
        <v>1812</v>
      </c>
      <c r="Q58" s="152">
        <v>15110423230</v>
      </c>
      <c r="R58" s="106" t="s">
        <v>1813</v>
      </c>
      <c r="S58" s="125" t="s">
        <v>1736</v>
      </c>
      <c r="T58" s="103"/>
    </row>
    <row r="59" spans="1:20" ht="24.95" customHeight="1">
      <c r="A59" s="117" t="s">
        <v>1870</v>
      </c>
      <c r="B59" s="150" t="s">
        <v>1866</v>
      </c>
      <c r="C59" s="150" t="s">
        <v>553</v>
      </c>
      <c r="D59" s="151" t="s">
        <v>62</v>
      </c>
      <c r="E59" s="150">
        <v>6.3040000000000003</v>
      </c>
      <c r="F59" s="150">
        <v>6.3040000000000003</v>
      </c>
      <c r="G59" s="152" t="s">
        <v>32</v>
      </c>
      <c r="H59" s="105" t="s">
        <v>33</v>
      </c>
      <c r="I59" s="152"/>
      <c r="J59" s="152" t="s">
        <v>1809</v>
      </c>
      <c r="K59" s="153"/>
      <c r="L59" s="154">
        <v>27296.32</v>
      </c>
      <c r="M59" s="154">
        <v>27132.542079999999</v>
      </c>
      <c r="N59" s="155" t="s">
        <v>1844</v>
      </c>
      <c r="O59" s="152" t="s">
        <v>1851</v>
      </c>
      <c r="P59" s="152" t="s">
        <v>1812</v>
      </c>
      <c r="Q59" s="152">
        <v>15110423230</v>
      </c>
      <c r="R59" s="106" t="s">
        <v>1813</v>
      </c>
      <c r="S59" s="125" t="s">
        <v>1736</v>
      </c>
      <c r="T59" s="103"/>
    </row>
    <row r="60" spans="1:20" ht="24.95" customHeight="1">
      <c r="A60" s="117" t="s">
        <v>1871</v>
      </c>
      <c r="B60" s="150" t="s">
        <v>1849</v>
      </c>
      <c r="C60" s="150" t="s">
        <v>1868</v>
      </c>
      <c r="D60" s="151" t="s">
        <v>62</v>
      </c>
      <c r="E60" s="150">
        <v>7.6760000000000002</v>
      </c>
      <c r="F60" s="150">
        <v>7.6760000000000002</v>
      </c>
      <c r="G60" s="152" t="s">
        <v>32</v>
      </c>
      <c r="H60" s="105" t="s">
        <v>33</v>
      </c>
      <c r="I60" s="152"/>
      <c r="J60" s="152" t="s">
        <v>1809</v>
      </c>
      <c r="K60" s="153"/>
      <c r="L60" s="154">
        <v>32853.279999999999</v>
      </c>
      <c r="M60" s="154">
        <v>32656.160319999999</v>
      </c>
      <c r="N60" s="155" t="s">
        <v>1844</v>
      </c>
      <c r="O60" s="152" t="s">
        <v>1851</v>
      </c>
      <c r="P60" s="152" t="s">
        <v>1812</v>
      </c>
      <c r="Q60" s="152">
        <v>15110423230</v>
      </c>
      <c r="R60" s="106" t="s">
        <v>1813</v>
      </c>
      <c r="S60" s="125" t="s">
        <v>1736</v>
      </c>
      <c r="T60" s="103"/>
    </row>
    <row r="61" spans="1:20" ht="24.95" customHeight="1">
      <c r="A61" s="117" t="s">
        <v>1872</v>
      </c>
      <c r="B61" s="150" t="s">
        <v>1849</v>
      </c>
      <c r="C61" s="150" t="s">
        <v>1856</v>
      </c>
      <c r="D61" s="151" t="s">
        <v>62</v>
      </c>
      <c r="E61" s="150">
        <v>8.3819999999999997</v>
      </c>
      <c r="F61" s="150">
        <v>8.3819999999999997</v>
      </c>
      <c r="G61" s="152" t="s">
        <v>32</v>
      </c>
      <c r="H61" s="105" t="s">
        <v>33</v>
      </c>
      <c r="I61" s="152"/>
      <c r="J61" s="152" t="s">
        <v>1809</v>
      </c>
      <c r="K61" s="153"/>
      <c r="L61" s="154">
        <v>35874.959999999999</v>
      </c>
      <c r="M61" s="154">
        <v>35659.71024</v>
      </c>
      <c r="N61" s="155" t="s">
        <v>1844</v>
      </c>
      <c r="O61" s="152" t="s">
        <v>1851</v>
      </c>
      <c r="P61" s="152" t="s">
        <v>1812</v>
      </c>
      <c r="Q61" s="152">
        <v>15110423230</v>
      </c>
      <c r="R61" s="106" t="s">
        <v>1813</v>
      </c>
      <c r="S61" s="125" t="s">
        <v>1736</v>
      </c>
      <c r="T61" s="103"/>
    </row>
    <row r="62" spans="1:20" ht="24.95" customHeight="1">
      <c r="A62" s="117" t="s">
        <v>1873</v>
      </c>
      <c r="B62" s="150" t="s">
        <v>1841</v>
      </c>
      <c r="C62" s="150" t="s">
        <v>1860</v>
      </c>
      <c r="D62" s="151" t="s">
        <v>62</v>
      </c>
      <c r="E62" s="150">
        <v>35.56</v>
      </c>
      <c r="F62" s="150">
        <v>35.56</v>
      </c>
      <c r="G62" s="152" t="s">
        <v>32</v>
      </c>
      <c r="H62" s="105" t="s">
        <v>33</v>
      </c>
      <c r="I62" s="152"/>
      <c r="J62" s="152" t="s">
        <v>1809</v>
      </c>
      <c r="K62" s="153"/>
      <c r="L62" s="154">
        <v>156464</v>
      </c>
      <c r="M62" s="154">
        <v>155525.21599999999</v>
      </c>
      <c r="N62" s="155" t="s">
        <v>1844</v>
      </c>
      <c r="O62" s="152" t="s">
        <v>1854</v>
      </c>
      <c r="P62" s="152" t="s">
        <v>1812</v>
      </c>
      <c r="Q62" s="152">
        <v>15110423230</v>
      </c>
      <c r="R62" s="106" t="s">
        <v>1813</v>
      </c>
      <c r="S62" s="125" t="s">
        <v>1736</v>
      </c>
      <c r="T62" s="103"/>
    </row>
    <row r="63" spans="1:20" ht="24.95" customHeight="1">
      <c r="A63" s="117" t="s">
        <v>1874</v>
      </c>
      <c r="B63" s="150" t="s">
        <v>1841</v>
      </c>
      <c r="C63" s="150" t="s">
        <v>1860</v>
      </c>
      <c r="D63" s="151" t="s">
        <v>62</v>
      </c>
      <c r="E63" s="150">
        <v>16.07</v>
      </c>
      <c r="F63" s="150">
        <v>16.07</v>
      </c>
      <c r="G63" s="152" t="s">
        <v>32</v>
      </c>
      <c r="H63" s="105" t="s">
        <v>33</v>
      </c>
      <c r="I63" s="152"/>
      <c r="J63" s="152" t="s">
        <v>1809</v>
      </c>
      <c r="K63" s="153"/>
      <c r="L63" s="154">
        <v>70708</v>
      </c>
      <c r="M63" s="154">
        <v>70283.751999999993</v>
      </c>
      <c r="N63" s="155" t="s">
        <v>1844</v>
      </c>
      <c r="O63" s="152" t="s">
        <v>1854</v>
      </c>
      <c r="P63" s="152" t="s">
        <v>1812</v>
      </c>
      <c r="Q63" s="152">
        <v>15110423230</v>
      </c>
      <c r="R63" s="106" t="s">
        <v>1813</v>
      </c>
      <c r="S63" s="125" t="s">
        <v>1736</v>
      </c>
      <c r="T63" s="103"/>
    </row>
    <row r="64" spans="1:20" ht="24.95" customHeight="1">
      <c r="A64" s="117" t="s">
        <v>1875</v>
      </c>
      <c r="B64" s="158" t="s">
        <v>164</v>
      </c>
      <c r="C64" s="150" t="s">
        <v>174</v>
      </c>
      <c r="D64" s="151" t="s">
        <v>62</v>
      </c>
      <c r="E64" s="150">
        <v>215.34</v>
      </c>
      <c r="F64" s="150">
        <v>215.34</v>
      </c>
      <c r="G64" s="152" t="s">
        <v>32</v>
      </c>
      <c r="H64" s="105" t="s">
        <v>33</v>
      </c>
      <c r="I64" s="152"/>
      <c r="J64" s="152" t="s">
        <v>1809</v>
      </c>
      <c r="K64" s="153"/>
      <c r="L64" s="154">
        <v>1253056.0344827599</v>
      </c>
      <c r="M64" s="154">
        <v>877139.22413793195</v>
      </c>
      <c r="N64" s="155" t="s">
        <v>1876</v>
      </c>
      <c r="O64" s="159" t="s">
        <v>1877</v>
      </c>
      <c r="P64" s="152" t="s">
        <v>1812</v>
      </c>
      <c r="Q64" s="152">
        <v>15110423230</v>
      </c>
      <c r="R64" s="106" t="s">
        <v>1813</v>
      </c>
      <c r="S64" s="125" t="s">
        <v>1736</v>
      </c>
      <c r="T64" s="103"/>
    </row>
    <row r="65" spans="1:20" ht="24.95" customHeight="1">
      <c r="A65" s="117" t="s">
        <v>1878</v>
      </c>
      <c r="B65" s="158" t="s">
        <v>1879</v>
      </c>
      <c r="C65" s="150"/>
      <c r="D65" s="151" t="s">
        <v>62</v>
      </c>
      <c r="E65" s="150">
        <v>39.64</v>
      </c>
      <c r="F65" s="150">
        <v>39.64</v>
      </c>
      <c r="G65" s="152" t="s">
        <v>32</v>
      </c>
      <c r="H65" s="105" t="s">
        <v>33</v>
      </c>
      <c r="I65" s="152"/>
      <c r="J65" s="152" t="s">
        <v>1809</v>
      </c>
      <c r="K65" s="153"/>
      <c r="L65" s="154">
        <v>209425.49</v>
      </c>
      <c r="M65" s="154">
        <v>146597.84299999999</v>
      </c>
      <c r="N65" s="155" t="s">
        <v>1880</v>
      </c>
      <c r="O65" s="159" t="s">
        <v>1881</v>
      </c>
      <c r="P65" s="152" t="s">
        <v>1812</v>
      </c>
      <c r="Q65" s="152">
        <v>15110423230</v>
      </c>
      <c r="R65" s="106" t="s">
        <v>1813</v>
      </c>
      <c r="S65" s="125" t="s">
        <v>1736</v>
      </c>
      <c r="T65" s="103"/>
    </row>
    <row r="66" spans="1:20" ht="24.95" customHeight="1">
      <c r="A66" s="117" t="s">
        <v>1882</v>
      </c>
      <c r="B66" s="158" t="s">
        <v>1883</v>
      </c>
      <c r="C66" s="150"/>
      <c r="D66" s="151" t="s">
        <v>62</v>
      </c>
      <c r="E66" s="150">
        <v>12.1</v>
      </c>
      <c r="F66" s="150">
        <v>12.1</v>
      </c>
      <c r="G66" s="152" t="s">
        <v>32</v>
      </c>
      <c r="H66" s="105" t="s">
        <v>33</v>
      </c>
      <c r="I66" s="152"/>
      <c r="J66" s="152" t="s">
        <v>1809</v>
      </c>
      <c r="K66" s="153"/>
      <c r="L66" s="154">
        <v>69601.770000000106</v>
      </c>
      <c r="M66" s="154">
        <v>48721.239000000103</v>
      </c>
      <c r="N66" s="155" t="s">
        <v>1816</v>
      </c>
      <c r="O66" s="159" t="s">
        <v>1884</v>
      </c>
      <c r="P66" s="152" t="s">
        <v>1812</v>
      </c>
      <c r="Q66" s="152">
        <v>15110423230</v>
      </c>
      <c r="R66" s="106" t="s">
        <v>1813</v>
      </c>
      <c r="S66" s="125" t="s">
        <v>1736</v>
      </c>
      <c r="T66" s="103"/>
    </row>
    <row r="67" spans="1:20" ht="24.95" customHeight="1">
      <c r="A67" s="117" t="s">
        <v>1885</v>
      </c>
      <c r="B67" s="150" t="s">
        <v>164</v>
      </c>
      <c r="C67" s="150"/>
      <c r="D67" s="151" t="s">
        <v>62</v>
      </c>
      <c r="E67" s="150">
        <v>73.900000000000006</v>
      </c>
      <c r="F67" s="150">
        <v>73.900000000000006</v>
      </c>
      <c r="G67" s="152" t="s">
        <v>32</v>
      </c>
      <c r="H67" s="105" t="s">
        <v>33</v>
      </c>
      <c r="I67" s="152"/>
      <c r="J67" s="152" t="s">
        <v>1809</v>
      </c>
      <c r="K67" s="153"/>
      <c r="L67" s="154">
        <v>411354.85</v>
      </c>
      <c r="M67" s="154">
        <v>287948.39500000002</v>
      </c>
      <c r="N67" s="155" t="s">
        <v>1886</v>
      </c>
      <c r="O67" s="159" t="s">
        <v>1811</v>
      </c>
      <c r="P67" s="152" t="s">
        <v>1812</v>
      </c>
      <c r="Q67" s="152">
        <v>15110423230</v>
      </c>
      <c r="R67" s="106" t="s">
        <v>1813</v>
      </c>
      <c r="S67" s="125" t="s">
        <v>1736</v>
      </c>
      <c r="T67" s="103"/>
    </row>
    <row r="68" spans="1:20" ht="24.95" customHeight="1">
      <c r="A68" s="117" t="s">
        <v>1887</v>
      </c>
      <c r="B68" s="150" t="s">
        <v>164</v>
      </c>
      <c r="C68" s="150" t="s">
        <v>174</v>
      </c>
      <c r="D68" s="151" t="s">
        <v>62</v>
      </c>
      <c r="E68" s="150">
        <v>124.02</v>
      </c>
      <c r="F68" s="150">
        <v>124.02</v>
      </c>
      <c r="G68" s="152" t="s">
        <v>32</v>
      </c>
      <c r="H68" s="105" t="s">
        <v>33</v>
      </c>
      <c r="I68" s="152"/>
      <c r="J68" s="152" t="s">
        <v>1809</v>
      </c>
      <c r="K68" s="153"/>
      <c r="L68" s="154">
        <v>690341.44</v>
      </c>
      <c r="M68" s="154">
        <v>483239.00799999997</v>
      </c>
      <c r="N68" s="155" t="s">
        <v>1888</v>
      </c>
      <c r="O68" s="159" t="s">
        <v>1877</v>
      </c>
      <c r="P68" s="152" t="s">
        <v>1812</v>
      </c>
      <c r="Q68" s="152">
        <v>15110423230</v>
      </c>
      <c r="R68" s="106" t="s">
        <v>1813</v>
      </c>
      <c r="S68" s="125" t="s">
        <v>1736</v>
      </c>
      <c r="T68" s="103"/>
    </row>
    <row r="69" spans="1:20" ht="24.95" customHeight="1">
      <c r="A69" s="117" t="s">
        <v>1889</v>
      </c>
      <c r="B69" s="150" t="s">
        <v>1890</v>
      </c>
      <c r="C69" s="150"/>
      <c r="D69" s="151" t="s">
        <v>62</v>
      </c>
      <c r="E69" s="150">
        <v>10.88</v>
      </c>
      <c r="F69" s="150">
        <v>518.04499999999996</v>
      </c>
      <c r="G69" s="152" t="s">
        <v>32</v>
      </c>
      <c r="H69" s="105" t="s">
        <v>33</v>
      </c>
      <c r="I69" s="152"/>
      <c r="J69" s="152" t="s">
        <v>1809</v>
      </c>
      <c r="K69" s="153"/>
      <c r="L69" s="154">
        <v>51030.09</v>
      </c>
      <c r="M69" s="154">
        <v>15309.027</v>
      </c>
      <c r="N69" s="155" t="s">
        <v>1891</v>
      </c>
      <c r="O69" s="159" t="s">
        <v>1877</v>
      </c>
      <c r="P69" s="152" t="s">
        <v>1812</v>
      </c>
      <c r="Q69" s="152">
        <v>15110423230</v>
      </c>
      <c r="R69" s="106" t="s">
        <v>1813</v>
      </c>
      <c r="S69" s="125" t="s">
        <v>1736</v>
      </c>
      <c r="T69" s="103"/>
    </row>
    <row r="70" spans="1:20" ht="24.95" customHeight="1">
      <c r="A70" s="117" t="s">
        <v>1892</v>
      </c>
      <c r="B70" s="150" t="s">
        <v>1893</v>
      </c>
      <c r="C70" s="150" t="s">
        <v>1827</v>
      </c>
      <c r="D70" s="151" t="s">
        <v>62</v>
      </c>
      <c r="E70" s="150">
        <v>400</v>
      </c>
      <c r="F70" s="150">
        <v>1600</v>
      </c>
      <c r="G70" s="152" t="s">
        <v>32</v>
      </c>
      <c r="H70" s="105" t="s">
        <v>33</v>
      </c>
      <c r="I70" s="152"/>
      <c r="J70" s="152" t="s">
        <v>1809</v>
      </c>
      <c r="K70" s="153"/>
      <c r="L70" s="154">
        <v>991150.44247600005</v>
      </c>
      <c r="M70" s="154">
        <v>693805.3097332</v>
      </c>
      <c r="N70" s="155" t="s">
        <v>1891</v>
      </c>
      <c r="O70" s="156" t="s">
        <v>1877</v>
      </c>
      <c r="P70" s="152" t="s">
        <v>1812</v>
      </c>
      <c r="Q70" s="152">
        <v>15110423230</v>
      </c>
      <c r="R70" s="106" t="s">
        <v>1813</v>
      </c>
      <c r="S70" s="125" t="s">
        <v>1736</v>
      </c>
      <c r="T70" s="103"/>
    </row>
    <row r="71" spans="1:20" ht="24.95" customHeight="1">
      <c r="A71" s="117" t="s">
        <v>1894</v>
      </c>
      <c r="B71" s="150" t="s">
        <v>1895</v>
      </c>
      <c r="C71" s="150"/>
      <c r="D71" s="151" t="s">
        <v>79</v>
      </c>
      <c r="E71" s="150">
        <v>1600</v>
      </c>
      <c r="F71" s="150">
        <v>4.0750000000000002</v>
      </c>
      <c r="G71" s="152" t="s">
        <v>32</v>
      </c>
      <c r="H71" s="105" t="s">
        <v>33</v>
      </c>
      <c r="I71" s="152"/>
      <c r="J71" s="152" t="s">
        <v>1809</v>
      </c>
      <c r="K71" s="153"/>
      <c r="L71" s="154">
        <v>11327.433628303999</v>
      </c>
      <c r="M71" s="154">
        <v>7929.2035398128</v>
      </c>
      <c r="N71" s="155" t="s">
        <v>1891</v>
      </c>
      <c r="O71" s="156" t="s">
        <v>1877</v>
      </c>
      <c r="P71" s="152" t="s">
        <v>1812</v>
      </c>
      <c r="Q71" s="152">
        <v>15110423230</v>
      </c>
      <c r="R71" s="106" t="s">
        <v>1813</v>
      </c>
      <c r="S71" s="125" t="s">
        <v>1736</v>
      </c>
      <c r="T71" s="103"/>
    </row>
    <row r="72" spans="1:20" ht="24.95" customHeight="1">
      <c r="A72" s="117" t="s">
        <v>1896</v>
      </c>
      <c r="B72" s="150" t="s">
        <v>1897</v>
      </c>
      <c r="C72" s="150"/>
      <c r="D72" s="151" t="s">
        <v>62</v>
      </c>
      <c r="E72" s="150">
        <v>4.0750000000000002</v>
      </c>
      <c r="F72" s="150">
        <v>500</v>
      </c>
      <c r="G72" s="152" t="s">
        <v>32</v>
      </c>
      <c r="H72" s="105" t="s">
        <v>33</v>
      </c>
      <c r="I72" s="152"/>
      <c r="J72" s="152" t="s">
        <v>1809</v>
      </c>
      <c r="K72" s="153"/>
      <c r="L72" s="154">
        <v>22358.407079618199</v>
      </c>
      <c r="M72" s="154">
        <v>15650.884955732699</v>
      </c>
      <c r="N72" s="155" t="s">
        <v>1821</v>
      </c>
      <c r="O72" s="156" t="s">
        <v>1822</v>
      </c>
      <c r="P72" s="152" t="s">
        <v>1812</v>
      </c>
      <c r="Q72" s="152">
        <v>15110423230</v>
      </c>
      <c r="R72" s="106" t="s">
        <v>1813</v>
      </c>
      <c r="S72" s="125" t="s">
        <v>1736</v>
      </c>
      <c r="T72" s="103"/>
    </row>
    <row r="73" spans="1:20" ht="24.95" customHeight="1">
      <c r="A73" s="117" t="s">
        <v>1898</v>
      </c>
      <c r="B73" s="150" t="s">
        <v>1893</v>
      </c>
      <c r="C73" s="150" t="s">
        <v>1827</v>
      </c>
      <c r="D73" s="151" t="s">
        <v>62</v>
      </c>
      <c r="E73" s="150">
        <v>118.045</v>
      </c>
      <c r="F73" s="150">
        <v>200</v>
      </c>
      <c r="G73" s="152" t="s">
        <v>32</v>
      </c>
      <c r="H73" s="105" t="s">
        <v>33</v>
      </c>
      <c r="I73" s="152"/>
      <c r="J73" s="152" t="s">
        <v>1809</v>
      </c>
      <c r="K73" s="153"/>
      <c r="L73" s="154">
        <v>292500.88495519903</v>
      </c>
      <c r="M73" s="154">
        <v>204750.61946863899</v>
      </c>
      <c r="N73" s="155" t="s">
        <v>1821</v>
      </c>
      <c r="O73" s="156" t="s">
        <v>1822</v>
      </c>
      <c r="P73" s="152" t="s">
        <v>1812</v>
      </c>
      <c r="Q73" s="152">
        <v>15110423230</v>
      </c>
      <c r="R73" s="106" t="s">
        <v>1813</v>
      </c>
      <c r="S73" s="125" t="s">
        <v>1736</v>
      </c>
      <c r="T73" s="103"/>
    </row>
    <row r="74" spans="1:20" ht="24.95" customHeight="1">
      <c r="A74" s="117" t="s">
        <v>1899</v>
      </c>
      <c r="B74" s="150" t="s">
        <v>1900</v>
      </c>
      <c r="C74" s="150"/>
      <c r="D74" s="151" t="s">
        <v>62</v>
      </c>
      <c r="E74" s="150">
        <v>500</v>
      </c>
      <c r="F74" s="150">
        <v>69.7</v>
      </c>
      <c r="G74" s="152" t="s">
        <v>32</v>
      </c>
      <c r="H74" s="105" t="s">
        <v>33</v>
      </c>
      <c r="I74" s="152"/>
      <c r="J74" s="152" t="s">
        <v>1809</v>
      </c>
      <c r="K74" s="153"/>
      <c r="L74" s="154">
        <v>1106194.69</v>
      </c>
      <c r="M74" s="154">
        <v>774336.28300000005</v>
      </c>
      <c r="N74" s="155" t="s">
        <v>1821</v>
      </c>
      <c r="O74" s="156" t="s">
        <v>1822</v>
      </c>
      <c r="P74" s="152" t="s">
        <v>1812</v>
      </c>
      <c r="Q74" s="152">
        <v>15110423230</v>
      </c>
      <c r="R74" s="106" t="s">
        <v>1813</v>
      </c>
      <c r="S74" s="125" t="s">
        <v>1736</v>
      </c>
      <c r="T74" s="103"/>
    </row>
    <row r="75" spans="1:20" ht="24.95" customHeight="1">
      <c r="A75" s="117" t="s">
        <v>1901</v>
      </c>
      <c r="B75" s="150" t="s">
        <v>171</v>
      </c>
      <c r="C75" s="150"/>
      <c r="D75" s="151" t="s">
        <v>62</v>
      </c>
      <c r="E75" s="150">
        <v>200</v>
      </c>
      <c r="F75" s="150">
        <v>38.67</v>
      </c>
      <c r="G75" s="152" t="s">
        <v>32</v>
      </c>
      <c r="H75" s="105" t="s">
        <v>33</v>
      </c>
      <c r="I75" s="152"/>
      <c r="J75" s="152" t="s">
        <v>1809</v>
      </c>
      <c r="K75" s="153"/>
      <c r="L75" s="154">
        <v>477876.11</v>
      </c>
      <c r="M75" s="154">
        <v>334513.277</v>
      </c>
      <c r="N75" s="155" t="s">
        <v>1821</v>
      </c>
      <c r="O75" s="156" t="s">
        <v>1822</v>
      </c>
      <c r="P75" s="152" t="s">
        <v>1812</v>
      </c>
      <c r="Q75" s="152">
        <v>15110423230</v>
      </c>
      <c r="R75" s="106" t="s">
        <v>1813</v>
      </c>
      <c r="S75" s="125" t="s">
        <v>1736</v>
      </c>
      <c r="T75" s="103"/>
    </row>
    <row r="76" spans="1:20" ht="24.95" customHeight="1">
      <c r="A76" s="117" t="s">
        <v>1902</v>
      </c>
      <c r="B76" s="150" t="s">
        <v>228</v>
      </c>
      <c r="C76" s="150"/>
      <c r="D76" s="151" t="s">
        <v>62</v>
      </c>
      <c r="E76" s="150">
        <v>30</v>
      </c>
      <c r="F76" s="150">
        <v>135.74</v>
      </c>
      <c r="G76" s="152" t="s">
        <v>32</v>
      </c>
      <c r="H76" s="105" t="s">
        <v>33</v>
      </c>
      <c r="I76" s="152"/>
      <c r="J76" s="152" t="s">
        <v>1809</v>
      </c>
      <c r="K76" s="153"/>
      <c r="L76" s="154">
        <v>66371.680000000197</v>
      </c>
      <c r="M76" s="154">
        <v>46460.176000000101</v>
      </c>
      <c r="N76" s="155" t="s">
        <v>1821</v>
      </c>
      <c r="O76" s="156" t="s">
        <v>1822</v>
      </c>
      <c r="P76" s="152" t="s">
        <v>1812</v>
      </c>
      <c r="Q76" s="152">
        <v>15110423230</v>
      </c>
      <c r="R76" s="106" t="s">
        <v>1813</v>
      </c>
      <c r="S76" s="125" t="s">
        <v>1736</v>
      </c>
      <c r="T76" s="103"/>
    </row>
    <row r="77" spans="1:20" ht="24.95" customHeight="1">
      <c r="A77" s="117" t="s">
        <v>1903</v>
      </c>
      <c r="B77" s="150" t="s">
        <v>1904</v>
      </c>
      <c r="C77" s="150"/>
      <c r="D77" s="151" t="s">
        <v>62</v>
      </c>
      <c r="E77" s="150">
        <v>602.43499999999995</v>
      </c>
      <c r="F77" s="150">
        <v>35.340000000000003</v>
      </c>
      <c r="G77" s="152" t="s">
        <v>32</v>
      </c>
      <c r="H77" s="105" t="s">
        <v>33</v>
      </c>
      <c r="I77" s="152"/>
      <c r="J77" s="152" t="s">
        <v>1809</v>
      </c>
      <c r="K77" s="153"/>
      <c r="L77" s="154">
        <v>1439446.45999999</v>
      </c>
      <c r="M77" s="154">
        <v>1007612.52199999</v>
      </c>
      <c r="N77" s="155" t="s">
        <v>1821</v>
      </c>
      <c r="O77" s="156" t="s">
        <v>1822</v>
      </c>
      <c r="P77" s="152" t="s">
        <v>1812</v>
      </c>
      <c r="Q77" s="152">
        <v>15110423230</v>
      </c>
      <c r="R77" s="106" t="s">
        <v>1813</v>
      </c>
      <c r="S77" s="125" t="s">
        <v>1736</v>
      </c>
      <c r="T77" s="103"/>
    </row>
    <row r="78" spans="1:20" ht="24.95" customHeight="1">
      <c r="A78" s="117" t="s">
        <v>1905</v>
      </c>
      <c r="B78" s="150" t="s">
        <v>164</v>
      </c>
      <c r="C78" s="150"/>
      <c r="D78" s="151" t="s">
        <v>62</v>
      </c>
      <c r="E78" s="150">
        <v>135.74</v>
      </c>
      <c r="F78" s="150">
        <v>135.74</v>
      </c>
      <c r="G78" s="152" t="s">
        <v>32</v>
      </c>
      <c r="H78" s="105" t="s">
        <v>33</v>
      </c>
      <c r="I78" s="152"/>
      <c r="J78" s="152" t="s">
        <v>1809</v>
      </c>
      <c r="K78" s="153"/>
      <c r="L78" s="154">
        <v>336346.89999999898</v>
      </c>
      <c r="M78" s="154">
        <v>235442.829999999</v>
      </c>
      <c r="N78" s="155" t="s">
        <v>1821</v>
      </c>
      <c r="O78" s="156" t="s">
        <v>1822</v>
      </c>
      <c r="P78" s="152" t="s">
        <v>1812</v>
      </c>
      <c r="Q78" s="152">
        <v>15110423230</v>
      </c>
      <c r="R78" s="106" t="s">
        <v>1813</v>
      </c>
      <c r="S78" s="125" t="s">
        <v>1736</v>
      </c>
      <c r="T78" s="103"/>
    </row>
    <row r="79" spans="1:20" ht="24.95" customHeight="1">
      <c r="A79" s="117" t="s">
        <v>1906</v>
      </c>
      <c r="B79" s="150" t="s">
        <v>164</v>
      </c>
      <c r="C79" s="150"/>
      <c r="D79" s="151" t="s">
        <v>62</v>
      </c>
      <c r="E79" s="150">
        <v>35.340000000000003</v>
      </c>
      <c r="F79" s="150">
        <v>35.340000000000003</v>
      </c>
      <c r="G79" s="152" t="s">
        <v>32</v>
      </c>
      <c r="H79" s="105" t="s">
        <v>33</v>
      </c>
      <c r="I79" s="152"/>
      <c r="J79" s="152" t="s">
        <v>1809</v>
      </c>
      <c r="K79" s="153"/>
      <c r="L79" s="154">
        <v>209538.05</v>
      </c>
      <c r="M79" s="154">
        <v>146676.63500000001</v>
      </c>
      <c r="N79" s="155" t="s">
        <v>1821</v>
      </c>
      <c r="O79" s="156" t="s">
        <v>1822</v>
      </c>
      <c r="P79" s="152" t="s">
        <v>1812</v>
      </c>
      <c r="Q79" s="152">
        <v>15110423230</v>
      </c>
      <c r="R79" s="106" t="s">
        <v>1813</v>
      </c>
      <c r="S79" s="125" t="s">
        <v>1736</v>
      </c>
      <c r="T79" s="103"/>
    </row>
    <row r="80" spans="1:20" ht="24.95" customHeight="1">
      <c r="A80" s="117" t="s">
        <v>1907</v>
      </c>
      <c r="B80" s="160" t="s">
        <v>1908</v>
      </c>
      <c r="C80" s="160" t="s">
        <v>1909</v>
      </c>
      <c r="D80" s="123" t="s">
        <v>62</v>
      </c>
      <c r="E80" s="160"/>
      <c r="F80" s="160">
        <v>22.344000000000001</v>
      </c>
      <c r="G80" s="152" t="s">
        <v>72</v>
      </c>
      <c r="H80" s="105" t="s">
        <v>41</v>
      </c>
      <c r="I80" s="123"/>
      <c r="J80" s="102"/>
      <c r="K80" s="102"/>
      <c r="L80" s="102">
        <v>104767.2</v>
      </c>
      <c r="M80" s="103">
        <v>42230.16</v>
      </c>
      <c r="N80" s="160" t="s">
        <v>1910</v>
      </c>
      <c r="O80" s="1807" t="s">
        <v>1911</v>
      </c>
      <c r="P80" s="1808" t="s">
        <v>1912</v>
      </c>
      <c r="Q80" s="1807">
        <v>13509714024</v>
      </c>
      <c r="R80" s="1810" t="s">
        <v>1913</v>
      </c>
      <c r="S80" s="161" t="s">
        <v>1736</v>
      </c>
      <c r="T80" s="125"/>
    </row>
    <row r="81" spans="1:20" ht="24.95" customHeight="1">
      <c r="A81" s="117" t="s">
        <v>1914</v>
      </c>
      <c r="B81" s="160" t="s">
        <v>1908</v>
      </c>
      <c r="C81" s="160" t="s">
        <v>1915</v>
      </c>
      <c r="D81" s="123" t="s">
        <v>62</v>
      </c>
      <c r="E81" s="160"/>
      <c r="F81" s="160">
        <v>7.43</v>
      </c>
      <c r="G81" s="152" t="s">
        <v>72</v>
      </c>
      <c r="H81" s="105" t="s">
        <v>41</v>
      </c>
      <c r="I81" s="123"/>
      <c r="J81" s="102"/>
      <c r="K81" s="102"/>
      <c r="L81" s="102">
        <v>46840.5</v>
      </c>
      <c r="M81" s="103">
        <v>14052.5</v>
      </c>
      <c r="N81" s="160" t="s">
        <v>1910</v>
      </c>
      <c r="O81" s="1807"/>
      <c r="P81" s="1808"/>
      <c r="Q81" s="1807"/>
      <c r="R81" s="1810"/>
      <c r="S81" s="125" t="s">
        <v>1736</v>
      </c>
      <c r="T81" s="125"/>
    </row>
    <row r="82" spans="1:20" ht="24.95" customHeight="1">
      <c r="A82" s="117" t="s">
        <v>1916</v>
      </c>
      <c r="B82" s="160" t="s">
        <v>1908</v>
      </c>
      <c r="C82" s="160" t="s">
        <v>1917</v>
      </c>
      <c r="D82" s="123" t="s">
        <v>62</v>
      </c>
      <c r="E82" s="160"/>
      <c r="F82" s="160">
        <v>5.181</v>
      </c>
      <c r="G82" s="152" t="s">
        <v>72</v>
      </c>
      <c r="H82" s="105" t="s">
        <v>41</v>
      </c>
      <c r="I82" s="123"/>
      <c r="J82" s="102"/>
      <c r="K82" s="102"/>
      <c r="L82" s="102">
        <v>32640.3</v>
      </c>
      <c r="M82" s="103">
        <v>9792.5</v>
      </c>
      <c r="N82" s="160" t="s">
        <v>1910</v>
      </c>
      <c r="O82" s="1807"/>
      <c r="P82" s="1808"/>
      <c r="Q82" s="1807"/>
      <c r="R82" s="1810"/>
      <c r="S82" s="125" t="s">
        <v>1736</v>
      </c>
      <c r="T82" s="125"/>
    </row>
    <row r="83" spans="1:20" ht="24.95" customHeight="1">
      <c r="A83" s="117" t="s">
        <v>1918</v>
      </c>
      <c r="B83" s="102" t="s">
        <v>29</v>
      </c>
      <c r="C83" s="102" t="s">
        <v>1919</v>
      </c>
      <c r="D83" s="123" t="s">
        <v>31</v>
      </c>
      <c r="E83" s="102">
        <v>2060</v>
      </c>
      <c r="F83" s="102"/>
      <c r="G83" s="152" t="s">
        <v>72</v>
      </c>
      <c r="H83" s="105" t="s">
        <v>41</v>
      </c>
      <c r="I83" s="123"/>
      <c r="J83" s="102"/>
      <c r="K83" s="102"/>
      <c r="L83" s="102">
        <v>330158.8</v>
      </c>
      <c r="M83" s="103">
        <v>330158.8</v>
      </c>
      <c r="N83" s="102" t="s">
        <v>1920</v>
      </c>
      <c r="O83" s="1805"/>
      <c r="P83" s="1809"/>
      <c r="Q83" s="1805"/>
      <c r="R83" s="1811"/>
      <c r="S83" s="125" t="s">
        <v>1736</v>
      </c>
      <c r="T83" s="125"/>
    </row>
    <row r="84" spans="1:20" ht="24.95" customHeight="1">
      <c r="A84" s="117" t="s">
        <v>1921</v>
      </c>
      <c r="B84" s="162" t="s">
        <v>29</v>
      </c>
      <c r="C84" s="163"/>
      <c r="D84" s="163" t="s">
        <v>62</v>
      </c>
      <c r="E84" s="164"/>
      <c r="F84" s="165">
        <v>156.32</v>
      </c>
      <c r="G84" s="163" t="s">
        <v>32</v>
      </c>
      <c r="H84" s="105" t="s">
        <v>33</v>
      </c>
      <c r="I84" s="163"/>
      <c r="J84" s="163"/>
      <c r="K84" s="103"/>
      <c r="L84" s="166">
        <v>892269.02654867305</v>
      </c>
      <c r="M84" s="167">
        <v>892269.02654867305</v>
      </c>
      <c r="N84" s="163">
        <v>2020.3</v>
      </c>
      <c r="O84" s="162" t="s">
        <v>1922</v>
      </c>
      <c r="P84" s="163" t="s">
        <v>1923</v>
      </c>
      <c r="Q84" s="168">
        <v>18636653547</v>
      </c>
      <c r="R84" s="169" t="s">
        <v>1924</v>
      </c>
      <c r="S84" s="125" t="s">
        <v>1736</v>
      </c>
      <c r="T84" s="125"/>
    </row>
    <row r="85" spans="1:20" ht="24.95" customHeight="1">
      <c r="A85" s="117" t="s">
        <v>1925</v>
      </c>
      <c r="B85" s="162" t="s">
        <v>29</v>
      </c>
      <c r="C85" s="150" t="s">
        <v>1926</v>
      </c>
      <c r="D85" s="163" t="s">
        <v>62</v>
      </c>
      <c r="E85" s="164"/>
      <c r="F85" s="170">
        <v>56.96</v>
      </c>
      <c r="G85" s="163" t="s">
        <v>32</v>
      </c>
      <c r="H85" s="105" t="s">
        <v>33</v>
      </c>
      <c r="I85" s="163"/>
      <c r="J85" s="163"/>
      <c r="K85" s="103"/>
      <c r="L85" s="166">
        <v>325125.65999999997</v>
      </c>
      <c r="M85" s="167">
        <v>325125.65999999997</v>
      </c>
      <c r="N85" s="163">
        <v>2020.3</v>
      </c>
      <c r="O85" s="162" t="s">
        <v>1922</v>
      </c>
      <c r="P85" s="163" t="s">
        <v>1923</v>
      </c>
      <c r="Q85" s="168">
        <v>18636653548</v>
      </c>
      <c r="R85" s="169" t="s">
        <v>1924</v>
      </c>
      <c r="S85" s="125" t="s">
        <v>1736</v>
      </c>
      <c r="T85" s="125"/>
    </row>
    <row r="86" spans="1:20" ht="24.95" customHeight="1">
      <c r="A86" s="117" t="s">
        <v>1927</v>
      </c>
      <c r="B86" s="162" t="s">
        <v>29</v>
      </c>
      <c r="C86" s="150" t="s">
        <v>1928</v>
      </c>
      <c r="D86" s="163" t="s">
        <v>62</v>
      </c>
      <c r="E86" s="164"/>
      <c r="F86" s="170">
        <v>23.4</v>
      </c>
      <c r="G86" s="163" t="s">
        <v>32</v>
      </c>
      <c r="H86" s="105" t="s">
        <v>33</v>
      </c>
      <c r="I86" s="163"/>
      <c r="J86" s="163"/>
      <c r="K86" s="103"/>
      <c r="L86" s="166">
        <v>133566.37</v>
      </c>
      <c r="M86" s="167">
        <v>133566.37</v>
      </c>
      <c r="N86" s="163">
        <v>2020.3</v>
      </c>
      <c r="O86" s="162" t="s">
        <v>1922</v>
      </c>
      <c r="P86" s="163" t="s">
        <v>1923</v>
      </c>
      <c r="Q86" s="168">
        <v>18636653549</v>
      </c>
      <c r="R86" s="169" t="s">
        <v>1924</v>
      </c>
      <c r="S86" s="125" t="s">
        <v>1736</v>
      </c>
      <c r="T86" s="125"/>
    </row>
    <row r="87" spans="1:20" ht="24.95" customHeight="1">
      <c r="A87" s="117" t="s">
        <v>1929</v>
      </c>
      <c r="B87" s="171" t="s">
        <v>29</v>
      </c>
      <c r="C87" s="172" t="s">
        <v>1930</v>
      </c>
      <c r="D87" s="173" t="s">
        <v>62</v>
      </c>
      <c r="E87" s="172"/>
      <c r="F87" s="172">
        <v>85.2</v>
      </c>
      <c r="G87" s="168" t="s">
        <v>32</v>
      </c>
      <c r="H87" s="168" t="s">
        <v>33</v>
      </c>
      <c r="I87" s="173"/>
      <c r="J87" s="172"/>
      <c r="K87" s="172" t="s">
        <v>1931</v>
      </c>
      <c r="L87" s="172">
        <v>490088.5</v>
      </c>
      <c r="M87" s="141">
        <v>347146.01</v>
      </c>
      <c r="N87" s="172">
        <v>2021.6</v>
      </c>
      <c r="O87" s="174" t="s">
        <v>1932</v>
      </c>
      <c r="P87" s="168" t="s">
        <v>1933</v>
      </c>
      <c r="Q87" s="168">
        <v>18335403600</v>
      </c>
      <c r="R87" s="168" t="s">
        <v>1934</v>
      </c>
      <c r="S87" s="168" t="s">
        <v>1736</v>
      </c>
      <c r="T87" s="150"/>
    </row>
    <row r="88" spans="1:20" ht="24.95" customHeight="1">
      <c r="A88" s="117" t="s">
        <v>1935</v>
      </c>
      <c r="B88" s="171" t="s">
        <v>29</v>
      </c>
      <c r="C88" s="172" t="s">
        <v>1936</v>
      </c>
      <c r="D88" s="173" t="s">
        <v>62</v>
      </c>
      <c r="E88" s="172"/>
      <c r="F88" s="172">
        <v>116.8</v>
      </c>
      <c r="G88" s="168" t="s">
        <v>32</v>
      </c>
      <c r="H88" s="168" t="s">
        <v>33</v>
      </c>
      <c r="I88" s="173"/>
      <c r="J88" s="172"/>
      <c r="K88" s="172" t="s">
        <v>1931</v>
      </c>
      <c r="L88" s="172">
        <v>666690.27</v>
      </c>
      <c r="M88" s="141">
        <v>472238.93</v>
      </c>
      <c r="N88" s="172">
        <v>2021.6</v>
      </c>
      <c r="O88" s="174" t="s">
        <v>1932</v>
      </c>
      <c r="P88" s="168" t="s">
        <v>1933</v>
      </c>
      <c r="Q88" s="168">
        <v>18335403600</v>
      </c>
      <c r="R88" s="168" t="s">
        <v>1934</v>
      </c>
      <c r="S88" s="168" t="s">
        <v>1736</v>
      </c>
      <c r="T88" s="150"/>
    </row>
    <row r="89" spans="1:20" ht="24.95" customHeight="1">
      <c r="A89" s="117" t="s">
        <v>1937</v>
      </c>
      <c r="B89" s="172" t="s">
        <v>1938</v>
      </c>
      <c r="C89" s="172" t="s">
        <v>1939</v>
      </c>
      <c r="D89" s="173" t="s">
        <v>62</v>
      </c>
      <c r="E89" s="172"/>
      <c r="F89" s="172">
        <v>6.13</v>
      </c>
      <c r="G89" s="168" t="s">
        <v>32</v>
      </c>
      <c r="H89" s="168" t="s">
        <v>33</v>
      </c>
      <c r="I89" s="173"/>
      <c r="J89" s="172"/>
      <c r="K89" s="172" t="s">
        <v>1940</v>
      </c>
      <c r="L89" s="175">
        <v>34707.730000000003</v>
      </c>
      <c r="M89" s="141">
        <v>28633.88</v>
      </c>
      <c r="N89" s="176">
        <v>2021.9</v>
      </c>
      <c r="O89" s="174" t="s">
        <v>1932</v>
      </c>
      <c r="P89" s="168" t="s">
        <v>1933</v>
      </c>
      <c r="Q89" s="168">
        <v>18335403600</v>
      </c>
      <c r="R89" s="168" t="s">
        <v>1934</v>
      </c>
      <c r="S89" s="168" t="s">
        <v>1736</v>
      </c>
      <c r="T89" s="150"/>
    </row>
    <row r="90" spans="1:20" ht="24.95" customHeight="1">
      <c r="A90" s="117" t="s">
        <v>1941</v>
      </c>
      <c r="B90" s="172" t="s">
        <v>1942</v>
      </c>
      <c r="C90" s="172"/>
      <c r="D90" s="173" t="s">
        <v>62</v>
      </c>
      <c r="E90" s="172"/>
      <c r="F90" s="172">
        <v>59.23</v>
      </c>
      <c r="G90" s="168" t="s">
        <v>32</v>
      </c>
      <c r="H90" s="168" t="s">
        <v>33</v>
      </c>
      <c r="I90" s="173"/>
      <c r="J90" s="172"/>
      <c r="K90" s="172" t="s">
        <v>1943</v>
      </c>
      <c r="L90" s="175">
        <v>117940.84</v>
      </c>
      <c r="M90" s="141">
        <v>117940.84</v>
      </c>
      <c r="N90" s="176">
        <v>2021.9</v>
      </c>
      <c r="O90" s="174" t="s">
        <v>1932</v>
      </c>
      <c r="P90" s="168" t="s">
        <v>1933</v>
      </c>
      <c r="Q90" s="168">
        <v>18335403600</v>
      </c>
      <c r="R90" s="168" t="s">
        <v>1934</v>
      </c>
      <c r="S90" s="168" t="s">
        <v>1736</v>
      </c>
      <c r="T90" s="150"/>
    </row>
    <row r="91" spans="1:20" ht="24.95" customHeight="1">
      <c r="A91" s="117" t="s">
        <v>1944</v>
      </c>
      <c r="B91" s="172" t="s">
        <v>1942</v>
      </c>
      <c r="C91" s="172"/>
      <c r="D91" s="173" t="s">
        <v>62</v>
      </c>
      <c r="E91" s="172"/>
      <c r="F91" s="172">
        <v>50</v>
      </c>
      <c r="G91" s="168" t="s">
        <v>32</v>
      </c>
      <c r="H91" s="168" t="s">
        <v>33</v>
      </c>
      <c r="I91" s="173"/>
      <c r="J91" s="172"/>
      <c r="K91" s="172" t="s">
        <v>1943</v>
      </c>
      <c r="L91" s="175">
        <v>99562.52</v>
      </c>
      <c r="M91" s="141">
        <v>99562.52</v>
      </c>
      <c r="N91" s="176">
        <v>2021.9</v>
      </c>
      <c r="O91" s="174" t="s">
        <v>1932</v>
      </c>
      <c r="P91" s="168" t="s">
        <v>1933</v>
      </c>
      <c r="Q91" s="168">
        <v>18335403600</v>
      </c>
      <c r="R91" s="168" t="s">
        <v>1934</v>
      </c>
      <c r="S91" s="168" t="s">
        <v>1736</v>
      </c>
      <c r="T91" s="150"/>
    </row>
    <row r="92" spans="1:20" ht="24.95" customHeight="1">
      <c r="A92" s="117" t="s">
        <v>1945</v>
      </c>
      <c r="B92" s="172" t="s">
        <v>1946</v>
      </c>
      <c r="C92" s="172" t="s">
        <v>1947</v>
      </c>
      <c r="D92" s="173" t="s">
        <v>62</v>
      </c>
      <c r="E92" s="172"/>
      <c r="F92" s="172">
        <v>120</v>
      </c>
      <c r="G92" s="168" t="s">
        <v>32</v>
      </c>
      <c r="H92" s="168" t="s">
        <v>33</v>
      </c>
      <c r="I92" s="173"/>
      <c r="J92" s="172"/>
      <c r="K92" s="172" t="s">
        <v>1948</v>
      </c>
      <c r="L92" s="175">
        <v>297345.13</v>
      </c>
      <c r="M92" s="141">
        <v>245309.74</v>
      </c>
      <c r="N92" s="176">
        <v>2021.9</v>
      </c>
      <c r="O92" s="174" t="s">
        <v>1932</v>
      </c>
      <c r="P92" s="168" t="s">
        <v>1933</v>
      </c>
      <c r="Q92" s="168">
        <v>18335403600</v>
      </c>
      <c r="R92" s="168" t="s">
        <v>1934</v>
      </c>
      <c r="S92" s="168" t="s">
        <v>1736</v>
      </c>
      <c r="T92" s="150"/>
    </row>
    <row r="93" spans="1:20" ht="24.95" customHeight="1">
      <c r="A93" s="117" t="s">
        <v>1949</v>
      </c>
      <c r="B93" s="172" t="s">
        <v>1946</v>
      </c>
      <c r="C93" s="172" t="s">
        <v>1950</v>
      </c>
      <c r="D93" s="173" t="s">
        <v>62</v>
      </c>
      <c r="E93" s="172"/>
      <c r="F93" s="172">
        <v>40</v>
      </c>
      <c r="G93" s="168" t="s">
        <v>32</v>
      </c>
      <c r="H93" s="168" t="s">
        <v>33</v>
      </c>
      <c r="I93" s="173"/>
      <c r="J93" s="172"/>
      <c r="K93" s="172" t="s">
        <v>1948</v>
      </c>
      <c r="L93" s="175">
        <v>99115.04</v>
      </c>
      <c r="M93" s="141">
        <v>81769.899999999994</v>
      </c>
      <c r="N93" s="176">
        <v>2021.9</v>
      </c>
      <c r="O93" s="174" t="s">
        <v>1932</v>
      </c>
      <c r="P93" s="168" t="s">
        <v>1933</v>
      </c>
      <c r="Q93" s="168">
        <v>18335403600</v>
      </c>
      <c r="R93" s="168" t="s">
        <v>1934</v>
      </c>
      <c r="S93" s="168" t="s">
        <v>1736</v>
      </c>
      <c r="T93" s="150"/>
    </row>
    <row r="94" spans="1:20" ht="24.95" customHeight="1">
      <c r="A94" s="117" t="s">
        <v>1951</v>
      </c>
      <c r="B94" s="172" t="s">
        <v>1946</v>
      </c>
      <c r="C94" s="172" t="s">
        <v>1952</v>
      </c>
      <c r="D94" s="173" t="s">
        <v>62</v>
      </c>
      <c r="E94" s="172"/>
      <c r="F94" s="172">
        <v>40</v>
      </c>
      <c r="G94" s="168" t="s">
        <v>32</v>
      </c>
      <c r="H94" s="168" t="s">
        <v>33</v>
      </c>
      <c r="I94" s="173"/>
      <c r="J94" s="172"/>
      <c r="K94" s="172" t="s">
        <v>1948</v>
      </c>
      <c r="L94" s="175">
        <v>99115.03</v>
      </c>
      <c r="M94" s="141">
        <v>81769.89</v>
      </c>
      <c r="N94" s="176">
        <v>2021.9</v>
      </c>
      <c r="O94" s="174" t="s">
        <v>1932</v>
      </c>
      <c r="P94" s="168" t="s">
        <v>1933</v>
      </c>
      <c r="Q94" s="168">
        <v>18335403600</v>
      </c>
      <c r="R94" s="168" t="s">
        <v>1934</v>
      </c>
      <c r="S94" s="168" t="s">
        <v>1736</v>
      </c>
      <c r="T94" s="150"/>
    </row>
    <row r="95" spans="1:20" ht="24.95" customHeight="1">
      <c r="A95" s="117" t="s">
        <v>1953</v>
      </c>
      <c r="B95" s="172" t="s">
        <v>1826</v>
      </c>
      <c r="C95" s="172" t="s">
        <v>104</v>
      </c>
      <c r="D95" s="173" t="s">
        <v>62</v>
      </c>
      <c r="E95" s="172"/>
      <c r="F95" s="172">
        <v>67.724999999999994</v>
      </c>
      <c r="G95" s="168" t="s">
        <v>32</v>
      </c>
      <c r="H95" s="168" t="s">
        <v>33</v>
      </c>
      <c r="I95" s="173"/>
      <c r="J95" s="172"/>
      <c r="K95" s="172" t="s">
        <v>1943</v>
      </c>
      <c r="L95" s="175">
        <v>134850.67000000001</v>
      </c>
      <c r="M95" s="141">
        <v>119118.09</v>
      </c>
      <c r="N95" s="176" t="s">
        <v>1954</v>
      </c>
      <c r="O95" s="174" t="s">
        <v>1932</v>
      </c>
      <c r="P95" s="168" t="s">
        <v>1933</v>
      </c>
      <c r="Q95" s="168">
        <v>18335403600</v>
      </c>
      <c r="R95" s="168" t="s">
        <v>1934</v>
      </c>
      <c r="S95" s="168" t="s">
        <v>1736</v>
      </c>
      <c r="T95" s="150"/>
    </row>
    <row r="96" spans="1:20" ht="24.95" customHeight="1">
      <c r="A96" s="117" t="s">
        <v>1955</v>
      </c>
      <c r="B96" s="172" t="s">
        <v>1826</v>
      </c>
      <c r="C96" s="172"/>
      <c r="D96" s="173" t="s">
        <v>62</v>
      </c>
      <c r="E96" s="172"/>
      <c r="F96" s="172">
        <v>413.67</v>
      </c>
      <c r="G96" s="168" t="s">
        <v>32</v>
      </c>
      <c r="H96" s="168" t="s">
        <v>33</v>
      </c>
      <c r="I96" s="173"/>
      <c r="J96" s="172"/>
      <c r="K96" s="172" t="s">
        <v>1948</v>
      </c>
      <c r="L96" s="175">
        <v>823679.19</v>
      </c>
      <c r="M96" s="141">
        <v>751607.26</v>
      </c>
      <c r="N96" s="176" t="s">
        <v>1956</v>
      </c>
      <c r="O96" s="174" t="s">
        <v>1932</v>
      </c>
      <c r="P96" s="168" t="s">
        <v>1933</v>
      </c>
      <c r="Q96" s="168">
        <v>18335403600</v>
      </c>
      <c r="R96" s="168" t="s">
        <v>1934</v>
      </c>
      <c r="S96" s="168" t="s">
        <v>1736</v>
      </c>
      <c r="T96" s="150"/>
    </row>
    <row r="97" spans="1:20" ht="24.95" customHeight="1">
      <c r="A97" s="117" t="s">
        <v>1957</v>
      </c>
      <c r="B97" s="172" t="s">
        <v>1826</v>
      </c>
      <c r="C97" s="172"/>
      <c r="D97" s="173" t="s">
        <v>62</v>
      </c>
      <c r="E97" s="172"/>
      <c r="F97" s="172">
        <v>279.58800000000002</v>
      </c>
      <c r="G97" s="168" t="s">
        <v>32</v>
      </c>
      <c r="H97" s="168" t="s">
        <v>33</v>
      </c>
      <c r="I97" s="173"/>
      <c r="J97" s="172"/>
      <c r="K97" s="172" t="s">
        <v>1948</v>
      </c>
      <c r="L97" s="175">
        <v>371134.51</v>
      </c>
      <c r="M97" s="141">
        <v>338660.24</v>
      </c>
      <c r="N97" s="176" t="s">
        <v>1956</v>
      </c>
      <c r="O97" s="174" t="s">
        <v>1932</v>
      </c>
      <c r="P97" s="168" t="s">
        <v>1933</v>
      </c>
      <c r="Q97" s="168">
        <v>18335403600</v>
      </c>
      <c r="R97" s="168" t="s">
        <v>1934</v>
      </c>
      <c r="S97" s="168" t="s">
        <v>1736</v>
      </c>
      <c r="T97" s="150"/>
    </row>
    <row r="98" spans="1:20" ht="24.95" customHeight="1">
      <c r="A98" s="117" t="s">
        <v>1958</v>
      </c>
      <c r="B98" s="172" t="s">
        <v>29</v>
      </c>
      <c r="C98" s="172" t="s">
        <v>1959</v>
      </c>
      <c r="D98" s="173" t="s">
        <v>62</v>
      </c>
      <c r="E98" s="172"/>
      <c r="F98" s="172">
        <v>10.199999999999999</v>
      </c>
      <c r="G98" s="168" t="s">
        <v>32</v>
      </c>
      <c r="H98" s="168" t="s">
        <v>33</v>
      </c>
      <c r="I98" s="173"/>
      <c r="J98" s="172"/>
      <c r="K98" s="172" t="s">
        <v>1960</v>
      </c>
      <c r="L98" s="175">
        <v>47660.2</v>
      </c>
      <c r="M98" s="141">
        <v>43489.93</v>
      </c>
      <c r="N98" s="176" t="s">
        <v>1956</v>
      </c>
      <c r="O98" s="174" t="s">
        <v>1932</v>
      </c>
      <c r="P98" s="168" t="s">
        <v>1933</v>
      </c>
      <c r="Q98" s="168">
        <v>18335403600</v>
      </c>
      <c r="R98" s="168" t="s">
        <v>1934</v>
      </c>
      <c r="S98" s="168" t="s">
        <v>1736</v>
      </c>
      <c r="T98" s="150"/>
    </row>
    <row r="99" spans="1:20" ht="24.95" customHeight="1">
      <c r="A99" s="117" t="s">
        <v>1961</v>
      </c>
      <c r="B99" s="172" t="s">
        <v>29</v>
      </c>
      <c r="C99" s="172"/>
      <c r="D99" s="173" t="s">
        <v>62</v>
      </c>
      <c r="E99" s="172"/>
      <c r="F99" s="172">
        <v>5.39</v>
      </c>
      <c r="G99" s="168" t="s">
        <v>32</v>
      </c>
      <c r="H99" s="168" t="s">
        <v>33</v>
      </c>
      <c r="I99" s="173"/>
      <c r="J99" s="172"/>
      <c r="K99" s="172" t="s">
        <v>1962</v>
      </c>
      <c r="L99" s="175">
        <v>21792.33</v>
      </c>
      <c r="M99" s="141">
        <v>19249.89</v>
      </c>
      <c r="N99" s="176">
        <v>2021.9</v>
      </c>
      <c r="O99" s="174" t="s">
        <v>1932</v>
      </c>
      <c r="P99" s="168" t="s">
        <v>1933</v>
      </c>
      <c r="Q99" s="168">
        <v>18335403600</v>
      </c>
      <c r="R99" s="168" t="s">
        <v>1934</v>
      </c>
      <c r="S99" s="168" t="s">
        <v>1736</v>
      </c>
      <c r="T99" s="150"/>
    </row>
    <row r="100" spans="1:20" ht="24.95" customHeight="1">
      <c r="A100" s="117" t="s">
        <v>1963</v>
      </c>
      <c r="B100" s="172" t="s">
        <v>29</v>
      </c>
      <c r="C100" s="172"/>
      <c r="D100" s="173" t="s">
        <v>62</v>
      </c>
      <c r="E100" s="172"/>
      <c r="F100" s="172">
        <v>41.3</v>
      </c>
      <c r="G100" s="168" t="s">
        <v>32</v>
      </c>
      <c r="H100" s="168" t="s">
        <v>33</v>
      </c>
      <c r="I100" s="173"/>
      <c r="J100" s="172"/>
      <c r="K100" s="172" t="s">
        <v>1962</v>
      </c>
      <c r="L100" s="175">
        <v>155295.31</v>
      </c>
      <c r="M100" s="141">
        <v>137177.53</v>
      </c>
      <c r="N100" s="176">
        <v>2021.9</v>
      </c>
      <c r="O100" s="174" t="s">
        <v>1932</v>
      </c>
      <c r="P100" s="168" t="s">
        <v>1933</v>
      </c>
      <c r="Q100" s="168">
        <v>18335403600</v>
      </c>
      <c r="R100" s="168" t="s">
        <v>1934</v>
      </c>
      <c r="S100" s="168" t="s">
        <v>1736</v>
      </c>
      <c r="T100" s="150"/>
    </row>
    <row r="101" spans="1:20" ht="24.95" customHeight="1">
      <c r="A101" s="117" t="s">
        <v>1964</v>
      </c>
      <c r="B101" s="172" t="s">
        <v>29</v>
      </c>
      <c r="C101" s="172"/>
      <c r="D101" s="173" t="s">
        <v>62</v>
      </c>
      <c r="E101" s="172"/>
      <c r="F101" s="172">
        <v>116.25</v>
      </c>
      <c r="G101" s="168" t="s">
        <v>32</v>
      </c>
      <c r="H101" s="168" t="s">
        <v>33</v>
      </c>
      <c r="I101" s="173"/>
      <c r="J101" s="172"/>
      <c r="K101" s="172" t="s">
        <v>1962</v>
      </c>
      <c r="L101" s="175">
        <v>437120.57</v>
      </c>
      <c r="M101" s="141">
        <v>386123.16</v>
      </c>
      <c r="N101" s="176">
        <v>2021.9</v>
      </c>
      <c r="O101" s="174" t="s">
        <v>1932</v>
      </c>
      <c r="P101" s="168" t="s">
        <v>1933</v>
      </c>
      <c r="Q101" s="168">
        <v>18335403600</v>
      </c>
      <c r="R101" s="168" t="s">
        <v>1934</v>
      </c>
      <c r="S101" s="168" t="s">
        <v>1736</v>
      </c>
      <c r="T101" s="150"/>
    </row>
    <row r="102" spans="1:20" ht="24.95" customHeight="1">
      <c r="A102" s="117" t="s">
        <v>1965</v>
      </c>
      <c r="B102" s="172" t="s">
        <v>29</v>
      </c>
      <c r="C102" s="172"/>
      <c r="D102" s="173" t="s">
        <v>62</v>
      </c>
      <c r="E102" s="172"/>
      <c r="F102" s="172">
        <v>158.77000000000001</v>
      </c>
      <c r="G102" s="168" t="s">
        <v>32</v>
      </c>
      <c r="H102" s="168" t="s">
        <v>33</v>
      </c>
      <c r="I102" s="173"/>
      <c r="J102" s="172"/>
      <c r="K102" s="172" t="s">
        <v>1962</v>
      </c>
      <c r="L102" s="175">
        <v>597003.30000000005</v>
      </c>
      <c r="M102" s="141">
        <v>527352.91</v>
      </c>
      <c r="N102" s="176">
        <v>2021.9</v>
      </c>
      <c r="O102" s="174" t="s">
        <v>1932</v>
      </c>
      <c r="P102" s="168" t="s">
        <v>1933</v>
      </c>
      <c r="Q102" s="168">
        <v>18335403600</v>
      </c>
      <c r="R102" s="168" t="s">
        <v>1934</v>
      </c>
      <c r="S102" s="168" t="s">
        <v>1736</v>
      </c>
      <c r="T102" s="150"/>
    </row>
    <row r="103" spans="1:20" ht="24.95" customHeight="1">
      <c r="A103" s="117" t="s">
        <v>1966</v>
      </c>
      <c r="B103" s="172" t="s">
        <v>29</v>
      </c>
      <c r="C103" s="172"/>
      <c r="D103" s="173" t="s">
        <v>62</v>
      </c>
      <c r="E103" s="172"/>
      <c r="F103" s="172">
        <v>142.34</v>
      </c>
      <c r="G103" s="168" t="s">
        <v>32</v>
      </c>
      <c r="H103" s="168" t="s">
        <v>33</v>
      </c>
      <c r="I103" s="173"/>
      <c r="J103" s="172"/>
      <c r="K103" s="172" t="s">
        <v>1962</v>
      </c>
      <c r="L103" s="175">
        <v>535223.59</v>
      </c>
      <c r="M103" s="141">
        <v>472780.82</v>
      </c>
      <c r="N103" s="176">
        <v>2021.9</v>
      </c>
      <c r="O103" s="174" t="s">
        <v>1932</v>
      </c>
      <c r="P103" s="168" t="s">
        <v>1933</v>
      </c>
      <c r="Q103" s="168">
        <v>18335403600</v>
      </c>
      <c r="R103" s="168" t="s">
        <v>1934</v>
      </c>
      <c r="S103" s="168" t="s">
        <v>1736</v>
      </c>
      <c r="T103" s="150"/>
    </row>
    <row r="104" spans="1:20" ht="24.95" customHeight="1">
      <c r="A104" s="117" t="s">
        <v>1967</v>
      </c>
      <c r="B104" s="172" t="s">
        <v>29</v>
      </c>
      <c r="C104" s="172"/>
      <c r="D104" s="173" t="s">
        <v>62</v>
      </c>
      <c r="E104" s="172"/>
      <c r="F104" s="172">
        <v>31.66</v>
      </c>
      <c r="G104" s="168" t="s">
        <v>32</v>
      </c>
      <c r="H104" s="168" t="s">
        <v>33</v>
      </c>
      <c r="I104" s="173"/>
      <c r="J104" s="172"/>
      <c r="K104" s="172" t="s">
        <v>1962</v>
      </c>
      <c r="L104" s="175">
        <v>127480.53</v>
      </c>
      <c r="M104" s="141">
        <v>112607.8</v>
      </c>
      <c r="N104" s="176">
        <v>2021.9</v>
      </c>
      <c r="O104" s="174" t="s">
        <v>1932</v>
      </c>
      <c r="P104" s="168" t="s">
        <v>1933</v>
      </c>
      <c r="Q104" s="168">
        <v>18335403600</v>
      </c>
      <c r="R104" s="168" t="s">
        <v>1934</v>
      </c>
      <c r="S104" s="168" t="s">
        <v>1736</v>
      </c>
      <c r="T104" s="150"/>
    </row>
    <row r="105" spans="1:20" ht="24.95" customHeight="1">
      <c r="A105" s="117" t="s">
        <v>1968</v>
      </c>
      <c r="B105" s="172" t="s">
        <v>29</v>
      </c>
      <c r="C105" s="172"/>
      <c r="D105" s="173" t="s">
        <v>62</v>
      </c>
      <c r="E105" s="172"/>
      <c r="F105" s="172">
        <v>33.19</v>
      </c>
      <c r="G105" s="168" t="s">
        <v>32</v>
      </c>
      <c r="H105" s="168" t="s">
        <v>33</v>
      </c>
      <c r="I105" s="173"/>
      <c r="J105" s="172"/>
      <c r="K105" s="172" t="s">
        <v>1962</v>
      </c>
      <c r="L105" s="175">
        <v>126856.29</v>
      </c>
      <c r="M105" s="141">
        <v>112056.39</v>
      </c>
      <c r="N105" s="176">
        <v>2021.9</v>
      </c>
      <c r="O105" s="174" t="s">
        <v>1932</v>
      </c>
      <c r="P105" s="168" t="s">
        <v>1933</v>
      </c>
      <c r="Q105" s="168">
        <v>18335403600</v>
      </c>
      <c r="R105" s="168" t="s">
        <v>1934</v>
      </c>
      <c r="S105" s="168" t="s">
        <v>1736</v>
      </c>
      <c r="T105" s="150"/>
    </row>
    <row r="106" spans="1:20" ht="24.95" customHeight="1">
      <c r="A106" s="117" t="s">
        <v>1969</v>
      </c>
      <c r="B106" s="172" t="s">
        <v>29</v>
      </c>
      <c r="C106" s="172"/>
      <c r="D106" s="173" t="s">
        <v>62</v>
      </c>
      <c r="E106" s="172"/>
      <c r="F106" s="172">
        <v>2.7</v>
      </c>
      <c r="G106" s="168" t="s">
        <v>32</v>
      </c>
      <c r="H106" s="168" t="s">
        <v>33</v>
      </c>
      <c r="I106" s="173"/>
      <c r="J106" s="172"/>
      <c r="K106" s="172" t="s">
        <v>1962</v>
      </c>
      <c r="L106" s="175">
        <v>4181.42</v>
      </c>
      <c r="M106" s="141">
        <v>3693.57</v>
      </c>
      <c r="N106" s="176">
        <v>2021.9</v>
      </c>
      <c r="O106" s="174" t="s">
        <v>1932</v>
      </c>
      <c r="P106" s="168" t="s">
        <v>1933</v>
      </c>
      <c r="Q106" s="168">
        <v>18335403600</v>
      </c>
      <c r="R106" s="168" t="s">
        <v>1934</v>
      </c>
      <c r="S106" s="168" t="s">
        <v>1736</v>
      </c>
      <c r="T106" s="150"/>
    </row>
    <row r="107" spans="1:20" ht="24.95" customHeight="1">
      <c r="A107" s="117" t="s">
        <v>1970</v>
      </c>
      <c r="B107" s="102" t="s">
        <v>28</v>
      </c>
      <c r="C107" s="177" t="s">
        <v>1971</v>
      </c>
      <c r="D107" s="177" t="s">
        <v>62</v>
      </c>
      <c r="E107" s="102">
        <v>1</v>
      </c>
      <c r="F107" s="178">
        <v>4.141</v>
      </c>
      <c r="G107" s="102" t="s">
        <v>32</v>
      </c>
      <c r="H107" s="105" t="s">
        <v>33</v>
      </c>
      <c r="I107" s="123"/>
      <c r="J107" s="102"/>
      <c r="K107" s="102" t="s">
        <v>1972</v>
      </c>
      <c r="L107" s="113">
        <v>18323.93</v>
      </c>
      <c r="M107" s="148">
        <v>6871.80375</v>
      </c>
      <c r="N107" s="179">
        <v>44334</v>
      </c>
      <c r="O107" s="102" t="s">
        <v>1973</v>
      </c>
      <c r="P107" s="123" t="s">
        <v>1974</v>
      </c>
      <c r="Q107" s="102">
        <v>15103501536</v>
      </c>
      <c r="R107" s="106" t="s">
        <v>1975</v>
      </c>
      <c r="S107" s="125" t="s">
        <v>1976</v>
      </c>
      <c r="T107" s="125"/>
    </row>
    <row r="108" spans="1:20" ht="24.95" customHeight="1">
      <c r="A108" s="117" t="s">
        <v>1977</v>
      </c>
      <c r="B108" s="102" t="s">
        <v>28</v>
      </c>
      <c r="C108" s="177" t="s">
        <v>1978</v>
      </c>
      <c r="D108" s="177" t="s">
        <v>62</v>
      </c>
      <c r="E108" s="102">
        <v>1</v>
      </c>
      <c r="F108" s="178">
        <v>2.169</v>
      </c>
      <c r="G108" s="102" t="s">
        <v>32</v>
      </c>
      <c r="H108" s="105" t="s">
        <v>33</v>
      </c>
      <c r="I108" s="123"/>
      <c r="J108" s="102"/>
      <c r="K108" s="102" t="s">
        <v>1972</v>
      </c>
      <c r="L108" s="113">
        <v>9597.8250000000007</v>
      </c>
      <c r="M108" s="148">
        <v>2879.3474999999999</v>
      </c>
      <c r="N108" s="179">
        <v>44334</v>
      </c>
      <c r="O108" s="102" t="s">
        <v>1973</v>
      </c>
      <c r="P108" s="123" t="s">
        <v>1974</v>
      </c>
      <c r="Q108" s="102">
        <v>15103501536</v>
      </c>
      <c r="R108" s="106" t="s">
        <v>1975</v>
      </c>
      <c r="S108" s="125" t="s">
        <v>1976</v>
      </c>
      <c r="T108" s="125"/>
    </row>
    <row r="109" spans="1:20" ht="24.95" customHeight="1">
      <c r="A109" s="117" t="s">
        <v>1979</v>
      </c>
      <c r="B109" s="102" t="s">
        <v>28</v>
      </c>
      <c r="C109" s="177" t="s">
        <v>1971</v>
      </c>
      <c r="D109" s="177" t="s">
        <v>62</v>
      </c>
      <c r="E109" s="177">
        <v>1</v>
      </c>
      <c r="F109" s="178">
        <v>6.2119999999999997</v>
      </c>
      <c r="G109" s="102" t="s">
        <v>32</v>
      </c>
      <c r="H109" s="105" t="s">
        <v>33</v>
      </c>
      <c r="I109" s="123"/>
      <c r="J109" s="102"/>
      <c r="K109" s="102" t="s">
        <v>1972</v>
      </c>
      <c r="L109" s="113">
        <v>27488.1</v>
      </c>
      <c r="M109" s="148">
        <v>6871.80375</v>
      </c>
      <c r="N109" s="179">
        <v>44336</v>
      </c>
      <c r="O109" s="102" t="s">
        <v>1973</v>
      </c>
      <c r="P109" s="123" t="s">
        <v>1974</v>
      </c>
      <c r="Q109" s="102">
        <v>15103501536</v>
      </c>
      <c r="R109" s="106" t="s">
        <v>1975</v>
      </c>
      <c r="S109" s="125" t="s">
        <v>1976</v>
      </c>
      <c r="T109" s="125"/>
    </row>
    <row r="110" spans="1:20" ht="24.95" customHeight="1">
      <c r="A110" s="117" t="s">
        <v>1980</v>
      </c>
      <c r="B110" s="102" t="s">
        <v>1981</v>
      </c>
      <c r="C110" s="177" t="s">
        <v>1982</v>
      </c>
      <c r="D110" s="177" t="s">
        <v>62</v>
      </c>
      <c r="E110" s="177">
        <v>1</v>
      </c>
      <c r="F110" s="178">
        <v>12.694000000000001</v>
      </c>
      <c r="G110" s="102" t="s">
        <v>32</v>
      </c>
      <c r="H110" s="105" t="s">
        <v>33</v>
      </c>
      <c r="I110" s="123"/>
      <c r="J110" s="102"/>
      <c r="K110" s="102" t="s">
        <v>1983</v>
      </c>
      <c r="L110" s="113">
        <v>57345.144999999997</v>
      </c>
      <c r="M110" s="148">
        <v>44641.159300023297</v>
      </c>
      <c r="N110" s="179">
        <v>44397</v>
      </c>
      <c r="O110" s="102" t="s">
        <v>1975</v>
      </c>
      <c r="P110" s="123" t="s">
        <v>1974</v>
      </c>
      <c r="Q110" s="102">
        <v>15103501536</v>
      </c>
      <c r="R110" s="106" t="s">
        <v>1975</v>
      </c>
      <c r="S110" s="125" t="s">
        <v>1976</v>
      </c>
      <c r="T110" s="125"/>
    </row>
    <row r="111" spans="1:20" ht="24.95" customHeight="1">
      <c r="A111" s="117" t="s">
        <v>1984</v>
      </c>
      <c r="B111" s="102" t="s">
        <v>1981</v>
      </c>
      <c r="C111" s="177" t="s">
        <v>1985</v>
      </c>
      <c r="D111" s="177" t="s">
        <v>62</v>
      </c>
      <c r="E111" s="177">
        <v>1</v>
      </c>
      <c r="F111" s="178">
        <v>2.7839999999999998</v>
      </c>
      <c r="G111" s="102" t="s">
        <v>32</v>
      </c>
      <c r="H111" s="105" t="s">
        <v>33</v>
      </c>
      <c r="I111" s="123"/>
      <c r="J111" s="102"/>
      <c r="K111" s="102" t="s">
        <v>1983</v>
      </c>
      <c r="L111" s="113">
        <v>12576.72</v>
      </c>
      <c r="M111" s="148">
        <v>3773.0160000000001</v>
      </c>
      <c r="N111" s="179">
        <v>44397</v>
      </c>
      <c r="O111" s="102" t="s">
        <v>1975</v>
      </c>
      <c r="P111" s="123" t="s">
        <v>1974</v>
      </c>
      <c r="Q111" s="102">
        <v>15103501536</v>
      </c>
      <c r="R111" s="106" t="s">
        <v>1975</v>
      </c>
      <c r="S111" s="125" t="s">
        <v>1976</v>
      </c>
      <c r="T111" s="125"/>
    </row>
    <row r="112" spans="1:20" ht="24.95" customHeight="1">
      <c r="A112" s="117" t="s">
        <v>1986</v>
      </c>
      <c r="B112" s="102" t="s">
        <v>1981</v>
      </c>
      <c r="C112" s="177" t="s">
        <v>1987</v>
      </c>
      <c r="D112" s="177" t="s">
        <v>62</v>
      </c>
      <c r="E112" s="177">
        <v>1</v>
      </c>
      <c r="F112" s="178">
        <v>12.906000000000001</v>
      </c>
      <c r="G112" s="102" t="s">
        <v>32</v>
      </c>
      <c r="H112" s="105" t="s">
        <v>33</v>
      </c>
      <c r="I112" s="123"/>
      <c r="J112" s="102"/>
      <c r="K112" s="102" t="s">
        <v>1983</v>
      </c>
      <c r="L112" s="113">
        <v>58302.855000000003</v>
      </c>
      <c r="M112" s="148">
        <v>45598.869300023303</v>
      </c>
      <c r="N112" s="179">
        <v>44397</v>
      </c>
      <c r="O112" s="102" t="s">
        <v>1975</v>
      </c>
      <c r="P112" s="123" t="s">
        <v>1974</v>
      </c>
      <c r="Q112" s="102">
        <v>15103501536</v>
      </c>
      <c r="R112" s="106" t="s">
        <v>1975</v>
      </c>
      <c r="S112" s="125" t="s">
        <v>1976</v>
      </c>
      <c r="T112" s="125"/>
    </row>
    <row r="113" spans="1:20" ht="24.95" customHeight="1">
      <c r="A113" s="117" t="s">
        <v>1988</v>
      </c>
      <c r="B113" s="102" t="s">
        <v>1981</v>
      </c>
      <c r="C113" s="177" t="s">
        <v>1989</v>
      </c>
      <c r="D113" s="177" t="s">
        <v>62</v>
      </c>
      <c r="E113" s="177">
        <v>1</v>
      </c>
      <c r="F113" s="178">
        <v>29.27</v>
      </c>
      <c r="G113" s="102" t="s">
        <v>32</v>
      </c>
      <c r="H113" s="105" t="s">
        <v>33</v>
      </c>
      <c r="I113" s="123"/>
      <c r="J113" s="102"/>
      <c r="K113" s="102" t="s">
        <v>1983</v>
      </c>
      <c r="L113" s="113">
        <v>132227.22500000001</v>
      </c>
      <c r="M113" s="148">
        <v>119523.23930002299</v>
      </c>
      <c r="N113" s="179">
        <v>44397</v>
      </c>
      <c r="O113" s="102" t="s">
        <v>1975</v>
      </c>
      <c r="P113" s="123" t="s">
        <v>1974</v>
      </c>
      <c r="Q113" s="102">
        <v>15103501536</v>
      </c>
      <c r="R113" s="106" t="s">
        <v>1975</v>
      </c>
      <c r="S113" s="125" t="s">
        <v>1976</v>
      </c>
      <c r="T113" s="125"/>
    </row>
    <row r="114" spans="1:20" ht="24.95" customHeight="1">
      <c r="A114" s="117" t="s">
        <v>1990</v>
      </c>
      <c r="B114" s="102" t="s">
        <v>1981</v>
      </c>
      <c r="C114" s="177" t="s">
        <v>1991</v>
      </c>
      <c r="D114" s="177" t="s">
        <v>62</v>
      </c>
      <c r="E114" s="177">
        <v>1</v>
      </c>
      <c r="F114" s="178">
        <v>3.0579999999999998</v>
      </c>
      <c r="G114" s="102" t="s">
        <v>32</v>
      </c>
      <c r="H114" s="105" t="s">
        <v>33</v>
      </c>
      <c r="I114" s="123"/>
      <c r="J114" s="102"/>
      <c r="K114" s="102" t="s">
        <v>1983</v>
      </c>
      <c r="L114" s="113">
        <v>13814.514999999999</v>
      </c>
      <c r="M114" s="148">
        <v>4144.3545000000004</v>
      </c>
      <c r="N114" s="179">
        <v>44397</v>
      </c>
      <c r="O114" s="102" t="s">
        <v>1975</v>
      </c>
      <c r="P114" s="123" t="s">
        <v>1974</v>
      </c>
      <c r="Q114" s="102">
        <v>15103501536</v>
      </c>
      <c r="R114" s="106" t="s">
        <v>1975</v>
      </c>
      <c r="S114" s="125" t="s">
        <v>1976</v>
      </c>
      <c r="T114" s="125"/>
    </row>
    <row r="115" spans="1:20" ht="24.95" customHeight="1">
      <c r="A115" s="117" t="s">
        <v>1992</v>
      </c>
      <c r="B115" s="102" t="s">
        <v>1981</v>
      </c>
      <c r="C115" s="177" t="s">
        <v>1993</v>
      </c>
      <c r="D115" s="177" t="s">
        <v>62</v>
      </c>
      <c r="E115" s="177">
        <v>1</v>
      </c>
      <c r="F115" s="178">
        <v>1.1379999999999999</v>
      </c>
      <c r="G115" s="102" t="s">
        <v>32</v>
      </c>
      <c r="H115" s="105" t="s">
        <v>33</v>
      </c>
      <c r="I115" s="123"/>
      <c r="J115" s="102"/>
      <c r="K115" s="102" t="s">
        <v>1983</v>
      </c>
      <c r="L115" s="113">
        <v>5140.915</v>
      </c>
      <c r="M115" s="148">
        <v>1542.2745</v>
      </c>
      <c r="N115" s="179">
        <v>44397</v>
      </c>
      <c r="O115" s="102" t="s">
        <v>1975</v>
      </c>
      <c r="P115" s="123" t="s">
        <v>1974</v>
      </c>
      <c r="Q115" s="102">
        <v>15103501536</v>
      </c>
      <c r="R115" s="106" t="s">
        <v>1975</v>
      </c>
      <c r="S115" s="125" t="s">
        <v>1976</v>
      </c>
      <c r="T115" s="125"/>
    </row>
    <row r="116" spans="1:20" ht="24.95" customHeight="1">
      <c r="A116" s="117" t="s">
        <v>1994</v>
      </c>
      <c r="B116" s="102" t="s">
        <v>1981</v>
      </c>
      <c r="C116" s="177" t="s">
        <v>1995</v>
      </c>
      <c r="D116" s="177" t="s">
        <v>62</v>
      </c>
      <c r="E116" s="177">
        <v>1</v>
      </c>
      <c r="F116" s="178">
        <v>4.5620000000000003</v>
      </c>
      <c r="G116" s="102" t="s">
        <v>32</v>
      </c>
      <c r="H116" s="105" t="s">
        <v>33</v>
      </c>
      <c r="I116" s="123"/>
      <c r="J116" s="102"/>
      <c r="K116" s="102" t="s">
        <v>1983</v>
      </c>
      <c r="L116" s="113">
        <v>20608.834999999999</v>
      </c>
      <c r="M116" s="148">
        <v>6182.6504999999997</v>
      </c>
      <c r="N116" s="179">
        <v>44397</v>
      </c>
      <c r="O116" s="102" t="s">
        <v>1975</v>
      </c>
      <c r="P116" s="123" t="s">
        <v>1974</v>
      </c>
      <c r="Q116" s="102">
        <v>15103501536</v>
      </c>
      <c r="R116" s="106" t="s">
        <v>1975</v>
      </c>
      <c r="S116" s="125" t="s">
        <v>1976</v>
      </c>
      <c r="T116" s="125"/>
    </row>
    <row r="117" spans="1:20" ht="24.95" customHeight="1">
      <c r="A117" s="117" t="s">
        <v>1996</v>
      </c>
      <c r="B117" s="102" t="s">
        <v>1981</v>
      </c>
      <c r="C117" s="177" t="s">
        <v>1997</v>
      </c>
      <c r="D117" s="177" t="s">
        <v>62</v>
      </c>
      <c r="E117" s="177">
        <v>1</v>
      </c>
      <c r="F117" s="178">
        <v>3.1739999999999999</v>
      </c>
      <c r="G117" s="102" t="s">
        <v>32</v>
      </c>
      <c r="H117" s="105" t="s">
        <v>33</v>
      </c>
      <c r="I117" s="123"/>
      <c r="J117" s="102"/>
      <c r="K117" s="102" t="s">
        <v>1983</v>
      </c>
      <c r="L117" s="113">
        <v>14338.545</v>
      </c>
      <c r="M117" s="148">
        <v>4301.5635000000002</v>
      </c>
      <c r="N117" s="179">
        <v>44397</v>
      </c>
      <c r="O117" s="102" t="s">
        <v>1975</v>
      </c>
      <c r="P117" s="123" t="s">
        <v>1974</v>
      </c>
      <c r="Q117" s="102">
        <v>15103501536</v>
      </c>
      <c r="R117" s="106" t="s">
        <v>1975</v>
      </c>
      <c r="S117" s="125" t="s">
        <v>1976</v>
      </c>
      <c r="T117" s="125"/>
    </row>
    <row r="118" spans="1:20" ht="24.95" customHeight="1">
      <c r="A118" s="117" t="s">
        <v>1998</v>
      </c>
      <c r="B118" s="102" t="s">
        <v>1981</v>
      </c>
      <c r="C118" s="177" t="s">
        <v>1982</v>
      </c>
      <c r="D118" s="177" t="s">
        <v>62</v>
      </c>
      <c r="E118" s="177">
        <v>1</v>
      </c>
      <c r="F118" s="1812">
        <v>15.26</v>
      </c>
      <c r="G118" s="102" t="s">
        <v>32</v>
      </c>
      <c r="H118" s="105" t="s">
        <v>33</v>
      </c>
      <c r="I118" s="123"/>
      <c r="J118" s="102"/>
      <c r="K118" s="102" t="s">
        <v>1983</v>
      </c>
      <c r="L118" s="1815">
        <v>68937.05</v>
      </c>
      <c r="M118" s="1818">
        <v>68937.05</v>
      </c>
      <c r="N118" s="179">
        <v>44397</v>
      </c>
      <c r="O118" s="102" t="s">
        <v>1975</v>
      </c>
      <c r="P118" s="123" t="s">
        <v>1974</v>
      </c>
      <c r="Q118" s="102">
        <v>15103501536</v>
      </c>
      <c r="R118" s="106" t="s">
        <v>1975</v>
      </c>
      <c r="S118" s="125" t="s">
        <v>1976</v>
      </c>
      <c r="T118" s="125"/>
    </row>
    <row r="119" spans="1:20" ht="24.95" customHeight="1">
      <c r="A119" s="117" t="s">
        <v>1999</v>
      </c>
      <c r="B119" s="102" t="s">
        <v>1981</v>
      </c>
      <c r="C119" s="177" t="s">
        <v>2000</v>
      </c>
      <c r="D119" s="177" t="s">
        <v>62</v>
      </c>
      <c r="E119" s="177">
        <v>1</v>
      </c>
      <c r="F119" s="1813"/>
      <c r="G119" s="102" t="s">
        <v>32</v>
      </c>
      <c r="H119" s="105" t="s">
        <v>33</v>
      </c>
      <c r="I119" s="123"/>
      <c r="J119" s="102"/>
      <c r="K119" s="102" t="s">
        <v>1983</v>
      </c>
      <c r="L119" s="1816"/>
      <c r="M119" s="1819"/>
      <c r="N119" s="179">
        <v>44397</v>
      </c>
      <c r="O119" s="102" t="s">
        <v>1975</v>
      </c>
      <c r="P119" s="123" t="s">
        <v>1974</v>
      </c>
      <c r="Q119" s="102">
        <v>15103501536</v>
      </c>
      <c r="R119" s="106" t="s">
        <v>1975</v>
      </c>
      <c r="S119" s="125" t="s">
        <v>1976</v>
      </c>
      <c r="T119" s="125"/>
    </row>
    <row r="120" spans="1:20" ht="24.95" customHeight="1">
      <c r="A120" s="117" t="s">
        <v>2001</v>
      </c>
      <c r="B120" s="102" t="s">
        <v>1981</v>
      </c>
      <c r="C120" s="102" t="s">
        <v>2002</v>
      </c>
      <c r="D120" s="123" t="s">
        <v>62</v>
      </c>
      <c r="E120" s="177">
        <v>1</v>
      </c>
      <c r="F120" s="1814"/>
      <c r="G120" s="102" t="s">
        <v>32</v>
      </c>
      <c r="H120" s="105" t="s">
        <v>33</v>
      </c>
      <c r="I120" s="123"/>
      <c r="J120" s="102"/>
      <c r="K120" s="102" t="s">
        <v>1983</v>
      </c>
      <c r="L120" s="1817"/>
      <c r="M120" s="1820"/>
      <c r="N120" s="179">
        <v>44397</v>
      </c>
      <c r="O120" s="102" t="s">
        <v>1975</v>
      </c>
      <c r="P120" s="123" t="s">
        <v>1974</v>
      </c>
      <c r="Q120" s="102">
        <v>15103501536</v>
      </c>
      <c r="R120" s="106" t="s">
        <v>1975</v>
      </c>
      <c r="S120" s="125" t="s">
        <v>1976</v>
      </c>
      <c r="T120" s="125"/>
    </row>
    <row r="121" spans="1:20" ht="24.95" customHeight="1">
      <c r="A121" s="117" t="s">
        <v>2003</v>
      </c>
      <c r="B121" s="102" t="s">
        <v>1981</v>
      </c>
      <c r="C121" s="102" t="s">
        <v>2004</v>
      </c>
      <c r="D121" s="123" t="s">
        <v>62</v>
      </c>
      <c r="E121" s="177">
        <v>1</v>
      </c>
      <c r="F121" s="113">
        <v>3.84</v>
      </c>
      <c r="G121" s="102" t="s">
        <v>32</v>
      </c>
      <c r="H121" s="105" t="s">
        <v>33</v>
      </c>
      <c r="I121" s="123"/>
      <c r="J121" s="102"/>
      <c r="K121" s="102" t="s">
        <v>1983</v>
      </c>
      <c r="L121" s="113">
        <v>17347.2</v>
      </c>
      <c r="M121" s="148">
        <v>17347.2</v>
      </c>
      <c r="N121" s="179">
        <v>44397</v>
      </c>
      <c r="O121" s="102" t="s">
        <v>1975</v>
      </c>
      <c r="P121" s="123" t="s">
        <v>1974</v>
      </c>
      <c r="Q121" s="102">
        <v>15103501536</v>
      </c>
      <c r="R121" s="106" t="s">
        <v>1975</v>
      </c>
      <c r="S121" s="125" t="s">
        <v>1976</v>
      </c>
      <c r="T121" s="125"/>
    </row>
    <row r="122" spans="1:20" ht="24.95" customHeight="1">
      <c r="A122" s="117" t="s">
        <v>2005</v>
      </c>
      <c r="B122" s="102" t="s">
        <v>2006</v>
      </c>
      <c r="C122" s="102" t="s">
        <v>2007</v>
      </c>
      <c r="D122" s="123" t="s">
        <v>62</v>
      </c>
      <c r="E122" s="177">
        <v>1</v>
      </c>
      <c r="F122" s="113">
        <v>0.39549699999999999</v>
      </c>
      <c r="G122" s="102" t="s">
        <v>32</v>
      </c>
      <c r="H122" s="105" t="s">
        <v>33</v>
      </c>
      <c r="I122" s="123"/>
      <c r="J122" s="102"/>
      <c r="K122" s="102" t="s">
        <v>1983</v>
      </c>
      <c r="L122" s="113">
        <v>1260.4291641499999</v>
      </c>
      <c r="M122" s="148">
        <v>1260.4291641499999</v>
      </c>
      <c r="N122" s="179">
        <v>44397</v>
      </c>
      <c r="O122" s="102" t="s">
        <v>1975</v>
      </c>
      <c r="P122" s="123" t="s">
        <v>1974</v>
      </c>
      <c r="Q122" s="102">
        <v>15103501536</v>
      </c>
      <c r="R122" s="106" t="s">
        <v>1975</v>
      </c>
      <c r="S122" s="125" t="s">
        <v>1976</v>
      </c>
      <c r="T122" s="125"/>
    </row>
    <row r="123" spans="1:20" ht="24.95" customHeight="1">
      <c r="A123" s="117" t="s">
        <v>2008</v>
      </c>
      <c r="B123" s="102" t="s">
        <v>2006</v>
      </c>
      <c r="C123" s="102" t="s">
        <v>2009</v>
      </c>
      <c r="D123" s="123" t="s">
        <v>62</v>
      </c>
      <c r="E123" s="177">
        <v>1</v>
      </c>
      <c r="F123" s="113">
        <v>0.41215600000000002</v>
      </c>
      <c r="G123" s="102" t="s">
        <v>32</v>
      </c>
      <c r="H123" s="105" t="s">
        <v>33</v>
      </c>
      <c r="I123" s="123"/>
      <c r="J123" s="102"/>
      <c r="K123" s="102" t="s">
        <v>1983</v>
      </c>
      <c r="L123" s="113">
        <v>1313.5205642000001</v>
      </c>
      <c r="M123" s="148">
        <v>1313.5205642000001</v>
      </c>
      <c r="N123" s="179">
        <v>44397</v>
      </c>
      <c r="O123" s="102" t="s">
        <v>1975</v>
      </c>
      <c r="P123" s="123" t="s">
        <v>1974</v>
      </c>
      <c r="Q123" s="102">
        <v>15103501536</v>
      </c>
      <c r="R123" s="106" t="s">
        <v>1975</v>
      </c>
      <c r="S123" s="125" t="s">
        <v>1976</v>
      </c>
      <c r="T123" s="125"/>
    </row>
    <row r="124" spans="1:20" ht="24.95" customHeight="1">
      <c r="A124" s="117" t="s">
        <v>2010</v>
      </c>
      <c r="B124" s="102" t="s">
        <v>2006</v>
      </c>
      <c r="C124" s="102" t="s">
        <v>2011</v>
      </c>
      <c r="D124" s="123" t="s">
        <v>62</v>
      </c>
      <c r="E124" s="177">
        <v>1</v>
      </c>
      <c r="F124" s="113">
        <v>0.26222499999999999</v>
      </c>
      <c r="G124" s="102" t="s">
        <v>32</v>
      </c>
      <c r="H124" s="105" t="s">
        <v>33</v>
      </c>
      <c r="I124" s="123"/>
      <c r="J124" s="102"/>
      <c r="K124" s="102" t="s">
        <v>1983</v>
      </c>
      <c r="L124" s="113">
        <v>835.69796374999999</v>
      </c>
      <c r="M124" s="148">
        <v>835.69796374999999</v>
      </c>
      <c r="N124" s="179">
        <v>44397</v>
      </c>
      <c r="O124" s="102" t="s">
        <v>1975</v>
      </c>
      <c r="P124" s="123" t="s">
        <v>1974</v>
      </c>
      <c r="Q124" s="102">
        <v>15103501536</v>
      </c>
      <c r="R124" s="106" t="s">
        <v>1975</v>
      </c>
      <c r="S124" s="125" t="s">
        <v>1976</v>
      </c>
      <c r="T124" s="125"/>
    </row>
    <row r="125" spans="1:20" ht="24.95" customHeight="1">
      <c r="A125" s="117" t="s">
        <v>2012</v>
      </c>
      <c r="B125" s="102" t="s">
        <v>2006</v>
      </c>
      <c r="C125" s="102" t="s">
        <v>633</v>
      </c>
      <c r="D125" s="123" t="s">
        <v>62</v>
      </c>
      <c r="E125" s="177">
        <v>1</v>
      </c>
      <c r="F125" s="113">
        <v>7.0294809999999996</v>
      </c>
      <c r="G125" s="102" t="s">
        <v>32</v>
      </c>
      <c r="H125" s="105" t="s">
        <v>33</v>
      </c>
      <c r="I125" s="123"/>
      <c r="J125" s="102"/>
      <c r="K125" s="102" t="s">
        <v>1983</v>
      </c>
      <c r="L125" s="113">
        <v>22402.604472949999</v>
      </c>
      <c r="M125" s="148">
        <v>22402.604472949999</v>
      </c>
      <c r="N125" s="179">
        <v>44509</v>
      </c>
      <c r="O125" s="102" t="s">
        <v>1975</v>
      </c>
      <c r="P125" s="123" t="s">
        <v>1974</v>
      </c>
      <c r="Q125" s="102">
        <v>15103501536</v>
      </c>
      <c r="R125" s="106" t="s">
        <v>1975</v>
      </c>
      <c r="S125" s="125" t="s">
        <v>1976</v>
      </c>
      <c r="T125" s="125"/>
    </row>
    <row r="126" spans="1:20" ht="24.95" customHeight="1">
      <c r="A126" s="117" t="s">
        <v>2013</v>
      </c>
      <c r="B126" s="102" t="s">
        <v>2014</v>
      </c>
      <c r="C126" s="102" t="s">
        <v>2015</v>
      </c>
      <c r="D126" s="123" t="s">
        <v>2016</v>
      </c>
      <c r="E126" s="177">
        <v>1</v>
      </c>
      <c r="F126" s="113">
        <v>163.19999999999999</v>
      </c>
      <c r="G126" s="102" t="s">
        <v>32</v>
      </c>
      <c r="H126" s="105" t="s">
        <v>33</v>
      </c>
      <c r="I126" s="123"/>
      <c r="J126" s="102"/>
      <c r="K126" s="102" t="s">
        <v>1983</v>
      </c>
      <c r="L126" s="113">
        <v>82407.920792079196</v>
      </c>
      <c r="M126" s="148">
        <v>24722.376237623801</v>
      </c>
      <c r="N126" s="179">
        <v>44397</v>
      </c>
      <c r="O126" s="102" t="s">
        <v>1975</v>
      </c>
      <c r="P126" s="123" t="s">
        <v>1974</v>
      </c>
      <c r="Q126" s="102">
        <v>15103501536</v>
      </c>
      <c r="R126" s="106" t="s">
        <v>1975</v>
      </c>
      <c r="S126" s="125" t="s">
        <v>1976</v>
      </c>
      <c r="T126" s="125"/>
    </row>
    <row r="127" spans="1:20" ht="24.95" customHeight="1">
      <c r="A127" s="117" t="s">
        <v>2017</v>
      </c>
      <c r="B127" s="102" t="s">
        <v>171</v>
      </c>
      <c r="C127" s="102"/>
      <c r="D127" s="123" t="s">
        <v>62</v>
      </c>
      <c r="E127" s="177">
        <v>1</v>
      </c>
      <c r="F127" s="113">
        <v>298.60000000000002</v>
      </c>
      <c r="G127" s="102" t="s">
        <v>32</v>
      </c>
      <c r="H127" s="105" t="s">
        <v>33</v>
      </c>
      <c r="I127" s="123"/>
      <c r="J127" s="102"/>
      <c r="K127" s="102" t="s">
        <v>2018</v>
      </c>
      <c r="L127" s="113">
        <v>1791600</v>
      </c>
      <c r="M127" s="148">
        <v>1791600</v>
      </c>
      <c r="N127" s="179">
        <v>44440</v>
      </c>
      <c r="O127" s="102" t="s">
        <v>1975</v>
      </c>
      <c r="P127" s="123" t="s">
        <v>1974</v>
      </c>
      <c r="Q127" s="102">
        <v>15103501536</v>
      </c>
      <c r="R127" s="106" t="s">
        <v>1975</v>
      </c>
      <c r="S127" s="125" t="s">
        <v>1976</v>
      </c>
      <c r="T127" s="125"/>
    </row>
    <row r="128" spans="1:20" ht="24.95" customHeight="1">
      <c r="A128" s="117" t="s">
        <v>2019</v>
      </c>
      <c r="B128" s="102" t="s">
        <v>1981</v>
      </c>
      <c r="C128" s="102" t="s">
        <v>1982</v>
      </c>
      <c r="D128" s="123" t="s">
        <v>62</v>
      </c>
      <c r="E128" s="1827">
        <v>1</v>
      </c>
      <c r="F128" s="1815">
        <v>13.16</v>
      </c>
      <c r="G128" s="102" t="s">
        <v>32</v>
      </c>
      <c r="H128" s="105" t="s">
        <v>33</v>
      </c>
      <c r="I128" s="123"/>
      <c r="J128" s="102"/>
      <c r="K128" s="102" t="s">
        <v>1983</v>
      </c>
      <c r="L128" s="1815">
        <v>59450.3</v>
      </c>
      <c r="M128" s="1818">
        <v>46746.314300023303</v>
      </c>
      <c r="N128" s="1829">
        <v>44509</v>
      </c>
      <c r="O128" s="1804" t="s">
        <v>1975</v>
      </c>
      <c r="P128" s="1822" t="s">
        <v>1974</v>
      </c>
      <c r="Q128" s="1804">
        <v>15103501536</v>
      </c>
      <c r="R128" s="1823" t="s">
        <v>1975</v>
      </c>
      <c r="S128" s="1824" t="s">
        <v>1976</v>
      </c>
      <c r="T128" s="125"/>
    </row>
    <row r="129" spans="1:20" ht="24.95" customHeight="1">
      <c r="A129" s="117" t="s">
        <v>2020</v>
      </c>
      <c r="B129" s="102" t="s">
        <v>1981</v>
      </c>
      <c r="C129" s="102" t="s">
        <v>2021</v>
      </c>
      <c r="D129" s="123" t="s">
        <v>62</v>
      </c>
      <c r="E129" s="1831"/>
      <c r="F129" s="1816"/>
      <c r="G129" s="102" t="s">
        <v>32</v>
      </c>
      <c r="H129" s="105" t="s">
        <v>33</v>
      </c>
      <c r="I129" s="123"/>
      <c r="J129" s="102"/>
      <c r="K129" s="102" t="s">
        <v>1983</v>
      </c>
      <c r="L129" s="1816"/>
      <c r="M129" s="1819"/>
      <c r="N129" s="1832"/>
      <c r="O129" s="1807"/>
      <c r="P129" s="1808"/>
      <c r="Q129" s="1807"/>
      <c r="R129" s="1810"/>
      <c r="S129" s="1825"/>
      <c r="T129" s="125"/>
    </row>
    <row r="130" spans="1:20" ht="24.95" customHeight="1">
      <c r="A130" s="117" t="s">
        <v>2022</v>
      </c>
      <c r="B130" s="102" t="s">
        <v>1981</v>
      </c>
      <c r="C130" s="102" t="s">
        <v>2023</v>
      </c>
      <c r="D130" s="123" t="s">
        <v>62</v>
      </c>
      <c r="E130" s="1831"/>
      <c r="F130" s="1816"/>
      <c r="G130" s="102" t="s">
        <v>32</v>
      </c>
      <c r="H130" s="105" t="s">
        <v>33</v>
      </c>
      <c r="I130" s="123"/>
      <c r="J130" s="102"/>
      <c r="K130" s="102" t="s">
        <v>1983</v>
      </c>
      <c r="L130" s="1816"/>
      <c r="M130" s="1819"/>
      <c r="N130" s="1832"/>
      <c r="O130" s="1807"/>
      <c r="P130" s="1808"/>
      <c r="Q130" s="1807"/>
      <c r="R130" s="1810"/>
      <c r="S130" s="1825"/>
      <c r="T130" s="125"/>
    </row>
    <row r="131" spans="1:20" ht="24.95" customHeight="1">
      <c r="A131" s="117" t="s">
        <v>2024</v>
      </c>
      <c r="B131" s="102" t="s">
        <v>1981</v>
      </c>
      <c r="C131" s="102" t="s">
        <v>2025</v>
      </c>
      <c r="D131" s="123" t="s">
        <v>62</v>
      </c>
      <c r="E131" s="1828"/>
      <c r="F131" s="1817"/>
      <c r="G131" s="102" t="s">
        <v>32</v>
      </c>
      <c r="H131" s="105" t="s">
        <v>33</v>
      </c>
      <c r="I131" s="123"/>
      <c r="J131" s="102"/>
      <c r="K131" s="102" t="s">
        <v>1983</v>
      </c>
      <c r="L131" s="1817"/>
      <c r="M131" s="1820"/>
      <c r="N131" s="1830"/>
      <c r="O131" s="1805"/>
      <c r="P131" s="1809"/>
      <c r="Q131" s="1805"/>
      <c r="R131" s="1811"/>
      <c r="S131" s="1826"/>
      <c r="T131" s="125"/>
    </row>
    <row r="132" spans="1:20" ht="24.95" customHeight="1">
      <c r="A132" s="117" t="s">
        <v>2026</v>
      </c>
      <c r="B132" s="102" t="s">
        <v>1981</v>
      </c>
      <c r="C132" s="102" t="s">
        <v>1982</v>
      </c>
      <c r="D132" s="123" t="s">
        <v>62</v>
      </c>
      <c r="E132" s="180">
        <v>1</v>
      </c>
      <c r="F132" s="113">
        <v>4.5599999999999996</v>
      </c>
      <c r="G132" s="102" t="s">
        <v>32</v>
      </c>
      <c r="H132" s="105" t="s">
        <v>33</v>
      </c>
      <c r="I132" s="123"/>
      <c r="J132" s="102"/>
      <c r="K132" s="102" t="s">
        <v>1983</v>
      </c>
      <c r="L132" s="113">
        <v>20599.8</v>
      </c>
      <c r="M132" s="148">
        <v>7895.8143000233003</v>
      </c>
      <c r="N132" s="179">
        <v>44509</v>
      </c>
      <c r="O132" s="102" t="s">
        <v>1975</v>
      </c>
      <c r="P132" s="123" t="s">
        <v>1974</v>
      </c>
      <c r="Q132" s="102">
        <v>15103501536</v>
      </c>
      <c r="R132" s="106" t="s">
        <v>1975</v>
      </c>
      <c r="S132" s="125" t="s">
        <v>1976</v>
      </c>
      <c r="T132" s="125"/>
    </row>
    <row r="133" spans="1:20" ht="24.95" customHeight="1">
      <c r="A133" s="117" t="s">
        <v>2027</v>
      </c>
      <c r="B133" s="102" t="s">
        <v>1981</v>
      </c>
      <c r="C133" s="102" t="s">
        <v>2025</v>
      </c>
      <c r="D133" s="123" t="s">
        <v>62</v>
      </c>
      <c r="E133" s="180">
        <v>1</v>
      </c>
      <c r="F133" s="113">
        <v>3.84</v>
      </c>
      <c r="G133" s="102" t="s">
        <v>32</v>
      </c>
      <c r="H133" s="105" t="s">
        <v>33</v>
      </c>
      <c r="I133" s="123"/>
      <c r="J133" s="102"/>
      <c r="K133" s="102" t="s">
        <v>1983</v>
      </c>
      <c r="L133" s="113">
        <v>17347.2</v>
      </c>
      <c r="M133" s="148">
        <v>5204.16</v>
      </c>
      <c r="N133" s="179">
        <v>44509</v>
      </c>
      <c r="O133" s="102" t="s">
        <v>1975</v>
      </c>
      <c r="P133" s="123" t="s">
        <v>1974</v>
      </c>
      <c r="Q133" s="102">
        <v>15103501536</v>
      </c>
      <c r="R133" s="106" t="s">
        <v>1975</v>
      </c>
      <c r="S133" s="125" t="s">
        <v>1976</v>
      </c>
      <c r="T133" s="125"/>
    </row>
    <row r="134" spans="1:20" ht="24.95" customHeight="1">
      <c r="A134" s="117" t="s">
        <v>2028</v>
      </c>
      <c r="B134" s="102" t="s">
        <v>1981</v>
      </c>
      <c r="C134" s="102" t="s">
        <v>2004</v>
      </c>
      <c r="D134" s="123" t="s">
        <v>62</v>
      </c>
      <c r="E134" s="1827">
        <v>1</v>
      </c>
      <c r="F134" s="1815">
        <v>5.96</v>
      </c>
      <c r="G134" s="102" t="s">
        <v>32</v>
      </c>
      <c r="H134" s="105" t="s">
        <v>33</v>
      </c>
      <c r="I134" s="123"/>
      <c r="J134" s="102"/>
      <c r="K134" s="102" t="s">
        <v>1983</v>
      </c>
      <c r="L134" s="1815">
        <v>26924.3</v>
      </c>
      <c r="M134" s="1818">
        <v>14220.314300023299</v>
      </c>
      <c r="N134" s="1829">
        <v>44509</v>
      </c>
      <c r="O134" s="1804" t="s">
        <v>1975</v>
      </c>
      <c r="P134" s="1822" t="s">
        <v>1974</v>
      </c>
      <c r="Q134" s="1804">
        <v>15103501536</v>
      </c>
      <c r="R134" s="1823" t="s">
        <v>1975</v>
      </c>
      <c r="S134" s="1824" t="s">
        <v>1976</v>
      </c>
      <c r="T134" s="125"/>
    </row>
    <row r="135" spans="1:20" ht="24.95" customHeight="1">
      <c r="A135" s="117" t="s">
        <v>2029</v>
      </c>
      <c r="B135" s="102" t="s">
        <v>1981</v>
      </c>
      <c r="C135" s="102" t="s">
        <v>2030</v>
      </c>
      <c r="D135" s="123" t="s">
        <v>62</v>
      </c>
      <c r="E135" s="1828"/>
      <c r="F135" s="1817"/>
      <c r="G135" s="102" t="s">
        <v>32</v>
      </c>
      <c r="H135" s="105" t="s">
        <v>33</v>
      </c>
      <c r="I135" s="123"/>
      <c r="J135" s="102"/>
      <c r="K135" s="102" t="s">
        <v>1983</v>
      </c>
      <c r="L135" s="1817"/>
      <c r="M135" s="1820"/>
      <c r="N135" s="1830"/>
      <c r="O135" s="1805"/>
      <c r="P135" s="1809"/>
      <c r="Q135" s="1805"/>
      <c r="R135" s="1811"/>
      <c r="S135" s="1826"/>
      <c r="T135" s="125"/>
    </row>
    <row r="136" spans="1:20" ht="24.95" customHeight="1">
      <c r="A136" s="117" t="s">
        <v>2031</v>
      </c>
      <c r="B136" s="102" t="s">
        <v>1981</v>
      </c>
      <c r="C136" s="102" t="s">
        <v>2004</v>
      </c>
      <c r="D136" s="123" t="s">
        <v>62</v>
      </c>
      <c r="E136" s="180">
        <v>1</v>
      </c>
      <c r="F136" s="113">
        <v>1.3</v>
      </c>
      <c r="G136" s="102" t="s">
        <v>32</v>
      </c>
      <c r="H136" s="105" t="s">
        <v>33</v>
      </c>
      <c r="I136" s="123"/>
      <c r="J136" s="102"/>
      <c r="K136" s="102" t="s">
        <v>1983</v>
      </c>
      <c r="L136" s="113">
        <v>5872.75</v>
      </c>
      <c r="M136" s="148">
        <v>1761.825</v>
      </c>
      <c r="N136" s="179">
        <v>44509</v>
      </c>
      <c r="O136" s="102" t="s">
        <v>1975</v>
      </c>
      <c r="P136" s="123" t="s">
        <v>1974</v>
      </c>
      <c r="Q136" s="102">
        <v>15103501536</v>
      </c>
      <c r="R136" s="106" t="s">
        <v>1975</v>
      </c>
      <c r="S136" s="125" t="s">
        <v>1976</v>
      </c>
      <c r="T136" s="125"/>
    </row>
    <row r="137" spans="1:20" ht="24.95" customHeight="1">
      <c r="A137" s="117" t="s">
        <v>2032</v>
      </c>
      <c r="B137" s="102" t="s">
        <v>1981</v>
      </c>
      <c r="C137" s="102" t="s">
        <v>2000</v>
      </c>
      <c r="D137" s="123" t="s">
        <v>62</v>
      </c>
      <c r="E137" s="180">
        <v>1</v>
      </c>
      <c r="F137" s="113">
        <v>1.6519999999999999</v>
      </c>
      <c r="G137" s="102" t="s">
        <v>32</v>
      </c>
      <c r="H137" s="105" t="s">
        <v>33</v>
      </c>
      <c r="I137" s="123"/>
      <c r="J137" s="102"/>
      <c r="K137" s="102" t="s">
        <v>1983</v>
      </c>
      <c r="L137" s="113">
        <v>7462.91</v>
      </c>
      <c r="M137" s="148">
        <v>2238.873</v>
      </c>
      <c r="N137" s="179">
        <v>44509</v>
      </c>
      <c r="O137" s="102" t="s">
        <v>1975</v>
      </c>
      <c r="P137" s="123" t="s">
        <v>1974</v>
      </c>
      <c r="Q137" s="102">
        <v>15103501536</v>
      </c>
      <c r="R137" s="106" t="s">
        <v>1975</v>
      </c>
      <c r="S137" s="125" t="s">
        <v>1976</v>
      </c>
      <c r="T137" s="125"/>
    </row>
    <row r="138" spans="1:20" ht="24.95" customHeight="1">
      <c r="A138" s="117" t="s">
        <v>2033</v>
      </c>
      <c r="B138" s="102" t="s">
        <v>1981</v>
      </c>
      <c r="C138" s="102" t="s">
        <v>2034</v>
      </c>
      <c r="D138" s="123" t="s">
        <v>62</v>
      </c>
      <c r="E138" s="180">
        <v>1</v>
      </c>
      <c r="F138" s="113">
        <v>1.04</v>
      </c>
      <c r="G138" s="102" t="s">
        <v>32</v>
      </c>
      <c r="H138" s="105" t="s">
        <v>33</v>
      </c>
      <c r="I138" s="123"/>
      <c r="J138" s="102"/>
      <c r="K138" s="102" t="s">
        <v>1983</v>
      </c>
      <c r="L138" s="113">
        <v>4698.2</v>
      </c>
      <c r="M138" s="148">
        <v>1409.46</v>
      </c>
      <c r="N138" s="179">
        <v>44509</v>
      </c>
      <c r="O138" s="102" t="s">
        <v>1975</v>
      </c>
      <c r="P138" s="123" t="s">
        <v>1974</v>
      </c>
      <c r="Q138" s="102">
        <v>15103501536</v>
      </c>
      <c r="R138" s="106" t="s">
        <v>1975</v>
      </c>
      <c r="S138" s="125" t="s">
        <v>1976</v>
      </c>
      <c r="T138" s="125"/>
    </row>
    <row r="139" spans="1:20" ht="24.95" customHeight="1">
      <c r="A139" s="117" t="s">
        <v>2035</v>
      </c>
      <c r="B139" s="102" t="s">
        <v>1981</v>
      </c>
      <c r="C139" s="102" t="s">
        <v>2036</v>
      </c>
      <c r="D139" s="123" t="s">
        <v>62</v>
      </c>
      <c r="E139" s="180">
        <v>1</v>
      </c>
      <c r="F139" s="113">
        <v>3.0779999999999998</v>
      </c>
      <c r="G139" s="102" t="s">
        <v>32</v>
      </c>
      <c r="H139" s="105" t="s">
        <v>33</v>
      </c>
      <c r="I139" s="123"/>
      <c r="J139" s="102"/>
      <c r="K139" s="102" t="s">
        <v>1983</v>
      </c>
      <c r="L139" s="113">
        <v>13904.865</v>
      </c>
      <c r="M139" s="148">
        <v>4171.4594999999999</v>
      </c>
      <c r="N139" s="179">
        <v>44509</v>
      </c>
      <c r="O139" s="102" t="s">
        <v>1975</v>
      </c>
      <c r="P139" s="123" t="s">
        <v>1974</v>
      </c>
      <c r="Q139" s="102">
        <v>15103501536</v>
      </c>
      <c r="R139" s="106" t="s">
        <v>1975</v>
      </c>
      <c r="S139" s="125" t="s">
        <v>1976</v>
      </c>
      <c r="T139" s="125"/>
    </row>
    <row r="140" spans="1:20" ht="24.95" customHeight="1">
      <c r="A140" s="117" t="s">
        <v>2037</v>
      </c>
      <c r="B140" s="102" t="s">
        <v>1981</v>
      </c>
      <c r="C140" s="102" t="s">
        <v>2021</v>
      </c>
      <c r="D140" s="123" t="s">
        <v>62</v>
      </c>
      <c r="E140" s="180">
        <v>1</v>
      </c>
      <c r="F140" s="113">
        <v>6.96</v>
      </c>
      <c r="G140" s="102" t="s">
        <v>32</v>
      </c>
      <c r="H140" s="105" t="s">
        <v>33</v>
      </c>
      <c r="I140" s="123"/>
      <c r="J140" s="102"/>
      <c r="K140" s="102" t="s">
        <v>1983</v>
      </c>
      <c r="L140" s="113">
        <v>31441.8</v>
      </c>
      <c r="M140" s="148">
        <v>18737.814300023299</v>
      </c>
      <c r="N140" s="179">
        <v>44509</v>
      </c>
      <c r="O140" s="102" t="s">
        <v>1975</v>
      </c>
      <c r="P140" s="123" t="s">
        <v>1974</v>
      </c>
      <c r="Q140" s="102">
        <v>15103501536</v>
      </c>
      <c r="R140" s="106" t="s">
        <v>1975</v>
      </c>
      <c r="S140" s="125" t="s">
        <v>1976</v>
      </c>
      <c r="T140" s="125"/>
    </row>
    <row r="141" spans="1:20" ht="24.95" customHeight="1">
      <c r="A141" s="117" t="s">
        <v>2038</v>
      </c>
      <c r="B141" s="102" t="s">
        <v>1981</v>
      </c>
      <c r="C141" s="102" t="s">
        <v>2004</v>
      </c>
      <c r="D141" s="123" t="s">
        <v>62</v>
      </c>
      <c r="E141" s="180">
        <v>1</v>
      </c>
      <c r="F141" s="113">
        <v>9.11</v>
      </c>
      <c r="G141" s="102" t="s">
        <v>32</v>
      </c>
      <c r="H141" s="105" t="s">
        <v>33</v>
      </c>
      <c r="I141" s="123"/>
      <c r="J141" s="102"/>
      <c r="K141" s="102" t="s">
        <v>1983</v>
      </c>
      <c r="L141" s="113">
        <v>41154.425000000003</v>
      </c>
      <c r="M141" s="148">
        <v>28450.439300023299</v>
      </c>
      <c r="N141" s="179">
        <v>44509</v>
      </c>
      <c r="O141" s="102" t="s">
        <v>1975</v>
      </c>
      <c r="P141" s="123" t="s">
        <v>1974</v>
      </c>
      <c r="Q141" s="102">
        <v>15103501536</v>
      </c>
      <c r="R141" s="106" t="s">
        <v>1975</v>
      </c>
      <c r="S141" s="125" t="s">
        <v>1976</v>
      </c>
      <c r="T141" s="125"/>
    </row>
    <row r="142" spans="1:20" ht="24.95" customHeight="1">
      <c r="A142" s="117" t="s">
        <v>2039</v>
      </c>
      <c r="B142" s="102" t="s">
        <v>1981</v>
      </c>
      <c r="C142" s="102" t="s">
        <v>2040</v>
      </c>
      <c r="D142" s="123" t="s">
        <v>62</v>
      </c>
      <c r="E142" s="1827">
        <v>1</v>
      </c>
      <c r="F142" s="1815">
        <v>9.14</v>
      </c>
      <c r="G142" s="102" t="s">
        <v>32</v>
      </c>
      <c r="H142" s="105" t="s">
        <v>33</v>
      </c>
      <c r="I142" s="123"/>
      <c r="J142" s="102"/>
      <c r="K142" s="102" t="s">
        <v>1983</v>
      </c>
      <c r="L142" s="1815">
        <v>41289.949999999997</v>
      </c>
      <c r="M142" s="1818">
        <v>28585.964300023301</v>
      </c>
      <c r="N142" s="1829">
        <v>44509</v>
      </c>
      <c r="O142" s="1804" t="s">
        <v>1975</v>
      </c>
      <c r="P142" s="1822" t="s">
        <v>1974</v>
      </c>
      <c r="Q142" s="1804">
        <v>15103501536</v>
      </c>
      <c r="R142" s="1823" t="s">
        <v>1975</v>
      </c>
      <c r="S142" s="1824" t="s">
        <v>1976</v>
      </c>
      <c r="T142" s="125"/>
    </row>
    <row r="143" spans="1:20" ht="24.95" customHeight="1">
      <c r="A143" s="117" t="s">
        <v>2041</v>
      </c>
      <c r="B143" s="102" t="s">
        <v>1981</v>
      </c>
      <c r="C143" s="102" t="s">
        <v>2042</v>
      </c>
      <c r="D143" s="123" t="s">
        <v>62</v>
      </c>
      <c r="E143" s="1828"/>
      <c r="F143" s="1817"/>
      <c r="G143" s="102" t="s">
        <v>32</v>
      </c>
      <c r="H143" s="105" t="s">
        <v>33</v>
      </c>
      <c r="I143" s="123"/>
      <c r="J143" s="102"/>
      <c r="K143" s="102" t="s">
        <v>1983</v>
      </c>
      <c r="L143" s="1817"/>
      <c r="M143" s="1820"/>
      <c r="N143" s="1830"/>
      <c r="O143" s="1805"/>
      <c r="P143" s="1809"/>
      <c r="Q143" s="1805"/>
      <c r="R143" s="1811"/>
      <c r="S143" s="1826"/>
      <c r="T143" s="125"/>
    </row>
    <row r="144" spans="1:20" ht="24.95" customHeight="1">
      <c r="A144" s="117" t="s">
        <v>2043</v>
      </c>
      <c r="B144" s="102" t="s">
        <v>1981</v>
      </c>
      <c r="C144" s="102" t="s">
        <v>2044</v>
      </c>
      <c r="D144" s="123" t="s">
        <v>62</v>
      </c>
      <c r="E144" s="1827">
        <v>1</v>
      </c>
      <c r="F144" s="1815">
        <v>11.98</v>
      </c>
      <c r="G144" s="102" t="s">
        <v>32</v>
      </c>
      <c r="H144" s="105" t="s">
        <v>33</v>
      </c>
      <c r="I144" s="123"/>
      <c r="J144" s="102"/>
      <c r="K144" s="102" t="s">
        <v>1983</v>
      </c>
      <c r="L144" s="1815">
        <v>54119.65</v>
      </c>
      <c r="M144" s="1818">
        <v>41415.664300023302</v>
      </c>
      <c r="N144" s="1829">
        <v>44509</v>
      </c>
      <c r="O144" s="1804" t="s">
        <v>1975</v>
      </c>
      <c r="P144" s="1822" t="s">
        <v>1974</v>
      </c>
      <c r="Q144" s="1804">
        <v>15103501536</v>
      </c>
      <c r="R144" s="1823" t="s">
        <v>1975</v>
      </c>
      <c r="S144" s="1824" t="s">
        <v>1976</v>
      </c>
      <c r="T144" s="125"/>
    </row>
    <row r="145" spans="1:20" ht="24.95" customHeight="1">
      <c r="A145" s="117" t="s">
        <v>2045</v>
      </c>
      <c r="B145" s="102" t="s">
        <v>1981</v>
      </c>
      <c r="C145" s="102" t="s">
        <v>2046</v>
      </c>
      <c r="D145" s="123" t="s">
        <v>62</v>
      </c>
      <c r="E145" s="1828"/>
      <c r="F145" s="1817"/>
      <c r="G145" s="102" t="s">
        <v>32</v>
      </c>
      <c r="H145" s="105" t="s">
        <v>33</v>
      </c>
      <c r="I145" s="123"/>
      <c r="J145" s="102"/>
      <c r="K145" s="102" t="s">
        <v>1983</v>
      </c>
      <c r="L145" s="1817"/>
      <c r="M145" s="1820"/>
      <c r="N145" s="1830"/>
      <c r="O145" s="1805"/>
      <c r="P145" s="1809"/>
      <c r="Q145" s="1805"/>
      <c r="R145" s="1811"/>
      <c r="S145" s="1826"/>
      <c r="T145" s="125"/>
    </row>
    <row r="146" spans="1:20" ht="24.95" customHeight="1">
      <c r="A146" s="117" t="s">
        <v>2047</v>
      </c>
      <c r="B146" s="102" t="s">
        <v>1981</v>
      </c>
      <c r="C146" s="102" t="s">
        <v>2048</v>
      </c>
      <c r="D146" s="123" t="s">
        <v>62</v>
      </c>
      <c r="E146" s="1827">
        <v>1</v>
      </c>
      <c r="F146" s="1815">
        <v>11.62</v>
      </c>
      <c r="G146" s="102" t="s">
        <v>32</v>
      </c>
      <c r="H146" s="105" t="s">
        <v>33</v>
      </c>
      <c r="I146" s="123"/>
      <c r="J146" s="102"/>
      <c r="K146" s="102" t="s">
        <v>1983</v>
      </c>
      <c r="L146" s="1815">
        <v>52493.35</v>
      </c>
      <c r="M146" s="1818">
        <v>39789.364300023299</v>
      </c>
      <c r="N146" s="1829">
        <v>44509</v>
      </c>
      <c r="O146" s="1804" t="s">
        <v>1975</v>
      </c>
      <c r="P146" s="1822" t="s">
        <v>1974</v>
      </c>
      <c r="Q146" s="1804">
        <v>15103501536</v>
      </c>
      <c r="R146" s="1823" t="s">
        <v>1975</v>
      </c>
      <c r="S146" s="1824" t="s">
        <v>1976</v>
      </c>
      <c r="T146" s="125"/>
    </row>
    <row r="147" spans="1:20" ht="24.95" customHeight="1">
      <c r="A147" s="117" t="s">
        <v>2049</v>
      </c>
      <c r="B147" s="102" t="s">
        <v>1981</v>
      </c>
      <c r="C147" s="102" t="s">
        <v>2050</v>
      </c>
      <c r="D147" s="123" t="s">
        <v>62</v>
      </c>
      <c r="E147" s="1831"/>
      <c r="F147" s="1816"/>
      <c r="G147" s="102" t="s">
        <v>32</v>
      </c>
      <c r="H147" s="105" t="s">
        <v>33</v>
      </c>
      <c r="I147" s="123"/>
      <c r="J147" s="102"/>
      <c r="K147" s="102" t="s">
        <v>1983</v>
      </c>
      <c r="L147" s="1816"/>
      <c r="M147" s="1819"/>
      <c r="N147" s="1832"/>
      <c r="O147" s="1807"/>
      <c r="P147" s="1808"/>
      <c r="Q147" s="1807"/>
      <c r="R147" s="1810"/>
      <c r="S147" s="1825"/>
      <c r="T147" s="125"/>
    </row>
    <row r="148" spans="1:20" ht="24.95" customHeight="1">
      <c r="A148" s="117" t="s">
        <v>2051</v>
      </c>
      <c r="B148" s="102" t="s">
        <v>1981</v>
      </c>
      <c r="C148" s="102" t="s">
        <v>2052</v>
      </c>
      <c r="D148" s="123" t="s">
        <v>62</v>
      </c>
      <c r="E148" s="1831"/>
      <c r="F148" s="1816"/>
      <c r="G148" s="102" t="s">
        <v>32</v>
      </c>
      <c r="H148" s="105" t="s">
        <v>33</v>
      </c>
      <c r="I148" s="123"/>
      <c r="J148" s="102"/>
      <c r="K148" s="102" t="s">
        <v>1983</v>
      </c>
      <c r="L148" s="1816"/>
      <c r="M148" s="1819"/>
      <c r="N148" s="1832"/>
      <c r="O148" s="1807"/>
      <c r="P148" s="1808"/>
      <c r="Q148" s="1807"/>
      <c r="R148" s="1810"/>
      <c r="S148" s="1825"/>
      <c r="T148" s="125"/>
    </row>
    <row r="149" spans="1:20" ht="24.95" customHeight="1">
      <c r="A149" s="117" t="s">
        <v>2053</v>
      </c>
      <c r="B149" s="102" t="s">
        <v>1981</v>
      </c>
      <c r="C149" s="102" t="s">
        <v>2054</v>
      </c>
      <c r="D149" s="123" t="s">
        <v>62</v>
      </c>
      <c r="E149" s="1828"/>
      <c r="F149" s="1817"/>
      <c r="G149" s="102" t="s">
        <v>32</v>
      </c>
      <c r="H149" s="105" t="s">
        <v>33</v>
      </c>
      <c r="I149" s="123"/>
      <c r="J149" s="102"/>
      <c r="K149" s="102" t="s">
        <v>1983</v>
      </c>
      <c r="L149" s="1817"/>
      <c r="M149" s="1820"/>
      <c r="N149" s="1830"/>
      <c r="O149" s="1805"/>
      <c r="P149" s="1809"/>
      <c r="Q149" s="1805"/>
      <c r="R149" s="1811"/>
      <c r="S149" s="1826"/>
      <c r="T149" s="125"/>
    </row>
    <row r="150" spans="1:20" ht="24.95" customHeight="1">
      <c r="A150" s="117" t="s">
        <v>2055</v>
      </c>
      <c r="B150" s="102" t="s">
        <v>1981</v>
      </c>
      <c r="C150" s="102" t="s">
        <v>2048</v>
      </c>
      <c r="D150" s="123" t="s">
        <v>62</v>
      </c>
      <c r="E150" s="1827">
        <v>1</v>
      </c>
      <c r="F150" s="1815">
        <v>12.8</v>
      </c>
      <c r="G150" s="102" t="s">
        <v>32</v>
      </c>
      <c r="H150" s="105" t="s">
        <v>33</v>
      </c>
      <c r="I150" s="123"/>
      <c r="J150" s="102"/>
      <c r="K150" s="102" t="s">
        <v>1983</v>
      </c>
      <c r="L150" s="1815">
        <v>57824</v>
      </c>
      <c r="M150" s="1818">
        <v>45120.0143000233</v>
      </c>
      <c r="N150" s="1829">
        <v>44509</v>
      </c>
      <c r="O150" s="1804" t="s">
        <v>1975</v>
      </c>
      <c r="P150" s="1822" t="s">
        <v>1974</v>
      </c>
      <c r="Q150" s="1804">
        <v>15103501536</v>
      </c>
      <c r="R150" s="1823" t="s">
        <v>1975</v>
      </c>
      <c r="S150" s="1824" t="s">
        <v>1976</v>
      </c>
      <c r="T150" s="125"/>
    </row>
    <row r="151" spans="1:20" ht="24.95" customHeight="1">
      <c r="A151" s="117" t="s">
        <v>2056</v>
      </c>
      <c r="B151" s="102" t="s">
        <v>1981</v>
      </c>
      <c r="C151" s="102" t="s">
        <v>2057</v>
      </c>
      <c r="D151" s="123" t="s">
        <v>62</v>
      </c>
      <c r="E151" s="1828"/>
      <c r="F151" s="1817"/>
      <c r="G151" s="102" t="s">
        <v>32</v>
      </c>
      <c r="H151" s="105" t="s">
        <v>33</v>
      </c>
      <c r="I151" s="123"/>
      <c r="J151" s="102"/>
      <c r="K151" s="102" t="s">
        <v>1983</v>
      </c>
      <c r="L151" s="1817"/>
      <c r="M151" s="1820"/>
      <c r="N151" s="1830"/>
      <c r="O151" s="1805"/>
      <c r="P151" s="1809"/>
      <c r="Q151" s="1805"/>
      <c r="R151" s="1811"/>
      <c r="S151" s="1826"/>
      <c r="T151" s="125"/>
    </row>
    <row r="152" spans="1:20" ht="24.95" customHeight="1">
      <c r="A152" s="117" t="s">
        <v>2058</v>
      </c>
      <c r="B152" s="102" t="s">
        <v>1981</v>
      </c>
      <c r="C152" s="102" t="s">
        <v>2046</v>
      </c>
      <c r="D152" s="123" t="s">
        <v>62</v>
      </c>
      <c r="E152" s="1827">
        <v>1</v>
      </c>
      <c r="F152" s="1815">
        <v>11.28</v>
      </c>
      <c r="G152" s="102" t="s">
        <v>32</v>
      </c>
      <c r="H152" s="105" t="s">
        <v>33</v>
      </c>
      <c r="I152" s="123"/>
      <c r="J152" s="102"/>
      <c r="K152" s="102" t="s">
        <v>1983</v>
      </c>
      <c r="L152" s="1815">
        <v>50957.4</v>
      </c>
      <c r="M152" s="1818">
        <v>38253.414300023302</v>
      </c>
      <c r="N152" s="1829">
        <v>44509</v>
      </c>
      <c r="O152" s="1804" t="s">
        <v>1975</v>
      </c>
      <c r="P152" s="1822" t="s">
        <v>1974</v>
      </c>
      <c r="Q152" s="1804">
        <v>15103501536</v>
      </c>
      <c r="R152" s="1823" t="s">
        <v>1975</v>
      </c>
      <c r="S152" s="1824" t="s">
        <v>1976</v>
      </c>
      <c r="T152" s="125"/>
    </row>
    <row r="153" spans="1:20" ht="24.95" customHeight="1">
      <c r="A153" s="117" t="s">
        <v>2059</v>
      </c>
      <c r="B153" s="102" t="s">
        <v>1981</v>
      </c>
      <c r="C153" s="102" t="s">
        <v>2060</v>
      </c>
      <c r="D153" s="123" t="s">
        <v>62</v>
      </c>
      <c r="E153" s="1831"/>
      <c r="F153" s="1816"/>
      <c r="G153" s="102" t="s">
        <v>32</v>
      </c>
      <c r="H153" s="105" t="s">
        <v>33</v>
      </c>
      <c r="I153" s="123"/>
      <c r="J153" s="102"/>
      <c r="K153" s="102" t="s">
        <v>1983</v>
      </c>
      <c r="L153" s="1816"/>
      <c r="M153" s="1819"/>
      <c r="N153" s="1832"/>
      <c r="O153" s="1807"/>
      <c r="P153" s="1808"/>
      <c r="Q153" s="1807"/>
      <c r="R153" s="1810"/>
      <c r="S153" s="1825"/>
      <c r="T153" s="125"/>
    </row>
    <row r="154" spans="1:20" ht="24.95" customHeight="1">
      <c r="A154" s="117" t="s">
        <v>2061</v>
      </c>
      <c r="B154" s="102" t="s">
        <v>1981</v>
      </c>
      <c r="C154" s="102" t="s">
        <v>2044</v>
      </c>
      <c r="D154" s="123" t="s">
        <v>62</v>
      </c>
      <c r="E154" s="1831"/>
      <c r="F154" s="1816"/>
      <c r="G154" s="102" t="s">
        <v>32</v>
      </c>
      <c r="H154" s="105" t="s">
        <v>33</v>
      </c>
      <c r="I154" s="123"/>
      <c r="J154" s="102"/>
      <c r="K154" s="102" t="s">
        <v>1983</v>
      </c>
      <c r="L154" s="1816"/>
      <c r="M154" s="1819"/>
      <c r="N154" s="1832"/>
      <c r="O154" s="1807"/>
      <c r="P154" s="1808"/>
      <c r="Q154" s="1807"/>
      <c r="R154" s="1810"/>
      <c r="S154" s="1825"/>
      <c r="T154" s="125"/>
    </row>
    <row r="155" spans="1:20" ht="24.95" customHeight="1">
      <c r="A155" s="117" t="s">
        <v>2062</v>
      </c>
      <c r="B155" s="102" t="s">
        <v>1981</v>
      </c>
      <c r="C155" s="102" t="s">
        <v>2054</v>
      </c>
      <c r="D155" s="123" t="s">
        <v>62</v>
      </c>
      <c r="E155" s="1831"/>
      <c r="F155" s="1816"/>
      <c r="G155" s="102" t="s">
        <v>32</v>
      </c>
      <c r="H155" s="105" t="s">
        <v>33</v>
      </c>
      <c r="I155" s="123"/>
      <c r="J155" s="102"/>
      <c r="K155" s="102" t="s">
        <v>1983</v>
      </c>
      <c r="L155" s="1816"/>
      <c r="M155" s="1819"/>
      <c r="N155" s="1832"/>
      <c r="O155" s="1807"/>
      <c r="P155" s="1808"/>
      <c r="Q155" s="1807"/>
      <c r="R155" s="1810"/>
      <c r="S155" s="1825"/>
      <c r="T155" s="125"/>
    </row>
    <row r="156" spans="1:20" ht="24.95" customHeight="1">
      <c r="A156" s="117" t="s">
        <v>2063</v>
      </c>
      <c r="B156" s="102" t="s">
        <v>1981</v>
      </c>
      <c r="C156" s="102" t="s">
        <v>2057</v>
      </c>
      <c r="D156" s="123" t="s">
        <v>62</v>
      </c>
      <c r="E156" s="1828"/>
      <c r="F156" s="1817"/>
      <c r="G156" s="102" t="s">
        <v>32</v>
      </c>
      <c r="H156" s="105" t="s">
        <v>33</v>
      </c>
      <c r="I156" s="123"/>
      <c r="J156" s="102"/>
      <c r="K156" s="102" t="s">
        <v>1983</v>
      </c>
      <c r="L156" s="1817"/>
      <c r="M156" s="1820"/>
      <c r="N156" s="1830"/>
      <c r="O156" s="1805"/>
      <c r="P156" s="1809"/>
      <c r="Q156" s="1805"/>
      <c r="R156" s="1811"/>
      <c r="S156" s="1826"/>
      <c r="T156" s="125"/>
    </row>
    <row r="157" spans="1:20" ht="24.95" customHeight="1">
      <c r="A157" s="117" t="s">
        <v>2064</v>
      </c>
      <c r="B157" s="102" t="s">
        <v>2065</v>
      </c>
      <c r="C157" s="102" t="s">
        <v>2066</v>
      </c>
      <c r="D157" s="123" t="s">
        <v>62</v>
      </c>
      <c r="E157" s="181">
        <v>1</v>
      </c>
      <c r="F157" s="182">
        <v>48.067999999999998</v>
      </c>
      <c r="G157" s="102" t="s">
        <v>32</v>
      </c>
      <c r="H157" s="105" t="s">
        <v>33</v>
      </c>
      <c r="I157" s="123"/>
      <c r="J157" s="102"/>
      <c r="K157" s="102" t="s">
        <v>2067</v>
      </c>
      <c r="L157" s="182">
        <v>348259.04070796497</v>
      </c>
      <c r="M157" s="183">
        <v>104477.712212389</v>
      </c>
      <c r="N157" s="184">
        <v>44562</v>
      </c>
      <c r="O157" s="105" t="s">
        <v>1975</v>
      </c>
      <c r="P157" s="185" t="s">
        <v>1974</v>
      </c>
      <c r="Q157" s="105">
        <v>15103501536</v>
      </c>
      <c r="R157" s="186" t="s">
        <v>1975</v>
      </c>
      <c r="S157" s="161" t="s">
        <v>1976</v>
      </c>
      <c r="T157" s="125"/>
    </row>
    <row r="158" spans="1:20" ht="24.95" customHeight="1">
      <c r="A158" s="117" t="s">
        <v>2068</v>
      </c>
      <c r="B158" s="102" t="s">
        <v>2065</v>
      </c>
      <c r="C158" s="102" t="s">
        <v>2069</v>
      </c>
      <c r="D158" s="123" t="s">
        <v>62</v>
      </c>
      <c r="E158" s="181">
        <v>1</v>
      </c>
      <c r="F158" s="182">
        <v>13.958</v>
      </c>
      <c r="G158" s="102" t="s">
        <v>32</v>
      </c>
      <c r="H158" s="105" t="s">
        <v>33</v>
      </c>
      <c r="I158" s="123"/>
      <c r="J158" s="102"/>
      <c r="K158" s="102" t="s">
        <v>2067</v>
      </c>
      <c r="L158" s="182">
        <v>100015.863716814</v>
      </c>
      <c r="M158" s="183">
        <v>30004.7591150443</v>
      </c>
      <c r="N158" s="184">
        <v>44562</v>
      </c>
      <c r="O158" s="105" t="s">
        <v>1975</v>
      </c>
      <c r="P158" s="185" t="s">
        <v>1974</v>
      </c>
      <c r="Q158" s="105">
        <v>15103501536</v>
      </c>
      <c r="R158" s="186" t="s">
        <v>1975</v>
      </c>
      <c r="S158" s="161" t="s">
        <v>1976</v>
      </c>
      <c r="T158" s="125"/>
    </row>
    <row r="159" spans="1:20" ht="24.95" customHeight="1">
      <c r="A159" s="117" t="s">
        <v>2070</v>
      </c>
      <c r="B159" s="102" t="s">
        <v>2065</v>
      </c>
      <c r="C159" s="102" t="s">
        <v>2071</v>
      </c>
      <c r="D159" s="123" t="s">
        <v>62</v>
      </c>
      <c r="E159" s="181">
        <v>1</v>
      </c>
      <c r="F159" s="182">
        <v>102.8</v>
      </c>
      <c r="G159" s="102" t="s">
        <v>32</v>
      </c>
      <c r="H159" s="105" t="s">
        <v>33</v>
      </c>
      <c r="I159" s="123"/>
      <c r="J159" s="102"/>
      <c r="K159" s="102" t="s">
        <v>2067</v>
      </c>
      <c r="L159" s="182">
        <v>752532.38938053104</v>
      </c>
      <c r="M159" s="183">
        <v>225759.71681415901</v>
      </c>
      <c r="N159" s="184">
        <v>44562</v>
      </c>
      <c r="O159" s="105" t="s">
        <v>1975</v>
      </c>
      <c r="P159" s="185" t="s">
        <v>1974</v>
      </c>
      <c r="Q159" s="105">
        <v>15103501536</v>
      </c>
      <c r="R159" s="186" t="s">
        <v>1975</v>
      </c>
      <c r="S159" s="161" t="s">
        <v>1976</v>
      </c>
      <c r="T159" s="125"/>
    </row>
    <row r="160" spans="1:20" ht="24.95" customHeight="1">
      <c r="A160" s="117" t="s">
        <v>2072</v>
      </c>
      <c r="B160" s="102" t="s">
        <v>177</v>
      </c>
      <c r="C160" s="102" t="s">
        <v>2073</v>
      </c>
      <c r="D160" s="123" t="s">
        <v>62</v>
      </c>
      <c r="E160" s="181">
        <v>1</v>
      </c>
      <c r="F160" s="182">
        <v>15.64</v>
      </c>
      <c r="G160" s="102" t="s">
        <v>32</v>
      </c>
      <c r="H160" s="105" t="s">
        <v>33</v>
      </c>
      <c r="I160" s="123"/>
      <c r="J160" s="102"/>
      <c r="K160" s="102" t="s">
        <v>2067</v>
      </c>
      <c r="L160" s="182">
        <v>113313.87610619501</v>
      </c>
      <c r="M160" s="183">
        <v>33994.162831858397</v>
      </c>
      <c r="N160" s="184">
        <v>44562</v>
      </c>
      <c r="O160" s="105" t="s">
        <v>1975</v>
      </c>
      <c r="P160" s="185" t="s">
        <v>1974</v>
      </c>
      <c r="Q160" s="105">
        <v>15103501536</v>
      </c>
      <c r="R160" s="186" t="s">
        <v>1975</v>
      </c>
      <c r="S160" s="161" t="s">
        <v>1976</v>
      </c>
      <c r="T160" s="125"/>
    </row>
    <row r="161" spans="1:20" ht="24.95" customHeight="1">
      <c r="A161" s="117" t="s">
        <v>2074</v>
      </c>
      <c r="B161" s="102" t="s">
        <v>177</v>
      </c>
      <c r="C161" s="102" t="s">
        <v>2073</v>
      </c>
      <c r="D161" s="123" t="s">
        <v>62</v>
      </c>
      <c r="E161" s="181">
        <v>1</v>
      </c>
      <c r="F161" s="182">
        <v>7.16</v>
      </c>
      <c r="G161" s="102" t="s">
        <v>32</v>
      </c>
      <c r="H161" s="105" t="s">
        <v>33</v>
      </c>
      <c r="I161" s="123"/>
      <c r="J161" s="102"/>
      <c r="K161" s="102" t="s">
        <v>2067</v>
      </c>
      <c r="L161" s="182">
        <v>51304.884955752197</v>
      </c>
      <c r="M161" s="183">
        <v>15391.4654867257</v>
      </c>
      <c r="N161" s="184">
        <v>44562</v>
      </c>
      <c r="O161" s="105" t="s">
        <v>1975</v>
      </c>
      <c r="P161" s="185" t="s">
        <v>1974</v>
      </c>
      <c r="Q161" s="105">
        <v>15103501536</v>
      </c>
      <c r="R161" s="186" t="s">
        <v>1975</v>
      </c>
      <c r="S161" s="161" t="s">
        <v>1976</v>
      </c>
      <c r="T161" s="125"/>
    </row>
    <row r="162" spans="1:20" ht="24.95" customHeight="1">
      <c r="A162" s="117" t="s">
        <v>2075</v>
      </c>
      <c r="B162" s="102" t="s">
        <v>177</v>
      </c>
      <c r="C162" s="102" t="s">
        <v>2073</v>
      </c>
      <c r="D162" s="123" t="s">
        <v>62</v>
      </c>
      <c r="E162" s="181">
        <v>1</v>
      </c>
      <c r="F162" s="182">
        <v>4.8</v>
      </c>
      <c r="G162" s="102" t="s">
        <v>32</v>
      </c>
      <c r="H162" s="105" t="s">
        <v>33</v>
      </c>
      <c r="I162" s="123"/>
      <c r="J162" s="102"/>
      <c r="K162" s="102" t="s">
        <v>2067</v>
      </c>
      <c r="L162" s="182">
        <v>34394.336283185898</v>
      </c>
      <c r="M162" s="183">
        <v>10318.300884955799</v>
      </c>
      <c r="N162" s="184">
        <v>44562</v>
      </c>
      <c r="O162" s="105" t="s">
        <v>1975</v>
      </c>
      <c r="P162" s="185" t="s">
        <v>1974</v>
      </c>
      <c r="Q162" s="105">
        <v>15103501536</v>
      </c>
      <c r="R162" s="186" t="s">
        <v>1975</v>
      </c>
      <c r="S162" s="161" t="s">
        <v>1976</v>
      </c>
      <c r="T162" s="125"/>
    </row>
    <row r="163" spans="1:20" ht="24.95" customHeight="1">
      <c r="A163" s="117" t="s">
        <v>2076</v>
      </c>
      <c r="B163" s="117" t="s">
        <v>2077</v>
      </c>
      <c r="C163" s="171"/>
      <c r="D163" s="171" t="s">
        <v>62</v>
      </c>
      <c r="E163" s="171"/>
      <c r="F163" s="171">
        <v>211.09</v>
      </c>
      <c r="G163" s="171" t="s">
        <v>32</v>
      </c>
      <c r="H163" s="171" t="s">
        <v>33</v>
      </c>
      <c r="I163" s="171"/>
      <c r="J163" s="171"/>
      <c r="K163" s="171" t="s">
        <v>1948</v>
      </c>
      <c r="L163" s="171">
        <v>1494442.41</v>
      </c>
      <c r="M163" s="187">
        <v>448332.72879999998</v>
      </c>
      <c r="N163" s="171">
        <v>2021.04</v>
      </c>
      <c r="O163" s="171" t="s">
        <v>2078</v>
      </c>
      <c r="P163" s="171" t="s">
        <v>2079</v>
      </c>
      <c r="Q163" s="171" t="s">
        <v>2080</v>
      </c>
      <c r="R163" s="188" t="s">
        <v>2081</v>
      </c>
      <c r="S163" s="189" t="s">
        <v>1736</v>
      </c>
      <c r="T163" s="125"/>
    </row>
    <row r="164" spans="1:20" ht="24.95" customHeight="1">
      <c r="A164" s="117" t="s">
        <v>2082</v>
      </c>
      <c r="B164" s="190" t="s">
        <v>2083</v>
      </c>
      <c r="C164" s="191"/>
      <c r="D164" s="192" t="s">
        <v>2084</v>
      </c>
      <c r="E164" s="191"/>
      <c r="F164" s="193">
        <v>114.96</v>
      </c>
      <c r="G164" s="194" t="s">
        <v>2085</v>
      </c>
      <c r="H164" s="194" t="s">
        <v>33</v>
      </c>
      <c r="I164" s="195"/>
      <c r="J164" s="191"/>
      <c r="K164" s="191"/>
      <c r="L164" s="172">
        <v>794546.04</v>
      </c>
      <c r="M164" s="196">
        <v>868510.73</v>
      </c>
      <c r="N164" s="197">
        <v>2021.6</v>
      </c>
      <c r="O164" s="198" t="s">
        <v>2086</v>
      </c>
      <c r="P164" s="194" t="s">
        <v>2087</v>
      </c>
      <c r="Q164" s="199">
        <v>18135206600</v>
      </c>
      <c r="R164" s="200" t="s">
        <v>2088</v>
      </c>
      <c r="S164" s="194" t="s">
        <v>1736</v>
      </c>
      <c r="T164" s="125"/>
    </row>
    <row r="165" spans="1:20" ht="24.95" customHeight="1">
      <c r="A165" s="117" t="s">
        <v>2089</v>
      </c>
      <c r="B165" s="190" t="s">
        <v>2090</v>
      </c>
      <c r="C165" s="191"/>
      <c r="D165" s="192" t="s">
        <v>2084</v>
      </c>
      <c r="E165" s="191"/>
      <c r="F165" s="193">
        <v>36.369999999999997</v>
      </c>
      <c r="G165" s="194" t="s">
        <v>2085</v>
      </c>
      <c r="H165" s="194" t="s">
        <v>33</v>
      </c>
      <c r="I165" s="195"/>
      <c r="J165" s="191"/>
      <c r="K165" s="191"/>
      <c r="L165" s="172">
        <v>251371.26</v>
      </c>
      <c r="M165" s="196">
        <v>206780.91</v>
      </c>
      <c r="N165" s="197">
        <v>2021.6</v>
      </c>
      <c r="O165" s="198" t="s">
        <v>2086</v>
      </c>
      <c r="P165" s="194" t="s">
        <v>2087</v>
      </c>
      <c r="Q165" s="199">
        <v>18135206600</v>
      </c>
      <c r="R165" s="200" t="s">
        <v>2088</v>
      </c>
      <c r="S165" s="194" t="s">
        <v>1736</v>
      </c>
      <c r="T165" s="125"/>
    </row>
    <row r="166" spans="1:20" ht="24.95" customHeight="1">
      <c r="A166" s="117" t="s">
        <v>2091</v>
      </c>
      <c r="B166" s="190" t="s">
        <v>2092</v>
      </c>
      <c r="C166" s="191"/>
      <c r="D166" s="192" t="s">
        <v>2084</v>
      </c>
      <c r="E166" s="191"/>
      <c r="F166" s="193">
        <v>23.454000000000001</v>
      </c>
      <c r="G166" s="194" t="s">
        <v>2085</v>
      </c>
      <c r="H166" s="194" t="s">
        <v>33</v>
      </c>
      <c r="I166" s="195"/>
      <c r="J166" s="191"/>
      <c r="K166" s="191"/>
      <c r="L166" s="172">
        <v>162102.32</v>
      </c>
      <c r="M166" s="201">
        <v>686399.54</v>
      </c>
      <c r="N166" s="197">
        <v>2021.6</v>
      </c>
      <c r="O166" s="198" t="s">
        <v>2086</v>
      </c>
      <c r="P166" s="194" t="s">
        <v>2087</v>
      </c>
      <c r="Q166" s="199">
        <v>18135206600</v>
      </c>
      <c r="R166" s="200" t="s">
        <v>2088</v>
      </c>
      <c r="S166" s="194" t="s">
        <v>1736</v>
      </c>
      <c r="T166" s="125"/>
    </row>
    <row r="167" spans="1:20" ht="24.95" customHeight="1">
      <c r="A167" s="117" t="s">
        <v>2093</v>
      </c>
      <c r="B167" s="190" t="s">
        <v>2094</v>
      </c>
      <c r="C167" s="191"/>
      <c r="D167" s="192" t="s">
        <v>2084</v>
      </c>
      <c r="E167" s="191"/>
      <c r="F167" s="193">
        <v>10.487</v>
      </c>
      <c r="G167" s="194" t="s">
        <v>2085</v>
      </c>
      <c r="H167" s="194" t="s">
        <v>33</v>
      </c>
      <c r="I167" s="195"/>
      <c r="J167" s="191"/>
      <c r="K167" s="191"/>
      <c r="L167" s="172">
        <v>72480.899999999994</v>
      </c>
      <c r="M167" s="201">
        <v>217156.87</v>
      </c>
      <c r="N167" s="197">
        <v>2021.6</v>
      </c>
      <c r="O167" s="198" t="s">
        <v>2086</v>
      </c>
      <c r="P167" s="194" t="s">
        <v>2087</v>
      </c>
      <c r="Q167" s="199">
        <v>18135206600</v>
      </c>
      <c r="R167" s="200" t="s">
        <v>2088</v>
      </c>
      <c r="S167" s="194" t="s">
        <v>1736</v>
      </c>
      <c r="T167" s="125"/>
    </row>
    <row r="168" spans="1:20" ht="24.95" customHeight="1">
      <c r="A168" s="117" t="s">
        <v>2095</v>
      </c>
      <c r="B168" s="190" t="s">
        <v>2096</v>
      </c>
      <c r="C168" s="191"/>
      <c r="D168" s="192" t="s">
        <v>2084</v>
      </c>
      <c r="E168" s="191"/>
      <c r="F168" s="193">
        <v>25.523</v>
      </c>
      <c r="G168" s="194" t="s">
        <v>2085</v>
      </c>
      <c r="H168" s="194" t="s">
        <v>33</v>
      </c>
      <c r="I168" s="195"/>
      <c r="J168" s="191"/>
      <c r="K168" s="191"/>
      <c r="L168" s="172">
        <v>176402.21</v>
      </c>
      <c r="M168" s="201">
        <v>140038.46</v>
      </c>
      <c r="N168" s="197">
        <v>2021.6</v>
      </c>
      <c r="O168" s="198" t="s">
        <v>2086</v>
      </c>
      <c r="P168" s="194" t="s">
        <v>2087</v>
      </c>
      <c r="Q168" s="199">
        <v>18135206600</v>
      </c>
      <c r="R168" s="200" t="s">
        <v>2088</v>
      </c>
      <c r="S168" s="194" t="s">
        <v>1736</v>
      </c>
      <c r="T168" s="125"/>
    </row>
    <row r="169" spans="1:20" ht="24.95" customHeight="1">
      <c r="A169" s="117" t="s">
        <v>2097</v>
      </c>
      <c r="B169" s="190" t="s">
        <v>2098</v>
      </c>
      <c r="C169" s="191"/>
      <c r="D169" s="192" t="s">
        <v>2084</v>
      </c>
      <c r="E169" s="191"/>
      <c r="F169" s="193">
        <v>12.526</v>
      </c>
      <c r="G169" s="194" t="s">
        <v>2085</v>
      </c>
      <c r="H169" s="194" t="s">
        <v>33</v>
      </c>
      <c r="I169" s="195"/>
      <c r="J169" s="191"/>
      <c r="K169" s="191"/>
      <c r="L169" s="172">
        <v>86574.45</v>
      </c>
      <c r="M169" s="201">
        <v>62615.45</v>
      </c>
      <c r="N169" s="197">
        <v>2021.6</v>
      </c>
      <c r="O169" s="198" t="s">
        <v>2086</v>
      </c>
      <c r="P169" s="194" t="s">
        <v>2087</v>
      </c>
      <c r="Q169" s="199">
        <v>18135206600</v>
      </c>
      <c r="R169" s="200" t="s">
        <v>2088</v>
      </c>
      <c r="S169" s="194" t="s">
        <v>1736</v>
      </c>
      <c r="T169" s="125"/>
    </row>
    <row r="170" spans="1:20" ht="24.95" customHeight="1">
      <c r="A170" s="117" t="s">
        <v>2099</v>
      </c>
      <c r="B170" s="202" t="s">
        <v>29</v>
      </c>
      <c r="C170" s="202"/>
      <c r="D170" s="202" t="s">
        <v>2084</v>
      </c>
      <c r="E170" s="203"/>
      <c r="F170" s="202">
        <v>204.32</v>
      </c>
      <c r="G170" s="204" t="s">
        <v>2085</v>
      </c>
      <c r="H170" s="203" t="s">
        <v>33</v>
      </c>
      <c r="I170" s="203"/>
      <c r="J170" s="203"/>
      <c r="K170" s="203"/>
      <c r="L170" s="205">
        <v>1193373.45</v>
      </c>
      <c r="M170" s="201">
        <v>152391.93</v>
      </c>
      <c r="N170" s="204">
        <v>2020.11</v>
      </c>
      <c r="O170" s="204" t="s">
        <v>2100</v>
      </c>
      <c r="P170" s="204" t="s">
        <v>2087</v>
      </c>
      <c r="Q170" s="206">
        <v>18135206600</v>
      </c>
      <c r="R170" s="207" t="s">
        <v>2088</v>
      </c>
      <c r="S170" s="208" t="s">
        <v>1736</v>
      </c>
      <c r="T170" s="209"/>
    </row>
    <row r="171" spans="1:20" ht="24.95" customHeight="1">
      <c r="A171" s="117" t="s">
        <v>2101</v>
      </c>
      <c r="B171" s="203" t="s">
        <v>243</v>
      </c>
      <c r="C171" s="203"/>
      <c r="D171" s="203" t="s">
        <v>2084</v>
      </c>
      <c r="E171" s="203"/>
      <c r="F171" s="203">
        <v>47.38</v>
      </c>
      <c r="G171" s="204" t="s">
        <v>2085</v>
      </c>
      <c r="H171" s="203" t="s">
        <v>33</v>
      </c>
      <c r="I171" s="203"/>
      <c r="J171" s="203"/>
      <c r="K171" s="203"/>
      <c r="L171" s="205">
        <v>276732.74</v>
      </c>
      <c r="M171" s="201">
        <v>74790.720000000001</v>
      </c>
      <c r="N171" s="203">
        <v>2020.12</v>
      </c>
      <c r="O171" s="204" t="s">
        <v>2100</v>
      </c>
      <c r="P171" s="204" t="s">
        <v>2087</v>
      </c>
      <c r="Q171" s="206">
        <v>18135206600</v>
      </c>
      <c r="R171" s="207" t="s">
        <v>2088</v>
      </c>
      <c r="S171" s="208" t="s">
        <v>1736</v>
      </c>
    </row>
    <row r="172" spans="1:20" ht="24.95" customHeight="1">
      <c r="A172" s="117" t="s">
        <v>2102</v>
      </c>
      <c r="B172" s="210" t="s">
        <v>29</v>
      </c>
      <c r="C172" s="210"/>
      <c r="D172" s="211" t="s">
        <v>2084</v>
      </c>
      <c r="E172" s="212"/>
      <c r="F172" s="213">
        <v>107.42</v>
      </c>
      <c r="G172" s="214" t="s">
        <v>2085</v>
      </c>
      <c r="H172" s="214" t="s">
        <v>33</v>
      </c>
      <c r="I172" s="215"/>
      <c r="J172" s="212"/>
      <c r="K172" s="212"/>
      <c r="L172" s="216">
        <v>667334.87</v>
      </c>
      <c r="M172" s="201">
        <v>602455.06999999995</v>
      </c>
      <c r="N172" s="212">
        <v>2021.8</v>
      </c>
      <c r="O172" s="217" t="s">
        <v>2086</v>
      </c>
      <c r="P172" s="214" t="s">
        <v>2087</v>
      </c>
      <c r="Q172" s="218">
        <v>18135206600</v>
      </c>
      <c r="R172" s="207" t="s">
        <v>2088</v>
      </c>
      <c r="S172" s="208" t="s">
        <v>1736</v>
      </c>
    </row>
    <row r="173" spans="1:20" ht="24.95" customHeight="1">
      <c r="A173" s="117" t="s">
        <v>2103</v>
      </c>
      <c r="B173" s="210" t="s">
        <v>164</v>
      </c>
      <c r="C173" s="210"/>
      <c r="D173" s="211" t="s">
        <v>2084</v>
      </c>
      <c r="E173" s="212"/>
      <c r="F173" s="213">
        <v>299.77999999999997</v>
      </c>
      <c r="G173" s="214" t="s">
        <v>2085</v>
      </c>
      <c r="H173" s="214" t="s">
        <v>33</v>
      </c>
      <c r="I173" s="215"/>
      <c r="J173" s="212"/>
      <c r="K173" s="212"/>
      <c r="L173" s="216">
        <v>2137753.5499999998</v>
      </c>
      <c r="M173" s="201">
        <v>1929916.4</v>
      </c>
      <c r="N173" s="212">
        <v>2021.8</v>
      </c>
      <c r="O173" s="217" t="s">
        <v>2086</v>
      </c>
      <c r="P173" s="214" t="s">
        <v>2087</v>
      </c>
      <c r="Q173" s="218">
        <v>18135206600</v>
      </c>
      <c r="R173" s="207" t="s">
        <v>2088</v>
      </c>
      <c r="S173" s="208" t="s">
        <v>1736</v>
      </c>
    </row>
    <row r="174" spans="1:20" ht="24.95" customHeight="1">
      <c r="A174" s="117" t="s">
        <v>2104</v>
      </c>
      <c r="B174" s="219" t="s">
        <v>2105</v>
      </c>
      <c r="C174" s="219"/>
      <c r="D174" s="220" t="s">
        <v>2084</v>
      </c>
      <c r="E174" s="219"/>
      <c r="F174" s="219">
        <v>4</v>
      </c>
      <c r="G174" s="214" t="s">
        <v>2085</v>
      </c>
      <c r="H174" s="214" t="s">
        <v>33</v>
      </c>
      <c r="I174" s="220"/>
      <c r="J174" s="219"/>
      <c r="K174" s="219"/>
      <c r="L174" s="221">
        <v>27079.65</v>
      </c>
      <c r="M174" s="222">
        <v>24446.9</v>
      </c>
      <c r="N174" s="212">
        <v>2021.8</v>
      </c>
      <c r="O174" s="217" t="s">
        <v>2086</v>
      </c>
      <c r="P174" s="214" t="s">
        <v>2087</v>
      </c>
      <c r="Q174" s="218">
        <v>18135206600</v>
      </c>
      <c r="R174" s="207" t="s">
        <v>2088</v>
      </c>
      <c r="S174" s="208" t="s">
        <v>1736</v>
      </c>
    </row>
    <row r="175" spans="1:20" ht="24.95" customHeight="1">
      <c r="A175" s="117" t="s">
        <v>2106</v>
      </c>
      <c r="B175" s="191" t="s">
        <v>243</v>
      </c>
      <c r="C175" s="191"/>
      <c r="D175" s="195" t="s">
        <v>2084</v>
      </c>
      <c r="E175" s="191"/>
      <c r="F175" s="191">
        <v>58.5</v>
      </c>
      <c r="G175" s="150" t="s">
        <v>2085</v>
      </c>
      <c r="H175" s="150" t="s">
        <v>33</v>
      </c>
      <c r="I175" s="195"/>
      <c r="J175" s="191"/>
      <c r="K175" s="191"/>
      <c r="L175" s="172">
        <v>412606.19</v>
      </c>
      <c r="M175" s="222">
        <v>378222.35</v>
      </c>
      <c r="N175" s="191">
        <v>2021.12</v>
      </c>
      <c r="O175" s="223" t="s">
        <v>2086</v>
      </c>
      <c r="P175" s="150" t="s">
        <v>2087</v>
      </c>
      <c r="Q175" s="158">
        <v>18135206600</v>
      </c>
      <c r="R175" s="224" t="s">
        <v>2088</v>
      </c>
      <c r="S175" s="208"/>
    </row>
    <row r="176" spans="1:20" ht="24.95" customHeight="1">
      <c r="A176" s="117" t="s">
        <v>2107</v>
      </c>
      <c r="B176" s="191" t="s">
        <v>202</v>
      </c>
      <c r="C176" s="191"/>
      <c r="D176" s="195" t="s">
        <v>2084</v>
      </c>
      <c r="E176" s="191"/>
      <c r="F176" s="191">
        <v>15.46</v>
      </c>
      <c r="G176" s="150" t="s">
        <v>2085</v>
      </c>
      <c r="H176" s="150" t="s">
        <v>33</v>
      </c>
      <c r="I176" s="195"/>
      <c r="J176" s="191"/>
      <c r="K176" s="191"/>
      <c r="L176" s="172">
        <v>102884.25</v>
      </c>
      <c r="M176" s="222">
        <v>94310.58</v>
      </c>
      <c r="N176" s="191">
        <v>2021.12</v>
      </c>
      <c r="O176" s="223" t="s">
        <v>2086</v>
      </c>
      <c r="P176" s="150" t="s">
        <v>2087</v>
      </c>
      <c r="Q176" s="158">
        <v>18135206600</v>
      </c>
      <c r="R176" s="224" t="s">
        <v>2088</v>
      </c>
      <c r="S176" s="208"/>
    </row>
    <row r="177" spans="1:20" ht="24.95" customHeight="1">
      <c r="A177" s="117" t="s">
        <v>2108</v>
      </c>
      <c r="B177" s="196" t="s">
        <v>94</v>
      </c>
      <c r="C177" s="191"/>
      <c r="D177" s="225" t="s">
        <v>2084</v>
      </c>
      <c r="E177" s="191"/>
      <c r="F177" s="196">
        <v>67.72</v>
      </c>
      <c r="G177" s="150" t="s">
        <v>2085</v>
      </c>
      <c r="H177" s="150" t="s">
        <v>33</v>
      </c>
      <c r="I177" s="195"/>
      <c r="J177" s="191"/>
      <c r="K177" s="191"/>
      <c r="L177" s="226">
        <v>474040</v>
      </c>
      <c r="M177" s="226">
        <v>474040</v>
      </c>
      <c r="N177" s="191">
        <v>2021.12</v>
      </c>
      <c r="O177" s="223" t="s">
        <v>2086</v>
      </c>
      <c r="P177" s="150" t="s">
        <v>2087</v>
      </c>
      <c r="Q177" s="158">
        <v>18135206600</v>
      </c>
      <c r="R177" s="224" t="s">
        <v>2088</v>
      </c>
      <c r="S177" s="208"/>
    </row>
    <row r="178" spans="1:20" ht="24.95" customHeight="1">
      <c r="A178" s="117" t="s">
        <v>2109</v>
      </c>
      <c r="B178" s="196" t="s">
        <v>2110</v>
      </c>
      <c r="C178" s="191"/>
      <c r="D178" s="225" t="s">
        <v>62</v>
      </c>
      <c r="E178" s="191"/>
      <c r="F178" s="196">
        <v>12.48</v>
      </c>
      <c r="G178" s="150" t="s">
        <v>2085</v>
      </c>
      <c r="H178" s="150" t="s">
        <v>33</v>
      </c>
      <c r="I178" s="195"/>
      <c r="J178" s="191"/>
      <c r="K178" s="191"/>
      <c r="L178" s="226">
        <v>97962.48</v>
      </c>
      <c r="M178" s="226">
        <v>97962.48</v>
      </c>
      <c r="N178" s="191">
        <v>2021.12</v>
      </c>
      <c r="O178" s="223" t="s">
        <v>2086</v>
      </c>
      <c r="P178" s="150" t="s">
        <v>2087</v>
      </c>
      <c r="Q178" s="158">
        <v>18135206600</v>
      </c>
      <c r="R178" s="224" t="s">
        <v>2088</v>
      </c>
      <c r="S178" s="208"/>
    </row>
    <row r="179" spans="1:20" ht="24.95" customHeight="1">
      <c r="A179" s="117" t="s">
        <v>2111</v>
      </c>
      <c r="B179" s="196" t="s">
        <v>2112</v>
      </c>
      <c r="C179" s="191"/>
      <c r="D179" s="225" t="s">
        <v>62</v>
      </c>
      <c r="E179" s="191"/>
      <c r="F179" s="196">
        <v>14</v>
      </c>
      <c r="G179" s="150" t="s">
        <v>2085</v>
      </c>
      <c r="H179" s="150" t="s">
        <v>33</v>
      </c>
      <c r="I179" s="195"/>
      <c r="J179" s="191"/>
      <c r="K179" s="191"/>
      <c r="L179" s="226">
        <v>94407.08</v>
      </c>
      <c r="M179" s="226">
        <v>94407.08</v>
      </c>
      <c r="N179" s="191">
        <v>2021.12</v>
      </c>
      <c r="O179" s="223" t="s">
        <v>2086</v>
      </c>
      <c r="P179" s="150" t="s">
        <v>2087</v>
      </c>
      <c r="Q179" s="158">
        <v>18135206600</v>
      </c>
      <c r="R179" s="224" t="s">
        <v>2088</v>
      </c>
      <c r="S179" s="208"/>
    </row>
    <row r="180" spans="1:20" ht="24.95" customHeight="1">
      <c r="A180" s="117" t="s">
        <v>2113</v>
      </c>
      <c r="B180" s="196" t="s">
        <v>2112</v>
      </c>
      <c r="C180" s="191"/>
      <c r="D180" s="225" t="s">
        <v>62</v>
      </c>
      <c r="E180" s="191"/>
      <c r="F180" s="196">
        <v>2.74</v>
      </c>
      <c r="G180" s="150" t="s">
        <v>2085</v>
      </c>
      <c r="H180" s="150" t="s">
        <v>33</v>
      </c>
      <c r="I180" s="195"/>
      <c r="J180" s="191"/>
      <c r="K180" s="191"/>
      <c r="L180" s="226">
        <v>18476.810000000001</v>
      </c>
      <c r="M180" s="226">
        <v>18476.810000000001</v>
      </c>
      <c r="N180" s="191">
        <v>2021.12</v>
      </c>
      <c r="O180" s="223" t="s">
        <v>2086</v>
      </c>
      <c r="P180" s="150" t="s">
        <v>2087</v>
      </c>
      <c r="Q180" s="158">
        <v>18135206600</v>
      </c>
      <c r="R180" s="224" t="s">
        <v>2088</v>
      </c>
      <c r="S180" s="208"/>
    </row>
    <row r="181" spans="1:20" ht="24.95" customHeight="1">
      <c r="A181" s="117" t="s">
        <v>2114</v>
      </c>
      <c r="B181" s="196" t="s">
        <v>2110</v>
      </c>
      <c r="C181" s="191"/>
      <c r="D181" s="225" t="s">
        <v>62</v>
      </c>
      <c r="E181" s="191"/>
      <c r="F181" s="196">
        <v>8</v>
      </c>
      <c r="G181" s="150" t="s">
        <v>2085</v>
      </c>
      <c r="H181" s="150" t="s">
        <v>33</v>
      </c>
      <c r="I181" s="195"/>
      <c r="J181" s="191"/>
      <c r="K181" s="191"/>
      <c r="L181" s="226">
        <v>62796.46</v>
      </c>
      <c r="M181" s="226">
        <v>62796.46</v>
      </c>
      <c r="N181" s="191">
        <v>2021.12</v>
      </c>
      <c r="O181" s="223" t="s">
        <v>2086</v>
      </c>
      <c r="P181" s="150" t="s">
        <v>2087</v>
      </c>
      <c r="Q181" s="158">
        <v>18135206600</v>
      </c>
      <c r="R181" s="224" t="s">
        <v>2088</v>
      </c>
      <c r="S181" s="208"/>
    </row>
    <row r="182" spans="1:20" ht="24.95" customHeight="1">
      <c r="A182" s="117" t="s">
        <v>2115</v>
      </c>
      <c r="B182" s="196" t="s">
        <v>29</v>
      </c>
      <c r="C182" s="191"/>
      <c r="D182" s="225" t="s">
        <v>62</v>
      </c>
      <c r="E182" s="191"/>
      <c r="F182" s="196">
        <v>20.63</v>
      </c>
      <c r="G182" s="150" t="s">
        <v>2085</v>
      </c>
      <c r="H182" s="150" t="s">
        <v>33</v>
      </c>
      <c r="I182" s="195"/>
      <c r="J182" s="191"/>
      <c r="K182" s="191"/>
      <c r="L182" s="226">
        <v>83409.22</v>
      </c>
      <c r="M182" s="226">
        <v>83409.22</v>
      </c>
      <c r="N182" s="191">
        <v>2021.12</v>
      </c>
      <c r="O182" s="223" t="s">
        <v>2086</v>
      </c>
      <c r="P182" s="150" t="s">
        <v>2087</v>
      </c>
      <c r="Q182" s="158">
        <v>18135206600</v>
      </c>
      <c r="R182" s="224" t="s">
        <v>2088</v>
      </c>
      <c r="S182" s="208"/>
    </row>
    <row r="183" spans="1:20" ht="24.95" customHeight="1">
      <c r="A183" s="117" t="s">
        <v>2116</v>
      </c>
      <c r="B183" s="196" t="s">
        <v>29</v>
      </c>
      <c r="C183" s="191"/>
      <c r="D183" s="225" t="s">
        <v>62</v>
      </c>
      <c r="E183" s="191"/>
      <c r="F183" s="196">
        <v>14.53</v>
      </c>
      <c r="G183" s="150" t="s">
        <v>2085</v>
      </c>
      <c r="H183" s="150" t="s">
        <v>33</v>
      </c>
      <c r="I183" s="195"/>
      <c r="J183" s="191"/>
      <c r="K183" s="191"/>
      <c r="L183" s="226">
        <v>55535.46</v>
      </c>
      <c r="M183" s="226">
        <v>55535.46</v>
      </c>
      <c r="N183" s="191">
        <v>2021.12</v>
      </c>
      <c r="O183" s="223" t="s">
        <v>2086</v>
      </c>
      <c r="P183" s="150" t="s">
        <v>2087</v>
      </c>
      <c r="Q183" s="158">
        <v>18135206600</v>
      </c>
      <c r="R183" s="224" t="s">
        <v>2088</v>
      </c>
      <c r="S183" s="208"/>
    </row>
    <row r="184" spans="1:20" ht="24.95" customHeight="1">
      <c r="A184" s="117" t="s">
        <v>2117</v>
      </c>
      <c r="B184" s="196" t="s">
        <v>1824</v>
      </c>
      <c r="C184" s="191"/>
      <c r="D184" s="225" t="s">
        <v>62</v>
      </c>
      <c r="E184" s="191"/>
      <c r="F184" s="196">
        <v>10.94</v>
      </c>
      <c r="G184" s="150" t="s">
        <v>2085</v>
      </c>
      <c r="H184" s="150" t="s">
        <v>33</v>
      </c>
      <c r="I184" s="195"/>
      <c r="J184" s="191"/>
      <c r="K184" s="191"/>
      <c r="L184" s="226">
        <v>44050.45</v>
      </c>
      <c r="M184" s="226">
        <v>44050.45</v>
      </c>
      <c r="N184" s="191">
        <v>2021.12</v>
      </c>
      <c r="O184" s="223" t="s">
        <v>2086</v>
      </c>
      <c r="P184" s="150" t="s">
        <v>2087</v>
      </c>
      <c r="Q184" s="158">
        <v>18135206600</v>
      </c>
      <c r="R184" s="224" t="s">
        <v>2088</v>
      </c>
      <c r="S184" s="208"/>
    </row>
    <row r="185" spans="1:20" ht="24.95" customHeight="1">
      <c r="A185" s="117" t="s">
        <v>2118</v>
      </c>
      <c r="B185" s="222" t="s">
        <v>29</v>
      </c>
      <c r="C185" s="191"/>
      <c r="D185" s="211" t="s">
        <v>62</v>
      </c>
      <c r="E185" s="191"/>
      <c r="F185" s="193">
        <v>48.84</v>
      </c>
      <c r="G185" s="194" t="s">
        <v>2085</v>
      </c>
      <c r="H185" s="194" t="s">
        <v>33</v>
      </c>
      <c r="I185" s="195"/>
      <c r="J185" s="191"/>
      <c r="K185" s="191"/>
      <c r="L185" s="172"/>
      <c r="M185" s="141">
        <v>82859.59</v>
      </c>
      <c r="N185" s="197">
        <v>2017.3</v>
      </c>
      <c r="O185" s="227" t="s">
        <v>2119</v>
      </c>
      <c r="P185" s="194" t="s">
        <v>1756</v>
      </c>
      <c r="Q185" s="199">
        <v>18634872802</v>
      </c>
      <c r="R185" s="228" t="s">
        <v>2120</v>
      </c>
      <c r="S185" s="194" t="s">
        <v>1736</v>
      </c>
      <c r="T185" s="125"/>
    </row>
    <row r="186" spans="1:20" ht="24.95" customHeight="1">
      <c r="A186" s="117" t="s">
        <v>2121</v>
      </c>
      <c r="B186" s="102" t="s">
        <v>2077</v>
      </c>
      <c r="C186" s="102" t="s">
        <v>2122</v>
      </c>
      <c r="D186" s="123" t="s">
        <v>62</v>
      </c>
      <c r="E186" s="102"/>
      <c r="F186" s="102">
        <v>77.2</v>
      </c>
      <c r="G186" s="102" t="s">
        <v>32</v>
      </c>
      <c r="H186" s="105" t="s">
        <v>41</v>
      </c>
      <c r="I186" s="123"/>
      <c r="J186" s="102"/>
      <c r="K186" s="102"/>
      <c r="L186" s="102">
        <v>546548.65</v>
      </c>
      <c r="M186" s="148">
        <v>163964.6</v>
      </c>
      <c r="N186" s="102">
        <v>2021.3</v>
      </c>
      <c r="O186" s="102" t="s">
        <v>2123</v>
      </c>
      <c r="P186" s="123" t="s">
        <v>2124</v>
      </c>
      <c r="Q186" s="102">
        <v>17534978813</v>
      </c>
      <c r="R186" s="106" t="s">
        <v>2125</v>
      </c>
      <c r="S186" s="125" t="s">
        <v>1736</v>
      </c>
      <c r="T186" s="125"/>
    </row>
    <row r="187" spans="1:20" ht="24.95" customHeight="1">
      <c r="A187" s="117" t="s">
        <v>2126</v>
      </c>
      <c r="B187" s="102" t="s">
        <v>2127</v>
      </c>
      <c r="C187" s="102" t="s">
        <v>2128</v>
      </c>
      <c r="D187" s="123" t="s">
        <v>31</v>
      </c>
      <c r="E187" s="102">
        <v>160</v>
      </c>
      <c r="F187" s="102">
        <v>2.4</v>
      </c>
      <c r="G187" s="102" t="s">
        <v>32</v>
      </c>
      <c r="H187" s="105"/>
      <c r="I187" s="123"/>
      <c r="J187" s="102"/>
      <c r="K187" s="102" t="s">
        <v>1948</v>
      </c>
      <c r="L187" s="102">
        <v>19200</v>
      </c>
      <c r="M187" s="103"/>
      <c r="N187" s="102">
        <v>2021.4</v>
      </c>
      <c r="O187" s="102" t="s">
        <v>2129</v>
      </c>
      <c r="P187" s="123" t="s">
        <v>2124</v>
      </c>
      <c r="Q187" s="102">
        <v>17534978813</v>
      </c>
      <c r="R187" s="106" t="s">
        <v>1960</v>
      </c>
      <c r="S187" s="125" t="s">
        <v>1736</v>
      </c>
      <c r="T187" s="125"/>
    </row>
    <row r="188" spans="1:20" ht="24.95" customHeight="1">
      <c r="A188" s="117" t="s">
        <v>2130</v>
      </c>
      <c r="B188" s="102" t="s">
        <v>2127</v>
      </c>
      <c r="C188" s="102" t="s">
        <v>2131</v>
      </c>
      <c r="D188" s="123" t="s">
        <v>31</v>
      </c>
      <c r="E188" s="102">
        <v>569</v>
      </c>
      <c r="F188" s="102">
        <v>13.087</v>
      </c>
      <c r="G188" s="102" t="s">
        <v>32</v>
      </c>
      <c r="H188" s="105"/>
      <c r="I188" s="123"/>
      <c r="J188" s="102"/>
      <c r="K188" s="102" t="s">
        <v>1948</v>
      </c>
      <c r="L188" s="102">
        <v>104696</v>
      </c>
      <c r="M188" s="103"/>
      <c r="N188" s="102">
        <v>2021.4</v>
      </c>
      <c r="O188" s="102" t="s">
        <v>2129</v>
      </c>
      <c r="P188" s="123" t="s">
        <v>2124</v>
      </c>
      <c r="Q188" s="102">
        <v>17534978813</v>
      </c>
      <c r="R188" s="106" t="s">
        <v>1960</v>
      </c>
      <c r="S188" s="125" t="s">
        <v>1736</v>
      </c>
      <c r="T188" s="125"/>
    </row>
    <row r="189" spans="1:20" ht="24.95" customHeight="1">
      <c r="A189" s="117" t="s">
        <v>2132</v>
      </c>
      <c r="B189" s="102" t="s">
        <v>2127</v>
      </c>
      <c r="C189" s="102" t="s">
        <v>2133</v>
      </c>
      <c r="D189" s="123" t="s">
        <v>31</v>
      </c>
      <c r="E189" s="102">
        <v>159</v>
      </c>
      <c r="F189" s="102">
        <v>10.811999999999999</v>
      </c>
      <c r="G189" s="102" t="s">
        <v>32</v>
      </c>
      <c r="H189" s="105"/>
      <c r="I189" s="123"/>
      <c r="J189" s="102"/>
      <c r="K189" s="102" t="s">
        <v>1948</v>
      </c>
      <c r="L189" s="102">
        <v>86496</v>
      </c>
      <c r="M189" s="103"/>
      <c r="N189" s="102">
        <v>2021.4</v>
      </c>
      <c r="O189" s="102" t="s">
        <v>2129</v>
      </c>
      <c r="P189" s="123" t="s">
        <v>2124</v>
      </c>
      <c r="Q189" s="102">
        <v>17534978813</v>
      </c>
      <c r="R189" s="106" t="s">
        <v>1960</v>
      </c>
      <c r="S189" s="125" t="s">
        <v>1736</v>
      </c>
      <c r="T189" s="125"/>
    </row>
    <row r="190" spans="1:20" ht="24.95" customHeight="1">
      <c r="A190" s="117" t="s">
        <v>2134</v>
      </c>
      <c r="B190" s="102" t="s">
        <v>2135</v>
      </c>
      <c r="C190" s="102" t="s">
        <v>2136</v>
      </c>
      <c r="D190" s="123" t="s">
        <v>31</v>
      </c>
      <c r="E190" s="102">
        <v>151</v>
      </c>
      <c r="F190" s="102">
        <v>2.2650000000000001</v>
      </c>
      <c r="G190" s="102" t="s">
        <v>32</v>
      </c>
      <c r="H190" s="105"/>
      <c r="I190" s="123"/>
      <c r="J190" s="102"/>
      <c r="K190" s="102" t="s">
        <v>1948</v>
      </c>
      <c r="L190" s="102">
        <v>18120</v>
      </c>
      <c r="M190" s="103"/>
      <c r="N190" s="102">
        <v>2021.4</v>
      </c>
      <c r="O190" s="102" t="s">
        <v>2129</v>
      </c>
      <c r="P190" s="123" t="s">
        <v>2124</v>
      </c>
      <c r="Q190" s="102">
        <v>17534978813</v>
      </c>
      <c r="R190" s="106" t="s">
        <v>1960</v>
      </c>
      <c r="S190" s="125" t="s">
        <v>1736</v>
      </c>
      <c r="T190" s="125"/>
    </row>
    <row r="191" spans="1:20" ht="24.95" customHeight="1">
      <c r="A191" s="117" t="s">
        <v>2137</v>
      </c>
      <c r="B191" s="102" t="s">
        <v>2138</v>
      </c>
      <c r="C191" s="102" t="s">
        <v>2139</v>
      </c>
      <c r="D191" s="123" t="s">
        <v>31</v>
      </c>
      <c r="E191" s="102">
        <v>113</v>
      </c>
      <c r="F191" s="102">
        <v>3.39</v>
      </c>
      <c r="G191" s="102" t="s">
        <v>32</v>
      </c>
      <c r="H191" s="105"/>
      <c r="I191" s="123"/>
      <c r="J191" s="102"/>
      <c r="K191" s="102" t="s">
        <v>1948</v>
      </c>
      <c r="L191" s="102">
        <v>27120</v>
      </c>
      <c r="M191" s="103"/>
      <c r="N191" s="102">
        <v>2021.4</v>
      </c>
      <c r="O191" s="102" t="s">
        <v>2129</v>
      </c>
      <c r="P191" s="123" t="s">
        <v>2124</v>
      </c>
      <c r="Q191" s="102">
        <v>17534978813</v>
      </c>
      <c r="R191" s="106" t="s">
        <v>1960</v>
      </c>
      <c r="S191" s="125" t="s">
        <v>1736</v>
      </c>
      <c r="T191" s="125"/>
    </row>
    <row r="192" spans="1:20" ht="24.95" customHeight="1">
      <c r="A192" s="117" t="s">
        <v>2140</v>
      </c>
      <c r="B192" s="102" t="s">
        <v>2138</v>
      </c>
      <c r="C192" s="102" t="s">
        <v>2141</v>
      </c>
      <c r="D192" s="123" t="s">
        <v>31</v>
      </c>
      <c r="E192" s="102">
        <v>200</v>
      </c>
      <c r="F192" s="102">
        <v>11</v>
      </c>
      <c r="G192" s="102" t="s">
        <v>32</v>
      </c>
      <c r="H192" s="105"/>
      <c r="I192" s="123"/>
      <c r="J192" s="102"/>
      <c r="K192" s="102" t="s">
        <v>1948</v>
      </c>
      <c r="L192" s="102">
        <v>88000</v>
      </c>
      <c r="M192" s="103"/>
      <c r="N192" s="102">
        <v>2021.4</v>
      </c>
      <c r="O192" s="102" t="s">
        <v>2129</v>
      </c>
      <c r="P192" s="123" t="s">
        <v>2124</v>
      </c>
      <c r="Q192" s="102">
        <v>17534978813</v>
      </c>
      <c r="R192" s="106" t="s">
        <v>1960</v>
      </c>
      <c r="S192" s="125" t="s">
        <v>1736</v>
      </c>
      <c r="T192" s="125"/>
    </row>
    <row r="193" spans="1:20" ht="24.95" customHeight="1">
      <c r="A193" s="117" t="s">
        <v>2142</v>
      </c>
      <c r="B193" s="128" t="s">
        <v>135</v>
      </c>
      <c r="C193" s="197"/>
      <c r="D193" s="197" t="s">
        <v>62</v>
      </c>
      <c r="E193" s="197"/>
      <c r="F193" s="135">
        <v>100.11</v>
      </c>
      <c r="G193" s="130" t="s">
        <v>32</v>
      </c>
      <c r="H193" s="229" t="s">
        <v>33</v>
      </c>
      <c r="I193" s="230"/>
      <c r="J193" s="197"/>
      <c r="K193" s="197" t="s">
        <v>1948</v>
      </c>
      <c r="L193" s="136">
        <v>788477</v>
      </c>
      <c r="M193" s="231">
        <v>788477</v>
      </c>
      <c r="N193" s="133">
        <v>44472</v>
      </c>
      <c r="O193" s="197" t="s">
        <v>2143</v>
      </c>
      <c r="P193" s="232" t="s">
        <v>1734</v>
      </c>
      <c r="Q193" s="197">
        <v>13935144618</v>
      </c>
      <c r="R193" s="233" t="s">
        <v>2144</v>
      </c>
      <c r="S193" s="234" t="s">
        <v>1736</v>
      </c>
      <c r="T193" s="234"/>
    </row>
    <row r="194" spans="1:20" ht="24.95" customHeight="1">
      <c r="A194" s="117" t="s">
        <v>2145</v>
      </c>
      <c r="B194" s="128" t="s">
        <v>135</v>
      </c>
      <c r="C194" s="197"/>
      <c r="D194" s="197" t="s">
        <v>62</v>
      </c>
      <c r="E194" s="197"/>
      <c r="F194" s="135">
        <v>33.89</v>
      </c>
      <c r="G194" s="130" t="s">
        <v>32</v>
      </c>
      <c r="H194" s="229" t="s">
        <v>33</v>
      </c>
      <c r="I194" s="230"/>
      <c r="J194" s="197"/>
      <c r="K194" s="197" t="s">
        <v>1948</v>
      </c>
      <c r="L194" s="136">
        <v>266921.24</v>
      </c>
      <c r="M194" s="136">
        <v>266921.24</v>
      </c>
      <c r="N194" s="133">
        <v>44473</v>
      </c>
      <c r="O194" s="197" t="s">
        <v>2143</v>
      </c>
      <c r="P194" s="232" t="s">
        <v>1734</v>
      </c>
      <c r="Q194" s="197">
        <v>13935144618</v>
      </c>
      <c r="R194" s="233" t="s">
        <v>2144</v>
      </c>
      <c r="S194" s="234" t="s">
        <v>1736</v>
      </c>
      <c r="T194" s="234"/>
    </row>
    <row r="195" spans="1:20" ht="24.95" customHeight="1">
      <c r="A195" s="117" t="s">
        <v>2146</v>
      </c>
      <c r="B195" s="235" t="s">
        <v>29</v>
      </c>
      <c r="C195" s="235" t="s">
        <v>104</v>
      </c>
      <c r="D195" s="236" t="s">
        <v>62</v>
      </c>
      <c r="E195" s="236">
        <v>12.06</v>
      </c>
      <c r="F195" s="236">
        <v>12.06</v>
      </c>
      <c r="G195" s="174" t="s">
        <v>32</v>
      </c>
      <c r="H195" s="174" t="s">
        <v>33</v>
      </c>
      <c r="I195" s="123"/>
      <c r="J195" s="152"/>
      <c r="K195" s="174" t="s">
        <v>1754</v>
      </c>
      <c r="L195" s="237">
        <v>83246.02</v>
      </c>
      <c r="M195" s="141">
        <v>65316.1</v>
      </c>
      <c r="N195" s="105">
        <v>2021.12</v>
      </c>
      <c r="O195" s="102" t="s">
        <v>2147</v>
      </c>
      <c r="P195" s="159" t="s">
        <v>1756</v>
      </c>
      <c r="Q195" s="159">
        <v>18634872802</v>
      </c>
      <c r="R195" s="106" t="s">
        <v>2147</v>
      </c>
      <c r="S195" s="125" t="s">
        <v>1736</v>
      </c>
      <c r="T195" s="125"/>
    </row>
    <row r="196" spans="1:20" ht="24.95" customHeight="1">
      <c r="A196" s="117" t="s">
        <v>2148</v>
      </c>
      <c r="B196" s="102" t="s">
        <v>2149</v>
      </c>
      <c r="C196" s="102" t="s">
        <v>2150</v>
      </c>
      <c r="D196" s="123" t="s">
        <v>62</v>
      </c>
      <c r="E196" s="102"/>
      <c r="F196" s="102">
        <v>31.3</v>
      </c>
      <c r="G196" s="174" t="s">
        <v>32</v>
      </c>
      <c r="H196" s="238" t="s">
        <v>33</v>
      </c>
      <c r="I196" s="123"/>
      <c r="J196" s="102"/>
      <c r="K196" s="102" t="s">
        <v>2151</v>
      </c>
      <c r="L196" s="102">
        <v>120989.734513274</v>
      </c>
      <c r="M196" s="102">
        <v>120989.734513274</v>
      </c>
      <c r="N196" s="239">
        <v>44409</v>
      </c>
      <c r="O196" s="102" t="s">
        <v>2152</v>
      </c>
      <c r="P196" s="240" t="s">
        <v>2153</v>
      </c>
      <c r="Q196" s="240">
        <v>13546718283</v>
      </c>
      <c r="R196" s="106" t="s">
        <v>2154</v>
      </c>
      <c r="S196" s="103" t="s">
        <v>2155</v>
      </c>
      <c r="T196" s="125"/>
    </row>
    <row r="197" spans="1:20" ht="24.95" customHeight="1">
      <c r="A197" s="117" t="s">
        <v>2156</v>
      </c>
      <c r="B197" s="102" t="s">
        <v>2149</v>
      </c>
      <c r="C197" s="102" t="s">
        <v>2150</v>
      </c>
      <c r="D197" s="123" t="s">
        <v>62</v>
      </c>
      <c r="E197" s="102"/>
      <c r="F197" s="102">
        <v>52.18</v>
      </c>
      <c r="G197" s="174" t="s">
        <v>32</v>
      </c>
      <c r="H197" s="238" t="s">
        <v>33</v>
      </c>
      <c r="I197" s="123"/>
      <c r="J197" s="102"/>
      <c r="K197" s="102" t="s">
        <v>2151</v>
      </c>
      <c r="L197" s="150">
        <v>227922.24</v>
      </c>
      <c r="M197" s="150">
        <v>227922.24</v>
      </c>
      <c r="N197" s="239">
        <v>44502</v>
      </c>
      <c r="O197" s="102" t="s">
        <v>2152</v>
      </c>
      <c r="P197" s="240" t="s">
        <v>2153</v>
      </c>
      <c r="Q197" s="240">
        <v>13546718283</v>
      </c>
      <c r="R197" s="106" t="s">
        <v>2154</v>
      </c>
      <c r="S197" s="103" t="s">
        <v>2155</v>
      </c>
      <c r="T197" s="125"/>
    </row>
    <row r="198" spans="1:20" ht="24.95" customHeight="1">
      <c r="A198" s="117" t="s">
        <v>2157</v>
      </c>
      <c r="B198" s="102" t="s">
        <v>281</v>
      </c>
      <c r="C198" s="102" t="s">
        <v>2150</v>
      </c>
      <c r="D198" s="123" t="s">
        <v>62</v>
      </c>
      <c r="E198" s="102"/>
      <c r="F198" s="102">
        <v>21.82</v>
      </c>
      <c r="G198" s="174" t="s">
        <v>32</v>
      </c>
      <c r="H198" s="238" t="s">
        <v>33</v>
      </c>
      <c r="I198" s="123"/>
      <c r="J198" s="102"/>
      <c r="K198" s="102" t="s">
        <v>2151</v>
      </c>
      <c r="L198" s="150">
        <v>95309.759999999995</v>
      </c>
      <c r="M198" s="150">
        <v>95309.759999999995</v>
      </c>
      <c r="N198" s="239">
        <v>44621</v>
      </c>
      <c r="O198" s="102" t="s">
        <v>2158</v>
      </c>
      <c r="P198" s="240" t="s">
        <v>2153</v>
      </c>
      <c r="Q198" s="240">
        <v>13546718283</v>
      </c>
      <c r="R198" s="106" t="s">
        <v>2154</v>
      </c>
      <c r="S198" s="103" t="s">
        <v>2155</v>
      </c>
      <c r="T198" s="125"/>
    </row>
    <row r="199" spans="1:20" ht="24.95" customHeight="1">
      <c r="A199" s="117" t="s">
        <v>2159</v>
      </c>
      <c r="B199" s="102" t="s">
        <v>29</v>
      </c>
      <c r="C199" s="102" t="s">
        <v>2160</v>
      </c>
      <c r="D199" s="123" t="s">
        <v>62</v>
      </c>
      <c r="E199" s="102"/>
      <c r="F199" s="102">
        <v>31.36</v>
      </c>
      <c r="G199" s="174" t="s">
        <v>32</v>
      </c>
      <c r="H199" s="238" t="s">
        <v>33</v>
      </c>
      <c r="I199" s="123"/>
      <c r="J199" s="102"/>
      <c r="K199" s="102" t="s">
        <v>2161</v>
      </c>
      <c r="L199" s="150">
        <v>225903.00884955801</v>
      </c>
      <c r="M199" s="150">
        <v>225903.00884955801</v>
      </c>
      <c r="N199" s="239">
        <v>44562</v>
      </c>
      <c r="O199" s="102" t="s">
        <v>2162</v>
      </c>
      <c r="P199" s="240" t="s">
        <v>2153</v>
      </c>
      <c r="Q199" s="240">
        <v>13546718283</v>
      </c>
      <c r="R199" s="106" t="s">
        <v>2154</v>
      </c>
      <c r="S199" s="103" t="s">
        <v>2155</v>
      </c>
      <c r="T199" s="125"/>
    </row>
    <row r="200" spans="1:20" ht="24.95" customHeight="1">
      <c r="A200" s="117" t="s">
        <v>2163</v>
      </c>
      <c r="B200" s="102" t="s">
        <v>29</v>
      </c>
      <c r="C200" s="102" t="s">
        <v>2164</v>
      </c>
      <c r="D200" s="123" t="s">
        <v>62</v>
      </c>
      <c r="E200" s="102"/>
      <c r="F200" s="102">
        <v>29.4</v>
      </c>
      <c r="G200" s="174" t="s">
        <v>32</v>
      </c>
      <c r="H200" s="238" t="s">
        <v>33</v>
      </c>
      <c r="I200" s="123"/>
      <c r="J200" s="102"/>
      <c r="K200" s="102" t="s">
        <v>2161</v>
      </c>
      <c r="L200" s="150">
        <v>211784.07079646</v>
      </c>
      <c r="M200" s="150">
        <v>211784.07079646</v>
      </c>
      <c r="N200" s="239">
        <v>44562</v>
      </c>
      <c r="O200" s="102" t="s">
        <v>2162</v>
      </c>
      <c r="P200" s="240" t="s">
        <v>2153</v>
      </c>
      <c r="Q200" s="240">
        <v>13546718283</v>
      </c>
      <c r="R200" s="106" t="s">
        <v>2154</v>
      </c>
      <c r="S200" s="103" t="s">
        <v>2155</v>
      </c>
      <c r="T200" s="125"/>
    </row>
    <row r="201" spans="1:20" ht="24.95" customHeight="1">
      <c r="A201" s="117" t="s">
        <v>2165</v>
      </c>
      <c r="B201" s="102" t="s">
        <v>29</v>
      </c>
      <c r="C201" s="102" t="s">
        <v>2164</v>
      </c>
      <c r="D201" s="123" t="s">
        <v>62</v>
      </c>
      <c r="E201" s="102"/>
      <c r="F201" s="102">
        <v>23.4</v>
      </c>
      <c r="G201" s="174" t="s">
        <v>32</v>
      </c>
      <c r="H201" s="238" t="s">
        <v>33</v>
      </c>
      <c r="I201" s="123"/>
      <c r="J201" s="102"/>
      <c r="K201" s="102" t="s">
        <v>2161</v>
      </c>
      <c r="L201" s="150">
        <v>168562.83185840701</v>
      </c>
      <c r="M201" s="150">
        <v>168562.83185840701</v>
      </c>
      <c r="N201" s="239">
        <v>44562</v>
      </c>
      <c r="O201" s="102" t="s">
        <v>2162</v>
      </c>
      <c r="P201" s="240" t="s">
        <v>2153</v>
      </c>
      <c r="Q201" s="240">
        <v>13546718283</v>
      </c>
      <c r="R201" s="106" t="s">
        <v>2154</v>
      </c>
      <c r="S201" s="103" t="s">
        <v>2155</v>
      </c>
      <c r="T201" s="125"/>
    </row>
    <row r="202" spans="1:20" ht="24.95" customHeight="1">
      <c r="A202" s="117" t="s">
        <v>2166</v>
      </c>
      <c r="B202" s="102" t="s">
        <v>29</v>
      </c>
      <c r="C202" s="102" t="s">
        <v>2160</v>
      </c>
      <c r="D202" s="123" t="s">
        <v>62</v>
      </c>
      <c r="E202" s="102"/>
      <c r="F202" s="102">
        <v>27.72</v>
      </c>
      <c r="G202" s="174" t="s">
        <v>32</v>
      </c>
      <c r="H202" s="238" t="s">
        <v>33</v>
      </c>
      <c r="I202" s="123"/>
      <c r="J202" s="102"/>
      <c r="K202" s="102" t="s">
        <v>2161</v>
      </c>
      <c r="L202" s="150">
        <v>199682.12389380499</v>
      </c>
      <c r="M202" s="150">
        <v>199682.12389380499</v>
      </c>
      <c r="N202" s="239">
        <v>44562</v>
      </c>
      <c r="O202" s="102" t="s">
        <v>2162</v>
      </c>
      <c r="P202" s="240" t="s">
        <v>2153</v>
      </c>
      <c r="Q202" s="240">
        <v>13546718283</v>
      </c>
      <c r="R202" s="106" t="s">
        <v>2154</v>
      </c>
      <c r="S202" s="103" t="s">
        <v>2155</v>
      </c>
      <c r="T202" s="125"/>
    </row>
    <row r="203" spans="1:20" ht="24.95" customHeight="1">
      <c r="A203" s="117" t="s">
        <v>2167</v>
      </c>
      <c r="B203" s="102" t="s">
        <v>29</v>
      </c>
      <c r="C203" s="102" t="s">
        <v>2160</v>
      </c>
      <c r="D203" s="123" t="s">
        <v>62</v>
      </c>
      <c r="E203" s="102"/>
      <c r="F203" s="102">
        <v>29.48</v>
      </c>
      <c r="G203" s="174" t="s">
        <v>32</v>
      </c>
      <c r="H203" s="238" t="s">
        <v>33</v>
      </c>
      <c r="I203" s="123"/>
      <c r="J203" s="102"/>
      <c r="K203" s="102" t="s">
        <v>2161</v>
      </c>
      <c r="L203" s="150">
        <v>212360.35398230099</v>
      </c>
      <c r="M203" s="150">
        <v>212360.35398230099</v>
      </c>
      <c r="N203" s="239">
        <v>44562</v>
      </c>
      <c r="O203" s="102" t="s">
        <v>2162</v>
      </c>
      <c r="P203" s="240" t="s">
        <v>2153</v>
      </c>
      <c r="Q203" s="240">
        <v>13546718283</v>
      </c>
      <c r="R203" s="106" t="s">
        <v>2154</v>
      </c>
      <c r="S203" s="103" t="s">
        <v>2155</v>
      </c>
      <c r="T203" s="125"/>
    </row>
    <row r="204" spans="1:20" ht="24.95" customHeight="1">
      <c r="A204" s="117" t="s">
        <v>2168</v>
      </c>
      <c r="B204" s="102" t="s">
        <v>29</v>
      </c>
      <c r="C204" s="102" t="s">
        <v>2160</v>
      </c>
      <c r="D204" s="123" t="s">
        <v>62</v>
      </c>
      <c r="E204" s="102"/>
      <c r="F204" s="102">
        <v>11.9</v>
      </c>
      <c r="G204" s="174" t="s">
        <v>32</v>
      </c>
      <c r="H204" s="238" t="s">
        <v>33</v>
      </c>
      <c r="I204" s="123"/>
      <c r="J204" s="102"/>
      <c r="K204" s="102" t="s">
        <v>2161</v>
      </c>
      <c r="L204" s="150">
        <v>85722.123893805299</v>
      </c>
      <c r="M204" s="150">
        <v>85722.123893805299</v>
      </c>
      <c r="N204" s="239">
        <v>44562</v>
      </c>
      <c r="O204" s="102" t="s">
        <v>2162</v>
      </c>
      <c r="P204" s="240" t="s">
        <v>2153</v>
      </c>
      <c r="Q204" s="240">
        <v>13546718283</v>
      </c>
      <c r="R204" s="106" t="s">
        <v>2154</v>
      </c>
      <c r="S204" s="103" t="s">
        <v>2155</v>
      </c>
      <c r="T204" s="125"/>
    </row>
    <row r="205" spans="1:20" ht="24.95" customHeight="1">
      <c r="A205" s="117" t="s">
        <v>2169</v>
      </c>
      <c r="B205" s="102" t="s">
        <v>29</v>
      </c>
      <c r="C205" s="102" t="s">
        <v>2170</v>
      </c>
      <c r="D205" s="123" t="s">
        <v>62</v>
      </c>
      <c r="E205" s="102"/>
      <c r="F205" s="102">
        <v>30.16</v>
      </c>
      <c r="G205" s="174" t="s">
        <v>32</v>
      </c>
      <c r="H205" s="238" t="s">
        <v>33</v>
      </c>
      <c r="I205" s="123"/>
      <c r="J205" s="102"/>
      <c r="K205" s="102" t="s">
        <v>2161</v>
      </c>
      <c r="L205" s="150">
        <v>217258.76106194701</v>
      </c>
      <c r="M205" s="150">
        <v>217258.76106194701</v>
      </c>
      <c r="N205" s="239">
        <v>44562</v>
      </c>
      <c r="O205" s="102" t="s">
        <v>2162</v>
      </c>
      <c r="P205" s="240" t="s">
        <v>2153</v>
      </c>
      <c r="Q205" s="240">
        <v>13546718283</v>
      </c>
      <c r="R205" s="106" t="s">
        <v>2154</v>
      </c>
      <c r="S205" s="103" t="s">
        <v>2155</v>
      </c>
      <c r="T205" s="125"/>
    </row>
    <row r="206" spans="1:20" ht="24.95" customHeight="1">
      <c r="A206" s="117" t="s">
        <v>2171</v>
      </c>
      <c r="B206" s="102" t="s">
        <v>29</v>
      </c>
      <c r="C206" s="102" t="s">
        <v>2170</v>
      </c>
      <c r="D206" s="123" t="s">
        <v>62</v>
      </c>
      <c r="E206" s="102"/>
      <c r="F206" s="102">
        <v>29.36</v>
      </c>
      <c r="G206" s="174" t="s">
        <v>32</v>
      </c>
      <c r="H206" s="238" t="s">
        <v>33</v>
      </c>
      <c r="I206" s="123"/>
      <c r="J206" s="102"/>
      <c r="K206" s="102" t="s">
        <v>2161</v>
      </c>
      <c r="L206" s="150">
        <v>211495.92920354</v>
      </c>
      <c r="M206" s="150">
        <v>211495.92920354</v>
      </c>
      <c r="N206" s="239">
        <v>44562</v>
      </c>
      <c r="O206" s="102" t="s">
        <v>2162</v>
      </c>
      <c r="P206" s="240" t="s">
        <v>2153</v>
      </c>
      <c r="Q206" s="240">
        <v>13546718283</v>
      </c>
      <c r="R206" s="106" t="s">
        <v>2154</v>
      </c>
      <c r="S206" s="103" t="s">
        <v>2155</v>
      </c>
      <c r="T206" s="125"/>
    </row>
    <row r="207" spans="1:20" ht="24.95" customHeight="1">
      <c r="A207" s="117" t="s">
        <v>2172</v>
      </c>
      <c r="B207" s="102" t="s">
        <v>29</v>
      </c>
      <c r="C207" s="102" t="s">
        <v>2170</v>
      </c>
      <c r="D207" s="123" t="s">
        <v>62</v>
      </c>
      <c r="E207" s="102"/>
      <c r="F207" s="102">
        <v>25.08</v>
      </c>
      <c r="G207" s="174" t="s">
        <v>32</v>
      </c>
      <c r="H207" s="238" t="s">
        <v>33</v>
      </c>
      <c r="I207" s="123"/>
      <c r="J207" s="102"/>
      <c r="K207" s="102" t="s">
        <v>2161</v>
      </c>
      <c r="L207" s="150">
        <v>180664.77876106201</v>
      </c>
      <c r="M207" s="150">
        <v>180664.77876106201</v>
      </c>
      <c r="N207" s="239">
        <v>44562</v>
      </c>
      <c r="O207" s="102" t="s">
        <v>2162</v>
      </c>
      <c r="P207" s="240" t="s">
        <v>2153</v>
      </c>
      <c r="Q207" s="240">
        <v>13546718283</v>
      </c>
      <c r="R207" s="106" t="s">
        <v>2154</v>
      </c>
      <c r="S207" s="103" t="s">
        <v>2155</v>
      </c>
      <c r="T207" s="125"/>
    </row>
    <row r="208" spans="1:20" ht="24.95" customHeight="1">
      <c r="A208" s="117" t="s">
        <v>2173</v>
      </c>
      <c r="B208" s="102" t="s">
        <v>29</v>
      </c>
      <c r="C208" s="102" t="s">
        <v>2174</v>
      </c>
      <c r="D208" s="123" t="s">
        <v>62</v>
      </c>
      <c r="E208" s="102"/>
      <c r="F208" s="102">
        <v>25.22</v>
      </c>
      <c r="G208" s="174" t="s">
        <v>32</v>
      </c>
      <c r="H208" s="238" t="s">
        <v>33</v>
      </c>
      <c r="I208" s="123"/>
      <c r="J208" s="102"/>
      <c r="K208" s="102" t="s">
        <v>2161</v>
      </c>
      <c r="L208" s="150">
        <v>181673.27433628301</v>
      </c>
      <c r="M208" s="150">
        <v>181673.27433628301</v>
      </c>
      <c r="N208" s="239">
        <v>44562</v>
      </c>
      <c r="O208" s="102" t="s">
        <v>2162</v>
      </c>
      <c r="P208" s="240" t="s">
        <v>2153</v>
      </c>
      <c r="Q208" s="240">
        <v>13546718283</v>
      </c>
      <c r="R208" s="106" t="s">
        <v>2154</v>
      </c>
      <c r="S208" s="103" t="s">
        <v>2155</v>
      </c>
      <c r="T208" s="125"/>
    </row>
    <row r="209" spans="1:20" ht="24.95" customHeight="1">
      <c r="A209" s="117" t="s">
        <v>2175</v>
      </c>
      <c r="B209" s="102" t="s">
        <v>29</v>
      </c>
      <c r="C209" s="102" t="s">
        <v>2170</v>
      </c>
      <c r="D209" s="123" t="s">
        <v>62</v>
      </c>
      <c r="E209" s="102"/>
      <c r="F209" s="102">
        <v>3.94</v>
      </c>
      <c r="G209" s="174" t="s">
        <v>32</v>
      </c>
      <c r="H209" s="238" t="s">
        <v>33</v>
      </c>
      <c r="I209" s="123"/>
      <c r="J209" s="102"/>
      <c r="K209" s="102" t="s">
        <v>2161</v>
      </c>
      <c r="L209" s="150">
        <v>28381.946902654901</v>
      </c>
      <c r="M209" s="150">
        <v>28381.946902654901</v>
      </c>
      <c r="N209" s="239">
        <v>44562</v>
      </c>
      <c r="O209" s="102" t="s">
        <v>2162</v>
      </c>
      <c r="P209" s="240" t="s">
        <v>2153</v>
      </c>
      <c r="Q209" s="240">
        <v>13546718283</v>
      </c>
      <c r="R209" s="106" t="s">
        <v>2154</v>
      </c>
      <c r="S209" s="103" t="s">
        <v>2155</v>
      </c>
      <c r="T209" s="125"/>
    </row>
    <row r="210" spans="1:20" ht="24.95" customHeight="1">
      <c r="A210" s="117" t="s">
        <v>2176</v>
      </c>
      <c r="B210" s="102" t="s">
        <v>29</v>
      </c>
      <c r="C210" s="102" t="s">
        <v>2177</v>
      </c>
      <c r="D210" s="123" t="s">
        <v>62</v>
      </c>
      <c r="E210" s="102"/>
      <c r="F210" s="102">
        <v>22.9</v>
      </c>
      <c r="G210" s="174" t="s">
        <v>32</v>
      </c>
      <c r="H210" s="238" t="s">
        <v>33</v>
      </c>
      <c r="I210" s="123"/>
      <c r="J210" s="102"/>
      <c r="K210" s="102" t="s">
        <v>2161</v>
      </c>
      <c r="L210" s="150">
        <v>164961.06194690301</v>
      </c>
      <c r="M210" s="150">
        <v>164961.06194690301</v>
      </c>
      <c r="N210" s="239">
        <v>44562</v>
      </c>
      <c r="O210" s="102" t="s">
        <v>2162</v>
      </c>
      <c r="P210" s="240" t="s">
        <v>2153</v>
      </c>
      <c r="Q210" s="240">
        <v>13546718283</v>
      </c>
      <c r="R210" s="106" t="s">
        <v>2154</v>
      </c>
      <c r="S210" s="103" t="s">
        <v>2155</v>
      </c>
      <c r="T210" s="125"/>
    </row>
    <row r="211" spans="1:20" ht="24.95" customHeight="1">
      <c r="A211" s="117" t="s">
        <v>2178</v>
      </c>
      <c r="B211" s="102" t="s">
        <v>29</v>
      </c>
      <c r="C211" s="102" t="s">
        <v>2177</v>
      </c>
      <c r="D211" s="123" t="s">
        <v>62</v>
      </c>
      <c r="E211" s="102"/>
      <c r="F211" s="102">
        <v>30.5</v>
      </c>
      <c r="G211" s="174" t="s">
        <v>32</v>
      </c>
      <c r="H211" s="238" t="s">
        <v>33</v>
      </c>
      <c r="I211" s="123"/>
      <c r="J211" s="102"/>
      <c r="K211" s="102" t="s">
        <v>2161</v>
      </c>
      <c r="L211" s="150">
        <v>219707.96460177001</v>
      </c>
      <c r="M211" s="150">
        <v>219707.96460177001</v>
      </c>
      <c r="N211" s="239">
        <v>44562</v>
      </c>
      <c r="O211" s="102" t="s">
        <v>2162</v>
      </c>
      <c r="P211" s="240" t="s">
        <v>2153</v>
      </c>
      <c r="Q211" s="240">
        <v>13546718283</v>
      </c>
      <c r="R211" s="106" t="s">
        <v>2154</v>
      </c>
      <c r="S211" s="103" t="s">
        <v>2155</v>
      </c>
      <c r="T211" s="125"/>
    </row>
    <row r="212" spans="1:20" ht="24.95" customHeight="1">
      <c r="A212" s="117" t="s">
        <v>2179</v>
      </c>
      <c r="B212" s="102" t="s">
        <v>29</v>
      </c>
      <c r="C212" s="102" t="s">
        <v>2177</v>
      </c>
      <c r="D212" s="123" t="s">
        <v>62</v>
      </c>
      <c r="E212" s="102"/>
      <c r="F212" s="102">
        <v>26.46</v>
      </c>
      <c r="G212" s="174" t="s">
        <v>32</v>
      </c>
      <c r="H212" s="238" t="s">
        <v>33</v>
      </c>
      <c r="I212" s="123"/>
      <c r="J212" s="102"/>
      <c r="K212" s="102" t="s">
        <v>2161</v>
      </c>
      <c r="L212" s="150">
        <v>190605.66371681399</v>
      </c>
      <c r="M212" s="150">
        <v>190605.66371681399</v>
      </c>
      <c r="N212" s="239">
        <v>44562</v>
      </c>
      <c r="O212" s="102" t="s">
        <v>2162</v>
      </c>
      <c r="P212" s="240" t="s">
        <v>2153</v>
      </c>
      <c r="Q212" s="240">
        <v>13546718283</v>
      </c>
      <c r="R212" s="106" t="s">
        <v>2154</v>
      </c>
      <c r="S212" s="103" t="s">
        <v>2155</v>
      </c>
      <c r="T212" s="125"/>
    </row>
    <row r="213" spans="1:20" ht="24.95" customHeight="1">
      <c r="A213" s="117" t="s">
        <v>2180</v>
      </c>
      <c r="B213" s="102" t="s">
        <v>29</v>
      </c>
      <c r="C213" s="102" t="s">
        <v>2160</v>
      </c>
      <c r="D213" s="123" t="s">
        <v>62</v>
      </c>
      <c r="E213" s="102"/>
      <c r="F213" s="102">
        <v>22.86</v>
      </c>
      <c r="G213" s="174" t="s">
        <v>32</v>
      </c>
      <c r="H213" s="238" t="s">
        <v>33</v>
      </c>
      <c r="I213" s="123"/>
      <c r="J213" s="102"/>
      <c r="K213" s="102" t="s">
        <v>2161</v>
      </c>
      <c r="L213" s="150">
        <v>164672.92035398199</v>
      </c>
      <c r="M213" s="150">
        <v>164672.92035398199</v>
      </c>
      <c r="N213" s="239">
        <v>44562</v>
      </c>
      <c r="O213" s="102" t="s">
        <v>2162</v>
      </c>
      <c r="P213" s="240" t="s">
        <v>2153</v>
      </c>
      <c r="Q213" s="240">
        <v>13546718283</v>
      </c>
      <c r="R213" s="106" t="s">
        <v>2154</v>
      </c>
      <c r="S213" s="103" t="s">
        <v>2155</v>
      </c>
      <c r="T213" s="125"/>
    </row>
    <row r="214" spans="1:20" ht="24.95" customHeight="1">
      <c r="A214" s="117" t="s">
        <v>2181</v>
      </c>
      <c r="B214" s="102" t="s">
        <v>29</v>
      </c>
      <c r="C214" s="102" t="s">
        <v>2160</v>
      </c>
      <c r="D214" s="123" t="s">
        <v>62</v>
      </c>
      <c r="E214" s="102"/>
      <c r="F214" s="102">
        <v>28.84</v>
      </c>
      <c r="G214" s="174" t="s">
        <v>32</v>
      </c>
      <c r="H214" s="238" t="s">
        <v>33</v>
      </c>
      <c r="I214" s="123"/>
      <c r="J214" s="102"/>
      <c r="K214" s="102" t="s">
        <v>2161</v>
      </c>
      <c r="L214" s="150">
        <v>207750.08849557501</v>
      </c>
      <c r="M214" s="150">
        <v>207750.08849557501</v>
      </c>
      <c r="N214" s="239">
        <v>44562</v>
      </c>
      <c r="O214" s="102" t="s">
        <v>2162</v>
      </c>
      <c r="P214" s="240" t="s">
        <v>2153</v>
      </c>
      <c r="Q214" s="240">
        <v>13546718283</v>
      </c>
      <c r="R214" s="106" t="s">
        <v>2154</v>
      </c>
      <c r="S214" s="103" t="s">
        <v>2155</v>
      </c>
      <c r="T214" s="125"/>
    </row>
    <row r="215" spans="1:20" ht="24.95" customHeight="1">
      <c r="A215" s="241">
        <v>2</v>
      </c>
      <c r="B215" s="102" t="s">
        <v>84</v>
      </c>
      <c r="C215" s="102"/>
      <c r="D215" s="123"/>
      <c r="E215" s="102"/>
      <c r="F215" s="102"/>
      <c r="G215" s="102"/>
      <c r="H215" s="105"/>
      <c r="I215" s="123"/>
      <c r="J215" s="102"/>
      <c r="K215" s="102"/>
      <c r="L215" s="102"/>
      <c r="M215" s="141">
        <v>115301.95</v>
      </c>
      <c r="N215" s="102"/>
      <c r="O215" s="102"/>
      <c r="P215" s="123"/>
      <c r="Q215" s="102"/>
      <c r="R215" s="106"/>
      <c r="S215" s="125" t="s">
        <v>1736</v>
      </c>
      <c r="T215" s="125"/>
    </row>
    <row r="216" spans="1:20" ht="24.95" customHeight="1">
      <c r="A216" s="117" t="s">
        <v>2182</v>
      </c>
      <c r="B216" s="102" t="s">
        <v>2183</v>
      </c>
      <c r="C216" s="1804" t="s">
        <v>2184</v>
      </c>
      <c r="D216" s="123" t="s">
        <v>62</v>
      </c>
      <c r="E216" s="1804">
        <v>19</v>
      </c>
      <c r="F216" s="102">
        <f>641.355-63.74</f>
        <v>577.61500000000001</v>
      </c>
      <c r="G216" s="102" t="s">
        <v>32</v>
      </c>
      <c r="H216" s="102" t="s">
        <v>33</v>
      </c>
      <c r="I216" s="1804" t="s">
        <v>2185</v>
      </c>
      <c r="J216" s="1804" t="s">
        <v>2186</v>
      </c>
      <c r="K216" s="102" t="s">
        <v>2187</v>
      </c>
      <c r="L216" s="102">
        <f>F216*4080</f>
        <v>2356669.2000000002</v>
      </c>
      <c r="M216" s="141">
        <v>6963.72</v>
      </c>
      <c r="N216" s="102" t="s">
        <v>2188</v>
      </c>
      <c r="O216" s="102"/>
      <c r="P216" s="123" t="s">
        <v>2189</v>
      </c>
      <c r="Q216" s="102">
        <v>18903416067</v>
      </c>
      <c r="R216" s="102" t="s">
        <v>2190</v>
      </c>
      <c r="S216" s="125" t="s">
        <v>1736</v>
      </c>
      <c r="T216" s="125"/>
    </row>
    <row r="217" spans="1:20" ht="24.95" customHeight="1">
      <c r="A217" s="117" t="s">
        <v>2191</v>
      </c>
      <c r="B217" s="102" t="s">
        <v>2183</v>
      </c>
      <c r="C217" s="1805"/>
      <c r="D217" s="123" t="s">
        <v>62</v>
      </c>
      <c r="E217" s="1805"/>
      <c r="F217" s="102">
        <v>63.74</v>
      </c>
      <c r="G217" s="102" t="s">
        <v>32</v>
      </c>
      <c r="H217" s="102" t="s">
        <v>33</v>
      </c>
      <c r="I217" s="1807"/>
      <c r="J217" s="1807"/>
      <c r="K217" s="102" t="s">
        <v>2192</v>
      </c>
      <c r="L217" s="102">
        <f>F217*4080</f>
        <v>260059.2</v>
      </c>
      <c r="M217" s="141">
        <v>65316.1</v>
      </c>
      <c r="N217" s="102">
        <v>2015.11</v>
      </c>
      <c r="O217" s="102"/>
      <c r="P217" s="123" t="s">
        <v>2189</v>
      </c>
      <c r="Q217" s="102">
        <v>18903416067</v>
      </c>
      <c r="R217" s="102" t="s">
        <v>2190</v>
      </c>
      <c r="S217" s="125" t="s">
        <v>1736</v>
      </c>
      <c r="T217" s="125"/>
    </row>
    <row r="218" spans="1:20" ht="24.95" customHeight="1">
      <c r="A218" s="117" t="s">
        <v>2193</v>
      </c>
      <c r="B218" s="102" t="s">
        <v>2183</v>
      </c>
      <c r="C218" s="102" t="s">
        <v>2194</v>
      </c>
      <c r="D218" s="123" t="s">
        <v>62</v>
      </c>
      <c r="E218" s="242">
        <v>7</v>
      </c>
      <c r="F218" s="243">
        <v>495.24</v>
      </c>
      <c r="G218" s="102" t="s">
        <v>32</v>
      </c>
      <c r="H218" s="102" t="s">
        <v>33</v>
      </c>
      <c r="I218" s="1805"/>
      <c r="J218" s="1805"/>
      <c r="K218" s="102" t="s">
        <v>2187</v>
      </c>
      <c r="L218" s="102">
        <v>3268584</v>
      </c>
      <c r="M218" s="103">
        <f>3268584-284170.09</f>
        <v>2984413.91</v>
      </c>
      <c r="N218" s="244" t="s">
        <v>2195</v>
      </c>
      <c r="O218" s="102"/>
      <c r="P218" s="123" t="s">
        <v>2189</v>
      </c>
      <c r="Q218" s="102">
        <v>18903416067</v>
      </c>
      <c r="R218" s="102" t="s">
        <v>2190</v>
      </c>
      <c r="S218" s="125" t="s">
        <v>1736</v>
      </c>
      <c r="T218" s="125"/>
    </row>
    <row r="219" spans="1:20" ht="24.95" customHeight="1">
      <c r="A219" s="117" t="s">
        <v>2196</v>
      </c>
      <c r="B219" s="245" t="s">
        <v>1593</v>
      </c>
      <c r="C219" s="245" t="s">
        <v>2197</v>
      </c>
      <c r="D219" s="245" t="s">
        <v>62</v>
      </c>
      <c r="E219" s="102">
        <v>1</v>
      </c>
      <c r="F219" s="245">
        <v>104.29</v>
      </c>
      <c r="G219" s="102" t="s">
        <v>32</v>
      </c>
      <c r="H219" s="105" t="s">
        <v>2198</v>
      </c>
      <c r="I219" s="123"/>
      <c r="J219" s="102" t="s">
        <v>2199</v>
      </c>
      <c r="K219" s="245"/>
      <c r="L219" s="246">
        <v>211191.01</v>
      </c>
      <c r="M219" s="247">
        <f>211191.01-69335.52</f>
        <v>141855.49</v>
      </c>
      <c r="N219" s="248" t="s">
        <v>2200</v>
      </c>
      <c r="O219" s="245" t="s">
        <v>2201</v>
      </c>
      <c r="P219" s="245" t="s">
        <v>2189</v>
      </c>
      <c r="Q219" s="245">
        <v>18903416067</v>
      </c>
      <c r="R219" s="106" t="s">
        <v>2190</v>
      </c>
      <c r="S219" s="125" t="s">
        <v>1736</v>
      </c>
      <c r="T219" s="125"/>
    </row>
    <row r="220" spans="1:20" ht="24.95" customHeight="1">
      <c r="A220" s="117" t="s">
        <v>2202</v>
      </c>
      <c r="B220" s="249" t="s">
        <v>281</v>
      </c>
      <c r="C220" s="250" t="s">
        <v>2203</v>
      </c>
      <c r="D220" s="123" t="s">
        <v>62</v>
      </c>
      <c r="E220" s="102">
        <v>1</v>
      </c>
      <c r="F220" s="147">
        <f>58.5-0.243</f>
        <v>58.256999999999998</v>
      </c>
      <c r="G220" s="251" t="s">
        <v>32</v>
      </c>
      <c r="H220" s="105" t="s">
        <v>33</v>
      </c>
      <c r="I220" s="123"/>
      <c r="J220" s="102"/>
      <c r="K220" s="1804" t="s">
        <v>2204</v>
      </c>
      <c r="L220" s="113">
        <v>350546.429849368</v>
      </c>
      <c r="M220" s="148">
        <v>33594.46</v>
      </c>
      <c r="N220" s="252" t="s">
        <v>2205</v>
      </c>
      <c r="O220" s="1804" t="s">
        <v>2206</v>
      </c>
      <c r="P220" s="1837" t="s">
        <v>2207</v>
      </c>
      <c r="Q220" s="1837">
        <v>15834149031</v>
      </c>
      <c r="R220" s="1838" t="s">
        <v>2208</v>
      </c>
      <c r="S220" s="253" t="s">
        <v>1736</v>
      </c>
      <c r="T220" s="125"/>
    </row>
    <row r="221" spans="1:20" ht="24.95" customHeight="1">
      <c r="A221" s="117" t="s">
        <v>2209</v>
      </c>
      <c r="B221" s="249" t="s">
        <v>281</v>
      </c>
      <c r="C221" s="102" t="s">
        <v>2210</v>
      </c>
      <c r="D221" s="123" t="s">
        <v>62</v>
      </c>
      <c r="E221" s="102">
        <v>1</v>
      </c>
      <c r="F221" s="147">
        <f>71-0.3</f>
        <v>70.7</v>
      </c>
      <c r="G221" s="251" t="s">
        <v>32</v>
      </c>
      <c r="H221" s="105" t="s">
        <v>33</v>
      </c>
      <c r="I221" s="123"/>
      <c r="J221" s="102"/>
      <c r="K221" s="1807"/>
      <c r="L221" s="113">
        <v>425418.964079</v>
      </c>
      <c r="M221" s="113">
        <v>0</v>
      </c>
      <c r="N221" s="252" t="s">
        <v>2205</v>
      </c>
      <c r="O221" s="1807"/>
      <c r="P221" s="1837"/>
      <c r="Q221" s="1837"/>
      <c r="R221" s="1838"/>
      <c r="S221" s="253" t="s">
        <v>1736</v>
      </c>
      <c r="T221" s="125"/>
    </row>
    <row r="222" spans="1:20" ht="24.95" customHeight="1">
      <c r="A222" s="117" t="s">
        <v>2211</v>
      </c>
      <c r="B222" s="249" t="s">
        <v>281</v>
      </c>
      <c r="C222" s="250" t="s">
        <v>2212</v>
      </c>
      <c r="D222" s="123" t="s">
        <v>62</v>
      </c>
      <c r="E222" s="102">
        <v>1</v>
      </c>
      <c r="F222" s="147">
        <f>24-0.4</f>
        <v>23.6</v>
      </c>
      <c r="G222" s="251" t="s">
        <v>32</v>
      </c>
      <c r="H222" s="105" t="s">
        <v>33</v>
      </c>
      <c r="I222" s="123"/>
      <c r="J222" s="102"/>
      <c r="K222" s="1805"/>
      <c r="L222" s="113">
        <v>142006.89607163201</v>
      </c>
      <c r="M222" s="148">
        <v>0</v>
      </c>
      <c r="N222" s="252" t="s">
        <v>2205</v>
      </c>
      <c r="O222" s="1805"/>
      <c r="P222" s="1837"/>
      <c r="Q222" s="1837"/>
      <c r="R222" s="1838"/>
      <c r="S222" s="253" t="s">
        <v>1736</v>
      </c>
      <c r="T222" s="125"/>
    </row>
    <row r="223" spans="1:20" ht="24.95" customHeight="1">
      <c r="A223" s="117" t="s">
        <v>2213</v>
      </c>
      <c r="B223" s="254" t="s">
        <v>281</v>
      </c>
      <c r="C223" s="214" t="s">
        <v>2214</v>
      </c>
      <c r="D223" s="123" t="s">
        <v>62</v>
      </c>
      <c r="E223" s="102">
        <v>1</v>
      </c>
      <c r="F223" s="214">
        <v>101.83</v>
      </c>
      <c r="G223" s="255" t="s">
        <v>32</v>
      </c>
      <c r="H223" s="105" t="s">
        <v>33</v>
      </c>
      <c r="I223" s="123"/>
      <c r="J223" s="102"/>
      <c r="K223" s="105" t="s">
        <v>2215</v>
      </c>
      <c r="L223" s="113">
        <v>518161.5</v>
      </c>
      <c r="M223" s="256">
        <v>75434.7</v>
      </c>
      <c r="N223" s="257" t="s">
        <v>2216</v>
      </c>
      <c r="O223" s="102" t="s">
        <v>2217</v>
      </c>
      <c r="P223" s="1837"/>
      <c r="Q223" s="1837"/>
      <c r="R223" s="1838"/>
      <c r="S223" s="253" t="s">
        <v>1736</v>
      </c>
      <c r="T223" s="125"/>
    </row>
    <row r="224" spans="1:20" ht="24.95" customHeight="1">
      <c r="A224" s="117" t="s">
        <v>2218</v>
      </c>
      <c r="B224" s="254" t="s">
        <v>281</v>
      </c>
      <c r="C224" s="258" t="s">
        <v>2212</v>
      </c>
      <c r="D224" s="123" t="s">
        <v>62</v>
      </c>
      <c r="E224" s="102"/>
      <c r="F224" s="214">
        <v>249.47</v>
      </c>
      <c r="G224" s="255" t="s">
        <v>32</v>
      </c>
      <c r="H224" s="105" t="s">
        <v>33</v>
      </c>
      <c r="I224" s="123"/>
      <c r="J224" s="102"/>
      <c r="K224" s="105" t="s">
        <v>2215</v>
      </c>
      <c r="L224" s="113">
        <v>909007.61832978099</v>
      </c>
      <c r="M224" s="148">
        <v>6779.6</v>
      </c>
      <c r="N224" s="257" t="s">
        <v>2219</v>
      </c>
      <c r="O224" s="259" t="s">
        <v>2217</v>
      </c>
      <c r="P224" s="260" t="s">
        <v>2207</v>
      </c>
      <c r="Q224" s="260">
        <v>15834149031</v>
      </c>
      <c r="R224" s="261" t="s">
        <v>2208</v>
      </c>
      <c r="S224" s="253" t="s">
        <v>1736</v>
      </c>
      <c r="T224" s="125"/>
    </row>
    <row r="225" spans="1:20" ht="24.95" customHeight="1">
      <c r="A225" s="117" t="s">
        <v>2220</v>
      </c>
      <c r="B225" s="102" t="s">
        <v>2221</v>
      </c>
      <c r="C225" s="102" t="s">
        <v>2222</v>
      </c>
      <c r="D225" s="123" t="s">
        <v>62</v>
      </c>
      <c r="E225" s="102">
        <v>150.54</v>
      </c>
      <c r="F225" s="102">
        <v>150.54</v>
      </c>
      <c r="G225" s="102" t="s">
        <v>72</v>
      </c>
      <c r="H225" s="105" t="s">
        <v>41</v>
      </c>
      <c r="I225" s="123"/>
      <c r="J225" s="102"/>
      <c r="K225" s="102"/>
      <c r="L225" s="102">
        <v>641438.9</v>
      </c>
      <c r="M225" s="103">
        <v>192431</v>
      </c>
      <c r="N225" s="102" t="s">
        <v>1910</v>
      </c>
      <c r="O225" s="1807" t="s">
        <v>1911</v>
      </c>
      <c r="P225" s="1808" t="s">
        <v>1912</v>
      </c>
      <c r="Q225" s="1807">
        <v>13509714024</v>
      </c>
      <c r="R225" s="1810" t="s">
        <v>1913</v>
      </c>
      <c r="S225" s="125" t="s">
        <v>1736</v>
      </c>
      <c r="T225" s="125"/>
    </row>
    <row r="226" spans="1:20" ht="24.95" customHeight="1">
      <c r="A226" s="117" t="s">
        <v>2223</v>
      </c>
      <c r="B226" s="102" t="s">
        <v>2221</v>
      </c>
      <c r="C226" s="102" t="s">
        <v>2224</v>
      </c>
      <c r="D226" s="123" t="s">
        <v>62</v>
      </c>
      <c r="E226" s="102">
        <v>301.08</v>
      </c>
      <c r="F226" s="102">
        <v>301.08</v>
      </c>
      <c r="G226" s="102" t="s">
        <v>72</v>
      </c>
      <c r="H226" s="105" t="s">
        <v>41</v>
      </c>
      <c r="I226" s="123"/>
      <c r="J226" s="102"/>
      <c r="K226" s="102"/>
      <c r="L226" s="102">
        <v>1282877.79</v>
      </c>
      <c r="M226" s="103">
        <v>384863</v>
      </c>
      <c r="N226" s="102" t="s">
        <v>1910</v>
      </c>
      <c r="O226" s="1807"/>
      <c r="P226" s="1808"/>
      <c r="Q226" s="1807"/>
      <c r="R226" s="1810"/>
      <c r="S226" s="125" t="s">
        <v>1736</v>
      </c>
      <c r="T226" s="125"/>
    </row>
    <row r="227" spans="1:20" ht="24.95" customHeight="1">
      <c r="A227" s="117" t="s">
        <v>2225</v>
      </c>
      <c r="B227" s="102" t="s">
        <v>2221</v>
      </c>
      <c r="C227" s="102" t="s">
        <v>2226</v>
      </c>
      <c r="D227" s="123" t="s">
        <v>62</v>
      </c>
      <c r="E227" s="102">
        <v>30.8</v>
      </c>
      <c r="F227" s="102">
        <v>30.8</v>
      </c>
      <c r="G227" s="102" t="s">
        <v>72</v>
      </c>
      <c r="H227" s="105" t="s">
        <v>41</v>
      </c>
      <c r="I227" s="123"/>
      <c r="J227" s="102"/>
      <c r="K227" s="102"/>
      <c r="L227" s="102">
        <v>178640</v>
      </c>
      <c r="M227" s="103">
        <v>53592</v>
      </c>
      <c r="N227" s="102" t="s">
        <v>2227</v>
      </c>
      <c r="O227" s="1807"/>
      <c r="P227" s="1808"/>
      <c r="Q227" s="1807"/>
      <c r="R227" s="1810"/>
      <c r="S227" s="125" t="s">
        <v>1736</v>
      </c>
      <c r="T227" s="125"/>
    </row>
    <row r="228" spans="1:20" ht="24.95" customHeight="1">
      <c r="A228" s="117" t="s">
        <v>2228</v>
      </c>
      <c r="B228" s="102" t="s">
        <v>2221</v>
      </c>
      <c r="C228" s="102" t="s">
        <v>2224</v>
      </c>
      <c r="D228" s="123" t="s">
        <v>62</v>
      </c>
      <c r="E228" s="102">
        <v>42.58</v>
      </c>
      <c r="F228" s="102">
        <v>42.58</v>
      </c>
      <c r="G228" s="102" t="s">
        <v>72</v>
      </c>
      <c r="H228" s="105" t="s">
        <v>41</v>
      </c>
      <c r="I228" s="123"/>
      <c r="J228" s="102"/>
      <c r="K228" s="102"/>
      <c r="L228" s="102">
        <v>246964</v>
      </c>
      <c r="M228" s="103">
        <v>20497.2</v>
      </c>
      <c r="N228" s="102" t="s">
        <v>2229</v>
      </c>
      <c r="O228" s="1807"/>
      <c r="P228" s="1808"/>
      <c r="Q228" s="1807"/>
      <c r="R228" s="1810"/>
      <c r="S228" s="125" t="s">
        <v>1736</v>
      </c>
      <c r="T228" s="125"/>
    </row>
    <row r="229" spans="1:20" ht="24.95" customHeight="1">
      <c r="A229" s="117" t="s">
        <v>2230</v>
      </c>
      <c r="B229" s="102" t="s">
        <v>2231</v>
      </c>
      <c r="C229" s="102" t="s">
        <v>2232</v>
      </c>
      <c r="D229" s="123" t="s">
        <v>62</v>
      </c>
      <c r="E229" s="102">
        <v>55.2</v>
      </c>
      <c r="F229" s="102">
        <v>55.2</v>
      </c>
      <c r="G229" s="102" t="s">
        <v>72</v>
      </c>
      <c r="H229" s="105" t="s">
        <v>41</v>
      </c>
      <c r="I229" s="123"/>
      <c r="J229" s="102"/>
      <c r="K229" s="102"/>
      <c r="L229" s="102">
        <v>220800</v>
      </c>
      <c r="M229" s="262">
        <v>66240</v>
      </c>
      <c r="N229" s="102" t="s">
        <v>2229</v>
      </c>
      <c r="O229" s="1805"/>
      <c r="P229" s="1809"/>
      <c r="Q229" s="1805"/>
      <c r="R229" s="1811"/>
      <c r="S229" s="125" t="s">
        <v>1736</v>
      </c>
      <c r="T229" s="125"/>
    </row>
    <row r="230" spans="1:20" ht="24.95" customHeight="1">
      <c r="A230" s="117" t="s">
        <v>2233</v>
      </c>
      <c r="B230" s="249" t="s">
        <v>2234</v>
      </c>
      <c r="C230" s="249" t="s">
        <v>166</v>
      </c>
      <c r="D230" s="123"/>
      <c r="E230" s="102">
        <v>1</v>
      </c>
      <c r="F230" s="263">
        <v>14.36</v>
      </c>
      <c r="G230" s="102" t="s">
        <v>32</v>
      </c>
      <c r="H230" s="105" t="s">
        <v>33</v>
      </c>
      <c r="I230" s="123"/>
      <c r="J230" s="106"/>
      <c r="K230" s="1833" t="s">
        <v>2235</v>
      </c>
      <c r="L230" s="123">
        <v>83618.41</v>
      </c>
      <c r="M230" s="114">
        <v>25086.41</v>
      </c>
      <c r="N230" s="102">
        <v>2019.9</v>
      </c>
      <c r="O230" s="1804" t="s">
        <v>2236</v>
      </c>
      <c r="P230" s="1822" t="s">
        <v>2237</v>
      </c>
      <c r="Q230" s="1804">
        <v>13934221581</v>
      </c>
      <c r="R230" s="1823" t="s">
        <v>2238</v>
      </c>
      <c r="S230" s="125" t="s">
        <v>1736</v>
      </c>
      <c r="T230" s="125"/>
    </row>
    <row r="231" spans="1:20" ht="24.95" customHeight="1">
      <c r="A231" s="117" t="s">
        <v>2239</v>
      </c>
      <c r="B231" s="249" t="s">
        <v>2234</v>
      </c>
      <c r="C231" s="249" t="s">
        <v>169</v>
      </c>
      <c r="D231" s="123"/>
      <c r="E231" s="102">
        <v>1</v>
      </c>
      <c r="F231" s="263">
        <v>18.739999999999998</v>
      </c>
      <c r="G231" s="102" t="s">
        <v>32</v>
      </c>
      <c r="H231" s="105" t="s">
        <v>33</v>
      </c>
      <c r="I231" s="123"/>
      <c r="J231" s="106"/>
      <c r="K231" s="1833"/>
      <c r="L231" s="123">
        <v>109123.19</v>
      </c>
      <c r="M231" s="114">
        <v>32739.19</v>
      </c>
      <c r="N231" s="102">
        <v>2019.9</v>
      </c>
      <c r="O231" s="1807"/>
      <c r="P231" s="1808"/>
      <c r="Q231" s="1807"/>
      <c r="R231" s="1810"/>
      <c r="S231" s="125" t="s">
        <v>1736</v>
      </c>
      <c r="T231" s="125"/>
    </row>
    <row r="232" spans="1:20" ht="24.95" customHeight="1">
      <c r="A232" s="117" t="s">
        <v>2240</v>
      </c>
      <c r="B232" s="249" t="s">
        <v>2234</v>
      </c>
      <c r="C232" s="249" t="s">
        <v>170</v>
      </c>
      <c r="D232" s="123"/>
      <c r="E232" s="102">
        <v>1</v>
      </c>
      <c r="F232" s="263">
        <v>19.3</v>
      </c>
      <c r="G232" s="102" t="s">
        <v>32</v>
      </c>
      <c r="H232" s="105" t="s">
        <v>33</v>
      </c>
      <c r="I232" s="123"/>
      <c r="J232" s="106"/>
      <c r="K232" s="1833"/>
      <c r="L232" s="123">
        <v>112384.07</v>
      </c>
      <c r="M232" s="114">
        <v>33716.07</v>
      </c>
      <c r="N232" s="102">
        <v>2019.9</v>
      </c>
      <c r="O232" s="1807"/>
      <c r="P232" s="1808"/>
      <c r="Q232" s="1807"/>
      <c r="R232" s="1810"/>
      <c r="S232" s="125" t="s">
        <v>1736</v>
      </c>
      <c r="T232" s="125"/>
    </row>
    <row r="233" spans="1:20" ht="24.95" customHeight="1">
      <c r="A233" s="117" t="s">
        <v>2241</v>
      </c>
      <c r="B233" s="249" t="s">
        <v>2234</v>
      </c>
      <c r="C233" s="249" t="s">
        <v>2242</v>
      </c>
      <c r="D233" s="123"/>
      <c r="E233" s="102">
        <v>1</v>
      </c>
      <c r="F233" s="263">
        <v>22</v>
      </c>
      <c r="G233" s="102" t="s">
        <v>32</v>
      </c>
      <c r="H233" s="105" t="s">
        <v>33</v>
      </c>
      <c r="I233" s="123"/>
      <c r="J233" s="106"/>
      <c r="K233" s="1833"/>
      <c r="L233" s="123">
        <v>128106.19</v>
      </c>
      <c r="M233" s="114">
        <v>38434.199999999997</v>
      </c>
      <c r="N233" s="102">
        <v>2019.9</v>
      </c>
      <c r="O233" s="1807"/>
      <c r="P233" s="1808"/>
      <c r="Q233" s="1807"/>
      <c r="R233" s="1810"/>
      <c r="S233" s="125" t="s">
        <v>1736</v>
      </c>
      <c r="T233" s="125"/>
    </row>
    <row r="234" spans="1:20" ht="24.95" customHeight="1">
      <c r="A234" s="117" t="s">
        <v>2243</v>
      </c>
      <c r="B234" s="249" t="s">
        <v>2244</v>
      </c>
      <c r="C234" s="249" t="s">
        <v>34</v>
      </c>
      <c r="D234" s="123"/>
      <c r="E234" s="102">
        <v>1</v>
      </c>
      <c r="F234" s="263">
        <v>19.420000000000002</v>
      </c>
      <c r="G234" s="102" t="s">
        <v>32</v>
      </c>
      <c r="H234" s="105" t="s">
        <v>33</v>
      </c>
      <c r="I234" s="123"/>
      <c r="J234" s="106"/>
      <c r="K234" s="1833"/>
      <c r="L234" s="123">
        <v>113082.83</v>
      </c>
      <c r="M234" s="114">
        <v>33926.83</v>
      </c>
      <c r="N234" s="102">
        <v>2019.9</v>
      </c>
      <c r="O234" s="1807"/>
      <c r="P234" s="1808"/>
      <c r="Q234" s="1807"/>
      <c r="R234" s="1810"/>
      <c r="S234" s="125" t="s">
        <v>1736</v>
      </c>
      <c r="T234" s="125"/>
    </row>
    <row r="235" spans="1:20" ht="24.95" customHeight="1">
      <c r="A235" s="117" t="s">
        <v>2245</v>
      </c>
      <c r="B235" s="249" t="s">
        <v>2246</v>
      </c>
      <c r="C235" s="249" t="s">
        <v>34</v>
      </c>
      <c r="D235" s="123"/>
      <c r="E235" s="102">
        <v>1</v>
      </c>
      <c r="F235" s="263">
        <v>22.8</v>
      </c>
      <c r="G235" s="102" t="s">
        <v>32</v>
      </c>
      <c r="H235" s="105" t="s">
        <v>33</v>
      </c>
      <c r="I235" s="123"/>
      <c r="J235" s="106"/>
      <c r="K235" s="1833"/>
      <c r="L235" s="123">
        <v>132764.6</v>
      </c>
      <c r="M235" s="114">
        <v>39832.6</v>
      </c>
      <c r="N235" s="102">
        <v>2019.9</v>
      </c>
      <c r="O235" s="1807"/>
      <c r="P235" s="1808"/>
      <c r="Q235" s="1807"/>
      <c r="R235" s="1810"/>
      <c r="S235" s="125" t="s">
        <v>1736</v>
      </c>
      <c r="T235" s="125"/>
    </row>
    <row r="236" spans="1:20" ht="24.95" customHeight="1">
      <c r="A236" s="117" t="s">
        <v>2247</v>
      </c>
      <c r="B236" s="264" t="s">
        <v>1900</v>
      </c>
      <c r="C236" s="264" t="s">
        <v>34</v>
      </c>
      <c r="D236" s="123"/>
      <c r="E236" s="102">
        <v>1</v>
      </c>
      <c r="F236" s="264">
        <v>22.3</v>
      </c>
      <c r="G236" s="102" t="s">
        <v>32</v>
      </c>
      <c r="H236" s="105" t="s">
        <v>33</v>
      </c>
      <c r="I236" s="123"/>
      <c r="J236" s="106"/>
      <c r="K236" s="1833"/>
      <c r="L236" s="123">
        <v>129853.1</v>
      </c>
      <c r="M236" s="114">
        <v>38877.1</v>
      </c>
      <c r="N236" s="102">
        <v>2019.9</v>
      </c>
      <c r="O236" s="1807"/>
      <c r="P236" s="1808"/>
      <c r="Q236" s="1807"/>
      <c r="R236" s="1810"/>
      <c r="S236" s="125" t="s">
        <v>1736</v>
      </c>
      <c r="T236" s="125"/>
    </row>
    <row r="237" spans="1:20" ht="24.95" customHeight="1">
      <c r="A237" s="117" t="s">
        <v>2248</v>
      </c>
      <c r="B237" s="254" t="s">
        <v>2234</v>
      </c>
      <c r="C237" s="165" t="s">
        <v>2242</v>
      </c>
      <c r="D237" s="123" t="s">
        <v>62</v>
      </c>
      <c r="E237" s="102">
        <v>1</v>
      </c>
      <c r="F237" s="165">
        <v>27.78</v>
      </c>
      <c r="G237" s="102" t="s">
        <v>32</v>
      </c>
      <c r="H237" s="105" t="s">
        <v>33</v>
      </c>
      <c r="I237" s="123"/>
      <c r="J237" s="106"/>
      <c r="K237" s="1834" t="s">
        <v>2235</v>
      </c>
      <c r="L237" s="265">
        <v>144062.66</v>
      </c>
      <c r="M237" s="266">
        <v>43218</v>
      </c>
      <c r="N237" s="102">
        <v>2019.11</v>
      </c>
      <c r="O237" s="1807"/>
      <c r="P237" s="1808"/>
      <c r="Q237" s="1807"/>
      <c r="R237" s="1810"/>
      <c r="S237" s="125" t="s">
        <v>1736</v>
      </c>
      <c r="T237" s="125"/>
    </row>
    <row r="238" spans="1:20" ht="24.95" customHeight="1">
      <c r="A238" s="117" t="s">
        <v>2249</v>
      </c>
      <c r="B238" s="254" t="s">
        <v>2234</v>
      </c>
      <c r="C238" s="165" t="s">
        <v>169</v>
      </c>
      <c r="D238" s="123" t="s">
        <v>62</v>
      </c>
      <c r="E238" s="102">
        <v>1</v>
      </c>
      <c r="F238" s="165">
        <v>22.48</v>
      </c>
      <c r="G238" s="102" t="s">
        <v>32</v>
      </c>
      <c r="H238" s="105" t="s">
        <v>33</v>
      </c>
      <c r="I238" s="123"/>
      <c r="J238" s="106"/>
      <c r="K238" s="1835"/>
      <c r="L238" s="265">
        <v>116577.7</v>
      </c>
      <c r="M238" s="266">
        <v>34973</v>
      </c>
      <c r="N238" s="102">
        <v>2019.11</v>
      </c>
      <c r="O238" s="1807"/>
      <c r="P238" s="1808"/>
      <c r="Q238" s="1807"/>
      <c r="R238" s="1810"/>
      <c r="S238" s="125" t="s">
        <v>1736</v>
      </c>
      <c r="T238" s="125"/>
    </row>
    <row r="239" spans="1:20" ht="24.95" customHeight="1">
      <c r="A239" s="117" t="s">
        <v>2250</v>
      </c>
      <c r="B239" s="102" t="s">
        <v>2251</v>
      </c>
      <c r="C239" s="165" t="s">
        <v>2252</v>
      </c>
      <c r="D239" s="123" t="s">
        <v>62</v>
      </c>
      <c r="E239" s="102">
        <v>1</v>
      </c>
      <c r="F239" s="165">
        <v>66.38</v>
      </c>
      <c r="G239" s="102" t="s">
        <v>32</v>
      </c>
      <c r="H239" s="105" t="s">
        <v>33</v>
      </c>
      <c r="I239" s="123"/>
      <c r="J239" s="106"/>
      <c r="K239" s="1836"/>
      <c r="L239" s="265">
        <v>344236.11</v>
      </c>
      <c r="M239" s="266">
        <v>103270</v>
      </c>
      <c r="N239" s="102">
        <v>2019.11</v>
      </c>
      <c r="O239" s="1807"/>
      <c r="P239" s="1808"/>
      <c r="Q239" s="1807"/>
      <c r="R239" s="1810"/>
      <c r="S239" s="125" t="s">
        <v>1736</v>
      </c>
      <c r="T239" s="125"/>
    </row>
    <row r="240" spans="1:20" ht="24.95" customHeight="1">
      <c r="A240" s="117" t="s">
        <v>2253</v>
      </c>
      <c r="B240" s="102" t="s">
        <v>2251</v>
      </c>
      <c r="C240" s="165" t="s">
        <v>2254</v>
      </c>
      <c r="D240" s="123" t="s">
        <v>62</v>
      </c>
      <c r="E240" s="102">
        <v>1</v>
      </c>
      <c r="F240" s="165">
        <v>62.52</v>
      </c>
      <c r="G240" s="102" t="s">
        <v>32</v>
      </c>
      <c r="H240" s="105" t="s">
        <v>33</v>
      </c>
      <c r="I240" s="123"/>
      <c r="J240" s="106"/>
      <c r="K240" s="174" t="s">
        <v>2255</v>
      </c>
      <c r="L240" s="265">
        <v>324772.03999999998</v>
      </c>
      <c r="M240" s="266">
        <v>97431</v>
      </c>
      <c r="N240" s="102">
        <v>2019.11</v>
      </c>
      <c r="O240" s="1805"/>
      <c r="P240" s="1809"/>
      <c r="Q240" s="1805"/>
      <c r="R240" s="1811"/>
      <c r="S240" s="125" t="s">
        <v>1736</v>
      </c>
      <c r="T240" s="125"/>
    </row>
    <row r="241" spans="1:20" ht="24.95" customHeight="1">
      <c r="A241" s="117" t="s">
        <v>2256</v>
      </c>
      <c r="B241" s="102" t="s">
        <v>2251</v>
      </c>
      <c r="C241" s="165" t="s">
        <v>2254</v>
      </c>
      <c r="D241" s="123" t="s">
        <v>62</v>
      </c>
      <c r="E241" s="102">
        <v>1</v>
      </c>
      <c r="F241" s="165">
        <v>63.82</v>
      </c>
      <c r="G241" s="102" t="s">
        <v>32</v>
      </c>
      <c r="H241" s="105" t="s">
        <v>33</v>
      </c>
      <c r="I241" s="123"/>
      <c r="J241" s="106"/>
      <c r="K241" s="174" t="s">
        <v>2255</v>
      </c>
      <c r="L241" s="265">
        <v>321923.88104063203</v>
      </c>
      <c r="M241" s="267">
        <v>96579.88</v>
      </c>
      <c r="N241" s="102">
        <v>2020.4</v>
      </c>
      <c r="O241" s="1807" t="s">
        <v>2236</v>
      </c>
      <c r="P241" s="1808" t="s">
        <v>2237</v>
      </c>
      <c r="Q241" s="1807">
        <v>13934221581</v>
      </c>
      <c r="R241" s="1810" t="s">
        <v>2238</v>
      </c>
      <c r="S241" s="125" t="s">
        <v>1736</v>
      </c>
      <c r="T241" s="125"/>
    </row>
    <row r="242" spans="1:20" ht="24.95" customHeight="1">
      <c r="A242" s="117" t="s">
        <v>2257</v>
      </c>
      <c r="B242" s="102" t="s">
        <v>2234</v>
      </c>
      <c r="C242" s="165" t="s">
        <v>169</v>
      </c>
      <c r="D242" s="123" t="s">
        <v>62</v>
      </c>
      <c r="E242" s="102">
        <v>1</v>
      </c>
      <c r="F242" s="165">
        <v>15.3</v>
      </c>
      <c r="G242" s="102" t="s">
        <v>32</v>
      </c>
      <c r="H242" s="105" t="s">
        <v>33</v>
      </c>
      <c r="I242" s="123"/>
      <c r="J242" s="106"/>
      <c r="K242" s="1834" t="s">
        <v>2235</v>
      </c>
      <c r="L242" s="265">
        <v>79884.955752164999</v>
      </c>
      <c r="M242" s="268">
        <v>23964.959999999999</v>
      </c>
      <c r="N242" s="102">
        <v>2020.4</v>
      </c>
      <c r="O242" s="1807"/>
      <c r="P242" s="1808"/>
      <c r="Q242" s="1807"/>
      <c r="R242" s="1810"/>
      <c r="S242" s="125" t="s">
        <v>1736</v>
      </c>
      <c r="T242" s="125"/>
    </row>
    <row r="243" spans="1:20" ht="24.95" customHeight="1">
      <c r="A243" s="117" t="s">
        <v>2258</v>
      </c>
      <c r="B243" s="102" t="s">
        <v>2234</v>
      </c>
      <c r="C243" s="165" t="s">
        <v>2242</v>
      </c>
      <c r="D243" s="123" t="s">
        <v>62</v>
      </c>
      <c r="E243" s="102">
        <v>1</v>
      </c>
      <c r="F243" s="165">
        <v>37.5</v>
      </c>
      <c r="G243" s="102" t="s">
        <v>32</v>
      </c>
      <c r="H243" s="105" t="s">
        <v>33</v>
      </c>
      <c r="I243" s="123"/>
      <c r="J243" s="106"/>
      <c r="K243" s="1835"/>
      <c r="L243" s="265">
        <v>195796.460176875</v>
      </c>
      <c r="M243" s="268">
        <v>58744.46</v>
      </c>
      <c r="N243" s="102">
        <v>2020.4</v>
      </c>
      <c r="O243" s="1807"/>
      <c r="P243" s="1808"/>
      <c r="Q243" s="1807"/>
      <c r="R243" s="1810"/>
      <c r="S243" s="125" t="s">
        <v>1736</v>
      </c>
      <c r="T243" s="125"/>
    </row>
    <row r="244" spans="1:20" ht="24.95" customHeight="1">
      <c r="A244" s="117" t="s">
        <v>2259</v>
      </c>
      <c r="B244" s="102" t="s">
        <v>2246</v>
      </c>
      <c r="C244" s="165" t="s">
        <v>2242</v>
      </c>
      <c r="D244" s="123" t="s">
        <v>62</v>
      </c>
      <c r="E244" s="102">
        <v>1</v>
      </c>
      <c r="F244" s="165">
        <v>16.8</v>
      </c>
      <c r="G244" s="102" t="s">
        <v>32</v>
      </c>
      <c r="H244" s="105" t="s">
        <v>33</v>
      </c>
      <c r="I244" s="123"/>
      <c r="J244" s="106"/>
      <c r="K244" s="1836"/>
      <c r="L244" s="265">
        <v>87716.814159240006</v>
      </c>
      <c r="M244" s="268">
        <v>26316.81</v>
      </c>
      <c r="N244" s="102">
        <v>2020.4</v>
      </c>
      <c r="O244" s="1807"/>
      <c r="P244" s="1808"/>
      <c r="Q244" s="1807"/>
      <c r="R244" s="1810"/>
      <c r="S244" s="125" t="s">
        <v>1736</v>
      </c>
      <c r="T244" s="125"/>
    </row>
    <row r="245" spans="1:20" ht="24.95" customHeight="1">
      <c r="A245" s="117" t="s">
        <v>2260</v>
      </c>
      <c r="B245" s="102" t="s">
        <v>1900</v>
      </c>
      <c r="C245" s="174" t="s">
        <v>34</v>
      </c>
      <c r="D245" s="174"/>
      <c r="E245" s="174">
        <v>1</v>
      </c>
      <c r="F245" s="102">
        <v>40.86</v>
      </c>
      <c r="G245" s="174" t="s">
        <v>32</v>
      </c>
      <c r="H245" s="174" t="s">
        <v>33</v>
      </c>
      <c r="I245" s="174"/>
      <c r="J245" s="174"/>
      <c r="K245" s="1834" t="s">
        <v>2235</v>
      </c>
      <c r="L245" s="174">
        <v>213339.82</v>
      </c>
      <c r="M245" s="268">
        <v>64002</v>
      </c>
      <c r="N245" s="102">
        <v>2020.5</v>
      </c>
      <c r="O245" s="1807"/>
      <c r="P245" s="1808"/>
      <c r="Q245" s="1807"/>
      <c r="R245" s="1810"/>
      <c r="S245" s="125" t="s">
        <v>1736</v>
      </c>
      <c r="T245" s="125"/>
    </row>
    <row r="246" spans="1:20" ht="24.95" customHeight="1">
      <c r="A246" s="117" t="s">
        <v>2261</v>
      </c>
      <c r="B246" s="102" t="s">
        <v>2262</v>
      </c>
      <c r="C246" s="174" t="s">
        <v>34</v>
      </c>
      <c r="D246" s="174"/>
      <c r="E246" s="174">
        <v>1</v>
      </c>
      <c r="F246" s="102">
        <v>37.200000000000003</v>
      </c>
      <c r="G246" s="174" t="s">
        <v>32</v>
      </c>
      <c r="H246" s="174" t="s">
        <v>33</v>
      </c>
      <c r="I246" s="174"/>
      <c r="J246" s="174"/>
      <c r="K246" s="1836"/>
      <c r="L246" s="174">
        <v>194230.09</v>
      </c>
      <c r="M246" s="268">
        <v>58269</v>
      </c>
      <c r="N246" s="102">
        <v>2020.5</v>
      </c>
      <c r="O246" s="1807"/>
      <c r="P246" s="1808"/>
      <c r="Q246" s="1807"/>
      <c r="R246" s="1810"/>
      <c r="S246" s="125" t="s">
        <v>1736</v>
      </c>
      <c r="T246" s="125"/>
    </row>
    <row r="247" spans="1:20" ht="24.95" customHeight="1">
      <c r="A247" s="117" t="s">
        <v>2263</v>
      </c>
      <c r="B247" s="102" t="s">
        <v>2264</v>
      </c>
      <c r="C247" s="102" t="s">
        <v>2265</v>
      </c>
      <c r="D247" s="123"/>
      <c r="E247" s="102">
        <v>1</v>
      </c>
      <c r="F247" s="102">
        <v>70.64</v>
      </c>
      <c r="G247" s="174" t="s">
        <v>32</v>
      </c>
      <c r="H247" s="174" t="s">
        <v>33</v>
      </c>
      <c r="I247" s="174"/>
      <c r="J247" s="269"/>
      <c r="K247" s="1835" t="s">
        <v>2255</v>
      </c>
      <c r="L247" s="174">
        <v>350074.32</v>
      </c>
      <c r="M247" s="270">
        <v>105022</v>
      </c>
      <c r="N247" s="102">
        <v>2020.5</v>
      </c>
      <c r="O247" s="1807"/>
      <c r="P247" s="1808"/>
      <c r="Q247" s="1807"/>
      <c r="R247" s="1810"/>
      <c r="S247" s="125" t="s">
        <v>1736</v>
      </c>
      <c r="T247" s="125"/>
    </row>
    <row r="248" spans="1:20" ht="24.95" customHeight="1">
      <c r="A248" s="117" t="s">
        <v>2266</v>
      </c>
      <c r="B248" s="102" t="s">
        <v>2264</v>
      </c>
      <c r="C248" s="102" t="s">
        <v>2265</v>
      </c>
      <c r="D248" s="123"/>
      <c r="E248" s="102">
        <v>1</v>
      </c>
      <c r="F248" s="102">
        <v>7</v>
      </c>
      <c r="G248" s="174" t="s">
        <v>32</v>
      </c>
      <c r="H248" s="174" t="s">
        <v>33</v>
      </c>
      <c r="I248" s="174"/>
      <c r="J248" s="269"/>
      <c r="K248" s="1835"/>
      <c r="L248" s="144">
        <v>37230.089999999997</v>
      </c>
      <c r="M248" s="268">
        <v>11169</v>
      </c>
      <c r="N248" s="102">
        <v>2020.8</v>
      </c>
      <c r="O248" s="1807"/>
      <c r="P248" s="1808"/>
      <c r="Q248" s="1807"/>
      <c r="R248" s="1810"/>
      <c r="S248" s="125" t="s">
        <v>1736</v>
      </c>
      <c r="T248" s="125"/>
    </row>
    <row r="249" spans="1:20" ht="24.95" customHeight="1">
      <c r="A249" s="117" t="s">
        <v>2267</v>
      </c>
      <c r="B249" s="102" t="s">
        <v>29</v>
      </c>
      <c r="C249" s="102" t="s">
        <v>2268</v>
      </c>
      <c r="D249" s="123"/>
      <c r="E249" s="102">
        <v>1</v>
      </c>
      <c r="F249" s="102">
        <v>21.87</v>
      </c>
      <c r="G249" s="174" t="s">
        <v>32</v>
      </c>
      <c r="H249" s="174" t="s">
        <v>33</v>
      </c>
      <c r="I249" s="174"/>
      <c r="J249" s="269"/>
      <c r="K249" s="1835"/>
      <c r="L249" s="144">
        <v>113220.8</v>
      </c>
      <c r="M249" s="270">
        <v>33966</v>
      </c>
      <c r="N249" s="102">
        <v>2020.7</v>
      </c>
      <c r="O249" s="1807"/>
      <c r="P249" s="1808"/>
      <c r="Q249" s="1807"/>
      <c r="R249" s="1810"/>
      <c r="S249" s="125" t="s">
        <v>1736</v>
      </c>
      <c r="T249" s="125"/>
    </row>
    <row r="250" spans="1:20" ht="24.95" customHeight="1">
      <c r="A250" s="117" t="s">
        <v>2269</v>
      </c>
      <c r="B250" s="102" t="s">
        <v>29</v>
      </c>
      <c r="C250" s="102" t="s">
        <v>2265</v>
      </c>
      <c r="D250" s="123"/>
      <c r="E250" s="102">
        <v>1</v>
      </c>
      <c r="F250" s="102">
        <v>5</v>
      </c>
      <c r="G250" s="174" t="s">
        <v>32</v>
      </c>
      <c r="H250" s="174" t="s">
        <v>33</v>
      </c>
      <c r="I250" s="174"/>
      <c r="J250" s="269"/>
      <c r="K250" s="1835"/>
      <c r="L250" s="144">
        <v>25884.959999999999</v>
      </c>
      <c r="M250" s="270">
        <v>7765</v>
      </c>
      <c r="N250" s="102">
        <v>2020.7</v>
      </c>
      <c r="O250" s="1807"/>
      <c r="P250" s="1808"/>
      <c r="Q250" s="1807"/>
      <c r="R250" s="1810"/>
      <c r="S250" s="125" t="s">
        <v>1736</v>
      </c>
      <c r="T250" s="125"/>
    </row>
    <row r="251" spans="1:20" ht="24.95" customHeight="1">
      <c r="A251" s="117" t="s">
        <v>2270</v>
      </c>
      <c r="B251" s="102" t="s">
        <v>164</v>
      </c>
      <c r="C251" s="174" t="s">
        <v>34</v>
      </c>
      <c r="D251" s="123"/>
      <c r="E251" s="102">
        <v>2.5</v>
      </c>
      <c r="F251" s="102">
        <v>122.54</v>
      </c>
      <c r="G251" s="174" t="s">
        <v>32</v>
      </c>
      <c r="H251" s="174" t="s">
        <v>33</v>
      </c>
      <c r="I251" s="174"/>
      <c r="J251" s="269"/>
      <c r="K251" s="1835"/>
      <c r="L251" s="144">
        <v>713551.54</v>
      </c>
      <c r="M251" s="268">
        <v>214065</v>
      </c>
      <c r="N251" s="102">
        <v>2020.8</v>
      </c>
      <c r="O251" s="1807"/>
      <c r="P251" s="1808"/>
      <c r="Q251" s="1807"/>
      <c r="R251" s="1810"/>
      <c r="S251" s="125" t="s">
        <v>1736</v>
      </c>
      <c r="T251" s="125"/>
    </row>
    <row r="252" spans="1:20" ht="24.95" customHeight="1">
      <c r="A252" s="117" t="s">
        <v>2271</v>
      </c>
      <c r="B252" s="102" t="s">
        <v>2262</v>
      </c>
      <c r="C252" s="102" t="s">
        <v>34</v>
      </c>
      <c r="D252" s="123"/>
      <c r="E252" s="102">
        <v>1</v>
      </c>
      <c r="F252" s="102">
        <v>9.3800000000000008</v>
      </c>
      <c r="G252" s="174" t="s">
        <v>32</v>
      </c>
      <c r="H252" s="174" t="s">
        <v>33</v>
      </c>
      <c r="I252" s="174"/>
      <c r="J252" s="269"/>
      <c r="K252" s="1835"/>
      <c r="L252" s="144">
        <v>48394.159291958204</v>
      </c>
      <c r="M252" s="271">
        <v>14518</v>
      </c>
      <c r="N252" s="102">
        <v>2020.9</v>
      </c>
      <c r="O252" s="1807"/>
      <c r="P252" s="1808"/>
      <c r="Q252" s="1807"/>
      <c r="R252" s="1810"/>
      <c r="S252" s="125" t="s">
        <v>1736</v>
      </c>
      <c r="T252" s="125"/>
    </row>
    <row r="253" spans="1:20" ht="24.95" customHeight="1">
      <c r="A253" s="117" t="s">
        <v>2272</v>
      </c>
      <c r="B253" s="102" t="s">
        <v>164</v>
      </c>
      <c r="C253" s="174" t="s">
        <v>34</v>
      </c>
      <c r="D253" s="123"/>
      <c r="E253" s="102">
        <v>1</v>
      </c>
      <c r="F253" s="102">
        <v>159.72</v>
      </c>
      <c r="G253" s="174" t="s">
        <v>32</v>
      </c>
      <c r="H253" s="174" t="s">
        <v>33</v>
      </c>
      <c r="I253" s="174"/>
      <c r="J253" s="269"/>
      <c r="K253" s="1835"/>
      <c r="L253" s="272">
        <v>930050.95748611202</v>
      </c>
      <c r="M253" s="271">
        <v>360393.03748611198</v>
      </c>
      <c r="N253" s="102">
        <v>2020.11</v>
      </c>
      <c r="O253" s="1807"/>
      <c r="P253" s="1808"/>
      <c r="Q253" s="1807"/>
      <c r="R253" s="1810"/>
      <c r="S253" s="125" t="s">
        <v>1736</v>
      </c>
      <c r="T253" s="125"/>
    </row>
    <row r="254" spans="1:20" ht="24.95" customHeight="1">
      <c r="A254" s="117" t="s">
        <v>2273</v>
      </c>
      <c r="B254" s="102" t="s">
        <v>29</v>
      </c>
      <c r="C254" s="174" t="s">
        <v>34</v>
      </c>
      <c r="D254" s="123"/>
      <c r="E254" s="102">
        <v>1</v>
      </c>
      <c r="F254" s="102">
        <v>77.2</v>
      </c>
      <c r="G254" s="174" t="s">
        <v>32</v>
      </c>
      <c r="H254" s="174" t="s">
        <v>33</v>
      </c>
      <c r="I254" s="174"/>
      <c r="J254" s="269"/>
      <c r="K254" s="1835"/>
      <c r="L254" s="273">
        <v>449536.29862911999</v>
      </c>
      <c r="M254" s="271">
        <v>134859.70000000001</v>
      </c>
      <c r="N254" s="102">
        <v>2020.11</v>
      </c>
      <c r="O254" s="1807"/>
      <c r="P254" s="1808"/>
      <c r="Q254" s="1807"/>
      <c r="R254" s="1810"/>
      <c r="S254" s="125" t="s">
        <v>1736</v>
      </c>
      <c r="T254" s="125"/>
    </row>
    <row r="255" spans="1:20" ht="24.95" customHeight="1">
      <c r="A255" s="117" t="s">
        <v>2274</v>
      </c>
      <c r="B255" s="197" t="s">
        <v>177</v>
      </c>
      <c r="C255" s="144" t="s">
        <v>34</v>
      </c>
      <c r="D255" s="123" t="s">
        <v>62</v>
      </c>
      <c r="E255" s="197">
        <v>1</v>
      </c>
      <c r="F255" s="274">
        <v>7.98</v>
      </c>
      <c r="G255" s="144" t="s">
        <v>32</v>
      </c>
      <c r="H255" s="144" t="s">
        <v>33</v>
      </c>
      <c r="I255" s="144"/>
      <c r="J255" s="275"/>
      <c r="K255" s="276"/>
      <c r="L255" s="271">
        <v>42583.539823003201</v>
      </c>
      <c r="M255" s="266">
        <v>12774.46</v>
      </c>
      <c r="N255" s="197">
        <v>2020.12</v>
      </c>
      <c r="O255" s="1807"/>
      <c r="P255" s="1808"/>
      <c r="Q255" s="1807"/>
      <c r="R255" s="1810"/>
      <c r="S255" s="125" t="s">
        <v>1736</v>
      </c>
      <c r="T255" s="125"/>
    </row>
    <row r="256" spans="1:20" ht="24.95" customHeight="1">
      <c r="A256" s="117" t="s">
        <v>2275</v>
      </c>
      <c r="B256" s="197" t="s">
        <v>29</v>
      </c>
      <c r="C256" s="144" t="s">
        <v>34</v>
      </c>
      <c r="D256" s="123" t="s">
        <v>62</v>
      </c>
      <c r="E256" s="197">
        <v>1</v>
      </c>
      <c r="F256" s="274">
        <v>0.85</v>
      </c>
      <c r="G256" s="144" t="s">
        <v>32</v>
      </c>
      <c r="H256" s="144" t="s">
        <v>33</v>
      </c>
      <c r="I256" s="144"/>
      <c r="J256" s="275"/>
      <c r="K256" s="276"/>
      <c r="L256" s="271">
        <v>4949.5575221600002</v>
      </c>
      <c r="M256" s="266">
        <v>1484.44</v>
      </c>
      <c r="N256" s="197">
        <v>2020.12</v>
      </c>
      <c r="O256" s="1807"/>
      <c r="P256" s="1808"/>
      <c r="Q256" s="1807"/>
      <c r="R256" s="1810"/>
      <c r="S256" s="125" t="s">
        <v>1736</v>
      </c>
      <c r="T256" s="125"/>
    </row>
    <row r="257" spans="1:20" ht="24.95" customHeight="1">
      <c r="A257" s="117" t="s">
        <v>2276</v>
      </c>
      <c r="B257" s="174" t="s">
        <v>2277</v>
      </c>
      <c r="C257" s="174" t="s">
        <v>34</v>
      </c>
      <c r="D257" s="123" t="s">
        <v>62</v>
      </c>
      <c r="E257" s="174"/>
      <c r="F257" s="174">
        <v>26.6</v>
      </c>
      <c r="G257" s="174" t="s">
        <v>32</v>
      </c>
      <c r="H257" s="174" t="s">
        <v>33</v>
      </c>
      <c r="I257" s="174"/>
      <c r="J257" s="174"/>
      <c r="K257" s="1834" t="s">
        <v>2235</v>
      </c>
      <c r="L257" s="277">
        <v>162189.38053088399</v>
      </c>
      <c r="M257" s="277">
        <v>48656</v>
      </c>
      <c r="N257" s="174">
        <v>2021.4</v>
      </c>
      <c r="O257" s="1807"/>
      <c r="P257" s="1808"/>
      <c r="Q257" s="1807"/>
      <c r="R257" s="1810"/>
      <c r="S257" s="125" t="s">
        <v>1736</v>
      </c>
      <c r="T257" s="125"/>
    </row>
    <row r="258" spans="1:20" ht="24.95" customHeight="1">
      <c r="A258" s="117" t="s">
        <v>2278</v>
      </c>
      <c r="B258" s="174" t="s">
        <v>2279</v>
      </c>
      <c r="C258" s="174" t="s">
        <v>2280</v>
      </c>
      <c r="D258" s="123" t="s">
        <v>62</v>
      </c>
      <c r="E258" s="174"/>
      <c r="F258" s="174">
        <v>23.58</v>
      </c>
      <c r="G258" s="174" t="s">
        <v>32</v>
      </c>
      <c r="H258" s="174" t="s">
        <v>33</v>
      </c>
      <c r="I258" s="174"/>
      <c r="J258" s="174"/>
      <c r="K258" s="1836"/>
      <c r="L258" s="154">
        <v>133133.09734501399</v>
      </c>
      <c r="M258" s="278">
        <v>59939.92</v>
      </c>
      <c r="N258" s="174">
        <v>2021.4</v>
      </c>
      <c r="O258" s="1807"/>
      <c r="P258" s="1808"/>
      <c r="Q258" s="1807"/>
      <c r="R258" s="1810"/>
      <c r="S258" s="125" t="s">
        <v>1736</v>
      </c>
      <c r="T258" s="125"/>
    </row>
    <row r="259" spans="1:20" ht="24.95" customHeight="1">
      <c r="A259" s="117" t="s">
        <v>2281</v>
      </c>
      <c r="B259" s="174" t="s">
        <v>29</v>
      </c>
      <c r="C259" s="174" t="s">
        <v>2282</v>
      </c>
      <c r="D259" s="123" t="s">
        <v>62</v>
      </c>
      <c r="E259" s="174"/>
      <c r="F259" s="174">
        <v>53.32</v>
      </c>
      <c r="G259" s="174" t="s">
        <v>32</v>
      </c>
      <c r="H259" s="174" t="s">
        <v>33</v>
      </c>
      <c r="I259" s="174"/>
      <c r="J259" s="174"/>
      <c r="K259" s="174" t="s">
        <v>2255</v>
      </c>
      <c r="L259" s="154">
        <v>349175.23190444801</v>
      </c>
      <c r="M259" s="154">
        <v>154751.99</v>
      </c>
      <c r="N259" s="174">
        <v>2021.4</v>
      </c>
      <c r="O259" s="1807"/>
      <c r="P259" s="1808"/>
      <c r="Q259" s="1807"/>
      <c r="R259" s="1810"/>
      <c r="S259" s="125" t="s">
        <v>1736</v>
      </c>
      <c r="T259" s="125"/>
    </row>
    <row r="260" spans="1:20" ht="24.95" customHeight="1">
      <c r="A260" s="117" t="s">
        <v>2283</v>
      </c>
      <c r="B260" s="174" t="s">
        <v>1824</v>
      </c>
      <c r="C260" s="174" t="s">
        <v>170</v>
      </c>
      <c r="D260" s="174" t="s">
        <v>62</v>
      </c>
      <c r="E260" s="174">
        <v>1</v>
      </c>
      <c r="F260" s="174">
        <v>28.94</v>
      </c>
      <c r="G260" s="174" t="s">
        <v>32</v>
      </c>
      <c r="H260" s="174" t="s">
        <v>33</v>
      </c>
      <c r="I260" s="174"/>
      <c r="J260" s="174"/>
      <c r="K260" s="174" t="s">
        <v>2284</v>
      </c>
      <c r="L260" s="174">
        <v>66562</v>
      </c>
      <c r="M260" s="174">
        <v>57880</v>
      </c>
      <c r="N260" s="174">
        <v>2021.4</v>
      </c>
      <c r="O260" s="1807"/>
      <c r="P260" s="1808"/>
      <c r="Q260" s="1807"/>
      <c r="R260" s="1810"/>
      <c r="S260" s="125" t="s">
        <v>1736</v>
      </c>
      <c r="T260" s="125"/>
    </row>
    <row r="261" spans="1:20" ht="24.95" customHeight="1">
      <c r="A261" s="117" t="s">
        <v>2285</v>
      </c>
      <c r="B261" s="174" t="s">
        <v>94</v>
      </c>
      <c r="C261" s="174" t="s">
        <v>2280</v>
      </c>
      <c r="D261" s="174" t="s">
        <v>62</v>
      </c>
      <c r="E261" s="174">
        <v>1</v>
      </c>
      <c r="F261" s="174">
        <v>24.73</v>
      </c>
      <c r="G261" s="174" t="s">
        <v>32</v>
      </c>
      <c r="H261" s="174" t="s">
        <v>33</v>
      </c>
      <c r="I261" s="174"/>
      <c r="J261" s="174"/>
      <c r="K261" s="174" t="s">
        <v>2215</v>
      </c>
      <c r="L261" s="174">
        <v>186022.12</v>
      </c>
      <c r="M261" s="174">
        <v>120914.12</v>
      </c>
      <c r="N261" s="174">
        <v>2021.8</v>
      </c>
      <c r="O261" s="1805"/>
      <c r="P261" s="1809"/>
      <c r="Q261" s="1805"/>
      <c r="R261" s="1811"/>
      <c r="S261" s="125" t="s">
        <v>1736</v>
      </c>
      <c r="T261" s="125"/>
    </row>
    <row r="262" spans="1:20" ht="24.95" customHeight="1">
      <c r="A262" s="241">
        <v>3</v>
      </c>
      <c r="B262" s="102" t="s">
        <v>134</v>
      </c>
      <c r="C262" s="165"/>
      <c r="D262" s="123"/>
      <c r="E262" s="102"/>
      <c r="F262" s="165"/>
      <c r="G262" s="102"/>
      <c r="H262" s="105"/>
      <c r="I262" s="123"/>
      <c r="J262" s="106"/>
      <c r="K262" s="279"/>
      <c r="L262" s="265"/>
      <c r="M262" s="106"/>
      <c r="N262" s="102"/>
      <c r="O262" s="105"/>
      <c r="P262" s="185"/>
      <c r="Q262" s="105"/>
      <c r="R262" s="186"/>
      <c r="S262" s="125"/>
      <c r="T262" s="125"/>
    </row>
    <row r="263" spans="1:20" ht="24.95" customHeight="1">
      <c r="A263" s="117" t="s">
        <v>2286</v>
      </c>
      <c r="B263" s="150" t="s">
        <v>29</v>
      </c>
      <c r="C263" s="222" t="s">
        <v>2287</v>
      </c>
      <c r="D263" s="151" t="s">
        <v>62</v>
      </c>
      <c r="E263" s="150">
        <v>36.18</v>
      </c>
      <c r="F263" s="150">
        <v>36.18</v>
      </c>
      <c r="G263" s="152" t="s">
        <v>32</v>
      </c>
      <c r="H263" s="105" t="s">
        <v>33</v>
      </c>
      <c r="I263" s="152"/>
      <c r="J263" s="152" t="s">
        <v>1809</v>
      </c>
      <c r="K263" s="153"/>
      <c r="L263" s="154">
        <v>198990</v>
      </c>
      <c r="M263" s="154">
        <v>139293</v>
      </c>
      <c r="N263" s="155" t="s">
        <v>1810</v>
      </c>
      <c r="O263" s="156" t="s">
        <v>1811</v>
      </c>
      <c r="P263" s="152" t="s">
        <v>1812</v>
      </c>
      <c r="Q263" s="152">
        <v>15110423230</v>
      </c>
      <c r="R263" s="106" t="s">
        <v>1813</v>
      </c>
      <c r="S263" s="125" t="s">
        <v>1736</v>
      </c>
      <c r="T263" s="103"/>
    </row>
    <row r="264" spans="1:20" ht="24.95" customHeight="1">
      <c r="A264" s="117" t="s">
        <v>2288</v>
      </c>
      <c r="B264" s="150" t="s">
        <v>29</v>
      </c>
      <c r="C264" s="150"/>
      <c r="D264" s="151" t="s">
        <v>62</v>
      </c>
      <c r="E264" s="150">
        <v>169</v>
      </c>
      <c r="F264" s="150">
        <v>169</v>
      </c>
      <c r="G264" s="152" t="s">
        <v>32</v>
      </c>
      <c r="H264" s="105" t="s">
        <v>33</v>
      </c>
      <c r="I264" s="152"/>
      <c r="J264" s="152" t="s">
        <v>1809</v>
      </c>
      <c r="K264" s="153"/>
      <c r="L264" s="154">
        <v>972123.89000000095</v>
      </c>
      <c r="M264" s="154">
        <v>680486.72300000105</v>
      </c>
      <c r="N264" s="155" t="s">
        <v>2289</v>
      </c>
      <c r="O264" s="156" t="s">
        <v>1817</v>
      </c>
      <c r="P264" s="152" t="s">
        <v>1812</v>
      </c>
      <c r="Q264" s="152">
        <v>15110423230</v>
      </c>
      <c r="R264" s="106" t="s">
        <v>1813</v>
      </c>
      <c r="S264" s="125" t="s">
        <v>1736</v>
      </c>
      <c r="T264" s="103"/>
    </row>
    <row r="265" spans="1:20" ht="24.95" customHeight="1">
      <c r="A265" s="117" t="s">
        <v>2290</v>
      </c>
      <c r="B265" s="150" t="s">
        <v>29</v>
      </c>
      <c r="C265" s="150"/>
      <c r="D265" s="151" t="s">
        <v>62</v>
      </c>
      <c r="E265" s="150">
        <v>16.86</v>
      </c>
      <c r="F265" s="150">
        <v>16.86</v>
      </c>
      <c r="G265" s="152" t="s">
        <v>32</v>
      </c>
      <c r="H265" s="105" t="s">
        <v>33</v>
      </c>
      <c r="I265" s="152"/>
      <c r="J265" s="152" t="s">
        <v>1809</v>
      </c>
      <c r="K265" s="153"/>
      <c r="L265" s="154">
        <v>95490.269999999902</v>
      </c>
      <c r="M265" s="154">
        <v>66843.188999999897</v>
      </c>
      <c r="N265" s="155" t="s">
        <v>2289</v>
      </c>
      <c r="O265" s="156" t="s">
        <v>1817</v>
      </c>
      <c r="P265" s="152" t="s">
        <v>1812</v>
      </c>
      <c r="Q265" s="152">
        <v>15110423230</v>
      </c>
      <c r="R265" s="106" t="s">
        <v>1813</v>
      </c>
      <c r="S265" s="125" t="s">
        <v>1736</v>
      </c>
      <c r="T265" s="103"/>
    </row>
    <row r="266" spans="1:20" ht="24.95" customHeight="1">
      <c r="A266" s="117" t="s">
        <v>2291</v>
      </c>
      <c r="B266" s="150" t="s">
        <v>29</v>
      </c>
      <c r="C266" s="150"/>
      <c r="D266" s="151" t="s">
        <v>62</v>
      </c>
      <c r="E266" s="150">
        <v>150</v>
      </c>
      <c r="F266" s="150">
        <v>150</v>
      </c>
      <c r="G266" s="152" t="s">
        <v>32</v>
      </c>
      <c r="H266" s="105" t="s">
        <v>33</v>
      </c>
      <c r="I266" s="152"/>
      <c r="J266" s="152" t="s">
        <v>1809</v>
      </c>
      <c r="K266" s="153"/>
      <c r="L266" s="154">
        <v>849557.52</v>
      </c>
      <c r="M266" s="154">
        <v>594690.26399999997</v>
      </c>
      <c r="N266" s="155" t="s">
        <v>2289</v>
      </c>
      <c r="O266" s="156" t="s">
        <v>1817</v>
      </c>
      <c r="P266" s="152" t="s">
        <v>1812</v>
      </c>
      <c r="Q266" s="152">
        <v>15110423230</v>
      </c>
      <c r="R266" s="106" t="s">
        <v>1813</v>
      </c>
      <c r="S266" s="125" t="s">
        <v>1736</v>
      </c>
      <c r="T266" s="103"/>
    </row>
    <row r="267" spans="1:20" ht="24.95" customHeight="1">
      <c r="A267" s="117" t="s">
        <v>2292</v>
      </c>
      <c r="B267" s="150" t="s">
        <v>29</v>
      </c>
      <c r="C267" s="150"/>
      <c r="D267" s="151" t="s">
        <v>62</v>
      </c>
      <c r="E267" s="150">
        <v>122.46</v>
      </c>
      <c r="F267" s="150">
        <v>153.63999999999999</v>
      </c>
      <c r="G267" s="152" t="s">
        <v>32</v>
      </c>
      <c r="H267" s="105" t="s">
        <v>33</v>
      </c>
      <c r="I267" s="152"/>
      <c r="J267" s="152" t="s">
        <v>1809</v>
      </c>
      <c r="K267" s="153"/>
      <c r="L267" s="154">
        <v>704415.93</v>
      </c>
      <c r="M267" s="154">
        <v>493091.15100000001</v>
      </c>
      <c r="N267" s="155" t="s">
        <v>1816</v>
      </c>
      <c r="O267" s="156" t="s">
        <v>1817</v>
      </c>
      <c r="P267" s="152" t="s">
        <v>1812</v>
      </c>
      <c r="Q267" s="152">
        <v>15110423230</v>
      </c>
      <c r="R267" s="106" t="s">
        <v>1813</v>
      </c>
      <c r="S267" s="125" t="s">
        <v>1736</v>
      </c>
      <c r="T267" s="103"/>
    </row>
    <row r="268" spans="1:20" ht="24.95" customHeight="1">
      <c r="A268" s="117" t="s">
        <v>2293</v>
      </c>
      <c r="B268" s="150" t="s">
        <v>29</v>
      </c>
      <c r="C268" s="150"/>
      <c r="D268" s="151" t="s">
        <v>62</v>
      </c>
      <c r="E268" s="150">
        <v>360</v>
      </c>
      <c r="F268" s="150">
        <v>122.46</v>
      </c>
      <c r="G268" s="152" t="s">
        <v>32</v>
      </c>
      <c r="H268" s="105" t="s">
        <v>33</v>
      </c>
      <c r="I268" s="152"/>
      <c r="J268" s="152" t="s">
        <v>1809</v>
      </c>
      <c r="K268" s="153"/>
      <c r="L268" s="154">
        <v>1984778.76</v>
      </c>
      <c r="M268" s="154">
        <v>1389345.132</v>
      </c>
      <c r="N268" s="155" t="s">
        <v>1816</v>
      </c>
      <c r="O268" s="156" t="s">
        <v>1817</v>
      </c>
      <c r="P268" s="152" t="s">
        <v>1812</v>
      </c>
      <c r="Q268" s="152">
        <v>15110423230</v>
      </c>
      <c r="R268" s="106" t="s">
        <v>1813</v>
      </c>
      <c r="S268" s="125" t="s">
        <v>1736</v>
      </c>
      <c r="T268" s="103"/>
    </row>
    <row r="269" spans="1:20" ht="24.95" customHeight="1">
      <c r="A269" s="117" t="s">
        <v>2294</v>
      </c>
      <c r="B269" s="150" t="s">
        <v>29</v>
      </c>
      <c r="C269" s="150"/>
      <c r="D269" s="151" t="s">
        <v>62</v>
      </c>
      <c r="E269" s="150">
        <v>210.4</v>
      </c>
      <c r="F269" s="150">
        <v>210.4</v>
      </c>
      <c r="G269" s="152" t="s">
        <v>32</v>
      </c>
      <c r="H269" s="105" t="s">
        <v>33</v>
      </c>
      <c r="I269" s="152"/>
      <c r="J269" s="152" t="s">
        <v>1809</v>
      </c>
      <c r="K269" s="153"/>
      <c r="L269" s="154">
        <v>1210265.49</v>
      </c>
      <c r="M269" s="154">
        <v>847185.84299999999</v>
      </c>
      <c r="N269" s="155" t="s">
        <v>1886</v>
      </c>
      <c r="O269" s="156" t="s">
        <v>1811</v>
      </c>
      <c r="P269" s="152" t="s">
        <v>1812</v>
      </c>
      <c r="Q269" s="152">
        <v>15110423230</v>
      </c>
      <c r="R269" s="106" t="s">
        <v>1813</v>
      </c>
      <c r="S269" s="125" t="s">
        <v>1736</v>
      </c>
      <c r="T269" s="103"/>
    </row>
    <row r="270" spans="1:20" ht="24.95" customHeight="1">
      <c r="A270" s="117" t="s">
        <v>2295</v>
      </c>
      <c r="B270" s="150" t="s">
        <v>2296</v>
      </c>
      <c r="C270" s="150"/>
      <c r="D270" s="151" t="s">
        <v>62</v>
      </c>
      <c r="E270" s="150">
        <v>38.67</v>
      </c>
      <c r="F270" s="150">
        <v>38.67</v>
      </c>
      <c r="G270" s="152" t="s">
        <v>32</v>
      </c>
      <c r="H270" s="105" t="s">
        <v>33</v>
      </c>
      <c r="I270" s="152"/>
      <c r="J270" s="152" t="s">
        <v>1809</v>
      </c>
      <c r="K270" s="153"/>
      <c r="L270" s="154">
        <v>85553.100000000195</v>
      </c>
      <c r="M270" s="154">
        <v>59887.1700000001</v>
      </c>
      <c r="N270" s="155" t="s">
        <v>1886</v>
      </c>
      <c r="O270" s="156" t="s">
        <v>1811</v>
      </c>
      <c r="P270" s="152" t="s">
        <v>1812</v>
      </c>
      <c r="Q270" s="152">
        <v>15110423230</v>
      </c>
      <c r="R270" s="106" t="s">
        <v>1813</v>
      </c>
      <c r="S270" s="125" t="s">
        <v>1736</v>
      </c>
      <c r="T270" s="103"/>
    </row>
    <row r="271" spans="1:20" ht="24.95" customHeight="1">
      <c r="A271" s="117" t="s">
        <v>2297</v>
      </c>
      <c r="B271" s="245" t="s">
        <v>164</v>
      </c>
      <c r="C271" s="245" t="s">
        <v>2298</v>
      </c>
      <c r="D271" s="245" t="s">
        <v>62</v>
      </c>
      <c r="E271" s="102">
        <v>1</v>
      </c>
      <c r="F271" s="245">
        <v>66.83</v>
      </c>
      <c r="G271" s="102" t="s">
        <v>32</v>
      </c>
      <c r="H271" s="105" t="s">
        <v>41</v>
      </c>
      <c r="I271" s="123"/>
      <c r="J271" s="102" t="s">
        <v>2199</v>
      </c>
      <c r="K271" s="245" t="s">
        <v>117</v>
      </c>
      <c r="L271" s="246">
        <v>59620.26</v>
      </c>
      <c r="M271" s="246">
        <v>59620.26</v>
      </c>
      <c r="N271" s="248" t="s">
        <v>2299</v>
      </c>
      <c r="O271" s="245" t="s">
        <v>2201</v>
      </c>
      <c r="P271" s="245" t="s">
        <v>2189</v>
      </c>
      <c r="Q271" s="245">
        <v>18903416067</v>
      </c>
      <c r="R271" s="106" t="s">
        <v>2190</v>
      </c>
      <c r="S271" s="125" t="s">
        <v>1736</v>
      </c>
      <c r="T271" s="125"/>
    </row>
    <row r="272" spans="1:20" ht="24.95" customHeight="1">
      <c r="A272" s="117" t="s">
        <v>2300</v>
      </c>
      <c r="B272" s="197" t="s">
        <v>2301</v>
      </c>
      <c r="C272" s="197" t="s">
        <v>1036</v>
      </c>
      <c r="D272" s="232" t="s">
        <v>62</v>
      </c>
      <c r="E272" s="197"/>
      <c r="F272" s="197">
        <v>130.52000000000001</v>
      </c>
      <c r="G272" s="197" t="s">
        <v>32</v>
      </c>
      <c r="H272" s="229" t="s">
        <v>32</v>
      </c>
      <c r="I272" s="232"/>
      <c r="J272" s="197"/>
      <c r="K272" s="197" t="s">
        <v>1763</v>
      </c>
      <c r="L272" s="102">
        <v>780965.4</v>
      </c>
      <c r="M272" s="103">
        <v>234289.62</v>
      </c>
      <c r="N272" s="197" t="s">
        <v>2302</v>
      </c>
      <c r="O272" s="197" t="s">
        <v>2303</v>
      </c>
      <c r="P272" s="232" t="s">
        <v>2304</v>
      </c>
      <c r="Q272" s="197">
        <v>15525052220</v>
      </c>
      <c r="R272" s="233" t="s">
        <v>2305</v>
      </c>
      <c r="S272" s="234" t="s">
        <v>1736</v>
      </c>
      <c r="T272" s="234"/>
    </row>
    <row r="273" spans="1:20" ht="24.95" customHeight="1">
      <c r="A273" s="117" t="s">
        <v>2306</v>
      </c>
      <c r="B273" s="197" t="s">
        <v>177</v>
      </c>
      <c r="C273" s="197" t="s">
        <v>2307</v>
      </c>
      <c r="D273" s="232" t="s">
        <v>62</v>
      </c>
      <c r="E273" s="197"/>
      <c r="F273" s="197">
        <v>326.23</v>
      </c>
      <c r="G273" s="197" t="s">
        <v>32</v>
      </c>
      <c r="H273" s="229" t="s">
        <v>32</v>
      </c>
      <c r="I273" s="232"/>
      <c r="J273" s="197"/>
      <c r="K273" s="197" t="s">
        <v>229</v>
      </c>
      <c r="L273" s="102">
        <v>1720645.48</v>
      </c>
      <c r="M273" s="103">
        <v>516193.64</v>
      </c>
      <c r="N273" s="197" t="s">
        <v>2308</v>
      </c>
      <c r="O273" s="197" t="s">
        <v>2309</v>
      </c>
      <c r="P273" s="232" t="s">
        <v>2304</v>
      </c>
      <c r="Q273" s="197">
        <v>15525052220</v>
      </c>
      <c r="R273" s="233" t="s">
        <v>2305</v>
      </c>
      <c r="S273" s="234" t="s">
        <v>1736</v>
      </c>
      <c r="T273" s="234"/>
    </row>
    <row r="274" spans="1:20" ht="24.95" customHeight="1">
      <c r="A274" s="117" t="s">
        <v>2310</v>
      </c>
      <c r="B274" s="197" t="s">
        <v>177</v>
      </c>
      <c r="C274" s="197" t="s">
        <v>2311</v>
      </c>
      <c r="D274" s="232" t="s">
        <v>62</v>
      </c>
      <c r="E274" s="197"/>
      <c r="F274" s="197">
        <v>167.43</v>
      </c>
      <c r="G274" s="197" t="s">
        <v>32</v>
      </c>
      <c r="H274" s="229" t="s">
        <v>32</v>
      </c>
      <c r="I274" s="232"/>
      <c r="J274" s="197"/>
      <c r="K274" s="197" t="s">
        <v>229</v>
      </c>
      <c r="L274" s="102">
        <v>998653.28</v>
      </c>
      <c r="M274" s="103">
        <v>299595.99</v>
      </c>
      <c r="N274" s="197" t="s">
        <v>2308</v>
      </c>
      <c r="O274" s="197" t="s">
        <v>2309</v>
      </c>
      <c r="P274" s="232" t="s">
        <v>2304</v>
      </c>
      <c r="Q274" s="197">
        <v>15525052220</v>
      </c>
      <c r="R274" s="233" t="s">
        <v>2305</v>
      </c>
      <c r="S274" s="234" t="s">
        <v>1736</v>
      </c>
      <c r="T274" s="234"/>
    </row>
    <row r="275" spans="1:20" ht="24.95" customHeight="1">
      <c r="A275" s="117" t="s">
        <v>2312</v>
      </c>
      <c r="B275" s="197" t="s">
        <v>177</v>
      </c>
      <c r="C275" s="197" t="s">
        <v>2313</v>
      </c>
      <c r="D275" s="232" t="s">
        <v>62</v>
      </c>
      <c r="E275" s="197"/>
      <c r="F275" s="197">
        <v>164.94</v>
      </c>
      <c r="G275" s="197" t="s">
        <v>32</v>
      </c>
      <c r="H275" s="229" t="s">
        <v>32</v>
      </c>
      <c r="I275" s="232"/>
      <c r="J275" s="197"/>
      <c r="K275" s="197" t="s">
        <v>229</v>
      </c>
      <c r="L275" s="102">
        <v>1001317.16</v>
      </c>
      <c r="M275" s="103">
        <v>300395.15000000002</v>
      </c>
      <c r="N275" s="197">
        <v>2021.8</v>
      </c>
      <c r="O275" s="197" t="s">
        <v>2309</v>
      </c>
      <c r="P275" s="232" t="s">
        <v>2304</v>
      </c>
      <c r="Q275" s="197">
        <v>15525052220</v>
      </c>
      <c r="R275" s="233" t="s">
        <v>2305</v>
      </c>
      <c r="S275" s="234" t="s">
        <v>1736</v>
      </c>
      <c r="T275" s="234"/>
    </row>
    <row r="276" spans="1:20" ht="24.95" customHeight="1">
      <c r="A276" s="117" t="s">
        <v>2314</v>
      </c>
      <c r="B276" s="197" t="s">
        <v>2149</v>
      </c>
      <c r="C276" s="197" t="s">
        <v>2150</v>
      </c>
      <c r="D276" s="232" t="s">
        <v>62</v>
      </c>
      <c r="E276" s="197"/>
      <c r="F276" s="197">
        <v>118.2</v>
      </c>
      <c r="G276" s="197" t="s">
        <v>32</v>
      </c>
      <c r="H276" s="229" t="s">
        <v>32</v>
      </c>
      <c r="I276" s="232"/>
      <c r="J276" s="197"/>
      <c r="K276" s="197" t="s">
        <v>1763</v>
      </c>
      <c r="L276" s="102">
        <v>633009.72</v>
      </c>
      <c r="M276" s="103">
        <v>189902.93</v>
      </c>
      <c r="N276" s="197" t="s">
        <v>2302</v>
      </c>
      <c r="O276" s="197" t="s">
        <v>2303</v>
      </c>
      <c r="P276" s="232" t="s">
        <v>2304</v>
      </c>
      <c r="Q276" s="197">
        <v>15525052220</v>
      </c>
      <c r="R276" s="233" t="s">
        <v>2305</v>
      </c>
      <c r="S276" s="234" t="s">
        <v>1736</v>
      </c>
      <c r="T276" s="234"/>
    </row>
    <row r="277" spans="1:20" ht="24.95" customHeight="1">
      <c r="A277" s="117" t="s">
        <v>2315</v>
      </c>
      <c r="B277" s="197" t="s">
        <v>2149</v>
      </c>
      <c r="C277" s="197" t="s">
        <v>2316</v>
      </c>
      <c r="D277" s="232" t="s">
        <v>62</v>
      </c>
      <c r="E277" s="197"/>
      <c r="F277" s="197">
        <v>278.64</v>
      </c>
      <c r="G277" s="197" t="s">
        <v>32</v>
      </c>
      <c r="H277" s="229" t="s">
        <v>32</v>
      </c>
      <c r="I277" s="232"/>
      <c r="J277" s="197"/>
      <c r="K277" s="197" t="s">
        <v>1763</v>
      </c>
      <c r="L277" s="102">
        <v>1549845.4</v>
      </c>
      <c r="M277" s="103">
        <v>464953.61</v>
      </c>
      <c r="N277" s="197" t="s">
        <v>2302</v>
      </c>
      <c r="O277" s="197" t="s">
        <v>2303</v>
      </c>
      <c r="P277" s="232" t="s">
        <v>2304</v>
      </c>
      <c r="Q277" s="197">
        <v>15525052220</v>
      </c>
      <c r="R277" s="233" t="s">
        <v>2305</v>
      </c>
      <c r="S277" s="234" t="s">
        <v>1736</v>
      </c>
      <c r="T277" s="234"/>
    </row>
    <row r="278" spans="1:20" ht="24.95" customHeight="1">
      <c r="A278" s="117" t="s">
        <v>2317</v>
      </c>
      <c r="B278" s="197" t="s">
        <v>2149</v>
      </c>
      <c r="C278" s="197" t="s">
        <v>2318</v>
      </c>
      <c r="D278" s="232" t="s">
        <v>62</v>
      </c>
      <c r="E278" s="197"/>
      <c r="F278" s="197">
        <v>10.29</v>
      </c>
      <c r="G278" s="197" t="s">
        <v>32</v>
      </c>
      <c r="H278" s="229" t="s">
        <v>32</v>
      </c>
      <c r="I278" s="232"/>
      <c r="J278" s="197"/>
      <c r="K278" s="197" t="s">
        <v>1763</v>
      </c>
      <c r="L278" s="102">
        <v>66293.100000000006</v>
      </c>
      <c r="M278" s="103">
        <v>19887.93</v>
      </c>
      <c r="N278" s="197">
        <v>2020.5</v>
      </c>
      <c r="O278" s="197" t="s">
        <v>2303</v>
      </c>
      <c r="P278" s="232" t="s">
        <v>2304</v>
      </c>
      <c r="Q278" s="197">
        <v>15525052220</v>
      </c>
      <c r="R278" s="233" t="s">
        <v>2305</v>
      </c>
      <c r="S278" s="234" t="s">
        <v>1736</v>
      </c>
      <c r="T278" s="234"/>
    </row>
    <row r="279" spans="1:20" ht="24.95" customHeight="1">
      <c r="A279" s="117" t="s">
        <v>2319</v>
      </c>
      <c r="B279" s="197" t="s">
        <v>60</v>
      </c>
      <c r="C279" s="197" t="s">
        <v>2320</v>
      </c>
      <c r="D279" s="232" t="s">
        <v>62</v>
      </c>
      <c r="E279" s="197"/>
      <c r="F279" s="197">
        <v>31.5</v>
      </c>
      <c r="G279" s="197" t="s">
        <v>32</v>
      </c>
      <c r="H279" s="229" t="s">
        <v>32</v>
      </c>
      <c r="I279" s="232"/>
      <c r="J279" s="197"/>
      <c r="K279" s="197" t="s">
        <v>1763</v>
      </c>
      <c r="L279" s="102">
        <v>171438.05</v>
      </c>
      <c r="M279" s="103">
        <v>51431.42</v>
      </c>
      <c r="N279" s="197">
        <v>2021.1</v>
      </c>
      <c r="O279" s="197" t="s">
        <v>2303</v>
      </c>
      <c r="P279" s="232" t="s">
        <v>2304</v>
      </c>
      <c r="Q279" s="197">
        <v>15525052220</v>
      </c>
      <c r="R279" s="233" t="s">
        <v>2305</v>
      </c>
      <c r="S279" s="234" t="s">
        <v>1736</v>
      </c>
      <c r="T279" s="234"/>
    </row>
    <row r="280" spans="1:20" ht="24.95" customHeight="1">
      <c r="A280" s="117" t="s">
        <v>2321</v>
      </c>
      <c r="B280" s="102" t="s">
        <v>243</v>
      </c>
      <c r="C280" s="102" t="s">
        <v>2322</v>
      </c>
      <c r="D280" s="102" t="s">
        <v>2323</v>
      </c>
      <c r="E280" s="102">
        <v>1</v>
      </c>
      <c r="F280" s="102">
        <v>46.64</v>
      </c>
      <c r="G280" s="102" t="s">
        <v>32</v>
      </c>
      <c r="H280" s="102" t="s">
        <v>33</v>
      </c>
      <c r="I280" s="123"/>
      <c r="J280" s="106"/>
      <c r="K280" s="1804" t="s">
        <v>2215</v>
      </c>
      <c r="L280" s="280">
        <v>324801.64601743501</v>
      </c>
      <c r="M280" s="280">
        <v>70295.893805230997</v>
      </c>
      <c r="N280" s="108">
        <v>2020.9</v>
      </c>
      <c r="O280" s="1807" t="s">
        <v>2324</v>
      </c>
      <c r="P280" s="1822" t="s">
        <v>2325</v>
      </c>
      <c r="Q280" s="1804">
        <v>13935432114</v>
      </c>
      <c r="R280" s="1823" t="s">
        <v>2326</v>
      </c>
      <c r="S280" s="281" t="s">
        <v>1736</v>
      </c>
      <c r="T280" s="125"/>
    </row>
    <row r="281" spans="1:20" ht="24.95" customHeight="1">
      <c r="A281" s="117" t="s">
        <v>2327</v>
      </c>
      <c r="B281" s="102" t="s">
        <v>243</v>
      </c>
      <c r="C281" s="102" t="s">
        <v>2328</v>
      </c>
      <c r="D281" s="102" t="s">
        <v>2323</v>
      </c>
      <c r="E281" s="102">
        <v>1</v>
      </c>
      <c r="F281" s="102">
        <v>20.100000000000001</v>
      </c>
      <c r="G281" s="102" t="s">
        <v>32</v>
      </c>
      <c r="H281" s="102" t="s">
        <v>33</v>
      </c>
      <c r="I281" s="123"/>
      <c r="J281" s="106"/>
      <c r="K281" s="1807"/>
      <c r="L281" s="280">
        <v>115085.840707881</v>
      </c>
      <c r="M281" s="280">
        <v>34525.752212364299</v>
      </c>
      <c r="N281" s="108">
        <v>2020.9</v>
      </c>
      <c r="O281" s="1807"/>
      <c r="P281" s="1808"/>
      <c r="Q281" s="1807"/>
      <c r="R281" s="1810"/>
      <c r="S281" s="281" t="s">
        <v>1736</v>
      </c>
      <c r="T281" s="125"/>
    </row>
    <row r="282" spans="1:20" ht="24.95" customHeight="1">
      <c r="A282" s="117" t="s">
        <v>2329</v>
      </c>
      <c r="B282" s="102" t="s">
        <v>135</v>
      </c>
      <c r="C282" s="102" t="s">
        <v>2330</v>
      </c>
      <c r="D282" s="102" t="s">
        <v>2323</v>
      </c>
      <c r="E282" s="102"/>
      <c r="F282" s="102">
        <v>99.7</v>
      </c>
      <c r="G282" s="102" t="s">
        <v>32</v>
      </c>
      <c r="H282" s="102" t="s">
        <v>33</v>
      </c>
      <c r="I282" s="123"/>
      <c r="J282" s="106"/>
      <c r="K282" s="1807"/>
      <c r="L282" s="280">
        <v>570848.67256595695</v>
      </c>
      <c r="M282" s="280">
        <v>171254.60176978799</v>
      </c>
      <c r="N282" s="108">
        <v>2020.9</v>
      </c>
      <c r="O282" s="1807"/>
      <c r="P282" s="1808"/>
      <c r="Q282" s="1807"/>
      <c r="R282" s="1810"/>
      <c r="S282" s="281" t="s">
        <v>1736</v>
      </c>
      <c r="T282" s="125"/>
    </row>
    <row r="283" spans="1:20" ht="24.95" customHeight="1">
      <c r="A283" s="117" t="s">
        <v>2331</v>
      </c>
      <c r="B283" s="102" t="s">
        <v>135</v>
      </c>
      <c r="C283" s="102" t="s">
        <v>2332</v>
      </c>
      <c r="D283" s="102" t="s">
        <v>2323</v>
      </c>
      <c r="E283" s="102"/>
      <c r="F283" s="102">
        <v>35.49</v>
      </c>
      <c r="G283" s="102" t="s">
        <v>32</v>
      </c>
      <c r="H283" s="102" t="s">
        <v>33</v>
      </c>
      <c r="I283" s="123"/>
      <c r="J283" s="106"/>
      <c r="K283" s="1807"/>
      <c r="L283" s="280">
        <v>302342.51327406801</v>
      </c>
      <c r="M283" s="280">
        <v>44109.353982219996</v>
      </c>
      <c r="N283" s="108">
        <v>2020.9</v>
      </c>
      <c r="O283" s="1807"/>
      <c r="P283" s="1808"/>
      <c r="Q283" s="1807"/>
      <c r="R283" s="1810"/>
      <c r="S283" s="281" t="s">
        <v>1736</v>
      </c>
      <c r="T283" s="125"/>
    </row>
    <row r="284" spans="1:20" ht="24.95" customHeight="1">
      <c r="A284" s="117" t="s">
        <v>2333</v>
      </c>
      <c r="B284" s="102" t="s">
        <v>2334</v>
      </c>
      <c r="C284" s="102" t="s">
        <v>2335</v>
      </c>
      <c r="D284" s="102" t="s">
        <v>2323</v>
      </c>
      <c r="E284" s="102">
        <v>1</v>
      </c>
      <c r="F284" s="102">
        <v>12.1</v>
      </c>
      <c r="G284" s="102" t="s">
        <v>32</v>
      </c>
      <c r="H284" s="102" t="s">
        <v>33</v>
      </c>
      <c r="I284" s="123"/>
      <c r="J284" s="106"/>
      <c r="K284" s="1807"/>
      <c r="L284" s="280">
        <v>69280.530973400993</v>
      </c>
      <c r="M284" s="280">
        <v>20784.159292020198</v>
      </c>
      <c r="N284" s="108">
        <v>2020.9</v>
      </c>
      <c r="O284" s="1807"/>
      <c r="P284" s="1808"/>
      <c r="Q284" s="1807"/>
      <c r="R284" s="1810"/>
      <c r="S284" s="281" t="s">
        <v>1736</v>
      </c>
      <c r="T284" s="125"/>
    </row>
    <row r="285" spans="1:20" ht="24.95" customHeight="1">
      <c r="A285" s="117" t="s">
        <v>2336</v>
      </c>
      <c r="B285" s="102" t="s">
        <v>2334</v>
      </c>
      <c r="C285" s="102" t="s">
        <v>2337</v>
      </c>
      <c r="D285" s="102" t="s">
        <v>2323</v>
      </c>
      <c r="E285" s="102">
        <v>1</v>
      </c>
      <c r="F285" s="102">
        <v>47.2</v>
      </c>
      <c r="G285" s="102" t="s">
        <v>32</v>
      </c>
      <c r="H285" s="102" t="s">
        <v>33</v>
      </c>
      <c r="I285" s="123"/>
      <c r="J285" s="106"/>
      <c r="K285" s="1807"/>
      <c r="L285" s="280">
        <v>270251.32743343199</v>
      </c>
      <c r="M285" s="280">
        <v>81075.398230029401</v>
      </c>
      <c r="N285" s="108">
        <v>2020.9</v>
      </c>
      <c r="O285" s="1807"/>
      <c r="P285" s="1808"/>
      <c r="Q285" s="1807"/>
      <c r="R285" s="1810"/>
      <c r="S285" s="281" t="s">
        <v>1736</v>
      </c>
      <c r="T285" s="125"/>
    </row>
    <row r="286" spans="1:20" ht="24.95" customHeight="1">
      <c r="A286" s="117" t="s">
        <v>2338</v>
      </c>
      <c r="B286" s="102" t="s">
        <v>2339</v>
      </c>
      <c r="C286" s="102" t="s">
        <v>2340</v>
      </c>
      <c r="D286" s="102" t="s">
        <v>2323</v>
      </c>
      <c r="E286" s="102">
        <v>1</v>
      </c>
      <c r="F286" s="102">
        <v>60.83</v>
      </c>
      <c r="G286" s="102" t="s">
        <v>32</v>
      </c>
      <c r="H286" s="102" t="s">
        <v>33</v>
      </c>
      <c r="I286" s="123"/>
      <c r="J286" s="106"/>
      <c r="K286" s="1807"/>
      <c r="L286" s="280">
        <v>348292.12389355199</v>
      </c>
      <c r="M286" s="280">
        <v>104487.637168065</v>
      </c>
      <c r="N286" s="108">
        <v>2020.9</v>
      </c>
      <c r="O286" s="1807"/>
      <c r="P286" s="1808"/>
      <c r="Q286" s="1807"/>
      <c r="R286" s="1810"/>
      <c r="S286" s="281" t="s">
        <v>1736</v>
      </c>
      <c r="T286" s="125"/>
    </row>
    <row r="287" spans="1:20" ht="24.95" customHeight="1">
      <c r="A287" s="117" t="s">
        <v>2341</v>
      </c>
      <c r="B287" s="282" t="s">
        <v>2342</v>
      </c>
      <c r="C287" s="282"/>
      <c r="D287" s="283" t="s">
        <v>2084</v>
      </c>
      <c r="E287" s="102">
        <v>1</v>
      </c>
      <c r="F287" s="284">
        <v>31.64</v>
      </c>
      <c r="G287" s="102" t="s">
        <v>32</v>
      </c>
      <c r="H287" s="105" t="s">
        <v>33</v>
      </c>
      <c r="I287" s="123"/>
      <c r="J287" s="106"/>
      <c r="K287" s="1805"/>
      <c r="L287" s="280">
        <v>181159.99999986801</v>
      </c>
      <c r="M287" s="280">
        <v>54347.999999960499</v>
      </c>
      <c r="N287" s="285" t="s">
        <v>2343</v>
      </c>
      <c r="O287" s="1807"/>
      <c r="P287" s="1808"/>
      <c r="Q287" s="1807"/>
      <c r="R287" s="1810"/>
      <c r="S287" s="281" t="s">
        <v>1736</v>
      </c>
      <c r="T287" s="125"/>
    </row>
    <row r="288" spans="1:20" ht="24.95" customHeight="1">
      <c r="A288" s="117" t="s">
        <v>2344</v>
      </c>
      <c r="B288" s="102" t="s">
        <v>2345</v>
      </c>
      <c r="C288" s="102" t="s">
        <v>2346</v>
      </c>
      <c r="D288" s="286" t="s">
        <v>62</v>
      </c>
      <c r="E288" s="102">
        <v>1</v>
      </c>
      <c r="F288" s="102">
        <v>9.3800000000000008</v>
      </c>
      <c r="G288" s="102" t="s">
        <v>32</v>
      </c>
      <c r="H288" s="105" t="s">
        <v>33</v>
      </c>
      <c r="I288" s="123"/>
      <c r="J288" s="106"/>
      <c r="K288" s="287" t="s">
        <v>2215</v>
      </c>
      <c r="L288" s="280">
        <v>61841.59</v>
      </c>
      <c r="M288" s="280">
        <v>0</v>
      </c>
      <c r="N288" s="108">
        <v>2021.5</v>
      </c>
      <c r="O288" s="1805"/>
      <c r="P288" s="1809"/>
      <c r="Q288" s="1805"/>
      <c r="R288" s="1811"/>
      <c r="S288" s="281" t="s">
        <v>1736</v>
      </c>
      <c r="T288" s="125"/>
    </row>
    <row r="289" spans="1:20" ht="24.95" customHeight="1">
      <c r="A289" s="117" t="s">
        <v>2347</v>
      </c>
      <c r="B289" s="144" t="s">
        <v>1981</v>
      </c>
      <c r="C289" s="143"/>
      <c r="D289" s="143" t="s">
        <v>62</v>
      </c>
      <c r="E289" s="102">
        <v>14</v>
      </c>
      <c r="F289" s="102">
        <v>107</v>
      </c>
      <c r="G289" s="140" t="s">
        <v>32</v>
      </c>
      <c r="H289" s="140" t="s">
        <v>33</v>
      </c>
      <c r="I289" s="140" t="s">
        <v>1762</v>
      </c>
      <c r="J289" s="102"/>
      <c r="K289" s="102" t="s">
        <v>2348</v>
      </c>
      <c r="L289" s="145">
        <v>605828.31858407101</v>
      </c>
      <c r="M289" s="277">
        <v>181748.5</v>
      </c>
      <c r="N289" s="146">
        <v>43770</v>
      </c>
      <c r="O289" s="160" t="s">
        <v>2349</v>
      </c>
      <c r="P289" s="140" t="s">
        <v>1765</v>
      </c>
      <c r="Q289" s="140">
        <v>18235436200</v>
      </c>
      <c r="R289" s="140" t="s">
        <v>1766</v>
      </c>
      <c r="S289" s="125" t="s">
        <v>1736</v>
      </c>
      <c r="T289" s="125"/>
    </row>
    <row r="290" spans="1:20" ht="24.95" customHeight="1">
      <c r="A290" s="117" t="s">
        <v>2350</v>
      </c>
      <c r="B290" s="288" t="s">
        <v>1981</v>
      </c>
      <c r="C290" s="289"/>
      <c r="D290" s="289" t="s">
        <v>62</v>
      </c>
      <c r="E290" s="102">
        <v>23</v>
      </c>
      <c r="F290" s="102">
        <v>187.08</v>
      </c>
      <c r="G290" s="290" t="s">
        <v>32</v>
      </c>
      <c r="H290" s="140" t="s">
        <v>33</v>
      </c>
      <c r="I290" s="290" t="s">
        <v>1762</v>
      </c>
      <c r="J290" s="102"/>
      <c r="K290" s="102" t="s">
        <v>2348</v>
      </c>
      <c r="L290" s="291">
        <v>1054304.3700000001</v>
      </c>
      <c r="M290" s="113">
        <v>316291.31</v>
      </c>
      <c r="N290" s="146">
        <v>43922</v>
      </c>
      <c r="O290" s="292" t="s">
        <v>2351</v>
      </c>
      <c r="P290" s="290" t="s">
        <v>1765</v>
      </c>
      <c r="Q290" s="290">
        <v>18235436200</v>
      </c>
      <c r="R290" s="140" t="s">
        <v>1766</v>
      </c>
      <c r="S290" s="125" t="s">
        <v>1736</v>
      </c>
      <c r="T290" s="125"/>
    </row>
    <row r="291" spans="1:20" ht="24.95" customHeight="1">
      <c r="A291" s="117" t="s">
        <v>2352</v>
      </c>
      <c r="B291" s="288" t="s">
        <v>1981</v>
      </c>
      <c r="C291" s="289"/>
      <c r="D291" s="289" t="s">
        <v>62</v>
      </c>
      <c r="E291" s="102">
        <v>86.41</v>
      </c>
      <c r="F291" s="102">
        <v>86.41</v>
      </c>
      <c r="G291" s="290" t="s">
        <v>32</v>
      </c>
      <c r="H291" s="140" t="s">
        <v>33</v>
      </c>
      <c r="I291" s="290" t="s">
        <v>1762</v>
      </c>
      <c r="J291" s="102"/>
      <c r="K291" s="102" t="s">
        <v>2353</v>
      </c>
      <c r="L291" s="293">
        <v>531459.73451327404</v>
      </c>
      <c r="M291" s="294">
        <v>159437.92035398199</v>
      </c>
      <c r="N291" s="146">
        <v>43952</v>
      </c>
      <c r="O291" s="292" t="s">
        <v>2351</v>
      </c>
      <c r="P291" s="290" t="s">
        <v>1765</v>
      </c>
      <c r="Q291" s="290">
        <v>18235436200</v>
      </c>
      <c r="R291" s="140" t="s">
        <v>1766</v>
      </c>
      <c r="S291" s="125" t="s">
        <v>1736</v>
      </c>
      <c r="T291" s="125"/>
    </row>
    <row r="292" spans="1:20" ht="24.95" customHeight="1">
      <c r="A292" s="117" t="s">
        <v>2354</v>
      </c>
      <c r="B292" s="102" t="s">
        <v>1981</v>
      </c>
      <c r="C292" s="102"/>
      <c r="D292" s="102" t="s">
        <v>62</v>
      </c>
      <c r="E292" s="102">
        <v>79.08</v>
      </c>
      <c r="F292" s="102">
        <v>79.08</v>
      </c>
      <c r="G292" s="290" t="s">
        <v>32</v>
      </c>
      <c r="H292" s="140" t="s">
        <v>33</v>
      </c>
      <c r="I292" s="290" t="s">
        <v>1762</v>
      </c>
      <c r="J292" s="102"/>
      <c r="K292" s="102" t="s">
        <v>2353</v>
      </c>
      <c r="L292" s="113">
        <v>486376.99115044298</v>
      </c>
      <c r="M292" s="148">
        <v>145913.088345133</v>
      </c>
      <c r="N292" s="239">
        <v>43983</v>
      </c>
      <c r="O292" s="102" t="s">
        <v>2351</v>
      </c>
      <c r="P292" s="174" t="s">
        <v>1765</v>
      </c>
      <c r="Q292" s="295">
        <v>18235436200</v>
      </c>
      <c r="R292" s="140" t="s">
        <v>1766</v>
      </c>
      <c r="S292" s="125" t="s">
        <v>1736</v>
      </c>
      <c r="T292" s="125"/>
    </row>
    <row r="293" spans="1:20" ht="24.95" customHeight="1">
      <c r="A293" s="117" t="s">
        <v>2355</v>
      </c>
      <c r="B293" s="102" t="s">
        <v>1981</v>
      </c>
      <c r="C293" s="102"/>
      <c r="D293" s="102" t="s">
        <v>62</v>
      </c>
      <c r="E293" s="102">
        <v>60.17</v>
      </c>
      <c r="F293" s="102">
        <v>60.17</v>
      </c>
      <c r="G293" s="290" t="s">
        <v>32</v>
      </c>
      <c r="H293" s="140" t="s">
        <v>33</v>
      </c>
      <c r="I293" s="290" t="s">
        <v>1762</v>
      </c>
      <c r="J293" s="102"/>
      <c r="K293" s="102" t="s">
        <v>2348</v>
      </c>
      <c r="L293" s="113">
        <v>350796.42477876099</v>
      </c>
      <c r="M293" s="148">
        <v>105238.92743362801</v>
      </c>
      <c r="N293" s="239">
        <v>43983</v>
      </c>
      <c r="O293" s="102" t="s">
        <v>2356</v>
      </c>
      <c r="P293" s="174" t="s">
        <v>1765</v>
      </c>
      <c r="Q293" s="295">
        <v>18235436200</v>
      </c>
      <c r="R293" s="140" t="s">
        <v>1766</v>
      </c>
      <c r="S293" s="125" t="s">
        <v>1736</v>
      </c>
      <c r="T293" s="125"/>
    </row>
    <row r="294" spans="1:20" ht="24.95" customHeight="1">
      <c r="A294" s="117" t="s">
        <v>2357</v>
      </c>
      <c r="B294" s="102" t="s">
        <v>1981</v>
      </c>
      <c r="C294" s="102"/>
      <c r="D294" s="102" t="s">
        <v>62</v>
      </c>
      <c r="E294" s="102">
        <v>60.17</v>
      </c>
      <c r="F294" s="102">
        <v>109.18</v>
      </c>
      <c r="G294" s="290" t="s">
        <v>32</v>
      </c>
      <c r="H294" s="140" t="s">
        <v>33</v>
      </c>
      <c r="I294" s="290" t="s">
        <v>1762</v>
      </c>
      <c r="J294" s="102"/>
      <c r="K294" s="102" t="s">
        <v>2353</v>
      </c>
      <c r="L294" s="113">
        <v>671505.30973451305</v>
      </c>
      <c r="M294" s="148">
        <v>201451.59292035401</v>
      </c>
      <c r="N294" s="239">
        <v>44013</v>
      </c>
      <c r="O294" s="102" t="s">
        <v>2351</v>
      </c>
      <c r="P294" s="296" t="s">
        <v>1765</v>
      </c>
      <c r="Q294" s="297">
        <v>18235436200</v>
      </c>
      <c r="R294" s="140" t="s">
        <v>1766</v>
      </c>
      <c r="S294" s="125" t="s">
        <v>1736</v>
      </c>
      <c r="T294" s="125"/>
    </row>
    <row r="295" spans="1:20" ht="24.95" customHeight="1">
      <c r="A295" s="117" t="s">
        <v>2358</v>
      </c>
      <c r="B295" s="102" t="s">
        <v>171</v>
      </c>
      <c r="C295" s="102"/>
      <c r="D295" s="102" t="s">
        <v>62</v>
      </c>
      <c r="E295" s="102">
        <v>60.17</v>
      </c>
      <c r="F295" s="102">
        <v>42.91</v>
      </c>
      <c r="G295" s="290" t="s">
        <v>32</v>
      </c>
      <c r="H295" s="140" t="s">
        <v>33</v>
      </c>
      <c r="I295" s="290" t="s">
        <v>1762</v>
      </c>
      <c r="J295" s="102"/>
      <c r="K295" s="102" t="s">
        <v>1763</v>
      </c>
      <c r="L295" s="113">
        <v>262016.814159292</v>
      </c>
      <c r="M295" s="148">
        <v>78605.044247787606</v>
      </c>
      <c r="N295" s="239">
        <v>44013</v>
      </c>
      <c r="O295" s="102" t="s">
        <v>1877</v>
      </c>
      <c r="P295" s="296" t="s">
        <v>1765</v>
      </c>
      <c r="Q295" s="297">
        <v>18235436200</v>
      </c>
      <c r="R295" s="140" t="s">
        <v>1766</v>
      </c>
      <c r="S295" s="125" t="s">
        <v>1736</v>
      </c>
      <c r="T295" s="125"/>
    </row>
    <row r="296" spans="1:20" ht="24.95" customHeight="1">
      <c r="A296" s="117" t="s">
        <v>2359</v>
      </c>
      <c r="B296" s="102" t="s">
        <v>2360</v>
      </c>
      <c r="C296" s="102" t="s">
        <v>2361</v>
      </c>
      <c r="D296" s="102" t="s">
        <v>62</v>
      </c>
      <c r="E296" s="102">
        <v>60.17</v>
      </c>
      <c r="F296" s="102">
        <v>74.09</v>
      </c>
      <c r="G296" s="290" t="s">
        <v>32</v>
      </c>
      <c r="H296" s="140" t="s">
        <v>33</v>
      </c>
      <c r="I296" s="290" t="s">
        <v>1762</v>
      </c>
      <c r="J296" s="102"/>
      <c r="K296" s="102" t="s">
        <v>1763</v>
      </c>
      <c r="L296" s="113">
        <v>452407.96460176999</v>
      </c>
      <c r="M296" s="148">
        <v>135722.38938053101</v>
      </c>
      <c r="N296" s="239">
        <v>44013</v>
      </c>
      <c r="O296" s="102" t="s">
        <v>2351</v>
      </c>
      <c r="P296" s="296" t="s">
        <v>1765</v>
      </c>
      <c r="Q296" s="297">
        <v>18235436200</v>
      </c>
      <c r="R296" s="140" t="s">
        <v>1766</v>
      </c>
      <c r="S296" s="125" t="s">
        <v>1736</v>
      </c>
      <c r="T296" s="125"/>
    </row>
    <row r="297" spans="1:20" ht="24.95" customHeight="1">
      <c r="A297" s="117" t="s">
        <v>2362</v>
      </c>
      <c r="B297" s="102" t="s">
        <v>171</v>
      </c>
      <c r="C297" s="102" t="s">
        <v>2363</v>
      </c>
      <c r="D297" s="102" t="s">
        <v>62</v>
      </c>
      <c r="E297" s="102"/>
      <c r="F297" s="298">
        <v>26.37</v>
      </c>
      <c r="G297" s="174" t="s">
        <v>32</v>
      </c>
      <c r="H297" s="140" t="s">
        <v>33</v>
      </c>
      <c r="I297" s="174" t="s">
        <v>1762</v>
      </c>
      <c r="J297" s="102"/>
      <c r="K297" s="102" t="s">
        <v>1763</v>
      </c>
      <c r="L297" s="113">
        <v>161020.35398230099</v>
      </c>
      <c r="M297" s="113">
        <v>48306.106194690001</v>
      </c>
      <c r="N297" s="239">
        <v>44044</v>
      </c>
      <c r="O297" s="102" t="s">
        <v>1877</v>
      </c>
      <c r="P297" s="174" t="s">
        <v>1765</v>
      </c>
      <c r="Q297" s="295">
        <v>18235436200</v>
      </c>
      <c r="R297" s="140" t="s">
        <v>1766</v>
      </c>
      <c r="S297" s="125" t="s">
        <v>1736</v>
      </c>
      <c r="T297" s="125"/>
    </row>
    <row r="298" spans="1:20" ht="24.95" customHeight="1">
      <c r="A298" s="117" t="s">
        <v>2364</v>
      </c>
      <c r="B298" s="102" t="s">
        <v>171</v>
      </c>
      <c r="C298" s="102" t="s">
        <v>2365</v>
      </c>
      <c r="D298" s="102" t="s">
        <v>62</v>
      </c>
      <c r="E298" s="102"/>
      <c r="F298" s="298">
        <v>28.82</v>
      </c>
      <c r="G298" s="174" t="s">
        <v>32</v>
      </c>
      <c r="H298" s="140" t="s">
        <v>33</v>
      </c>
      <c r="I298" s="174" t="s">
        <v>1762</v>
      </c>
      <c r="J298" s="102"/>
      <c r="K298" s="102" t="s">
        <v>1763</v>
      </c>
      <c r="L298" s="113">
        <v>175980.53097345101</v>
      </c>
      <c r="M298" s="113">
        <v>52794.1592920353</v>
      </c>
      <c r="N298" s="239">
        <v>44044</v>
      </c>
      <c r="O298" s="102" t="s">
        <v>1877</v>
      </c>
      <c r="P298" s="174" t="s">
        <v>1765</v>
      </c>
      <c r="Q298" s="295">
        <v>18235436200</v>
      </c>
      <c r="R298" s="140" t="s">
        <v>1766</v>
      </c>
      <c r="S298" s="125" t="s">
        <v>1736</v>
      </c>
      <c r="T298" s="125"/>
    </row>
    <row r="299" spans="1:20" ht="24.95" customHeight="1">
      <c r="A299" s="117" t="s">
        <v>2366</v>
      </c>
      <c r="B299" s="102" t="s">
        <v>2367</v>
      </c>
      <c r="C299" s="102" t="s">
        <v>2368</v>
      </c>
      <c r="D299" s="102" t="s">
        <v>62</v>
      </c>
      <c r="E299" s="102"/>
      <c r="F299" s="298">
        <v>86.1</v>
      </c>
      <c r="G299" s="174" t="s">
        <v>32</v>
      </c>
      <c r="H299" s="140" t="s">
        <v>33</v>
      </c>
      <c r="I299" s="174" t="s">
        <v>1762</v>
      </c>
      <c r="J299" s="102"/>
      <c r="K299" s="102" t="s">
        <v>1763</v>
      </c>
      <c r="L299" s="113">
        <v>525743.36283185799</v>
      </c>
      <c r="M299" s="113">
        <v>157723.00884955801</v>
      </c>
      <c r="N299" s="239">
        <v>44044</v>
      </c>
      <c r="O299" s="102" t="s">
        <v>2356</v>
      </c>
      <c r="P299" s="174" t="s">
        <v>1765</v>
      </c>
      <c r="Q299" s="295">
        <v>18235436200</v>
      </c>
      <c r="R299" s="140" t="s">
        <v>1766</v>
      </c>
      <c r="S299" s="125" t="s">
        <v>1736</v>
      </c>
      <c r="T299" s="125"/>
    </row>
    <row r="300" spans="1:20" ht="24.95" customHeight="1">
      <c r="A300" s="117" t="s">
        <v>2369</v>
      </c>
      <c r="B300" s="102" t="s">
        <v>29</v>
      </c>
      <c r="C300" s="102" t="s">
        <v>2363</v>
      </c>
      <c r="D300" s="102" t="s">
        <v>62</v>
      </c>
      <c r="E300" s="102"/>
      <c r="F300" s="298">
        <v>53.77</v>
      </c>
      <c r="G300" s="174" t="s">
        <v>32</v>
      </c>
      <c r="H300" s="140" t="s">
        <v>33</v>
      </c>
      <c r="I300" s="174" t="s">
        <v>1762</v>
      </c>
      <c r="J300" s="102"/>
      <c r="K300" s="102" t="s">
        <v>2353</v>
      </c>
      <c r="L300" s="113">
        <v>330709.29203539802</v>
      </c>
      <c r="M300" s="113">
        <v>99212.787610619998</v>
      </c>
      <c r="N300" s="239">
        <v>44044</v>
      </c>
      <c r="O300" s="102" t="s">
        <v>2356</v>
      </c>
      <c r="P300" s="174" t="s">
        <v>1765</v>
      </c>
      <c r="Q300" s="295">
        <v>18235436200</v>
      </c>
      <c r="R300" s="140" t="s">
        <v>1766</v>
      </c>
      <c r="S300" s="125" t="s">
        <v>1736</v>
      </c>
      <c r="T300" s="125"/>
    </row>
    <row r="301" spans="1:20" ht="24.95" customHeight="1">
      <c r="A301" s="117" t="s">
        <v>2370</v>
      </c>
      <c r="B301" s="102" t="s">
        <v>171</v>
      </c>
      <c r="C301" s="102" t="s">
        <v>2371</v>
      </c>
      <c r="D301" s="102" t="s">
        <v>62</v>
      </c>
      <c r="E301" s="102">
        <v>10.225</v>
      </c>
      <c r="F301" s="102">
        <v>10.225</v>
      </c>
      <c r="G301" s="299" t="s">
        <v>32</v>
      </c>
      <c r="H301" s="140" t="s">
        <v>33</v>
      </c>
      <c r="I301" s="299" t="s">
        <v>1762</v>
      </c>
      <c r="J301" s="102"/>
      <c r="K301" s="102" t="s">
        <v>1763</v>
      </c>
      <c r="L301" s="113">
        <v>62435.840707964599</v>
      </c>
      <c r="M301" s="113">
        <v>18730.752212389401</v>
      </c>
      <c r="N301" s="239">
        <v>44166</v>
      </c>
      <c r="O301" s="102" t="s">
        <v>1877</v>
      </c>
      <c r="P301" s="174" t="s">
        <v>1765</v>
      </c>
      <c r="Q301" s="295">
        <v>18235436200</v>
      </c>
      <c r="R301" s="140" t="s">
        <v>1766</v>
      </c>
      <c r="S301" s="125" t="s">
        <v>1736</v>
      </c>
      <c r="T301" s="125"/>
    </row>
    <row r="302" spans="1:20" ht="24.95" customHeight="1">
      <c r="A302" s="117" t="s">
        <v>2372</v>
      </c>
      <c r="B302" s="102" t="s">
        <v>2373</v>
      </c>
      <c r="C302" s="102" t="s">
        <v>2365</v>
      </c>
      <c r="D302" s="102" t="s">
        <v>62</v>
      </c>
      <c r="E302" s="102">
        <v>208.05</v>
      </c>
      <c r="F302" s="102">
        <v>208.05</v>
      </c>
      <c r="G302" s="299" t="s">
        <v>32</v>
      </c>
      <c r="H302" s="140" t="s">
        <v>33</v>
      </c>
      <c r="I302" s="299" t="s">
        <v>1762</v>
      </c>
      <c r="J302" s="102"/>
      <c r="K302" s="102" t="s">
        <v>1763</v>
      </c>
      <c r="L302" s="102">
        <v>1279599.55752212</v>
      </c>
      <c r="M302" s="113">
        <v>383879.86725663702</v>
      </c>
      <c r="N302" s="239">
        <v>44166</v>
      </c>
      <c r="O302" s="102" t="s">
        <v>1877</v>
      </c>
      <c r="P302" s="174" t="s">
        <v>1765</v>
      </c>
      <c r="Q302" s="295">
        <v>18235436200</v>
      </c>
      <c r="R302" s="140" t="s">
        <v>1766</v>
      </c>
      <c r="S302" s="125" t="s">
        <v>1736</v>
      </c>
      <c r="T302" s="125"/>
    </row>
    <row r="303" spans="1:20" ht="24.95" customHeight="1">
      <c r="A303" s="117" t="s">
        <v>2374</v>
      </c>
      <c r="B303" s="102" t="s">
        <v>2375</v>
      </c>
      <c r="C303" s="102" t="s">
        <v>174</v>
      </c>
      <c r="D303" s="102" t="s">
        <v>62</v>
      </c>
      <c r="E303" s="102">
        <v>20.18</v>
      </c>
      <c r="F303" s="102">
        <v>20.18</v>
      </c>
      <c r="G303" s="299" t="s">
        <v>32</v>
      </c>
      <c r="H303" s="140" t="s">
        <v>33</v>
      </c>
      <c r="I303" s="299" t="s">
        <v>1762</v>
      </c>
      <c r="J303" s="102"/>
      <c r="K303" s="102" t="s">
        <v>1763</v>
      </c>
      <c r="L303" s="113">
        <v>123223.008849558</v>
      </c>
      <c r="M303" s="113">
        <v>36966.902654867299</v>
      </c>
      <c r="N303" s="239">
        <v>44166</v>
      </c>
      <c r="O303" s="102" t="s">
        <v>2356</v>
      </c>
      <c r="P303" s="174" t="s">
        <v>1765</v>
      </c>
      <c r="Q303" s="295">
        <v>18235436200</v>
      </c>
      <c r="R303" s="140" t="s">
        <v>1766</v>
      </c>
      <c r="S303" s="125" t="s">
        <v>1736</v>
      </c>
      <c r="T303" s="125"/>
    </row>
    <row r="304" spans="1:20" ht="24.95" customHeight="1">
      <c r="A304" s="117" t="s">
        <v>2376</v>
      </c>
      <c r="B304" s="102" t="s">
        <v>2377</v>
      </c>
      <c r="C304" s="102" t="s">
        <v>1449</v>
      </c>
      <c r="D304" s="102" t="s">
        <v>79</v>
      </c>
      <c r="E304" s="102">
        <v>1</v>
      </c>
      <c r="F304" s="102">
        <v>1</v>
      </c>
      <c r="G304" s="299" t="s">
        <v>32</v>
      </c>
      <c r="H304" s="140" t="s">
        <v>33</v>
      </c>
      <c r="I304" s="299" t="s">
        <v>1762</v>
      </c>
      <c r="J304" s="102"/>
      <c r="K304" s="102" t="s">
        <v>2378</v>
      </c>
      <c r="L304" s="113">
        <v>141592.92035398199</v>
      </c>
      <c r="M304" s="113">
        <v>42477.876106194701</v>
      </c>
      <c r="N304" s="239">
        <v>44256</v>
      </c>
      <c r="O304" s="102" t="s">
        <v>2351</v>
      </c>
      <c r="P304" s="174" t="s">
        <v>1765</v>
      </c>
      <c r="Q304" s="295">
        <v>18235436200</v>
      </c>
      <c r="R304" s="140" t="s">
        <v>1766</v>
      </c>
      <c r="S304" s="125" t="s">
        <v>1736</v>
      </c>
      <c r="T304" s="125"/>
    </row>
    <row r="305" spans="1:20" ht="24.95" customHeight="1">
      <c r="A305" s="117" t="s">
        <v>2379</v>
      </c>
      <c r="B305" s="102" t="s">
        <v>2380</v>
      </c>
      <c r="C305" s="102" t="s">
        <v>2381</v>
      </c>
      <c r="D305" s="102" t="s">
        <v>62</v>
      </c>
      <c r="E305" s="102">
        <v>1</v>
      </c>
      <c r="F305" s="102">
        <v>26.09</v>
      </c>
      <c r="G305" s="299" t="s">
        <v>32</v>
      </c>
      <c r="H305" s="140" t="s">
        <v>33</v>
      </c>
      <c r="I305" s="299" t="s">
        <v>1762</v>
      </c>
      <c r="J305" s="102"/>
      <c r="K305" s="102" t="s">
        <v>2378</v>
      </c>
      <c r="L305" s="113">
        <v>103898.230088496</v>
      </c>
      <c r="M305" s="113">
        <v>31169.469026548701</v>
      </c>
      <c r="N305" s="239">
        <v>44256</v>
      </c>
      <c r="O305" s="102" t="s">
        <v>2356</v>
      </c>
      <c r="P305" s="174" t="s">
        <v>1765</v>
      </c>
      <c r="Q305" s="295">
        <v>18235436200</v>
      </c>
      <c r="R305" s="140" t="s">
        <v>1766</v>
      </c>
      <c r="S305" s="125" t="s">
        <v>1736</v>
      </c>
      <c r="T305" s="125"/>
    </row>
    <row r="306" spans="1:20" ht="24.95" customHeight="1">
      <c r="A306" s="117" t="s">
        <v>2382</v>
      </c>
      <c r="B306" s="102" t="s">
        <v>2383</v>
      </c>
      <c r="C306" s="102" t="s">
        <v>29</v>
      </c>
      <c r="D306" s="102" t="s">
        <v>62</v>
      </c>
      <c r="E306" s="300">
        <v>28.81</v>
      </c>
      <c r="F306" s="300">
        <v>28.81</v>
      </c>
      <c r="G306" s="299" t="s">
        <v>32</v>
      </c>
      <c r="H306" s="140" t="s">
        <v>33</v>
      </c>
      <c r="I306" s="299" t="s">
        <v>1762</v>
      </c>
      <c r="J306" s="102"/>
      <c r="K306" s="108" t="s">
        <v>2353</v>
      </c>
      <c r="L306" s="102">
        <v>200229.5</v>
      </c>
      <c r="M306" s="113">
        <v>53158.274336283197</v>
      </c>
      <c r="N306" s="239">
        <v>44317</v>
      </c>
      <c r="O306" s="102" t="s">
        <v>2384</v>
      </c>
      <c r="P306" s="174" t="s">
        <v>1765</v>
      </c>
      <c r="Q306" s="295">
        <v>18235436200</v>
      </c>
      <c r="R306" s="140" t="s">
        <v>1766</v>
      </c>
      <c r="S306" s="125" t="s">
        <v>1736</v>
      </c>
      <c r="T306" s="125"/>
    </row>
    <row r="307" spans="1:20" ht="24.95" customHeight="1">
      <c r="A307" s="117" t="s">
        <v>2385</v>
      </c>
      <c r="B307" s="102" t="s">
        <v>104</v>
      </c>
      <c r="C307" s="102"/>
      <c r="D307" s="102" t="s">
        <v>62</v>
      </c>
      <c r="E307" s="300"/>
      <c r="F307" s="300"/>
      <c r="G307" s="299" t="s">
        <v>32</v>
      </c>
      <c r="H307" s="140" t="s">
        <v>33</v>
      </c>
      <c r="I307" s="299" t="s">
        <v>1762</v>
      </c>
      <c r="J307" s="102"/>
      <c r="K307" s="108" t="s">
        <v>1763</v>
      </c>
      <c r="L307" s="102">
        <v>178239.82300885001</v>
      </c>
      <c r="M307" s="113">
        <v>53471.946902654898</v>
      </c>
      <c r="N307" s="239">
        <v>44317</v>
      </c>
      <c r="O307" s="102" t="s">
        <v>2386</v>
      </c>
      <c r="P307" s="174" t="s">
        <v>1765</v>
      </c>
      <c r="Q307" s="295">
        <v>18235436200</v>
      </c>
      <c r="R307" s="140" t="s">
        <v>1766</v>
      </c>
      <c r="S307" s="125" t="s">
        <v>1736</v>
      </c>
      <c r="T307" s="125"/>
    </row>
    <row r="308" spans="1:20" ht="24.95" customHeight="1">
      <c r="A308" s="117" t="s">
        <v>2387</v>
      </c>
      <c r="B308" s="102" t="s">
        <v>171</v>
      </c>
      <c r="C308" s="102" t="s">
        <v>2388</v>
      </c>
      <c r="D308" s="102" t="s">
        <v>62</v>
      </c>
      <c r="E308" s="300">
        <v>58.96</v>
      </c>
      <c r="F308" s="300">
        <v>58.96</v>
      </c>
      <c r="G308" s="299" t="s">
        <v>32</v>
      </c>
      <c r="H308" s="140" t="s">
        <v>33</v>
      </c>
      <c r="I308" s="299" t="s">
        <v>1762</v>
      </c>
      <c r="J308" s="102"/>
      <c r="K308" s="108" t="s">
        <v>1763</v>
      </c>
      <c r="L308" s="102">
        <v>396545.13274336298</v>
      </c>
      <c r="M308" s="113">
        <v>118963.53982300901</v>
      </c>
      <c r="N308" s="239">
        <v>44348</v>
      </c>
      <c r="O308" s="102" t="s">
        <v>1877</v>
      </c>
      <c r="P308" s="174" t="s">
        <v>1765</v>
      </c>
      <c r="Q308" s="295">
        <v>18235436200</v>
      </c>
      <c r="R308" s="140" t="s">
        <v>1766</v>
      </c>
      <c r="S308" s="125" t="s">
        <v>1736</v>
      </c>
      <c r="T308" s="125"/>
    </row>
    <row r="309" spans="1:20" ht="24.95" customHeight="1">
      <c r="A309" s="117" t="s">
        <v>2389</v>
      </c>
      <c r="B309" s="102" t="s">
        <v>171</v>
      </c>
      <c r="C309" s="102" t="s">
        <v>2390</v>
      </c>
      <c r="D309" s="102" t="s">
        <v>62</v>
      </c>
      <c r="E309" s="300" t="s">
        <v>2391</v>
      </c>
      <c r="F309" s="301">
        <v>23.65</v>
      </c>
      <c r="G309" s="299" t="s">
        <v>32</v>
      </c>
      <c r="H309" s="140" t="s">
        <v>33</v>
      </c>
      <c r="I309" s="299" t="s">
        <v>1762</v>
      </c>
      <c r="J309" s="102"/>
      <c r="K309" s="108" t="s">
        <v>2392</v>
      </c>
      <c r="L309" s="102">
        <v>160153.09734513299</v>
      </c>
      <c r="M309" s="113">
        <v>48045.929203539803</v>
      </c>
      <c r="N309" s="239">
        <v>44348</v>
      </c>
      <c r="O309" s="102" t="s">
        <v>1877</v>
      </c>
      <c r="P309" s="174" t="s">
        <v>1765</v>
      </c>
      <c r="Q309" s="295">
        <v>18235436200</v>
      </c>
      <c r="R309" s="140" t="s">
        <v>1766</v>
      </c>
      <c r="S309" s="125" t="s">
        <v>1736</v>
      </c>
      <c r="T309" s="125"/>
    </row>
    <row r="310" spans="1:20" ht="24.95" customHeight="1">
      <c r="A310" s="117" t="s">
        <v>2393</v>
      </c>
      <c r="B310" s="102" t="s">
        <v>171</v>
      </c>
      <c r="C310" s="102" t="s">
        <v>2394</v>
      </c>
      <c r="D310" s="102" t="s">
        <v>62</v>
      </c>
      <c r="E310" s="300" t="s">
        <v>1761</v>
      </c>
      <c r="F310" s="301">
        <v>18.46</v>
      </c>
      <c r="G310" s="299" t="s">
        <v>32</v>
      </c>
      <c r="H310" s="140" t="s">
        <v>33</v>
      </c>
      <c r="I310" s="299" t="s">
        <v>1762</v>
      </c>
      <c r="J310" s="102"/>
      <c r="K310" s="108" t="s">
        <v>2392</v>
      </c>
      <c r="L310" s="102">
        <v>121118.584070796</v>
      </c>
      <c r="M310" s="113">
        <v>36335.575221238898</v>
      </c>
      <c r="N310" s="239">
        <v>44348</v>
      </c>
      <c r="O310" s="102" t="s">
        <v>1877</v>
      </c>
      <c r="P310" s="174" t="s">
        <v>1765</v>
      </c>
      <c r="Q310" s="295">
        <v>18235436200</v>
      </c>
      <c r="R310" s="140" t="s">
        <v>1766</v>
      </c>
      <c r="S310" s="125" t="s">
        <v>1736</v>
      </c>
      <c r="T310" s="125"/>
    </row>
    <row r="311" spans="1:20" ht="24.95" customHeight="1">
      <c r="A311" s="117" t="s">
        <v>2395</v>
      </c>
      <c r="B311" s="102" t="s">
        <v>2396</v>
      </c>
      <c r="C311" s="102" t="s">
        <v>2397</v>
      </c>
      <c r="D311" s="102" t="s">
        <v>62</v>
      </c>
      <c r="E311" s="300">
        <v>1</v>
      </c>
      <c r="F311" s="301">
        <v>14.17</v>
      </c>
      <c r="G311" s="299" t="s">
        <v>32</v>
      </c>
      <c r="H311" s="140" t="s">
        <v>33</v>
      </c>
      <c r="I311" s="299" t="s">
        <v>1762</v>
      </c>
      <c r="J311" s="102"/>
      <c r="K311" s="108" t="s">
        <v>2392</v>
      </c>
      <c r="L311" s="102">
        <v>104461</v>
      </c>
      <c r="M311" s="113">
        <v>27733.0088495575</v>
      </c>
      <c r="N311" s="239">
        <v>44348</v>
      </c>
      <c r="O311" s="102" t="s">
        <v>2398</v>
      </c>
      <c r="P311" s="174" t="s">
        <v>1765</v>
      </c>
      <c r="Q311" s="295">
        <v>18235436200</v>
      </c>
      <c r="R311" s="140" t="s">
        <v>1766</v>
      </c>
      <c r="S311" s="125" t="s">
        <v>1736</v>
      </c>
      <c r="T311" s="125"/>
    </row>
    <row r="312" spans="1:20" ht="24.95" customHeight="1">
      <c r="A312" s="117" t="s">
        <v>2399</v>
      </c>
      <c r="B312" s="102" t="s">
        <v>104</v>
      </c>
      <c r="C312" s="102" t="s">
        <v>2400</v>
      </c>
      <c r="D312" s="102" t="s">
        <v>62</v>
      </c>
      <c r="E312" s="300">
        <v>1</v>
      </c>
      <c r="F312" s="301">
        <v>23.89</v>
      </c>
      <c r="G312" s="299" t="s">
        <v>32</v>
      </c>
      <c r="H312" s="140" t="s">
        <v>33</v>
      </c>
      <c r="I312" s="299" t="s">
        <v>1762</v>
      </c>
      <c r="J312" s="102"/>
      <c r="K312" s="108" t="s">
        <v>2392</v>
      </c>
      <c r="L312" s="102">
        <v>157452.21238938099</v>
      </c>
      <c r="M312" s="113">
        <v>47235.663716814299</v>
      </c>
      <c r="N312" s="239">
        <v>44348</v>
      </c>
      <c r="O312" s="102" t="s">
        <v>2386</v>
      </c>
      <c r="P312" s="174" t="s">
        <v>1765</v>
      </c>
      <c r="Q312" s="295">
        <v>18235436200</v>
      </c>
      <c r="R312" s="140" t="s">
        <v>1766</v>
      </c>
      <c r="S312" s="125" t="s">
        <v>1736</v>
      </c>
      <c r="T312" s="125"/>
    </row>
    <row r="313" spans="1:20" ht="24.95" customHeight="1">
      <c r="A313" s="117" t="s">
        <v>2401</v>
      </c>
      <c r="B313" s="102" t="s">
        <v>171</v>
      </c>
      <c r="C313" s="102" t="s">
        <v>2402</v>
      </c>
      <c r="D313" s="102" t="s">
        <v>62</v>
      </c>
      <c r="E313" s="102"/>
      <c r="F313" s="102">
        <v>38.32</v>
      </c>
      <c r="G313" s="299" t="s">
        <v>32</v>
      </c>
      <c r="H313" s="140" t="s">
        <v>33</v>
      </c>
      <c r="I313" s="299" t="s">
        <v>1762</v>
      </c>
      <c r="J313" s="102"/>
      <c r="K313" s="102" t="s">
        <v>1763</v>
      </c>
      <c r="L313" s="102">
        <v>257727.43362831901</v>
      </c>
      <c r="M313" s="148">
        <v>77318.230088495606</v>
      </c>
      <c r="N313" s="239">
        <v>44379</v>
      </c>
      <c r="O313" s="102" t="s">
        <v>1877</v>
      </c>
      <c r="P313" s="174" t="s">
        <v>1765</v>
      </c>
      <c r="Q313" s="295">
        <v>18235436200</v>
      </c>
      <c r="R313" s="140" t="s">
        <v>1766</v>
      </c>
      <c r="S313" s="125" t="s">
        <v>1736</v>
      </c>
      <c r="T313" s="125"/>
    </row>
    <row r="314" spans="1:20" ht="24.95" customHeight="1">
      <c r="A314" s="117" t="s">
        <v>2403</v>
      </c>
      <c r="B314" s="102" t="s">
        <v>104</v>
      </c>
      <c r="C314" s="102" t="s">
        <v>2400</v>
      </c>
      <c r="D314" s="102" t="s">
        <v>62</v>
      </c>
      <c r="E314" s="102"/>
      <c r="F314" s="102">
        <v>21.71</v>
      </c>
      <c r="G314" s="302" t="s">
        <v>32</v>
      </c>
      <c r="H314" s="290" t="s">
        <v>32</v>
      </c>
      <c r="I314" s="302" t="s">
        <v>1762</v>
      </c>
      <c r="J314" s="102"/>
      <c r="K314" s="102" t="s">
        <v>2392</v>
      </c>
      <c r="L314" s="102">
        <v>147935.398230088</v>
      </c>
      <c r="M314" s="148">
        <v>44380.619469026497</v>
      </c>
      <c r="N314" s="303">
        <v>44440</v>
      </c>
      <c r="O314" s="102" t="s">
        <v>2386</v>
      </c>
      <c r="P314" s="296" t="s">
        <v>1765</v>
      </c>
      <c r="Q314" s="297">
        <v>18235436200</v>
      </c>
      <c r="R314" s="304" t="s">
        <v>2404</v>
      </c>
      <c r="S314" s="305" t="s">
        <v>2405</v>
      </c>
      <c r="T314" s="305">
        <v>1</v>
      </c>
    </row>
    <row r="315" spans="1:20" ht="24.95" customHeight="1">
      <c r="A315" s="117" t="s">
        <v>2403</v>
      </c>
      <c r="B315" s="222" t="s">
        <v>2406</v>
      </c>
      <c r="C315" s="222" t="s">
        <v>2407</v>
      </c>
      <c r="D315" s="150" t="s">
        <v>62</v>
      </c>
      <c r="E315" s="150">
        <v>50</v>
      </c>
      <c r="F315" s="150">
        <v>50</v>
      </c>
      <c r="G315" s="174" t="s">
        <v>32</v>
      </c>
      <c r="H315" s="140" t="s">
        <v>33</v>
      </c>
      <c r="I315" s="123"/>
      <c r="J315" s="152"/>
      <c r="K315" s="174" t="s">
        <v>2408</v>
      </c>
      <c r="L315" s="154">
        <v>380530.96</v>
      </c>
      <c r="M315" s="141">
        <v>167433.64000000001</v>
      </c>
      <c r="N315" s="105">
        <v>2021.8</v>
      </c>
      <c r="O315" s="102" t="s">
        <v>2147</v>
      </c>
      <c r="P315" s="159" t="s">
        <v>1756</v>
      </c>
      <c r="Q315" s="159">
        <v>18634872802</v>
      </c>
      <c r="R315" s="106" t="s">
        <v>2147</v>
      </c>
      <c r="S315" s="125" t="s">
        <v>1736</v>
      </c>
      <c r="T315" s="125"/>
    </row>
    <row r="316" spans="1:20" ht="24.95" customHeight="1">
      <c r="A316" s="117" t="s">
        <v>2409</v>
      </c>
      <c r="B316" s="306" t="s">
        <v>29</v>
      </c>
      <c r="C316" s="222" t="s">
        <v>135</v>
      </c>
      <c r="D316" s="307" t="s">
        <v>62</v>
      </c>
      <c r="E316" s="242">
        <v>49.92</v>
      </c>
      <c r="F316" s="242">
        <v>49.92</v>
      </c>
      <c r="G316" s="174" t="s">
        <v>32</v>
      </c>
      <c r="H316" s="140" t="s">
        <v>33</v>
      </c>
      <c r="I316" s="123"/>
      <c r="J316" s="152"/>
      <c r="K316" s="174" t="s">
        <v>1754</v>
      </c>
      <c r="L316" s="141">
        <v>384339.82</v>
      </c>
      <c r="M316" s="141">
        <v>169109.54</v>
      </c>
      <c r="N316" s="105">
        <v>2021.8</v>
      </c>
      <c r="O316" s="102" t="s">
        <v>2147</v>
      </c>
      <c r="P316" s="159" t="s">
        <v>1756</v>
      </c>
      <c r="Q316" s="159">
        <v>18634872803</v>
      </c>
      <c r="R316" s="106" t="s">
        <v>2147</v>
      </c>
      <c r="S316" s="125" t="s">
        <v>1736</v>
      </c>
      <c r="T316" s="125"/>
    </row>
    <row r="317" spans="1:20" ht="24.95" customHeight="1">
      <c r="A317" s="117" t="s">
        <v>2410</v>
      </c>
      <c r="B317" s="222" t="s">
        <v>2406</v>
      </c>
      <c r="C317" s="222" t="s">
        <v>2407</v>
      </c>
      <c r="D317" s="307" t="s">
        <v>62</v>
      </c>
      <c r="E317" s="174">
        <v>3.05</v>
      </c>
      <c r="F317" s="174">
        <v>3.05</v>
      </c>
      <c r="G317" s="174" t="s">
        <v>32</v>
      </c>
      <c r="H317" s="140" t="s">
        <v>33</v>
      </c>
      <c r="I317" s="123"/>
      <c r="J317" s="152"/>
      <c r="K317" s="174" t="s">
        <v>2408</v>
      </c>
      <c r="L317" s="141">
        <v>23212.39</v>
      </c>
      <c r="M317" s="141">
        <v>10213.469999999999</v>
      </c>
      <c r="N317" s="105">
        <v>2021.8</v>
      </c>
      <c r="O317" s="102" t="s">
        <v>2147</v>
      </c>
      <c r="P317" s="159" t="s">
        <v>1756</v>
      </c>
      <c r="Q317" s="159">
        <v>18634872803</v>
      </c>
      <c r="R317" s="106" t="s">
        <v>2147</v>
      </c>
      <c r="S317" s="125" t="s">
        <v>1736</v>
      </c>
      <c r="T317" s="125"/>
    </row>
    <row r="318" spans="1:20" ht="24.95" customHeight="1">
      <c r="A318" s="117" t="s">
        <v>2411</v>
      </c>
      <c r="B318" s="102" t="s">
        <v>135</v>
      </c>
      <c r="C318" s="102" t="s">
        <v>2412</v>
      </c>
      <c r="D318" s="123" t="s">
        <v>62</v>
      </c>
      <c r="E318" s="102">
        <v>293.93</v>
      </c>
      <c r="F318" s="102">
        <v>293.93</v>
      </c>
      <c r="G318" s="102" t="s">
        <v>32</v>
      </c>
      <c r="H318" s="105" t="s">
        <v>41</v>
      </c>
      <c r="I318" s="123"/>
      <c r="J318" s="102" t="s">
        <v>2413</v>
      </c>
      <c r="K318" s="102" t="s">
        <v>2414</v>
      </c>
      <c r="L318" s="102">
        <v>2145571.3185840701</v>
      </c>
      <c r="M318" s="308">
        <v>1731782.56</v>
      </c>
      <c r="N318" s="102" t="s">
        <v>2415</v>
      </c>
      <c r="O318" s="102" t="s">
        <v>2416</v>
      </c>
      <c r="P318" s="123" t="s">
        <v>2417</v>
      </c>
      <c r="Q318" s="309">
        <v>15003571571</v>
      </c>
      <c r="R318" s="310" t="s">
        <v>2418</v>
      </c>
      <c r="S318" s="125" t="s">
        <v>1736</v>
      </c>
      <c r="T318" s="125"/>
    </row>
    <row r="319" spans="1:20" ht="24.95" customHeight="1">
      <c r="A319" s="117" t="s">
        <v>2419</v>
      </c>
      <c r="B319" s="102" t="s">
        <v>2301</v>
      </c>
      <c r="C319" s="102" t="s">
        <v>34</v>
      </c>
      <c r="D319" s="123" t="s">
        <v>62</v>
      </c>
      <c r="E319" s="102"/>
      <c r="F319" s="102">
        <v>18.38</v>
      </c>
      <c r="G319" s="102" t="s">
        <v>32</v>
      </c>
      <c r="H319" s="105" t="s">
        <v>41</v>
      </c>
      <c r="I319" s="123"/>
      <c r="J319" s="102"/>
      <c r="K319" s="197" t="s">
        <v>2420</v>
      </c>
      <c r="L319" s="311">
        <v>80283.839999999997</v>
      </c>
      <c r="M319" s="103">
        <v>80283.839999999997</v>
      </c>
      <c r="N319" s="102" t="s">
        <v>2421</v>
      </c>
      <c r="O319" s="102" t="s">
        <v>2422</v>
      </c>
      <c r="P319" s="123" t="s">
        <v>2417</v>
      </c>
      <c r="Q319" s="102">
        <v>15003571571</v>
      </c>
      <c r="R319" s="106" t="s">
        <v>2418</v>
      </c>
      <c r="S319" s="125" t="s">
        <v>1736</v>
      </c>
      <c r="T319" s="125"/>
    </row>
    <row r="320" spans="1:20" ht="24.95" customHeight="1">
      <c r="A320" s="117" t="s">
        <v>2423</v>
      </c>
      <c r="B320" s="102" t="s">
        <v>177</v>
      </c>
      <c r="C320" s="102" t="s">
        <v>34</v>
      </c>
      <c r="D320" s="123" t="s">
        <v>62</v>
      </c>
      <c r="E320" s="102"/>
      <c r="F320" s="102">
        <v>58.3</v>
      </c>
      <c r="G320" s="102" t="s">
        <v>32</v>
      </c>
      <c r="H320" s="105" t="s">
        <v>41</v>
      </c>
      <c r="I320" s="123"/>
      <c r="J320" s="102"/>
      <c r="K320" s="197" t="s">
        <v>2420</v>
      </c>
      <c r="L320" s="197">
        <v>254654.4</v>
      </c>
      <c r="M320" s="103">
        <v>254654.4</v>
      </c>
      <c r="N320" s="102" t="s">
        <v>2421</v>
      </c>
      <c r="O320" s="102" t="s">
        <v>2422</v>
      </c>
      <c r="P320" s="123" t="s">
        <v>2417</v>
      </c>
      <c r="Q320" s="102">
        <v>15003571571</v>
      </c>
      <c r="R320" s="106" t="s">
        <v>2418</v>
      </c>
      <c r="S320" s="125" t="s">
        <v>1736</v>
      </c>
      <c r="T320" s="125"/>
    </row>
    <row r="321" spans="1:20" ht="24.95" customHeight="1">
      <c r="A321" s="117" t="s">
        <v>2424</v>
      </c>
      <c r="B321" s="102" t="s">
        <v>2425</v>
      </c>
      <c r="C321" s="102" t="s">
        <v>170</v>
      </c>
      <c r="D321" s="123" t="s">
        <v>62</v>
      </c>
      <c r="E321" s="177">
        <v>1</v>
      </c>
      <c r="F321" s="113">
        <v>2.3980000000000001</v>
      </c>
      <c r="G321" s="102" t="s">
        <v>32</v>
      </c>
      <c r="H321" s="105" t="s">
        <v>33</v>
      </c>
      <c r="I321" s="123"/>
      <c r="J321" s="102"/>
      <c r="K321" s="102" t="s">
        <v>1983</v>
      </c>
      <c r="L321" s="113">
        <v>10832.965</v>
      </c>
      <c r="M321" s="148">
        <v>3249.8895000000002</v>
      </c>
      <c r="N321" s="179">
        <v>44397</v>
      </c>
      <c r="O321" s="102" t="s">
        <v>1975</v>
      </c>
      <c r="P321" s="123" t="s">
        <v>1974</v>
      </c>
      <c r="Q321" s="102">
        <v>15103501536</v>
      </c>
      <c r="R321" s="106" t="s">
        <v>1975</v>
      </c>
      <c r="S321" s="125" t="s">
        <v>1736</v>
      </c>
      <c r="T321" s="125"/>
    </row>
    <row r="322" spans="1:20" ht="24.95" customHeight="1">
      <c r="A322" s="117" t="s">
        <v>2426</v>
      </c>
      <c r="B322" s="102" t="s">
        <v>2425</v>
      </c>
      <c r="C322" s="102" t="s">
        <v>169</v>
      </c>
      <c r="D322" s="123" t="s">
        <v>62</v>
      </c>
      <c r="E322" s="177">
        <v>1</v>
      </c>
      <c r="F322" s="113">
        <v>2.4740000000000002</v>
      </c>
      <c r="G322" s="102" t="s">
        <v>32</v>
      </c>
      <c r="H322" s="105" t="s">
        <v>33</v>
      </c>
      <c r="I322" s="123"/>
      <c r="J322" s="102"/>
      <c r="K322" s="102" t="s">
        <v>1983</v>
      </c>
      <c r="L322" s="113">
        <v>11176.295</v>
      </c>
      <c r="M322" s="148">
        <v>3352.8885</v>
      </c>
      <c r="N322" s="179">
        <v>44397</v>
      </c>
      <c r="O322" s="102" t="s">
        <v>1975</v>
      </c>
      <c r="P322" s="123" t="s">
        <v>1974</v>
      </c>
      <c r="Q322" s="102">
        <v>15103501536</v>
      </c>
      <c r="R322" s="106" t="s">
        <v>1975</v>
      </c>
      <c r="S322" s="125" t="s">
        <v>1736</v>
      </c>
      <c r="T322" s="125"/>
    </row>
    <row r="323" spans="1:20" ht="24.95" customHeight="1">
      <c r="A323" s="117" t="s">
        <v>2427</v>
      </c>
      <c r="B323" s="102" t="s">
        <v>439</v>
      </c>
      <c r="C323" s="102" t="s">
        <v>2428</v>
      </c>
      <c r="D323" s="123" t="s">
        <v>62</v>
      </c>
      <c r="E323" s="177">
        <v>1</v>
      </c>
      <c r="F323" s="1815">
        <v>17.88</v>
      </c>
      <c r="G323" s="102" t="s">
        <v>32</v>
      </c>
      <c r="H323" s="105" t="s">
        <v>33</v>
      </c>
      <c r="I323" s="123"/>
      <c r="J323" s="102"/>
      <c r="K323" s="102" t="s">
        <v>2429</v>
      </c>
      <c r="L323" s="1815">
        <v>140824.77876106201</v>
      </c>
      <c r="M323" s="1818">
        <v>132063.76431156401</v>
      </c>
      <c r="N323" s="179">
        <v>44509</v>
      </c>
      <c r="O323" s="102" t="s">
        <v>1975</v>
      </c>
      <c r="P323" s="123" t="s">
        <v>1974</v>
      </c>
      <c r="Q323" s="102">
        <v>15103501536</v>
      </c>
      <c r="R323" s="106" t="s">
        <v>1975</v>
      </c>
      <c r="S323" s="125" t="s">
        <v>1736</v>
      </c>
      <c r="T323" s="125"/>
    </row>
    <row r="324" spans="1:20" ht="24.95" customHeight="1">
      <c r="A324" s="117" t="s">
        <v>2430</v>
      </c>
      <c r="B324" s="102" t="s">
        <v>2431</v>
      </c>
      <c r="C324" s="102" t="s">
        <v>2432</v>
      </c>
      <c r="D324" s="123" t="s">
        <v>62</v>
      </c>
      <c r="E324" s="177">
        <v>1</v>
      </c>
      <c r="F324" s="1816"/>
      <c r="G324" s="102" t="s">
        <v>32</v>
      </c>
      <c r="H324" s="105" t="s">
        <v>33</v>
      </c>
      <c r="I324" s="123"/>
      <c r="J324" s="102"/>
      <c r="K324" s="102" t="s">
        <v>2429</v>
      </c>
      <c r="L324" s="1816"/>
      <c r="M324" s="1819"/>
      <c r="N324" s="179">
        <v>44509</v>
      </c>
      <c r="O324" s="102" t="s">
        <v>1975</v>
      </c>
      <c r="P324" s="123" t="s">
        <v>1974</v>
      </c>
      <c r="Q324" s="102">
        <v>15103501536</v>
      </c>
      <c r="R324" s="106" t="s">
        <v>1975</v>
      </c>
      <c r="S324" s="125" t="s">
        <v>1736</v>
      </c>
      <c r="T324" s="125"/>
    </row>
    <row r="325" spans="1:20" ht="24.95" customHeight="1">
      <c r="A325" s="117" t="s">
        <v>2433</v>
      </c>
      <c r="B325" s="102" t="s">
        <v>2434</v>
      </c>
      <c r="C325" s="102" t="s">
        <v>2435</v>
      </c>
      <c r="D325" s="123" t="s">
        <v>62</v>
      </c>
      <c r="E325" s="177">
        <v>1</v>
      </c>
      <c r="F325" s="1816"/>
      <c r="G325" s="102" t="s">
        <v>32</v>
      </c>
      <c r="H325" s="105" t="s">
        <v>33</v>
      </c>
      <c r="I325" s="123"/>
      <c r="J325" s="102"/>
      <c r="K325" s="102" t="s">
        <v>2429</v>
      </c>
      <c r="L325" s="1816"/>
      <c r="M325" s="1819"/>
      <c r="N325" s="179">
        <v>44509</v>
      </c>
      <c r="O325" s="102" t="s">
        <v>1975</v>
      </c>
      <c r="P325" s="123" t="s">
        <v>1974</v>
      </c>
      <c r="Q325" s="102">
        <v>15103501536</v>
      </c>
      <c r="R325" s="106" t="s">
        <v>1975</v>
      </c>
      <c r="S325" s="125" t="s">
        <v>1736</v>
      </c>
      <c r="T325" s="125"/>
    </row>
    <row r="326" spans="1:20" ht="24.95" customHeight="1">
      <c r="A326" s="117" t="s">
        <v>2436</v>
      </c>
      <c r="B326" s="102" t="s">
        <v>439</v>
      </c>
      <c r="C326" s="102" t="s">
        <v>2437</v>
      </c>
      <c r="D326" s="123" t="s">
        <v>62</v>
      </c>
      <c r="E326" s="177">
        <v>1</v>
      </c>
      <c r="F326" s="1817"/>
      <c r="G326" s="102" t="s">
        <v>32</v>
      </c>
      <c r="H326" s="105" t="s">
        <v>33</v>
      </c>
      <c r="I326" s="123"/>
      <c r="J326" s="102"/>
      <c r="K326" s="102" t="s">
        <v>2429</v>
      </c>
      <c r="L326" s="1817"/>
      <c r="M326" s="1820"/>
      <c r="N326" s="179">
        <v>44509</v>
      </c>
      <c r="O326" s="102" t="s">
        <v>1975</v>
      </c>
      <c r="P326" s="123" t="s">
        <v>1974</v>
      </c>
      <c r="Q326" s="102">
        <v>15103501536</v>
      </c>
      <c r="R326" s="106" t="s">
        <v>1975</v>
      </c>
      <c r="S326" s="125" t="s">
        <v>1736</v>
      </c>
      <c r="T326" s="125"/>
    </row>
    <row r="327" spans="1:20" ht="24.95" customHeight="1">
      <c r="A327" s="117" t="s">
        <v>2438</v>
      </c>
      <c r="B327" s="102" t="s">
        <v>2431</v>
      </c>
      <c r="C327" s="102" t="s">
        <v>2439</v>
      </c>
      <c r="D327" s="123" t="s">
        <v>62</v>
      </c>
      <c r="E327" s="177">
        <v>1</v>
      </c>
      <c r="F327" s="1815">
        <v>11.62</v>
      </c>
      <c r="G327" s="102" t="s">
        <v>32</v>
      </c>
      <c r="H327" s="105" t="s">
        <v>33</v>
      </c>
      <c r="I327" s="123"/>
      <c r="J327" s="102"/>
      <c r="K327" s="102" t="s">
        <v>2429</v>
      </c>
      <c r="L327" s="1815">
        <v>91520.353982300905</v>
      </c>
      <c r="M327" s="1818">
        <v>82759.339532803206</v>
      </c>
      <c r="N327" s="179">
        <v>44509</v>
      </c>
      <c r="O327" s="102" t="s">
        <v>1975</v>
      </c>
      <c r="P327" s="123" t="s">
        <v>1974</v>
      </c>
      <c r="Q327" s="102">
        <v>15103501536</v>
      </c>
      <c r="R327" s="106" t="s">
        <v>1975</v>
      </c>
      <c r="S327" s="125" t="s">
        <v>1736</v>
      </c>
      <c r="T327" s="125"/>
    </row>
    <row r="328" spans="1:20" ht="24.95" customHeight="1">
      <c r="A328" s="117" t="s">
        <v>2440</v>
      </c>
      <c r="B328" s="102" t="s">
        <v>2434</v>
      </c>
      <c r="C328" s="102" t="s">
        <v>2441</v>
      </c>
      <c r="D328" s="123" t="s">
        <v>62</v>
      </c>
      <c r="E328" s="177">
        <v>1</v>
      </c>
      <c r="F328" s="1817"/>
      <c r="G328" s="102" t="s">
        <v>32</v>
      </c>
      <c r="H328" s="105" t="s">
        <v>33</v>
      </c>
      <c r="I328" s="123"/>
      <c r="J328" s="102"/>
      <c r="K328" s="102" t="s">
        <v>2429</v>
      </c>
      <c r="L328" s="1817"/>
      <c r="M328" s="1820"/>
      <c r="N328" s="179">
        <v>44509</v>
      </c>
      <c r="O328" s="102" t="s">
        <v>1975</v>
      </c>
      <c r="P328" s="123" t="s">
        <v>1974</v>
      </c>
      <c r="Q328" s="102">
        <v>15103501536</v>
      </c>
      <c r="R328" s="106" t="s">
        <v>1975</v>
      </c>
      <c r="S328" s="125" t="s">
        <v>1736</v>
      </c>
      <c r="T328" s="125"/>
    </row>
    <row r="329" spans="1:20" ht="24.95" customHeight="1">
      <c r="A329" s="117" t="s">
        <v>2442</v>
      </c>
      <c r="B329" s="102" t="s">
        <v>2443</v>
      </c>
      <c r="C329" s="102" t="s">
        <v>2444</v>
      </c>
      <c r="D329" s="123" t="s">
        <v>62</v>
      </c>
      <c r="E329" s="1827">
        <v>1</v>
      </c>
      <c r="F329" s="1816">
        <v>5.1232229199999999</v>
      </c>
      <c r="G329" s="102" t="s">
        <v>32</v>
      </c>
      <c r="H329" s="105" t="s">
        <v>33</v>
      </c>
      <c r="I329" s="123"/>
      <c r="J329" s="102"/>
      <c r="K329" s="1804" t="s">
        <v>1983</v>
      </c>
      <c r="L329" s="1816">
        <v>23144.159541100002</v>
      </c>
      <c r="M329" s="1819">
        <v>10440.1738411233</v>
      </c>
      <c r="N329" s="1829">
        <v>44509</v>
      </c>
      <c r="O329" s="1804" t="s">
        <v>1975</v>
      </c>
      <c r="P329" s="1822" t="s">
        <v>1974</v>
      </c>
      <c r="Q329" s="1804">
        <v>15103501536</v>
      </c>
      <c r="R329" s="1823" t="s">
        <v>1975</v>
      </c>
      <c r="S329" s="1824" t="s">
        <v>1736</v>
      </c>
      <c r="T329" s="125"/>
    </row>
    <row r="330" spans="1:20" ht="24.95" customHeight="1">
      <c r="A330" s="117" t="s">
        <v>2445</v>
      </c>
      <c r="B330" s="102" t="s">
        <v>2443</v>
      </c>
      <c r="C330" s="102" t="s">
        <v>2446</v>
      </c>
      <c r="D330" s="123" t="s">
        <v>62</v>
      </c>
      <c r="E330" s="1831"/>
      <c r="F330" s="1816"/>
      <c r="G330" s="102" t="s">
        <v>32</v>
      </c>
      <c r="H330" s="105" t="s">
        <v>33</v>
      </c>
      <c r="I330" s="123"/>
      <c r="J330" s="102"/>
      <c r="K330" s="1807"/>
      <c r="L330" s="1816"/>
      <c r="M330" s="1819"/>
      <c r="N330" s="1832"/>
      <c r="O330" s="1807"/>
      <c r="P330" s="1808"/>
      <c r="Q330" s="1807"/>
      <c r="R330" s="1810"/>
      <c r="S330" s="1825"/>
      <c r="T330" s="125"/>
    </row>
    <row r="331" spans="1:20" ht="24.95" customHeight="1">
      <c r="A331" s="117" t="s">
        <v>2447</v>
      </c>
      <c r="B331" s="102" t="s">
        <v>2443</v>
      </c>
      <c r="C331" s="102" t="s">
        <v>2448</v>
      </c>
      <c r="D331" s="123" t="s">
        <v>62</v>
      </c>
      <c r="E331" s="1831"/>
      <c r="F331" s="1816"/>
      <c r="G331" s="102" t="s">
        <v>32</v>
      </c>
      <c r="H331" s="105" t="s">
        <v>33</v>
      </c>
      <c r="I331" s="123"/>
      <c r="J331" s="102"/>
      <c r="K331" s="1807"/>
      <c r="L331" s="1816"/>
      <c r="M331" s="1819"/>
      <c r="N331" s="1832"/>
      <c r="O331" s="1807"/>
      <c r="P331" s="1808"/>
      <c r="Q331" s="1807"/>
      <c r="R331" s="1810"/>
      <c r="S331" s="1825"/>
      <c r="T331" s="125"/>
    </row>
    <row r="332" spans="1:20" ht="24.95" customHeight="1">
      <c r="A332" s="117" t="s">
        <v>2449</v>
      </c>
      <c r="B332" s="102" t="s">
        <v>2450</v>
      </c>
      <c r="C332" s="102" t="s">
        <v>2451</v>
      </c>
      <c r="D332" s="123" t="s">
        <v>62</v>
      </c>
      <c r="E332" s="1828"/>
      <c r="F332" s="1817"/>
      <c r="G332" s="102" t="s">
        <v>32</v>
      </c>
      <c r="H332" s="105" t="s">
        <v>33</v>
      </c>
      <c r="I332" s="123"/>
      <c r="J332" s="102"/>
      <c r="K332" s="1805"/>
      <c r="L332" s="1817"/>
      <c r="M332" s="1820"/>
      <c r="N332" s="1830"/>
      <c r="O332" s="1805"/>
      <c r="P332" s="1809"/>
      <c r="Q332" s="1805"/>
      <c r="R332" s="1811"/>
      <c r="S332" s="1826"/>
      <c r="T332" s="125"/>
    </row>
    <row r="333" spans="1:20" ht="24.95" customHeight="1">
      <c r="A333" s="117" t="s">
        <v>2452</v>
      </c>
      <c r="B333" s="102" t="s">
        <v>2453</v>
      </c>
      <c r="C333" s="102" t="s">
        <v>2454</v>
      </c>
      <c r="D333" s="123" t="s">
        <v>62</v>
      </c>
      <c r="E333" s="1831">
        <v>1</v>
      </c>
      <c r="F333" s="1816">
        <v>3.4380000000000002</v>
      </c>
      <c r="G333" s="102" t="s">
        <v>32</v>
      </c>
      <c r="H333" s="105" t="s">
        <v>33</v>
      </c>
      <c r="I333" s="123"/>
      <c r="J333" s="102"/>
      <c r="K333" s="1807" t="s">
        <v>1983</v>
      </c>
      <c r="L333" s="1816">
        <v>15531.165000000001</v>
      </c>
      <c r="M333" s="1819">
        <v>4659.3495000000003</v>
      </c>
      <c r="N333" s="1832">
        <v>44509</v>
      </c>
      <c r="O333" s="1807" t="s">
        <v>1975</v>
      </c>
      <c r="P333" s="1808" t="s">
        <v>1974</v>
      </c>
      <c r="Q333" s="1807">
        <v>15103501536</v>
      </c>
      <c r="R333" s="1810" t="s">
        <v>1975</v>
      </c>
      <c r="S333" s="1824" t="s">
        <v>1736</v>
      </c>
      <c r="T333" s="125"/>
    </row>
    <row r="334" spans="1:20" ht="24.95" customHeight="1">
      <c r="A334" s="117" t="s">
        <v>2455</v>
      </c>
      <c r="B334" s="102" t="s">
        <v>2453</v>
      </c>
      <c r="C334" s="102" t="s">
        <v>2456</v>
      </c>
      <c r="D334" s="123" t="s">
        <v>62</v>
      </c>
      <c r="E334" s="1831"/>
      <c r="F334" s="1816"/>
      <c r="G334" s="102" t="s">
        <v>32</v>
      </c>
      <c r="H334" s="105" t="s">
        <v>33</v>
      </c>
      <c r="I334" s="123"/>
      <c r="J334" s="102"/>
      <c r="K334" s="1807"/>
      <c r="L334" s="1816"/>
      <c r="M334" s="1819"/>
      <c r="N334" s="1832"/>
      <c r="O334" s="1807"/>
      <c r="P334" s="1808"/>
      <c r="Q334" s="1807"/>
      <c r="R334" s="1810"/>
      <c r="S334" s="1825"/>
      <c r="T334" s="125"/>
    </row>
    <row r="335" spans="1:20" ht="24.95" customHeight="1">
      <c r="A335" s="117" t="s">
        <v>2457</v>
      </c>
      <c r="B335" s="102" t="s">
        <v>2453</v>
      </c>
      <c r="C335" s="102" t="s">
        <v>2458</v>
      </c>
      <c r="D335" s="123" t="s">
        <v>62</v>
      </c>
      <c r="E335" s="1831"/>
      <c r="F335" s="1816"/>
      <c r="G335" s="102" t="s">
        <v>32</v>
      </c>
      <c r="H335" s="105" t="s">
        <v>33</v>
      </c>
      <c r="I335" s="123"/>
      <c r="J335" s="102"/>
      <c r="K335" s="1807"/>
      <c r="L335" s="1816"/>
      <c r="M335" s="1819"/>
      <c r="N335" s="1832"/>
      <c r="O335" s="1807"/>
      <c r="P335" s="1808"/>
      <c r="Q335" s="1807"/>
      <c r="R335" s="1810"/>
      <c r="S335" s="1825"/>
      <c r="T335" s="125"/>
    </row>
    <row r="336" spans="1:20" ht="24.95" customHeight="1">
      <c r="A336" s="117" t="s">
        <v>2459</v>
      </c>
      <c r="B336" s="102" t="s">
        <v>2453</v>
      </c>
      <c r="C336" s="102" t="s">
        <v>2460</v>
      </c>
      <c r="D336" s="123" t="s">
        <v>62</v>
      </c>
      <c r="E336" s="1831"/>
      <c r="F336" s="1816"/>
      <c r="G336" s="102" t="s">
        <v>32</v>
      </c>
      <c r="H336" s="105" t="s">
        <v>33</v>
      </c>
      <c r="I336" s="123"/>
      <c r="J336" s="102"/>
      <c r="K336" s="1807"/>
      <c r="L336" s="1816"/>
      <c r="M336" s="1819"/>
      <c r="N336" s="1832"/>
      <c r="O336" s="1807"/>
      <c r="P336" s="1808"/>
      <c r="Q336" s="1807"/>
      <c r="R336" s="1810"/>
      <c r="S336" s="1825"/>
      <c r="T336" s="125"/>
    </row>
    <row r="337" spans="1:20" ht="24.95" customHeight="1">
      <c r="A337" s="117" t="s">
        <v>2461</v>
      </c>
      <c r="B337" s="102" t="s">
        <v>2453</v>
      </c>
      <c r="C337" s="102" t="s">
        <v>2462</v>
      </c>
      <c r="D337" s="123" t="s">
        <v>62</v>
      </c>
      <c r="E337" s="1831"/>
      <c r="F337" s="1816"/>
      <c r="G337" s="102" t="s">
        <v>32</v>
      </c>
      <c r="H337" s="105" t="s">
        <v>33</v>
      </c>
      <c r="I337" s="123"/>
      <c r="J337" s="102"/>
      <c r="K337" s="1807"/>
      <c r="L337" s="1816"/>
      <c r="M337" s="1819"/>
      <c r="N337" s="1832"/>
      <c r="O337" s="1807"/>
      <c r="P337" s="1808"/>
      <c r="Q337" s="1807"/>
      <c r="R337" s="1810"/>
      <c r="S337" s="1825"/>
      <c r="T337" s="125"/>
    </row>
    <row r="338" spans="1:20" ht="24.95" customHeight="1">
      <c r="A338" s="117" t="s">
        <v>2463</v>
      </c>
      <c r="B338" s="102" t="s">
        <v>2453</v>
      </c>
      <c r="C338" s="102" t="s">
        <v>2464</v>
      </c>
      <c r="D338" s="123" t="s">
        <v>62</v>
      </c>
      <c r="E338" s="1831"/>
      <c r="F338" s="1816"/>
      <c r="G338" s="102" t="s">
        <v>32</v>
      </c>
      <c r="H338" s="105" t="s">
        <v>33</v>
      </c>
      <c r="I338" s="123"/>
      <c r="J338" s="102"/>
      <c r="K338" s="1807"/>
      <c r="L338" s="1816"/>
      <c r="M338" s="1819"/>
      <c r="N338" s="1832"/>
      <c r="O338" s="1807"/>
      <c r="P338" s="1808"/>
      <c r="Q338" s="1807"/>
      <c r="R338" s="1810"/>
      <c r="S338" s="1825"/>
      <c r="T338" s="125"/>
    </row>
    <row r="339" spans="1:20" ht="24.95" customHeight="1">
      <c r="A339" s="117" t="s">
        <v>2465</v>
      </c>
      <c r="B339" s="102" t="s">
        <v>2453</v>
      </c>
      <c r="C339" s="102" t="s">
        <v>2466</v>
      </c>
      <c r="D339" s="123" t="s">
        <v>62</v>
      </c>
      <c r="E339" s="1828"/>
      <c r="F339" s="1817"/>
      <c r="G339" s="102" t="s">
        <v>32</v>
      </c>
      <c r="H339" s="105" t="s">
        <v>33</v>
      </c>
      <c r="I339" s="123"/>
      <c r="J339" s="102"/>
      <c r="K339" s="1805"/>
      <c r="L339" s="1817"/>
      <c r="M339" s="1820"/>
      <c r="N339" s="1830"/>
      <c r="O339" s="1805"/>
      <c r="P339" s="1809"/>
      <c r="Q339" s="1805"/>
      <c r="R339" s="1811"/>
      <c r="S339" s="1826"/>
      <c r="T339" s="125"/>
    </row>
    <row r="340" spans="1:20" ht="24.95" customHeight="1">
      <c r="A340" s="117" t="s">
        <v>2467</v>
      </c>
      <c r="B340" s="102" t="s">
        <v>2453</v>
      </c>
      <c r="C340" s="102"/>
      <c r="D340" s="123" t="s">
        <v>62</v>
      </c>
      <c r="E340" s="181">
        <v>1</v>
      </c>
      <c r="F340" s="182">
        <v>9.68</v>
      </c>
      <c r="G340" s="102" t="s">
        <v>32</v>
      </c>
      <c r="H340" s="105" t="s">
        <v>33</v>
      </c>
      <c r="I340" s="123"/>
      <c r="J340" s="102"/>
      <c r="K340" s="105" t="s">
        <v>1983</v>
      </c>
      <c r="L340" s="182">
        <v>43729.4</v>
      </c>
      <c r="M340" s="183">
        <v>31025.414300023302</v>
      </c>
      <c r="N340" s="184">
        <v>44509</v>
      </c>
      <c r="O340" s="105" t="s">
        <v>1975</v>
      </c>
      <c r="P340" s="185" t="s">
        <v>1974</v>
      </c>
      <c r="Q340" s="105">
        <v>15103501536</v>
      </c>
      <c r="R340" s="186" t="s">
        <v>1975</v>
      </c>
      <c r="S340" s="125" t="s">
        <v>1736</v>
      </c>
      <c r="T340" s="125"/>
    </row>
    <row r="341" spans="1:20" ht="24.95" customHeight="1">
      <c r="A341" s="117" t="s">
        <v>2468</v>
      </c>
      <c r="B341" s="102" t="s">
        <v>2453</v>
      </c>
      <c r="C341" s="102" t="s">
        <v>2469</v>
      </c>
      <c r="D341" s="123" t="s">
        <v>62</v>
      </c>
      <c r="E341" s="1831">
        <v>1</v>
      </c>
      <c r="F341" s="1816">
        <v>12.1</v>
      </c>
      <c r="G341" s="102" t="s">
        <v>32</v>
      </c>
      <c r="H341" s="105" t="s">
        <v>33</v>
      </c>
      <c r="I341" s="123"/>
      <c r="J341" s="102"/>
      <c r="K341" s="1807" t="s">
        <v>1983</v>
      </c>
      <c r="L341" s="1816">
        <v>54661.75</v>
      </c>
      <c r="M341" s="1819">
        <v>41957.7643000233</v>
      </c>
      <c r="N341" s="1832">
        <v>44509</v>
      </c>
      <c r="O341" s="1807" t="s">
        <v>1975</v>
      </c>
      <c r="P341" s="1808" t="s">
        <v>1974</v>
      </c>
      <c r="Q341" s="1807">
        <v>15103501536</v>
      </c>
      <c r="R341" s="1810" t="s">
        <v>1975</v>
      </c>
      <c r="S341" s="1824" t="s">
        <v>1736</v>
      </c>
      <c r="T341" s="125"/>
    </row>
    <row r="342" spans="1:20" ht="24.95" customHeight="1">
      <c r="A342" s="117" t="s">
        <v>2470</v>
      </c>
      <c r="B342" s="102" t="s">
        <v>2453</v>
      </c>
      <c r="C342" s="102" t="s">
        <v>2471</v>
      </c>
      <c r="D342" s="123" t="s">
        <v>62</v>
      </c>
      <c r="E342" s="1831"/>
      <c r="F342" s="1816"/>
      <c r="G342" s="102" t="s">
        <v>32</v>
      </c>
      <c r="H342" s="105" t="s">
        <v>33</v>
      </c>
      <c r="I342" s="123"/>
      <c r="J342" s="102"/>
      <c r="K342" s="1807"/>
      <c r="L342" s="1816"/>
      <c r="M342" s="1819"/>
      <c r="N342" s="1832"/>
      <c r="O342" s="1807"/>
      <c r="P342" s="1808"/>
      <c r="Q342" s="1807"/>
      <c r="R342" s="1810"/>
      <c r="S342" s="1825"/>
      <c r="T342" s="125"/>
    </row>
    <row r="343" spans="1:20" ht="24.95" customHeight="1">
      <c r="A343" s="117" t="s">
        <v>2472</v>
      </c>
      <c r="B343" s="102" t="s">
        <v>2473</v>
      </c>
      <c r="C343" s="102" t="s">
        <v>2036</v>
      </c>
      <c r="D343" s="123" t="s">
        <v>62</v>
      </c>
      <c r="E343" s="1831"/>
      <c r="F343" s="1816"/>
      <c r="G343" s="102" t="s">
        <v>32</v>
      </c>
      <c r="H343" s="105" t="s">
        <v>33</v>
      </c>
      <c r="I343" s="123"/>
      <c r="J343" s="102"/>
      <c r="K343" s="1807"/>
      <c r="L343" s="1816"/>
      <c r="M343" s="1819"/>
      <c r="N343" s="1832"/>
      <c r="O343" s="1807"/>
      <c r="P343" s="1808"/>
      <c r="Q343" s="1807"/>
      <c r="R343" s="1810"/>
      <c r="S343" s="1825"/>
      <c r="T343" s="125"/>
    </row>
    <row r="344" spans="1:20" ht="24.95" customHeight="1">
      <c r="A344" s="117" t="s">
        <v>2474</v>
      </c>
      <c r="B344" s="102" t="s">
        <v>2473</v>
      </c>
      <c r="C344" s="102" t="s">
        <v>2475</v>
      </c>
      <c r="D344" s="123" t="s">
        <v>62</v>
      </c>
      <c r="E344" s="1831"/>
      <c r="F344" s="1816"/>
      <c r="G344" s="102" t="s">
        <v>32</v>
      </c>
      <c r="H344" s="105" t="s">
        <v>33</v>
      </c>
      <c r="I344" s="123"/>
      <c r="J344" s="102"/>
      <c r="K344" s="1807"/>
      <c r="L344" s="1816"/>
      <c r="M344" s="1819"/>
      <c r="N344" s="1832"/>
      <c r="O344" s="1807"/>
      <c r="P344" s="1808"/>
      <c r="Q344" s="1807"/>
      <c r="R344" s="1810"/>
      <c r="S344" s="1825"/>
      <c r="T344" s="125"/>
    </row>
    <row r="345" spans="1:20" ht="24.95" customHeight="1">
      <c r="A345" s="117" t="s">
        <v>2476</v>
      </c>
      <c r="B345" s="102" t="s">
        <v>2473</v>
      </c>
      <c r="C345" s="102" t="s">
        <v>2025</v>
      </c>
      <c r="D345" s="123" t="s">
        <v>62</v>
      </c>
      <c r="E345" s="1831"/>
      <c r="F345" s="1816"/>
      <c r="G345" s="102" t="s">
        <v>32</v>
      </c>
      <c r="H345" s="105" t="s">
        <v>33</v>
      </c>
      <c r="I345" s="123"/>
      <c r="J345" s="102"/>
      <c r="K345" s="1807"/>
      <c r="L345" s="1816"/>
      <c r="M345" s="1819"/>
      <c r="N345" s="1832"/>
      <c r="O345" s="1807"/>
      <c r="P345" s="1808"/>
      <c r="Q345" s="1807"/>
      <c r="R345" s="1810"/>
      <c r="S345" s="1825"/>
      <c r="T345" s="125"/>
    </row>
    <row r="346" spans="1:20" ht="24.95" customHeight="1">
      <c r="A346" s="117" t="s">
        <v>2477</v>
      </c>
      <c r="B346" s="102" t="s">
        <v>2473</v>
      </c>
      <c r="C346" s="102" t="s">
        <v>2021</v>
      </c>
      <c r="D346" s="123" t="s">
        <v>62</v>
      </c>
      <c r="E346" s="1828"/>
      <c r="F346" s="1817"/>
      <c r="G346" s="102" t="s">
        <v>32</v>
      </c>
      <c r="H346" s="105" t="s">
        <v>33</v>
      </c>
      <c r="I346" s="123"/>
      <c r="J346" s="102"/>
      <c r="K346" s="1805"/>
      <c r="L346" s="1817"/>
      <c r="M346" s="1820"/>
      <c r="N346" s="1830"/>
      <c r="O346" s="1805"/>
      <c r="P346" s="1809"/>
      <c r="Q346" s="1805"/>
      <c r="R346" s="1811"/>
      <c r="S346" s="1826"/>
      <c r="T346" s="125"/>
    </row>
    <row r="347" spans="1:20" ht="24.95" customHeight="1">
      <c r="A347" s="241">
        <v>4</v>
      </c>
      <c r="B347" s="312" t="s">
        <v>398</v>
      </c>
      <c r="C347" s="102"/>
      <c r="D347" s="123"/>
      <c r="E347" s="102"/>
      <c r="F347" s="102"/>
      <c r="G347" s="102"/>
      <c r="H347" s="105"/>
      <c r="I347" s="123"/>
      <c r="J347" s="102"/>
      <c r="K347" s="102"/>
      <c r="L347" s="102"/>
      <c r="M347" s="103"/>
      <c r="N347" s="102"/>
      <c r="O347" s="102"/>
      <c r="P347" s="123"/>
      <c r="Q347" s="102"/>
      <c r="R347" s="106"/>
      <c r="S347" s="125"/>
      <c r="T347" s="125"/>
    </row>
    <row r="348" spans="1:20" ht="24.95" customHeight="1">
      <c r="A348" s="117" t="s">
        <v>2478</v>
      </c>
      <c r="B348" s="102" t="s">
        <v>398</v>
      </c>
      <c r="C348" s="102" t="s">
        <v>354</v>
      </c>
      <c r="D348" s="123" t="s">
        <v>62</v>
      </c>
      <c r="E348" s="102">
        <v>1</v>
      </c>
      <c r="F348" s="102">
        <v>125.56</v>
      </c>
      <c r="G348" s="102" t="s">
        <v>32</v>
      </c>
      <c r="H348" s="105" t="s">
        <v>33</v>
      </c>
      <c r="I348" s="123"/>
      <c r="J348" s="102"/>
      <c r="K348" s="102" t="s">
        <v>52</v>
      </c>
      <c r="L348" s="102">
        <v>941700</v>
      </c>
      <c r="M348" s="103">
        <v>941700</v>
      </c>
      <c r="N348" s="239">
        <v>43405</v>
      </c>
      <c r="O348" s="102" t="s">
        <v>2479</v>
      </c>
      <c r="P348" s="123" t="s">
        <v>2153</v>
      </c>
      <c r="Q348" s="102">
        <v>13546718283</v>
      </c>
      <c r="R348" s="106" t="s">
        <v>2480</v>
      </c>
      <c r="S348" s="125" t="s">
        <v>1736</v>
      </c>
      <c r="T348" s="125"/>
    </row>
    <row r="349" spans="1:20" ht="24.95" customHeight="1">
      <c r="A349" s="117" t="s">
        <v>2481</v>
      </c>
      <c r="B349" s="245" t="s">
        <v>398</v>
      </c>
      <c r="C349" s="245"/>
      <c r="D349" s="245" t="s">
        <v>62</v>
      </c>
      <c r="E349" s="102">
        <v>2</v>
      </c>
      <c r="F349" s="245">
        <v>28.56</v>
      </c>
      <c r="G349" s="102" t="s">
        <v>32</v>
      </c>
      <c r="H349" s="105" t="s">
        <v>33</v>
      </c>
      <c r="I349" s="123"/>
      <c r="J349" s="102" t="s">
        <v>2199</v>
      </c>
      <c r="K349" s="245" t="s">
        <v>2482</v>
      </c>
      <c r="L349" s="247">
        <f>384446.4-50.22*4880</f>
        <v>139372.80000000002</v>
      </c>
      <c r="M349" s="246">
        <v>41811.839999999997</v>
      </c>
      <c r="N349" s="248" t="s">
        <v>2483</v>
      </c>
      <c r="O349" s="245" t="s">
        <v>2201</v>
      </c>
      <c r="P349" s="245" t="s">
        <v>2189</v>
      </c>
      <c r="Q349" s="245">
        <v>18903416067</v>
      </c>
      <c r="R349" s="106" t="s">
        <v>2190</v>
      </c>
      <c r="S349" s="125" t="s">
        <v>1736</v>
      </c>
      <c r="T349" s="125"/>
    </row>
    <row r="350" spans="1:20" ht="24.95" customHeight="1">
      <c r="A350" s="241">
        <v>4.3</v>
      </c>
      <c r="B350" s="245" t="s">
        <v>398</v>
      </c>
      <c r="C350" s="245"/>
      <c r="D350" s="245" t="s">
        <v>62</v>
      </c>
      <c r="E350" s="105"/>
      <c r="F350" s="313">
        <v>248.32</v>
      </c>
      <c r="G350" s="102" t="s">
        <v>32</v>
      </c>
      <c r="H350" s="105" t="s">
        <v>33</v>
      </c>
      <c r="I350" s="185"/>
      <c r="J350" s="105"/>
      <c r="K350" s="243" t="s">
        <v>2482</v>
      </c>
      <c r="L350" s="247">
        <v>1738240</v>
      </c>
      <c r="M350" s="247">
        <v>1738240</v>
      </c>
      <c r="N350" s="314" t="s">
        <v>2484</v>
      </c>
      <c r="O350" s="245" t="s">
        <v>2201</v>
      </c>
      <c r="P350" s="245" t="s">
        <v>2189</v>
      </c>
      <c r="Q350" s="245">
        <v>18903416067</v>
      </c>
      <c r="R350" s="106" t="s">
        <v>2190</v>
      </c>
      <c r="S350" s="125" t="s">
        <v>1736</v>
      </c>
      <c r="T350" s="125"/>
    </row>
    <row r="351" spans="1:20" ht="24.95" customHeight="1">
      <c r="A351" s="241">
        <v>4.4000000000000004</v>
      </c>
      <c r="B351" s="102" t="s">
        <v>398</v>
      </c>
      <c r="C351" s="243" t="s">
        <v>2485</v>
      </c>
      <c r="D351" s="123" t="s">
        <v>62</v>
      </c>
      <c r="E351" s="102"/>
      <c r="F351" s="243">
        <v>39.159999999999997</v>
      </c>
      <c r="G351" s="102" t="s">
        <v>32</v>
      </c>
      <c r="H351" s="102" t="s">
        <v>41</v>
      </c>
      <c r="I351" s="185"/>
      <c r="J351" s="102"/>
      <c r="K351" s="102" t="s">
        <v>2482</v>
      </c>
      <c r="L351" s="102">
        <v>162514</v>
      </c>
      <c r="M351" s="103">
        <v>48754.2</v>
      </c>
      <c r="N351" s="244">
        <v>2017.4</v>
      </c>
      <c r="O351" s="245" t="s">
        <v>2201</v>
      </c>
      <c r="P351" s="123" t="s">
        <v>2189</v>
      </c>
      <c r="Q351" s="102">
        <v>18903416067</v>
      </c>
      <c r="R351" s="102" t="s">
        <v>2190</v>
      </c>
      <c r="S351" s="125" t="s">
        <v>1736</v>
      </c>
      <c r="T351" s="125"/>
    </row>
    <row r="352" spans="1:20" s="317" customFormat="1" ht="24.95" customHeight="1">
      <c r="A352" s="241">
        <v>4.5</v>
      </c>
      <c r="B352" s="102" t="s">
        <v>398</v>
      </c>
      <c r="C352" s="102" t="s">
        <v>2486</v>
      </c>
      <c r="D352" s="185" t="s">
        <v>62</v>
      </c>
      <c r="E352" s="105">
        <v>1</v>
      </c>
      <c r="F352" s="315">
        <v>50.22</v>
      </c>
      <c r="G352" s="316" t="s">
        <v>32</v>
      </c>
      <c r="H352" s="105" t="s">
        <v>33</v>
      </c>
      <c r="I352" s="185"/>
      <c r="J352" s="105"/>
      <c r="K352" s="105"/>
      <c r="L352" s="182">
        <v>115506</v>
      </c>
      <c r="M352" s="183">
        <v>23101.200000000001</v>
      </c>
      <c r="N352" s="102">
        <v>2020.5</v>
      </c>
      <c r="O352" s="102" t="s">
        <v>2217</v>
      </c>
      <c r="P352" s="123" t="s">
        <v>2207</v>
      </c>
      <c r="Q352" s="102">
        <v>15834149031</v>
      </c>
      <c r="R352" s="106" t="s">
        <v>2487</v>
      </c>
      <c r="S352" s="125" t="s">
        <v>1736</v>
      </c>
      <c r="T352" s="125"/>
    </row>
    <row r="353" spans="1:22" s="317" customFormat="1" ht="24.95" customHeight="1">
      <c r="A353" s="241">
        <v>4.5</v>
      </c>
      <c r="B353" s="197" t="s">
        <v>353</v>
      </c>
      <c r="C353" s="197"/>
      <c r="D353" s="232"/>
      <c r="E353" s="197"/>
      <c r="F353" s="197">
        <v>313.08</v>
      </c>
      <c r="G353" s="197" t="s">
        <v>32</v>
      </c>
      <c r="H353" s="229" t="s">
        <v>32</v>
      </c>
      <c r="I353" s="232"/>
      <c r="J353" s="197"/>
      <c r="K353" s="197" t="s">
        <v>1763</v>
      </c>
      <c r="L353" s="102">
        <v>2327320.35</v>
      </c>
      <c r="M353" s="103">
        <v>698196.11</v>
      </c>
      <c r="N353" s="197" t="s">
        <v>2488</v>
      </c>
      <c r="O353" s="197" t="s">
        <v>2489</v>
      </c>
      <c r="P353" s="123" t="s">
        <v>2304</v>
      </c>
      <c r="Q353" s="102">
        <v>15525052220</v>
      </c>
      <c r="R353" s="106" t="s">
        <v>2305</v>
      </c>
      <c r="S353" s="125" t="s">
        <v>1736</v>
      </c>
      <c r="T353" s="125"/>
    </row>
    <row r="354" spans="1:22" s="317" customFormat="1" ht="24.95" customHeight="1">
      <c r="A354" s="241">
        <v>4.5999999999999996</v>
      </c>
      <c r="B354" s="102" t="s">
        <v>2490</v>
      </c>
      <c r="C354" s="102" t="s">
        <v>2491</v>
      </c>
      <c r="D354" s="123" t="s">
        <v>62</v>
      </c>
      <c r="E354" s="102">
        <v>1</v>
      </c>
      <c r="F354" s="1815">
        <v>18.64</v>
      </c>
      <c r="G354" s="102" t="s">
        <v>32</v>
      </c>
      <c r="H354" s="105" t="s">
        <v>33</v>
      </c>
      <c r="I354" s="123"/>
      <c r="J354" s="102"/>
      <c r="K354" s="222" t="s">
        <v>2429</v>
      </c>
      <c r="L354" s="1815">
        <v>148460.17699115101</v>
      </c>
      <c r="M354" s="1818">
        <v>139699.162541653</v>
      </c>
      <c r="N354" s="179">
        <v>44477</v>
      </c>
      <c r="O354" s="102" t="s">
        <v>1975</v>
      </c>
      <c r="P354" s="123" t="s">
        <v>1974</v>
      </c>
      <c r="Q354" s="102">
        <v>15103501536</v>
      </c>
      <c r="R354" s="106" t="s">
        <v>1975</v>
      </c>
      <c r="S354" s="125" t="s">
        <v>1736</v>
      </c>
      <c r="T354" s="125"/>
      <c r="U354" s="318"/>
      <c r="V354" s="318"/>
    </row>
    <row r="355" spans="1:22" s="317" customFormat="1" ht="24.95" customHeight="1">
      <c r="A355" s="241">
        <v>4.7</v>
      </c>
      <c r="B355" s="102" t="s">
        <v>2490</v>
      </c>
      <c r="C355" s="102" t="s">
        <v>2492</v>
      </c>
      <c r="D355" s="123" t="s">
        <v>62</v>
      </c>
      <c r="E355" s="102">
        <v>1</v>
      </c>
      <c r="F355" s="1817"/>
      <c r="G355" s="102" t="s">
        <v>32</v>
      </c>
      <c r="H355" s="105" t="s">
        <v>33</v>
      </c>
      <c r="I355" s="123"/>
      <c r="J355" s="102"/>
      <c r="K355" s="222" t="s">
        <v>2429</v>
      </c>
      <c r="L355" s="1817"/>
      <c r="M355" s="1820"/>
      <c r="N355" s="179">
        <v>44477</v>
      </c>
      <c r="O355" s="102" t="s">
        <v>1975</v>
      </c>
      <c r="P355" s="123" t="s">
        <v>1974</v>
      </c>
      <c r="Q355" s="102">
        <v>15103501536</v>
      </c>
      <c r="R355" s="106" t="s">
        <v>1975</v>
      </c>
      <c r="S355" s="125" t="s">
        <v>1736</v>
      </c>
      <c r="T355" s="125"/>
      <c r="U355" s="318"/>
      <c r="V355" s="318"/>
    </row>
    <row r="356" spans="1:22" s="317" customFormat="1" ht="24.95" customHeight="1">
      <c r="A356" s="241">
        <v>4.8</v>
      </c>
      <c r="B356" s="102" t="s">
        <v>2493</v>
      </c>
      <c r="C356" s="102" t="s">
        <v>2494</v>
      </c>
      <c r="D356" s="123" t="s">
        <v>79</v>
      </c>
      <c r="E356" s="102">
        <v>1</v>
      </c>
      <c r="F356" s="113">
        <v>1</v>
      </c>
      <c r="G356" s="102" t="s">
        <v>32</v>
      </c>
      <c r="H356" s="105" t="s">
        <v>33</v>
      </c>
      <c r="I356" s="123"/>
      <c r="J356" s="102"/>
      <c r="K356" s="222" t="s">
        <v>2495</v>
      </c>
      <c r="L356" s="113">
        <v>12079.6460176991</v>
      </c>
      <c r="M356" s="148">
        <v>3623.8938053097299</v>
      </c>
      <c r="N356" s="179">
        <v>44491</v>
      </c>
      <c r="O356" s="102" t="s">
        <v>1975</v>
      </c>
      <c r="P356" s="123" t="s">
        <v>1974</v>
      </c>
      <c r="Q356" s="102">
        <v>15103501536</v>
      </c>
      <c r="R356" s="106" t="s">
        <v>1975</v>
      </c>
      <c r="S356" s="125" t="s">
        <v>1736</v>
      </c>
      <c r="T356" s="125"/>
      <c r="U356" s="318"/>
      <c r="V356" s="318"/>
    </row>
    <row r="357" spans="1:22" s="317" customFormat="1" ht="24.95" customHeight="1">
      <c r="A357" s="241">
        <v>4.9000000000000004</v>
      </c>
      <c r="B357" s="102" t="s">
        <v>2493</v>
      </c>
      <c r="C357" s="102" t="s">
        <v>2496</v>
      </c>
      <c r="D357" s="123" t="s">
        <v>79</v>
      </c>
      <c r="E357" s="102">
        <v>1</v>
      </c>
      <c r="F357" s="113">
        <v>1</v>
      </c>
      <c r="G357" s="102" t="s">
        <v>32</v>
      </c>
      <c r="H357" s="105" t="s">
        <v>33</v>
      </c>
      <c r="I357" s="123"/>
      <c r="J357" s="102"/>
      <c r="K357" s="222" t="s">
        <v>2495</v>
      </c>
      <c r="L357" s="113">
        <v>6442.4778761061998</v>
      </c>
      <c r="M357" s="148">
        <v>1932.7433628318599</v>
      </c>
      <c r="N357" s="179">
        <v>44491</v>
      </c>
      <c r="O357" s="102" t="s">
        <v>1975</v>
      </c>
      <c r="P357" s="123" t="s">
        <v>1974</v>
      </c>
      <c r="Q357" s="102">
        <v>15103501536</v>
      </c>
      <c r="R357" s="106" t="s">
        <v>1975</v>
      </c>
      <c r="S357" s="125" t="s">
        <v>1736</v>
      </c>
      <c r="T357" s="125"/>
      <c r="U357" s="318"/>
      <c r="V357" s="318"/>
    </row>
    <row r="358" spans="1:22" s="317" customFormat="1" ht="24.95" customHeight="1">
      <c r="A358" s="319" t="s">
        <v>2497</v>
      </c>
      <c r="B358" s="102" t="s">
        <v>2493</v>
      </c>
      <c r="C358" s="102" t="s">
        <v>2496</v>
      </c>
      <c r="D358" s="123" t="s">
        <v>79</v>
      </c>
      <c r="E358" s="102">
        <v>1</v>
      </c>
      <c r="F358" s="113">
        <v>1</v>
      </c>
      <c r="G358" s="102" t="s">
        <v>32</v>
      </c>
      <c r="H358" s="105" t="s">
        <v>33</v>
      </c>
      <c r="I358" s="123"/>
      <c r="J358" s="102"/>
      <c r="K358" s="222" t="s">
        <v>2495</v>
      </c>
      <c r="L358" s="113">
        <v>17716.814159000001</v>
      </c>
      <c r="M358" s="148">
        <v>8955.7997095022893</v>
      </c>
      <c r="N358" s="179">
        <v>44531</v>
      </c>
      <c r="O358" s="102" t="s">
        <v>1975</v>
      </c>
      <c r="P358" s="123" t="s">
        <v>1974</v>
      </c>
      <c r="Q358" s="102">
        <v>15103501536</v>
      </c>
      <c r="R358" s="106" t="s">
        <v>1975</v>
      </c>
      <c r="S358" s="125" t="s">
        <v>1736</v>
      </c>
      <c r="T358" s="125"/>
      <c r="U358" s="318"/>
      <c r="V358" s="318"/>
    </row>
    <row r="359" spans="1:22" s="317" customFormat="1" ht="24.95" customHeight="1">
      <c r="A359" s="241">
        <v>4.1100000000000003</v>
      </c>
      <c r="B359" s="102" t="s">
        <v>2493</v>
      </c>
      <c r="C359" s="102" t="s">
        <v>2494</v>
      </c>
      <c r="D359" s="123" t="s">
        <v>79</v>
      </c>
      <c r="E359" s="102">
        <v>1</v>
      </c>
      <c r="F359" s="113">
        <v>1</v>
      </c>
      <c r="G359" s="102" t="s">
        <v>32</v>
      </c>
      <c r="H359" s="105" t="s">
        <v>33</v>
      </c>
      <c r="I359" s="123"/>
      <c r="J359" s="102"/>
      <c r="K359" s="222" t="s">
        <v>2495</v>
      </c>
      <c r="L359" s="113">
        <v>21743.362831999999</v>
      </c>
      <c r="M359" s="148">
        <v>9039.3771320233009</v>
      </c>
      <c r="N359" s="179">
        <v>44531</v>
      </c>
      <c r="O359" s="102" t="s">
        <v>1975</v>
      </c>
      <c r="P359" s="123" t="s">
        <v>1974</v>
      </c>
      <c r="Q359" s="102">
        <v>15103501536</v>
      </c>
      <c r="R359" s="106" t="s">
        <v>1975</v>
      </c>
      <c r="S359" s="125" t="s">
        <v>1736</v>
      </c>
      <c r="T359" s="125"/>
      <c r="U359" s="318"/>
      <c r="V359" s="318"/>
    </row>
    <row r="360" spans="1:22" s="317" customFormat="1" ht="24.95" customHeight="1">
      <c r="A360" s="241">
        <v>4.12</v>
      </c>
      <c r="B360" s="102" t="s">
        <v>2493</v>
      </c>
      <c r="C360" s="102" t="s">
        <v>2242</v>
      </c>
      <c r="D360" s="123" t="s">
        <v>79</v>
      </c>
      <c r="E360" s="102">
        <v>1</v>
      </c>
      <c r="F360" s="113">
        <v>2</v>
      </c>
      <c r="G360" s="102" t="s">
        <v>32</v>
      </c>
      <c r="H360" s="105" t="s">
        <v>33</v>
      </c>
      <c r="I360" s="123"/>
      <c r="J360" s="102"/>
      <c r="K360" s="222" t="s">
        <v>2495</v>
      </c>
      <c r="L360" s="113">
        <v>20132.743362000001</v>
      </c>
      <c r="M360" s="148">
        <v>7428.7576620233003</v>
      </c>
      <c r="N360" s="179">
        <v>44531</v>
      </c>
      <c r="O360" s="102" t="s">
        <v>1975</v>
      </c>
      <c r="P360" s="123" t="s">
        <v>1974</v>
      </c>
      <c r="Q360" s="102">
        <v>15103501536</v>
      </c>
      <c r="R360" s="106" t="s">
        <v>1975</v>
      </c>
      <c r="S360" s="125" t="s">
        <v>1736</v>
      </c>
      <c r="T360" s="125"/>
      <c r="U360" s="318"/>
      <c r="V360" s="318"/>
    </row>
    <row r="361" spans="1:22" s="317" customFormat="1" ht="24.95" customHeight="1">
      <c r="A361" s="241">
        <v>4.13</v>
      </c>
      <c r="B361" s="102" t="s">
        <v>2493</v>
      </c>
      <c r="C361" s="102" t="s">
        <v>169</v>
      </c>
      <c r="D361" s="123" t="s">
        <v>79</v>
      </c>
      <c r="E361" s="102">
        <v>1</v>
      </c>
      <c r="F361" s="113">
        <v>5</v>
      </c>
      <c r="G361" s="102" t="s">
        <v>32</v>
      </c>
      <c r="H361" s="105" t="s">
        <v>33</v>
      </c>
      <c r="I361" s="123"/>
      <c r="J361" s="102"/>
      <c r="K361" s="222" t="s">
        <v>2495</v>
      </c>
      <c r="L361" s="113">
        <v>38654.867256500002</v>
      </c>
      <c r="M361" s="148">
        <v>14683.0433485618</v>
      </c>
      <c r="N361" s="179">
        <v>44531</v>
      </c>
      <c r="O361" s="102" t="s">
        <v>1975</v>
      </c>
      <c r="P361" s="123" t="s">
        <v>1974</v>
      </c>
      <c r="Q361" s="102">
        <v>15103501536</v>
      </c>
      <c r="R361" s="106" t="s">
        <v>1975</v>
      </c>
      <c r="S361" s="125" t="s">
        <v>1736</v>
      </c>
      <c r="T361" s="125"/>
      <c r="U361" s="318"/>
      <c r="V361" s="318"/>
    </row>
    <row r="362" spans="1:22" s="317" customFormat="1" ht="24.95" customHeight="1">
      <c r="A362" s="241">
        <v>4.1399999999999997</v>
      </c>
      <c r="B362" s="102" t="s">
        <v>2493</v>
      </c>
      <c r="C362" s="102" t="s">
        <v>170</v>
      </c>
      <c r="D362" s="123" t="s">
        <v>79</v>
      </c>
      <c r="E362" s="102">
        <v>1</v>
      </c>
      <c r="F362" s="113">
        <v>3</v>
      </c>
      <c r="G362" s="102" t="s">
        <v>32</v>
      </c>
      <c r="H362" s="105" t="s">
        <v>33</v>
      </c>
      <c r="I362" s="123"/>
      <c r="J362" s="102"/>
      <c r="K362" s="222" t="s">
        <v>2495</v>
      </c>
      <c r="L362" s="113">
        <v>25769.920353900001</v>
      </c>
      <c r="M362" s="148">
        <v>10559.1108954595</v>
      </c>
      <c r="N362" s="179">
        <v>44531</v>
      </c>
      <c r="O362" s="102" t="s">
        <v>1975</v>
      </c>
      <c r="P362" s="123" t="s">
        <v>1974</v>
      </c>
      <c r="Q362" s="102">
        <v>15103501536</v>
      </c>
      <c r="R362" s="106" t="s">
        <v>1975</v>
      </c>
      <c r="S362" s="125" t="s">
        <v>1736</v>
      </c>
      <c r="T362" s="125"/>
      <c r="U362" s="318"/>
      <c r="V362" s="318"/>
    </row>
    <row r="363" spans="1:22" s="317" customFormat="1" ht="24.95" customHeight="1">
      <c r="A363" s="241">
        <v>4.1500000000000004</v>
      </c>
      <c r="B363" s="102" t="s">
        <v>2493</v>
      </c>
      <c r="C363" s="102" t="s">
        <v>166</v>
      </c>
      <c r="D363" s="123" t="s">
        <v>79</v>
      </c>
      <c r="E363" s="102">
        <v>1</v>
      </c>
      <c r="F363" s="113">
        <v>2</v>
      </c>
      <c r="G363" s="102" t="s">
        <v>32</v>
      </c>
      <c r="H363" s="105" t="s">
        <v>33</v>
      </c>
      <c r="I363" s="123"/>
      <c r="J363" s="102"/>
      <c r="K363" s="222" t="s">
        <v>2495</v>
      </c>
      <c r="L363" s="113">
        <v>22548.672566000001</v>
      </c>
      <c r="M363" s="148">
        <v>1083.6724165255901</v>
      </c>
      <c r="N363" s="179">
        <v>44531</v>
      </c>
      <c r="O363" s="102" t="s">
        <v>1975</v>
      </c>
      <c r="P363" s="123" t="s">
        <v>1974</v>
      </c>
      <c r="Q363" s="102">
        <v>15103501536</v>
      </c>
      <c r="R363" s="106" t="s">
        <v>1975</v>
      </c>
      <c r="S363" s="125" t="s">
        <v>1736</v>
      </c>
      <c r="T363" s="125"/>
      <c r="U363" s="318"/>
      <c r="V363" s="318"/>
    </row>
    <row r="364" spans="1:22" s="317" customFormat="1" ht="24.95" customHeight="1">
      <c r="A364" s="241">
        <v>4.16</v>
      </c>
      <c r="B364" s="102" t="s">
        <v>2493</v>
      </c>
      <c r="C364" s="102" t="s">
        <v>2498</v>
      </c>
      <c r="D364" s="123" t="s">
        <v>79</v>
      </c>
      <c r="E364" s="102">
        <v>1</v>
      </c>
      <c r="F364" s="113">
        <v>6</v>
      </c>
      <c r="G364" s="102" t="s">
        <v>32</v>
      </c>
      <c r="H364" s="105" t="s">
        <v>33</v>
      </c>
      <c r="I364" s="123"/>
      <c r="J364" s="102"/>
      <c r="K364" s="222" t="s">
        <v>2495</v>
      </c>
      <c r="L364" s="113">
        <v>62814.159293999997</v>
      </c>
      <c r="M364" s="148">
        <v>47603.3498355595</v>
      </c>
      <c r="N364" s="179">
        <v>44531</v>
      </c>
      <c r="O364" s="102" t="s">
        <v>1975</v>
      </c>
      <c r="P364" s="123" t="s">
        <v>1974</v>
      </c>
      <c r="Q364" s="102">
        <v>15103501536</v>
      </c>
      <c r="R364" s="106" t="s">
        <v>1975</v>
      </c>
      <c r="S364" s="125" t="s">
        <v>1736</v>
      </c>
      <c r="T364" s="125"/>
      <c r="U364" s="318"/>
      <c r="V364" s="318"/>
    </row>
    <row r="365" spans="1:22" s="317" customFormat="1" ht="24.95" customHeight="1">
      <c r="A365" s="241">
        <v>4.17</v>
      </c>
      <c r="B365" s="102" t="s">
        <v>2499</v>
      </c>
      <c r="C365" s="102" t="s">
        <v>2500</v>
      </c>
      <c r="D365" s="123" t="s">
        <v>31</v>
      </c>
      <c r="E365" s="102">
        <v>1</v>
      </c>
      <c r="F365" s="113">
        <v>24</v>
      </c>
      <c r="G365" s="102" t="s">
        <v>32</v>
      </c>
      <c r="H365" s="105" t="s">
        <v>33</v>
      </c>
      <c r="I365" s="123"/>
      <c r="J365" s="102"/>
      <c r="K365" s="222" t="s">
        <v>2067</v>
      </c>
      <c r="L365" s="113">
        <v>8920.3539823008996</v>
      </c>
      <c r="M365" s="148">
        <v>2676.1061946902701</v>
      </c>
      <c r="N365" s="179">
        <v>44494</v>
      </c>
      <c r="O365" s="102" t="s">
        <v>1975</v>
      </c>
      <c r="P365" s="123" t="s">
        <v>1974</v>
      </c>
      <c r="Q365" s="102">
        <v>15103501536</v>
      </c>
      <c r="R365" s="106" t="s">
        <v>1975</v>
      </c>
      <c r="S365" s="125" t="s">
        <v>1736</v>
      </c>
      <c r="T365" s="125"/>
      <c r="U365" s="318"/>
      <c r="V365" s="318"/>
    </row>
    <row r="366" spans="1:22" s="317" customFormat="1" ht="24.95" customHeight="1">
      <c r="A366" s="241">
        <v>4.18</v>
      </c>
      <c r="B366" s="102" t="s">
        <v>2501</v>
      </c>
      <c r="C366" s="102" t="s">
        <v>2502</v>
      </c>
      <c r="D366" s="123" t="s">
        <v>31</v>
      </c>
      <c r="E366" s="102">
        <v>1</v>
      </c>
      <c r="F366" s="113">
        <v>20</v>
      </c>
      <c r="G366" s="102" t="s">
        <v>32</v>
      </c>
      <c r="H366" s="105" t="s">
        <v>33</v>
      </c>
      <c r="I366" s="123"/>
      <c r="J366" s="102"/>
      <c r="K366" s="222" t="s">
        <v>2503</v>
      </c>
      <c r="L366" s="113">
        <v>1722.77227722772</v>
      </c>
      <c r="M366" s="148">
        <v>516.83168316831996</v>
      </c>
      <c r="N366" s="179">
        <v>44496</v>
      </c>
      <c r="O366" s="102" t="s">
        <v>1975</v>
      </c>
      <c r="P366" s="123" t="s">
        <v>1974</v>
      </c>
      <c r="Q366" s="102">
        <v>15103501536</v>
      </c>
      <c r="R366" s="106" t="s">
        <v>1975</v>
      </c>
      <c r="S366" s="125" t="s">
        <v>1736</v>
      </c>
      <c r="T366" s="125"/>
      <c r="U366" s="318"/>
      <c r="V366" s="318"/>
    </row>
    <row r="367" spans="1:22" s="317" customFormat="1" ht="24.95" customHeight="1">
      <c r="A367" s="241">
        <v>4.1900000000000004</v>
      </c>
      <c r="B367" s="102" t="s">
        <v>2501</v>
      </c>
      <c r="C367" s="102" t="s">
        <v>2504</v>
      </c>
      <c r="D367" s="123" t="s">
        <v>31</v>
      </c>
      <c r="E367" s="102">
        <v>1</v>
      </c>
      <c r="F367" s="113">
        <v>40</v>
      </c>
      <c r="G367" s="102" t="s">
        <v>32</v>
      </c>
      <c r="H367" s="105" t="s">
        <v>33</v>
      </c>
      <c r="I367" s="123"/>
      <c r="J367" s="102"/>
      <c r="K367" s="222" t="s">
        <v>2503</v>
      </c>
      <c r="L367" s="113">
        <v>5346.53465346536</v>
      </c>
      <c r="M367" s="148">
        <v>1603.96039603961</v>
      </c>
      <c r="N367" s="179">
        <v>44496</v>
      </c>
      <c r="O367" s="102" t="s">
        <v>1975</v>
      </c>
      <c r="P367" s="123" t="s">
        <v>1974</v>
      </c>
      <c r="Q367" s="102">
        <v>15103501536</v>
      </c>
      <c r="R367" s="106" t="s">
        <v>1975</v>
      </c>
      <c r="S367" s="125" t="s">
        <v>1736</v>
      </c>
      <c r="T367" s="125"/>
      <c r="U367" s="318"/>
      <c r="V367" s="318"/>
    </row>
    <row r="368" spans="1:22" s="317" customFormat="1" ht="24.95" customHeight="1">
      <c r="A368" s="320">
        <v>4.2</v>
      </c>
      <c r="B368" s="102" t="s">
        <v>2501</v>
      </c>
      <c r="C368" s="102" t="s">
        <v>2505</v>
      </c>
      <c r="D368" s="123" t="s">
        <v>31</v>
      </c>
      <c r="E368" s="102">
        <v>1</v>
      </c>
      <c r="F368" s="113">
        <v>40</v>
      </c>
      <c r="G368" s="102" t="s">
        <v>32</v>
      </c>
      <c r="H368" s="105" t="s">
        <v>33</v>
      </c>
      <c r="I368" s="123"/>
      <c r="J368" s="102"/>
      <c r="K368" s="222" t="s">
        <v>2503</v>
      </c>
      <c r="L368" s="113">
        <v>8198.0198019801992</v>
      </c>
      <c r="M368" s="148">
        <v>2459.4059405940602</v>
      </c>
      <c r="N368" s="179">
        <v>44496</v>
      </c>
      <c r="O368" s="102" t="s">
        <v>1975</v>
      </c>
      <c r="P368" s="123" t="s">
        <v>1974</v>
      </c>
      <c r="Q368" s="102">
        <v>15103501536</v>
      </c>
      <c r="R368" s="106" t="s">
        <v>1975</v>
      </c>
      <c r="S368" s="125" t="s">
        <v>1736</v>
      </c>
      <c r="T368" s="125"/>
      <c r="U368" s="318"/>
      <c r="V368" s="318"/>
    </row>
    <row r="369" spans="1:22" s="317" customFormat="1" ht="24.95" customHeight="1">
      <c r="A369" s="320">
        <v>4.21</v>
      </c>
      <c r="B369" s="102" t="s">
        <v>2506</v>
      </c>
      <c r="C369" s="102" t="s">
        <v>506</v>
      </c>
      <c r="D369" s="123" t="s">
        <v>62</v>
      </c>
      <c r="E369" s="102">
        <v>1</v>
      </c>
      <c r="F369" s="321">
        <v>24.06</v>
      </c>
      <c r="G369" s="102" t="s">
        <v>32</v>
      </c>
      <c r="H369" s="105" t="s">
        <v>33</v>
      </c>
      <c r="I369" s="123"/>
      <c r="J369" s="102"/>
      <c r="K369" s="222" t="s">
        <v>1983</v>
      </c>
      <c r="L369" s="321">
        <v>108691.05</v>
      </c>
      <c r="M369" s="148">
        <v>95987.064300023296</v>
      </c>
      <c r="N369" s="179">
        <v>44503</v>
      </c>
      <c r="O369" s="102" t="s">
        <v>1975</v>
      </c>
      <c r="P369" s="123" t="s">
        <v>1974</v>
      </c>
      <c r="Q369" s="102">
        <v>15103501536</v>
      </c>
      <c r="R369" s="106" t="s">
        <v>1975</v>
      </c>
      <c r="S369" s="125" t="s">
        <v>1736</v>
      </c>
      <c r="T369" s="125"/>
      <c r="U369" s="318"/>
      <c r="V369" s="318"/>
    </row>
    <row r="370" spans="1:22" s="317" customFormat="1" ht="24.95" customHeight="1">
      <c r="A370" s="320">
        <v>4.22</v>
      </c>
      <c r="B370" s="102" t="s">
        <v>243</v>
      </c>
      <c r="C370" s="102" t="s">
        <v>34</v>
      </c>
      <c r="D370" s="123" t="s">
        <v>62</v>
      </c>
      <c r="E370" s="102">
        <v>1</v>
      </c>
      <c r="F370" s="321">
        <v>28.73</v>
      </c>
      <c r="G370" s="102" t="s">
        <v>32</v>
      </c>
      <c r="H370" s="105" t="s">
        <v>33</v>
      </c>
      <c r="I370" s="123"/>
      <c r="J370" s="102"/>
      <c r="K370" s="222" t="s">
        <v>2507</v>
      </c>
      <c r="L370" s="321">
        <v>196711.513274336</v>
      </c>
      <c r="M370" s="148">
        <v>59013.453982300904</v>
      </c>
      <c r="N370" s="179">
        <v>44593</v>
      </c>
      <c r="O370" s="102" t="s">
        <v>1975</v>
      </c>
      <c r="P370" s="123" t="s">
        <v>1974</v>
      </c>
      <c r="Q370" s="102">
        <v>15103501536</v>
      </c>
      <c r="R370" s="106" t="s">
        <v>1975</v>
      </c>
      <c r="S370" s="125" t="s">
        <v>1736</v>
      </c>
      <c r="T370" s="125"/>
      <c r="U370" s="318"/>
      <c r="V370" s="318"/>
    </row>
    <row r="371" spans="1:22" s="317" customFormat="1" ht="24.95" customHeight="1">
      <c r="A371" s="320">
        <v>4.2300000000000004</v>
      </c>
      <c r="B371" s="102" t="s">
        <v>2508</v>
      </c>
      <c r="C371" s="102" t="s">
        <v>34</v>
      </c>
      <c r="D371" s="123" t="s">
        <v>62</v>
      </c>
      <c r="E371" s="102">
        <v>1</v>
      </c>
      <c r="F371" s="321">
        <v>70.400000000000006</v>
      </c>
      <c r="G371" s="102" t="s">
        <v>32</v>
      </c>
      <c r="H371" s="105" t="s">
        <v>33</v>
      </c>
      <c r="I371" s="123"/>
      <c r="J371" s="102"/>
      <c r="K371" s="222" t="s">
        <v>2507</v>
      </c>
      <c r="L371" s="321">
        <v>482021.94690265501</v>
      </c>
      <c r="M371" s="148">
        <v>144606.58407079699</v>
      </c>
      <c r="N371" s="179">
        <v>44593</v>
      </c>
      <c r="O371" s="102" t="s">
        <v>1975</v>
      </c>
      <c r="P371" s="123" t="s">
        <v>1974</v>
      </c>
      <c r="Q371" s="102">
        <v>15103501536</v>
      </c>
      <c r="R371" s="106" t="s">
        <v>1975</v>
      </c>
      <c r="S371" s="125" t="s">
        <v>1736</v>
      </c>
      <c r="T371" s="125"/>
      <c r="U371" s="318"/>
      <c r="V371" s="318"/>
    </row>
    <row r="372" spans="1:22" s="317" customFormat="1" ht="24.95" customHeight="1">
      <c r="A372" s="320">
        <v>4.24</v>
      </c>
      <c r="B372" s="102" t="s">
        <v>228</v>
      </c>
      <c r="C372" s="102" t="s">
        <v>2509</v>
      </c>
      <c r="D372" s="123" t="s">
        <v>62</v>
      </c>
      <c r="E372" s="102">
        <v>1</v>
      </c>
      <c r="F372" s="321">
        <v>3</v>
      </c>
      <c r="G372" s="102" t="s">
        <v>32</v>
      </c>
      <c r="H372" s="105" t="s">
        <v>33</v>
      </c>
      <c r="I372" s="123"/>
      <c r="J372" s="102"/>
      <c r="K372" s="222" t="s">
        <v>1948</v>
      </c>
      <c r="L372" s="321">
        <v>21424.778761061902</v>
      </c>
      <c r="M372" s="148">
        <v>6427.4336283185803</v>
      </c>
      <c r="N372" s="179">
        <v>44593</v>
      </c>
      <c r="O372" s="102" t="s">
        <v>1975</v>
      </c>
      <c r="P372" s="123" t="s">
        <v>1974</v>
      </c>
      <c r="Q372" s="102">
        <v>15103501536</v>
      </c>
      <c r="R372" s="106" t="s">
        <v>1975</v>
      </c>
      <c r="S372" s="125" t="s">
        <v>1736</v>
      </c>
      <c r="T372" s="125"/>
      <c r="U372" s="318"/>
      <c r="V372" s="318"/>
    </row>
    <row r="373" spans="1:22" s="317" customFormat="1" ht="24.95" customHeight="1">
      <c r="A373" s="320">
        <v>4.25</v>
      </c>
      <c r="B373" s="102" t="s">
        <v>228</v>
      </c>
      <c r="C373" s="102" t="s">
        <v>2510</v>
      </c>
      <c r="D373" s="123" t="s">
        <v>62</v>
      </c>
      <c r="E373" s="102">
        <v>1</v>
      </c>
      <c r="F373" s="321">
        <v>2</v>
      </c>
      <c r="G373" s="102" t="s">
        <v>32</v>
      </c>
      <c r="H373" s="105" t="s">
        <v>33</v>
      </c>
      <c r="I373" s="123"/>
      <c r="J373" s="102"/>
      <c r="K373" s="222" t="s">
        <v>1948</v>
      </c>
      <c r="L373" s="321">
        <v>14283.185840708</v>
      </c>
      <c r="M373" s="148">
        <v>4284.9557522123896</v>
      </c>
      <c r="N373" s="179">
        <v>44593</v>
      </c>
      <c r="O373" s="102" t="s">
        <v>1975</v>
      </c>
      <c r="P373" s="123" t="s">
        <v>1974</v>
      </c>
      <c r="Q373" s="102">
        <v>15103501536</v>
      </c>
      <c r="R373" s="106" t="s">
        <v>1975</v>
      </c>
      <c r="S373" s="125" t="s">
        <v>1736</v>
      </c>
      <c r="T373" s="125"/>
      <c r="U373" s="318"/>
      <c r="V373" s="318"/>
    </row>
    <row r="374" spans="1:22" s="317" customFormat="1" ht="24.95" customHeight="1">
      <c r="A374" s="320">
        <v>4.26</v>
      </c>
      <c r="B374" s="102" t="s">
        <v>228</v>
      </c>
      <c r="C374" s="102" t="s">
        <v>2511</v>
      </c>
      <c r="D374" s="123" t="s">
        <v>62</v>
      </c>
      <c r="E374" s="102">
        <v>1</v>
      </c>
      <c r="F374" s="321">
        <v>2.2000000000000002</v>
      </c>
      <c r="G374" s="102" t="s">
        <v>32</v>
      </c>
      <c r="H374" s="105" t="s">
        <v>33</v>
      </c>
      <c r="I374" s="123"/>
      <c r="J374" s="102"/>
      <c r="K374" s="222" t="s">
        <v>1948</v>
      </c>
      <c r="L374" s="321">
        <v>15711.504424778799</v>
      </c>
      <c r="M374" s="148">
        <v>4713.4513274336296</v>
      </c>
      <c r="N374" s="179">
        <v>44593</v>
      </c>
      <c r="O374" s="102" t="s">
        <v>1975</v>
      </c>
      <c r="P374" s="123" t="s">
        <v>1974</v>
      </c>
      <c r="Q374" s="102">
        <v>15103501536</v>
      </c>
      <c r="R374" s="106" t="s">
        <v>1975</v>
      </c>
      <c r="S374" s="125" t="s">
        <v>1736</v>
      </c>
      <c r="T374" s="125"/>
      <c r="U374" s="318"/>
      <c r="V374" s="318"/>
    </row>
    <row r="375" spans="1:22" s="317" customFormat="1" ht="24.95" customHeight="1">
      <c r="A375" s="320">
        <v>4.2699999999999996</v>
      </c>
      <c r="B375" s="102" t="s">
        <v>228</v>
      </c>
      <c r="C375" s="102" t="s">
        <v>2511</v>
      </c>
      <c r="D375" s="123" t="s">
        <v>62</v>
      </c>
      <c r="E375" s="102">
        <v>1</v>
      </c>
      <c r="F375" s="321">
        <v>1.0900000000000001</v>
      </c>
      <c r="G375" s="102" t="s">
        <v>32</v>
      </c>
      <c r="H375" s="105" t="s">
        <v>33</v>
      </c>
      <c r="I375" s="123"/>
      <c r="J375" s="102"/>
      <c r="K375" s="222" t="s">
        <v>1948</v>
      </c>
      <c r="L375" s="321">
        <v>7784.3362831858403</v>
      </c>
      <c r="M375" s="148">
        <v>2335.30088495575</v>
      </c>
      <c r="N375" s="179">
        <v>44593</v>
      </c>
      <c r="O375" s="102" t="s">
        <v>1975</v>
      </c>
      <c r="P375" s="123" t="s">
        <v>1974</v>
      </c>
      <c r="Q375" s="102">
        <v>15103501536</v>
      </c>
      <c r="R375" s="106" t="s">
        <v>1975</v>
      </c>
      <c r="S375" s="125" t="s">
        <v>1736</v>
      </c>
      <c r="T375" s="125"/>
      <c r="U375" s="318"/>
      <c r="V375" s="318"/>
    </row>
    <row r="376" spans="1:22" s="317" customFormat="1" ht="24.95" customHeight="1">
      <c r="A376" s="320">
        <v>4.28</v>
      </c>
      <c r="B376" s="102" t="s">
        <v>398</v>
      </c>
      <c r="C376" s="102" t="s">
        <v>2512</v>
      </c>
      <c r="D376" s="123" t="s">
        <v>62</v>
      </c>
      <c r="E376" s="102"/>
      <c r="F376" s="322">
        <v>174.02</v>
      </c>
      <c r="G376" s="102" t="s">
        <v>2513</v>
      </c>
      <c r="H376" s="105" t="s">
        <v>33</v>
      </c>
      <c r="I376" s="123"/>
      <c r="J376" s="102"/>
      <c r="K376" s="242" t="s">
        <v>2514</v>
      </c>
      <c r="L376" s="321">
        <v>1318240</v>
      </c>
      <c r="M376" s="148">
        <v>1318240</v>
      </c>
      <c r="N376" s="239">
        <v>44501</v>
      </c>
      <c r="O376" s="102" t="s">
        <v>2152</v>
      </c>
      <c r="P376" s="123" t="s">
        <v>2153</v>
      </c>
      <c r="Q376" s="102">
        <v>13546718283</v>
      </c>
      <c r="R376" s="106" t="s">
        <v>2154</v>
      </c>
      <c r="S376" s="125" t="s">
        <v>1736</v>
      </c>
      <c r="T376" s="125"/>
      <c r="U376" s="318"/>
      <c r="V376" s="318"/>
    </row>
    <row r="377" spans="1:22" s="317" customFormat="1" ht="24.95" customHeight="1">
      <c r="A377" s="320">
        <v>4.29</v>
      </c>
      <c r="B377" s="102" t="s">
        <v>353</v>
      </c>
      <c r="C377" s="102" t="s">
        <v>2515</v>
      </c>
      <c r="D377" s="123" t="s">
        <v>62</v>
      </c>
      <c r="E377" s="102"/>
      <c r="F377" s="322">
        <v>29.96</v>
      </c>
      <c r="G377" s="102" t="s">
        <v>2513</v>
      </c>
      <c r="H377" s="105" t="s">
        <v>33</v>
      </c>
      <c r="I377" s="123"/>
      <c r="J377" s="102"/>
      <c r="K377" s="242" t="s">
        <v>2161</v>
      </c>
      <c r="L377" s="321">
        <v>210515.398230088</v>
      </c>
      <c r="M377" s="148">
        <v>210515.398230088</v>
      </c>
      <c r="N377" s="239">
        <v>44562</v>
      </c>
      <c r="O377" s="102" t="s">
        <v>2162</v>
      </c>
      <c r="P377" s="123" t="s">
        <v>2153</v>
      </c>
      <c r="Q377" s="102">
        <v>13546718283</v>
      </c>
      <c r="R377" s="106" t="s">
        <v>2154</v>
      </c>
      <c r="S377" s="125" t="s">
        <v>1736</v>
      </c>
      <c r="T377" s="125"/>
      <c r="U377" s="318"/>
      <c r="V377" s="318"/>
    </row>
    <row r="378" spans="1:22" s="317" customFormat="1" ht="24.95" customHeight="1">
      <c r="A378" s="320">
        <v>4.3</v>
      </c>
      <c r="B378" s="102" t="s">
        <v>353</v>
      </c>
      <c r="C378" s="102" t="s">
        <v>2515</v>
      </c>
      <c r="D378" s="123" t="s">
        <v>62</v>
      </c>
      <c r="E378" s="102"/>
      <c r="F378" s="322">
        <v>32.020000000000003</v>
      </c>
      <c r="G378" s="102" t="s">
        <v>2513</v>
      </c>
      <c r="H378" s="105" t="s">
        <v>33</v>
      </c>
      <c r="I378" s="123"/>
      <c r="J378" s="102"/>
      <c r="K378" s="242" t="s">
        <v>2161</v>
      </c>
      <c r="L378" s="321">
        <v>224990.08849557501</v>
      </c>
      <c r="M378" s="148">
        <v>224990.08849557501</v>
      </c>
      <c r="N378" s="239">
        <v>44562</v>
      </c>
      <c r="O378" s="102" t="s">
        <v>2162</v>
      </c>
      <c r="P378" s="123" t="s">
        <v>2153</v>
      </c>
      <c r="Q378" s="102">
        <v>13546718283</v>
      </c>
      <c r="R378" s="106" t="s">
        <v>2154</v>
      </c>
      <c r="S378" s="125" t="s">
        <v>1736</v>
      </c>
      <c r="T378" s="125"/>
      <c r="U378" s="318"/>
      <c r="V378" s="318"/>
    </row>
    <row r="379" spans="1:22" s="317" customFormat="1" ht="24.95" customHeight="1">
      <c r="A379" s="320">
        <v>4.3099999999999996</v>
      </c>
      <c r="B379" s="102" t="s">
        <v>353</v>
      </c>
      <c r="C379" s="102" t="s">
        <v>2515</v>
      </c>
      <c r="D379" s="123" t="s">
        <v>62</v>
      </c>
      <c r="E379" s="102"/>
      <c r="F379" s="322">
        <v>29.3</v>
      </c>
      <c r="G379" s="102" t="s">
        <v>2513</v>
      </c>
      <c r="H379" s="105" t="s">
        <v>33</v>
      </c>
      <c r="I379" s="123"/>
      <c r="J379" s="102"/>
      <c r="K379" s="242" t="s">
        <v>2161</v>
      </c>
      <c r="L379" s="321">
        <v>205877.87610619501</v>
      </c>
      <c r="M379" s="148">
        <v>205877.87610619501</v>
      </c>
      <c r="N379" s="239">
        <v>44562</v>
      </c>
      <c r="O379" s="102" t="s">
        <v>2162</v>
      </c>
      <c r="P379" s="123" t="s">
        <v>2153</v>
      </c>
      <c r="Q379" s="102">
        <v>13546718283</v>
      </c>
      <c r="R379" s="106" t="s">
        <v>2154</v>
      </c>
      <c r="S379" s="125" t="s">
        <v>1736</v>
      </c>
      <c r="T379" s="125"/>
      <c r="U379" s="318"/>
      <c r="V379" s="318"/>
    </row>
    <row r="380" spans="1:22" s="317" customFormat="1" ht="24.95" customHeight="1">
      <c r="A380" s="320">
        <v>4.32</v>
      </c>
      <c r="B380" s="102" t="s">
        <v>353</v>
      </c>
      <c r="C380" s="102" t="s">
        <v>2515</v>
      </c>
      <c r="D380" s="123" t="s">
        <v>62</v>
      </c>
      <c r="E380" s="102"/>
      <c r="F380" s="322">
        <v>26.5</v>
      </c>
      <c r="G380" s="102" t="s">
        <v>2513</v>
      </c>
      <c r="H380" s="105" t="s">
        <v>33</v>
      </c>
      <c r="I380" s="123"/>
      <c r="J380" s="102"/>
      <c r="K380" s="242" t="s">
        <v>2161</v>
      </c>
      <c r="L380" s="321">
        <v>186203.53982300899</v>
      </c>
      <c r="M380" s="148">
        <v>186203.53982300899</v>
      </c>
      <c r="N380" s="239">
        <v>44562</v>
      </c>
      <c r="O380" s="102" t="s">
        <v>2162</v>
      </c>
      <c r="P380" s="123" t="s">
        <v>2153</v>
      </c>
      <c r="Q380" s="102">
        <v>13546718283</v>
      </c>
      <c r="R380" s="106" t="s">
        <v>2154</v>
      </c>
      <c r="S380" s="125" t="s">
        <v>1736</v>
      </c>
      <c r="T380" s="125"/>
      <c r="U380" s="318"/>
      <c r="V380" s="318"/>
    </row>
    <row r="381" spans="1:22" ht="24.95" customHeight="1">
      <c r="A381" s="241">
        <v>5</v>
      </c>
      <c r="B381" s="102" t="s">
        <v>510</v>
      </c>
      <c r="C381" s="102"/>
      <c r="D381" s="123"/>
      <c r="E381" s="102"/>
      <c r="F381" s="102"/>
      <c r="G381" s="102"/>
      <c r="H381" s="105"/>
      <c r="I381" s="123"/>
      <c r="J381" s="102"/>
      <c r="K381" s="102"/>
      <c r="L381" s="102"/>
      <c r="M381" s="103"/>
      <c r="N381" s="102"/>
      <c r="O381" s="102"/>
      <c r="P381" s="123"/>
      <c r="Q381" s="102"/>
      <c r="R381" s="106"/>
      <c r="S381" s="125"/>
      <c r="T381" s="125"/>
    </row>
    <row r="382" spans="1:22" ht="24.95" customHeight="1">
      <c r="A382" s="117" t="s">
        <v>2516</v>
      </c>
      <c r="B382" s="102" t="s">
        <v>2517</v>
      </c>
      <c r="C382" s="102" t="s">
        <v>2518</v>
      </c>
      <c r="D382" s="123" t="s">
        <v>1477</v>
      </c>
      <c r="E382" s="102">
        <v>1</v>
      </c>
      <c r="F382" s="102"/>
      <c r="G382" s="102" t="s">
        <v>32</v>
      </c>
      <c r="H382" s="105" t="s">
        <v>41</v>
      </c>
      <c r="I382" s="123" t="s">
        <v>179</v>
      </c>
      <c r="J382" s="323"/>
      <c r="K382" s="324" t="s">
        <v>978</v>
      </c>
      <c r="L382" s="102">
        <v>560000</v>
      </c>
      <c r="M382" s="103">
        <v>168000</v>
      </c>
      <c r="N382" s="140">
        <v>2019.03</v>
      </c>
      <c r="O382" s="102" t="s">
        <v>2519</v>
      </c>
      <c r="P382" s="123" t="s">
        <v>2520</v>
      </c>
      <c r="Q382" s="102">
        <v>18535198144</v>
      </c>
      <c r="R382" s="106" t="s">
        <v>2521</v>
      </c>
      <c r="S382" s="125" t="s">
        <v>1736</v>
      </c>
      <c r="T382" s="125"/>
    </row>
    <row r="383" spans="1:22" ht="24.95" customHeight="1">
      <c r="A383" s="117" t="s">
        <v>2522</v>
      </c>
      <c r="B383" s="102" t="s">
        <v>2523</v>
      </c>
      <c r="C383" s="102" t="s">
        <v>2524</v>
      </c>
      <c r="D383" s="123" t="s">
        <v>161</v>
      </c>
      <c r="E383" s="102">
        <v>300</v>
      </c>
      <c r="F383" s="102"/>
      <c r="G383" s="102" t="s">
        <v>32</v>
      </c>
      <c r="H383" s="105" t="s">
        <v>41</v>
      </c>
      <c r="I383" s="123" t="s">
        <v>179</v>
      </c>
      <c r="J383" s="323"/>
      <c r="K383" s="325" t="s">
        <v>2525</v>
      </c>
      <c r="L383" s="102">
        <v>768698</v>
      </c>
      <c r="M383" s="103">
        <v>158189.4</v>
      </c>
      <c r="N383" s="140">
        <v>2019.08</v>
      </c>
      <c r="O383" s="102" t="s">
        <v>2519</v>
      </c>
      <c r="P383" s="123" t="s">
        <v>2520</v>
      </c>
      <c r="Q383" s="102">
        <v>18535198147</v>
      </c>
      <c r="R383" s="106" t="s">
        <v>2521</v>
      </c>
      <c r="S383" s="125" t="s">
        <v>1736</v>
      </c>
      <c r="T383" s="125"/>
    </row>
    <row r="384" spans="1:22" ht="24.95" customHeight="1">
      <c r="A384" s="117" t="s">
        <v>2526</v>
      </c>
      <c r="B384" s="102" t="s">
        <v>2527</v>
      </c>
      <c r="C384" s="102" t="s">
        <v>2528</v>
      </c>
      <c r="D384" s="123" t="s">
        <v>62</v>
      </c>
      <c r="E384" s="102" t="s">
        <v>2529</v>
      </c>
      <c r="F384" s="113">
        <v>16</v>
      </c>
      <c r="G384" s="102" t="s">
        <v>32</v>
      </c>
      <c r="H384" s="105" t="s">
        <v>33</v>
      </c>
      <c r="I384" s="123"/>
      <c r="J384" s="102"/>
      <c r="K384" s="102"/>
      <c r="L384" s="113">
        <v>443185.84070796502</v>
      </c>
      <c r="M384" s="148">
        <v>132955.75221239001</v>
      </c>
      <c r="N384" s="326">
        <v>44503</v>
      </c>
      <c r="O384" s="102" t="s">
        <v>1975</v>
      </c>
      <c r="P384" s="123" t="s">
        <v>1974</v>
      </c>
      <c r="Q384" s="102">
        <v>15103501536</v>
      </c>
      <c r="R384" s="106" t="s">
        <v>1975</v>
      </c>
      <c r="S384" s="125" t="s">
        <v>1736</v>
      </c>
      <c r="T384" s="125"/>
    </row>
    <row r="385" spans="1:21" ht="24.95" customHeight="1">
      <c r="A385" s="117" t="s">
        <v>2530</v>
      </c>
      <c r="B385" s="102" t="s">
        <v>2531</v>
      </c>
      <c r="C385" s="102" t="s">
        <v>2528</v>
      </c>
      <c r="D385" s="123" t="s">
        <v>62</v>
      </c>
      <c r="E385" s="102" t="s">
        <v>1761</v>
      </c>
      <c r="F385" s="113">
        <v>39.86</v>
      </c>
      <c r="G385" s="102" t="s">
        <v>32</v>
      </c>
      <c r="H385" s="105" t="s">
        <v>33</v>
      </c>
      <c r="I385" s="123"/>
      <c r="J385" s="102"/>
      <c r="K385" s="102"/>
      <c r="L385" s="113">
        <v>310414.15929203603</v>
      </c>
      <c r="M385" s="148">
        <v>93124.247787610599</v>
      </c>
      <c r="N385" s="326">
        <v>44503</v>
      </c>
      <c r="O385" s="102" t="s">
        <v>1975</v>
      </c>
      <c r="P385" s="123" t="s">
        <v>1974</v>
      </c>
      <c r="Q385" s="102">
        <v>15103501536</v>
      </c>
      <c r="R385" s="106" t="s">
        <v>1975</v>
      </c>
      <c r="S385" s="125" t="s">
        <v>1736</v>
      </c>
      <c r="T385" s="125"/>
    </row>
    <row r="386" spans="1:21" ht="24.95" customHeight="1">
      <c r="A386" s="117" t="s">
        <v>2532</v>
      </c>
      <c r="B386" s="102" t="s">
        <v>266</v>
      </c>
      <c r="C386" s="102" t="s">
        <v>2528</v>
      </c>
      <c r="D386" s="123" t="s">
        <v>62</v>
      </c>
      <c r="E386" s="102" t="s">
        <v>1761</v>
      </c>
      <c r="F386" s="113">
        <v>2</v>
      </c>
      <c r="G386" s="102" t="s">
        <v>32</v>
      </c>
      <c r="H386" s="105" t="s">
        <v>33</v>
      </c>
      <c r="I386" s="123"/>
      <c r="J386" s="102"/>
      <c r="K386" s="102"/>
      <c r="L386" s="113">
        <v>79646.017699114993</v>
      </c>
      <c r="M386" s="148">
        <v>23893.8053097345</v>
      </c>
      <c r="N386" s="326">
        <v>44503</v>
      </c>
      <c r="O386" s="102" t="s">
        <v>1975</v>
      </c>
      <c r="P386" s="123" t="s">
        <v>1974</v>
      </c>
      <c r="Q386" s="102">
        <v>15103501536</v>
      </c>
      <c r="R386" s="106" t="s">
        <v>1975</v>
      </c>
      <c r="S386" s="125" t="s">
        <v>1736</v>
      </c>
      <c r="T386" s="125"/>
    </row>
    <row r="387" spans="1:21" ht="24.95" customHeight="1">
      <c r="A387" s="117" t="s">
        <v>2533</v>
      </c>
      <c r="B387" s="102" t="s">
        <v>2534</v>
      </c>
      <c r="C387" s="102" t="s">
        <v>2528</v>
      </c>
      <c r="D387" s="123" t="s">
        <v>62</v>
      </c>
      <c r="E387" s="102">
        <v>1</v>
      </c>
      <c r="F387" s="113">
        <v>7.8609999999999998</v>
      </c>
      <c r="G387" s="102" t="s">
        <v>32</v>
      </c>
      <c r="H387" s="105" t="s">
        <v>33</v>
      </c>
      <c r="I387" s="123"/>
      <c r="J387" s="102"/>
      <c r="K387" s="222" t="s">
        <v>2067</v>
      </c>
      <c r="L387" s="113">
        <v>61218.407079646</v>
      </c>
      <c r="M387" s="148">
        <v>18365.522123893799</v>
      </c>
      <c r="N387" s="179">
        <v>44562</v>
      </c>
      <c r="O387" s="102" t="s">
        <v>1975</v>
      </c>
      <c r="P387" s="123" t="s">
        <v>1974</v>
      </c>
      <c r="Q387" s="102">
        <v>15103501536</v>
      </c>
      <c r="R387" s="106" t="s">
        <v>1975</v>
      </c>
      <c r="S387" s="125" t="s">
        <v>1736</v>
      </c>
      <c r="T387" s="125"/>
      <c r="U387" s="318"/>
    </row>
    <row r="388" spans="1:21" ht="24.95" customHeight="1">
      <c r="A388" s="117" t="s">
        <v>2535</v>
      </c>
      <c r="B388" s="102" t="s">
        <v>29</v>
      </c>
      <c r="C388" s="102" t="s">
        <v>2536</v>
      </c>
      <c r="D388" s="123" t="s">
        <v>62</v>
      </c>
      <c r="E388" s="102">
        <v>1</v>
      </c>
      <c r="F388" s="113">
        <v>15.13</v>
      </c>
      <c r="G388" s="102" t="s">
        <v>32</v>
      </c>
      <c r="H388" s="105" t="s">
        <v>33</v>
      </c>
      <c r="I388" s="123"/>
      <c r="J388" s="102"/>
      <c r="K388" s="222" t="s">
        <v>2537</v>
      </c>
      <c r="L388" s="113">
        <v>107115.044247788</v>
      </c>
      <c r="M388" s="148">
        <v>32134.513274336299</v>
      </c>
      <c r="N388" s="179">
        <v>44621</v>
      </c>
      <c r="O388" s="102" t="s">
        <v>1973</v>
      </c>
      <c r="P388" s="123" t="s">
        <v>1974</v>
      </c>
      <c r="Q388" s="102">
        <v>15103501536</v>
      </c>
      <c r="R388" s="106" t="s">
        <v>1975</v>
      </c>
      <c r="S388" s="125" t="s">
        <v>1736</v>
      </c>
      <c r="T388" s="125"/>
      <c r="U388" s="318"/>
    </row>
    <row r="389" spans="1:21" ht="24.95" customHeight="1">
      <c r="A389" s="117" t="s">
        <v>2538</v>
      </c>
      <c r="B389" s="102" t="s">
        <v>29</v>
      </c>
      <c r="C389" s="102" t="s">
        <v>2539</v>
      </c>
      <c r="D389" s="123" t="s">
        <v>62</v>
      </c>
      <c r="E389" s="102">
        <v>1</v>
      </c>
      <c r="F389" s="113">
        <v>17.84</v>
      </c>
      <c r="G389" s="102" t="s">
        <v>32</v>
      </c>
      <c r="H389" s="105" t="s">
        <v>33</v>
      </c>
      <c r="I389" s="123"/>
      <c r="J389" s="102"/>
      <c r="K389" s="222" t="s">
        <v>2537</v>
      </c>
      <c r="L389" s="113">
        <v>126300.884955752</v>
      </c>
      <c r="M389" s="148">
        <v>37890.265486725701</v>
      </c>
      <c r="N389" s="179">
        <v>44621</v>
      </c>
      <c r="O389" s="102" t="s">
        <v>1973</v>
      </c>
      <c r="P389" s="123" t="s">
        <v>1974</v>
      </c>
      <c r="Q389" s="102">
        <v>15103501536</v>
      </c>
      <c r="R389" s="106" t="s">
        <v>1975</v>
      </c>
      <c r="S389" s="125" t="s">
        <v>1736</v>
      </c>
      <c r="T389" s="125"/>
      <c r="U389" s="318"/>
    </row>
    <row r="390" spans="1:21" ht="24.95" customHeight="1">
      <c r="A390" s="117" t="s">
        <v>2540</v>
      </c>
      <c r="B390" s="102" t="s">
        <v>29</v>
      </c>
      <c r="C390" s="102" t="s">
        <v>2536</v>
      </c>
      <c r="D390" s="123" t="s">
        <v>62</v>
      </c>
      <c r="E390" s="102">
        <v>1</v>
      </c>
      <c r="F390" s="113">
        <v>15.98</v>
      </c>
      <c r="G390" s="102" t="s">
        <v>32</v>
      </c>
      <c r="H390" s="105" t="s">
        <v>33</v>
      </c>
      <c r="I390" s="123"/>
      <c r="J390" s="102"/>
      <c r="K390" s="222" t="s">
        <v>2537</v>
      </c>
      <c r="L390" s="113">
        <v>113132.743362832</v>
      </c>
      <c r="M390" s="148">
        <v>33939.823008849598</v>
      </c>
      <c r="N390" s="179">
        <v>44621</v>
      </c>
      <c r="O390" s="102" t="s">
        <v>1973</v>
      </c>
      <c r="P390" s="123" t="s">
        <v>1974</v>
      </c>
      <c r="Q390" s="102">
        <v>15103501536</v>
      </c>
      <c r="R390" s="106" t="s">
        <v>1975</v>
      </c>
      <c r="S390" s="125" t="s">
        <v>1736</v>
      </c>
      <c r="T390" s="125"/>
      <c r="U390" s="318"/>
    </row>
    <row r="391" spans="1:21" ht="24.95" customHeight="1">
      <c r="A391" s="117" t="s">
        <v>2541</v>
      </c>
      <c r="B391" s="102" t="s">
        <v>2542</v>
      </c>
      <c r="C391" s="102" t="s">
        <v>2543</v>
      </c>
      <c r="D391" s="123" t="s">
        <v>2544</v>
      </c>
      <c r="E391" s="102">
        <v>1</v>
      </c>
      <c r="F391" s="113">
        <v>128</v>
      </c>
      <c r="G391" s="102" t="s">
        <v>32</v>
      </c>
      <c r="H391" s="105" t="s">
        <v>33</v>
      </c>
      <c r="I391" s="123"/>
      <c r="J391" s="102"/>
      <c r="K391" s="222" t="s">
        <v>2537</v>
      </c>
      <c r="L391" s="113">
        <v>2265.4867256637199</v>
      </c>
      <c r="M391" s="148">
        <v>679.64601769911599</v>
      </c>
      <c r="N391" s="179">
        <v>44621</v>
      </c>
      <c r="O391" s="102" t="s">
        <v>1973</v>
      </c>
      <c r="P391" s="123" t="s">
        <v>1974</v>
      </c>
      <c r="Q391" s="102">
        <v>15103501536</v>
      </c>
      <c r="R391" s="106" t="s">
        <v>1975</v>
      </c>
      <c r="S391" s="125" t="s">
        <v>1736</v>
      </c>
      <c r="T391" s="125"/>
      <c r="U391" s="318"/>
    </row>
    <row r="392" spans="1:21" ht="24.95" customHeight="1">
      <c r="A392" s="117" t="s">
        <v>2545</v>
      </c>
      <c r="B392" s="102" t="s">
        <v>2546</v>
      </c>
      <c r="C392" s="102" t="s">
        <v>2543</v>
      </c>
      <c r="D392" s="123" t="s">
        <v>2544</v>
      </c>
      <c r="E392" s="102">
        <v>1</v>
      </c>
      <c r="F392" s="113">
        <v>384</v>
      </c>
      <c r="G392" s="102" t="s">
        <v>32</v>
      </c>
      <c r="H392" s="105" t="s">
        <v>33</v>
      </c>
      <c r="I392" s="123"/>
      <c r="J392" s="102"/>
      <c r="K392" s="222" t="s">
        <v>2537</v>
      </c>
      <c r="L392" s="113">
        <v>6796.4601769911596</v>
      </c>
      <c r="M392" s="148">
        <v>2038.9380530973499</v>
      </c>
      <c r="N392" s="179">
        <v>44621</v>
      </c>
      <c r="O392" s="102" t="s">
        <v>1973</v>
      </c>
      <c r="P392" s="123" t="s">
        <v>1974</v>
      </c>
      <c r="Q392" s="102">
        <v>15103501536</v>
      </c>
      <c r="R392" s="106" t="s">
        <v>1975</v>
      </c>
      <c r="S392" s="125" t="s">
        <v>1736</v>
      </c>
      <c r="T392" s="125"/>
      <c r="U392" s="318"/>
    </row>
    <row r="393" spans="1:21" ht="24.95" customHeight="1">
      <c r="A393" s="117" t="s">
        <v>2547</v>
      </c>
      <c r="B393" s="102" t="s">
        <v>2548</v>
      </c>
      <c r="C393" s="102"/>
      <c r="D393" s="123" t="s">
        <v>2544</v>
      </c>
      <c r="E393" s="102">
        <v>1</v>
      </c>
      <c r="F393" s="113">
        <v>32</v>
      </c>
      <c r="G393" s="102" t="s">
        <v>32</v>
      </c>
      <c r="H393" s="105" t="s">
        <v>33</v>
      </c>
      <c r="I393" s="123"/>
      <c r="J393" s="102"/>
      <c r="K393" s="222" t="s">
        <v>2537</v>
      </c>
      <c r="L393" s="113">
        <v>2831.8584070796501</v>
      </c>
      <c r="M393" s="148">
        <v>849.55752212389405</v>
      </c>
      <c r="N393" s="179">
        <v>44621</v>
      </c>
      <c r="O393" s="102" t="s">
        <v>1973</v>
      </c>
      <c r="P393" s="123" t="s">
        <v>1974</v>
      </c>
      <c r="Q393" s="102">
        <v>15103501536</v>
      </c>
      <c r="R393" s="106" t="s">
        <v>1975</v>
      </c>
      <c r="S393" s="125" t="s">
        <v>1736</v>
      </c>
      <c r="T393" s="125"/>
      <c r="U393" s="318"/>
    </row>
    <row r="394" spans="1:21" ht="24.95" customHeight="1">
      <c r="A394" s="117" t="s">
        <v>2549</v>
      </c>
      <c r="B394" s="102" t="s">
        <v>2550</v>
      </c>
      <c r="C394" s="102" t="s">
        <v>2551</v>
      </c>
      <c r="D394" s="123" t="s">
        <v>2544</v>
      </c>
      <c r="E394" s="102">
        <v>1</v>
      </c>
      <c r="F394" s="113">
        <v>48</v>
      </c>
      <c r="G394" s="102" t="s">
        <v>32</v>
      </c>
      <c r="H394" s="105" t="s">
        <v>33</v>
      </c>
      <c r="I394" s="123"/>
      <c r="J394" s="102"/>
      <c r="K394" s="222" t="s">
        <v>2537</v>
      </c>
      <c r="L394" s="113">
        <v>3823.0088495575201</v>
      </c>
      <c r="M394" s="148">
        <v>1146.90265486726</v>
      </c>
      <c r="N394" s="179">
        <v>44621</v>
      </c>
      <c r="O394" s="102" t="s">
        <v>1973</v>
      </c>
      <c r="P394" s="123" t="s">
        <v>1974</v>
      </c>
      <c r="Q394" s="102">
        <v>15103501536</v>
      </c>
      <c r="R394" s="106" t="s">
        <v>1975</v>
      </c>
      <c r="S394" s="125" t="s">
        <v>1736</v>
      </c>
      <c r="T394" s="125"/>
      <c r="U394" s="318"/>
    </row>
    <row r="395" spans="1:21" ht="24.95" customHeight="1">
      <c r="A395" s="117" t="s">
        <v>2552</v>
      </c>
      <c r="B395" s="102" t="s">
        <v>2553</v>
      </c>
      <c r="C395" s="102" t="s">
        <v>2554</v>
      </c>
      <c r="D395" s="123" t="s">
        <v>2544</v>
      </c>
      <c r="E395" s="102">
        <v>1</v>
      </c>
      <c r="F395" s="113">
        <v>48</v>
      </c>
      <c r="G395" s="102" t="s">
        <v>32</v>
      </c>
      <c r="H395" s="105" t="s">
        <v>33</v>
      </c>
      <c r="I395" s="123"/>
      <c r="J395" s="102"/>
      <c r="K395" s="222" t="s">
        <v>2537</v>
      </c>
      <c r="L395" s="113">
        <v>3823.0088495575201</v>
      </c>
      <c r="M395" s="148">
        <v>1146.90265486726</v>
      </c>
      <c r="N395" s="179">
        <v>44621</v>
      </c>
      <c r="O395" s="102" t="s">
        <v>1973</v>
      </c>
      <c r="P395" s="123" t="s">
        <v>1974</v>
      </c>
      <c r="Q395" s="102">
        <v>15103501536</v>
      </c>
      <c r="R395" s="106" t="s">
        <v>1975</v>
      </c>
      <c r="S395" s="125" t="s">
        <v>1736</v>
      </c>
      <c r="T395" s="125"/>
      <c r="U395" s="318"/>
    </row>
    <row r="396" spans="1:21" ht="24.95" customHeight="1">
      <c r="A396" s="117" t="s">
        <v>2555</v>
      </c>
      <c r="B396" s="102" t="s">
        <v>2556</v>
      </c>
      <c r="C396" s="102" t="s">
        <v>2557</v>
      </c>
      <c r="D396" s="123" t="s">
        <v>2544</v>
      </c>
      <c r="E396" s="102">
        <v>1</v>
      </c>
      <c r="F396" s="113">
        <v>16</v>
      </c>
      <c r="G396" s="102" t="s">
        <v>32</v>
      </c>
      <c r="H396" s="105" t="s">
        <v>33</v>
      </c>
      <c r="I396" s="123"/>
      <c r="J396" s="102"/>
      <c r="K396" s="222" t="s">
        <v>2537</v>
      </c>
      <c r="L396" s="113">
        <v>1132.7433628318599</v>
      </c>
      <c r="M396" s="148">
        <v>339.82300884955799</v>
      </c>
      <c r="N396" s="179">
        <v>44621</v>
      </c>
      <c r="O396" s="102" t="s">
        <v>1973</v>
      </c>
      <c r="P396" s="123" t="s">
        <v>1974</v>
      </c>
      <c r="Q396" s="102">
        <v>15103501536</v>
      </c>
      <c r="R396" s="106" t="s">
        <v>1975</v>
      </c>
      <c r="S396" s="125" t="s">
        <v>1736</v>
      </c>
      <c r="T396" s="125"/>
      <c r="U396" s="318"/>
    </row>
    <row r="397" spans="1:21" ht="24.95" customHeight="1">
      <c r="A397" s="117" t="s">
        <v>2558</v>
      </c>
      <c r="B397" s="102" t="s">
        <v>2559</v>
      </c>
      <c r="C397" s="102" t="s">
        <v>2560</v>
      </c>
      <c r="D397" s="123" t="s">
        <v>2544</v>
      </c>
      <c r="E397" s="102">
        <v>1</v>
      </c>
      <c r="F397" s="113">
        <v>96</v>
      </c>
      <c r="G397" s="102" t="s">
        <v>32</v>
      </c>
      <c r="H397" s="105" t="s">
        <v>33</v>
      </c>
      <c r="I397" s="123"/>
      <c r="J397" s="102"/>
      <c r="K397" s="222" t="s">
        <v>2537</v>
      </c>
      <c r="L397" s="113">
        <v>7646.0176991150402</v>
      </c>
      <c r="M397" s="148">
        <v>2293.80530973451</v>
      </c>
      <c r="N397" s="179">
        <v>44621</v>
      </c>
      <c r="O397" s="102" t="s">
        <v>1973</v>
      </c>
      <c r="P397" s="123" t="s">
        <v>1974</v>
      </c>
      <c r="Q397" s="102">
        <v>15103501536</v>
      </c>
      <c r="R397" s="106" t="s">
        <v>1975</v>
      </c>
      <c r="S397" s="125" t="s">
        <v>1736</v>
      </c>
      <c r="T397" s="125"/>
      <c r="U397" s="318"/>
    </row>
    <row r="398" spans="1:21" ht="24.95" customHeight="1">
      <c r="A398" s="117" t="s">
        <v>2561</v>
      </c>
      <c r="B398" s="102" t="s">
        <v>2542</v>
      </c>
      <c r="C398" s="102" t="s">
        <v>2560</v>
      </c>
      <c r="D398" s="123" t="s">
        <v>2544</v>
      </c>
      <c r="E398" s="102">
        <v>1</v>
      </c>
      <c r="F398" s="113">
        <v>96</v>
      </c>
      <c r="G398" s="102" t="s">
        <v>32</v>
      </c>
      <c r="H398" s="105" t="s">
        <v>33</v>
      </c>
      <c r="I398" s="123"/>
      <c r="J398" s="102"/>
      <c r="K398" s="222" t="s">
        <v>2537</v>
      </c>
      <c r="L398" s="113">
        <v>1699.1150442477899</v>
      </c>
      <c r="M398" s="148">
        <v>509.73451327433702</v>
      </c>
      <c r="N398" s="179">
        <v>44621</v>
      </c>
      <c r="O398" s="102" t="s">
        <v>1973</v>
      </c>
      <c r="P398" s="123" t="s">
        <v>1974</v>
      </c>
      <c r="Q398" s="102">
        <v>15103501536</v>
      </c>
      <c r="R398" s="106" t="s">
        <v>1975</v>
      </c>
      <c r="S398" s="125" t="s">
        <v>1736</v>
      </c>
      <c r="T398" s="125"/>
      <c r="U398" s="318"/>
    </row>
    <row r="399" spans="1:21" ht="24.95" customHeight="1">
      <c r="A399" s="117" t="s">
        <v>2562</v>
      </c>
      <c r="B399" s="102" t="s">
        <v>2563</v>
      </c>
      <c r="C399" s="102" t="s">
        <v>2564</v>
      </c>
      <c r="D399" s="123" t="s">
        <v>2544</v>
      </c>
      <c r="E399" s="102">
        <v>1</v>
      </c>
      <c r="F399" s="113">
        <v>96</v>
      </c>
      <c r="G399" s="102" t="s">
        <v>32</v>
      </c>
      <c r="H399" s="105" t="s">
        <v>33</v>
      </c>
      <c r="I399" s="123"/>
      <c r="J399" s="102"/>
      <c r="K399" s="222" t="s">
        <v>2537</v>
      </c>
      <c r="L399" s="113">
        <v>1699.1150442477899</v>
      </c>
      <c r="M399" s="148">
        <v>509.73451327433702</v>
      </c>
      <c r="N399" s="179">
        <v>44621</v>
      </c>
      <c r="O399" s="102" t="s">
        <v>1973</v>
      </c>
      <c r="P399" s="123" t="s">
        <v>1974</v>
      </c>
      <c r="Q399" s="102">
        <v>15103501536</v>
      </c>
      <c r="R399" s="106" t="s">
        <v>1975</v>
      </c>
      <c r="S399" s="125" t="s">
        <v>1736</v>
      </c>
      <c r="T399" s="125"/>
      <c r="U399" s="318"/>
    </row>
    <row r="400" spans="1:21" ht="24.95" customHeight="1">
      <c r="A400" s="117" t="s">
        <v>2565</v>
      </c>
      <c r="B400" s="102" t="s">
        <v>2566</v>
      </c>
      <c r="C400" s="102" t="s">
        <v>2567</v>
      </c>
      <c r="D400" s="123" t="s">
        <v>2544</v>
      </c>
      <c r="E400" s="102">
        <v>1</v>
      </c>
      <c r="F400" s="113">
        <v>256</v>
      </c>
      <c r="G400" s="102" t="s">
        <v>32</v>
      </c>
      <c r="H400" s="105" t="s">
        <v>33</v>
      </c>
      <c r="I400" s="123"/>
      <c r="J400" s="102"/>
      <c r="K400" s="222" t="s">
        <v>2537</v>
      </c>
      <c r="L400" s="113">
        <v>3398.2300884955598</v>
      </c>
      <c r="M400" s="148">
        <v>1019.4690265486699</v>
      </c>
      <c r="N400" s="179">
        <v>44621</v>
      </c>
      <c r="O400" s="102" t="s">
        <v>1973</v>
      </c>
      <c r="P400" s="123" t="s">
        <v>1974</v>
      </c>
      <c r="Q400" s="102">
        <v>15103501536</v>
      </c>
      <c r="R400" s="106" t="s">
        <v>1975</v>
      </c>
      <c r="S400" s="125" t="s">
        <v>1736</v>
      </c>
      <c r="T400" s="125"/>
      <c r="U400" s="318"/>
    </row>
    <row r="401" spans="1:21" ht="24.95" customHeight="1">
      <c r="A401" s="117" t="s">
        <v>2568</v>
      </c>
      <c r="B401" s="102" t="s">
        <v>2569</v>
      </c>
      <c r="C401" s="102" t="s">
        <v>2567</v>
      </c>
      <c r="D401" s="123" t="s">
        <v>2544</v>
      </c>
      <c r="E401" s="102">
        <v>1</v>
      </c>
      <c r="F401" s="113">
        <v>256</v>
      </c>
      <c r="G401" s="102" t="s">
        <v>32</v>
      </c>
      <c r="H401" s="105" t="s">
        <v>33</v>
      </c>
      <c r="I401" s="123"/>
      <c r="J401" s="102"/>
      <c r="K401" s="222" t="s">
        <v>2537</v>
      </c>
      <c r="L401" s="113">
        <v>3398.2300884955598</v>
      </c>
      <c r="M401" s="148">
        <v>1019.4690265486699</v>
      </c>
      <c r="N401" s="179">
        <v>44621</v>
      </c>
      <c r="O401" s="102" t="s">
        <v>1973</v>
      </c>
      <c r="P401" s="123" t="s">
        <v>1974</v>
      </c>
      <c r="Q401" s="102">
        <v>15103501536</v>
      </c>
      <c r="R401" s="106" t="s">
        <v>1975</v>
      </c>
      <c r="S401" s="125" t="s">
        <v>1736</v>
      </c>
      <c r="T401" s="125"/>
      <c r="U401" s="318"/>
    </row>
    <row r="402" spans="1:21" ht="24.95" customHeight="1">
      <c r="A402" s="117" t="s">
        <v>2570</v>
      </c>
      <c r="B402" s="102" t="s">
        <v>2571</v>
      </c>
      <c r="C402" s="102" t="s">
        <v>2543</v>
      </c>
      <c r="D402" s="123" t="s">
        <v>161</v>
      </c>
      <c r="E402" s="102">
        <v>1</v>
      </c>
      <c r="F402" s="113">
        <v>504</v>
      </c>
      <c r="G402" s="102" t="s">
        <v>32</v>
      </c>
      <c r="H402" s="105" t="s">
        <v>33</v>
      </c>
      <c r="I402" s="123"/>
      <c r="J402" s="102"/>
      <c r="K402" s="222" t="s">
        <v>2537</v>
      </c>
      <c r="L402" s="113">
        <v>13380.530973451299</v>
      </c>
      <c r="M402" s="148">
        <v>4014.1592920354001</v>
      </c>
      <c r="N402" s="179">
        <v>44621</v>
      </c>
      <c r="O402" s="102" t="s">
        <v>1973</v>
      </c>
      <c r="P402" s="123" t="s">
        <v>1974</v>
      </c>
      <c r="Q402" s="102">
        <v>15103501536</v>
      </c>
      <c r="R402" s="106" t="s">
        <v>1975</v>
      </c>
      <c r="S402" s="125" t="s">
        <v>1736</v>
      </c>
      <c r="T402" s="125"/>
      <c r="U402" s="318"/>
    </row>
    <row r="403" spans="1:21" ht="24.95" customHeight="1">
      <c r="A403" s="117" t="s">
        <v>2572</v>
      </c>
      <c r="B403" s="102" t="s">
        <v>2542</v>
      </c>
      <c r="C403" s="102" t="s">
        <v>2543</v>
      </c>
      <c r="D403" s="123" t="s">
        <v>2544</v>
      </c>
      <c r="E403" s="102">
        <v>1</v>
      </c>
      <c r="F403" s="113">
        <v>64</v>
      </c>
      <c r="G403" s="102" t="s">
        <v>32</v>
      </c>
      <c r="H403" s="105" t="s">
        <v>33</v>
      </c>
      <c r="I403" s="123"/>
      <c r="J403" s="102"/>
      <c r="K403" s="222" t="s">
        <v>2537</v>
      </c>
      <c r="L403" s="113">
        <v>1132.7433628318599</v>
      </c>
      <c r="M403" s="148">
        <v>339.82300884955799</v>
      </c>
      <c r="N403" s="179">
        <v>44621</v>
      </c>
      <c r="O403" s="102" t="s">
        <v>1973</v>
      </c>
      <c r="P403" s="123" t="s">
        <v>1974</v>
      </c>
      <c r="Q403" s="102">
        <v>15103501536</v>
      </c>
      <c r="R403" s="106" t="s">
        <v>1975</v>
      </c>
      <c r="S403" s="125" t="s">
        <v>1736</v>
      </c>
      <c r="T403" s="125"/>
      <c r="U403" s="318"/>
    </row>
    <row r="404" spans="1:21" ht="24.95" customHeight="1">
      <c r="A404" s="117" t="s">
        <v>2573</v>
      </c>
      <c r="B404" s="102" t="s">
        <v>2546</v>
      </c>
      <c r="C404" s="102" t="s">
        <v>2543</v>
      </c>
      <c r="D404" s="123" t="s">
        <v>2544</v>
      </c>
      <c r="E404" s="102">
        <v>1</v>
      </c>
      <c r="F404" s="113">
        <v>192</v>
      </c>
      <c r="G404" s="102" t="s">
        <v>32</v>
      </c>
      <c r="H404" s="105" t="s">
        <v>33</v>
      </c>
      <c r="I404" s="123"/>
      <c r="J404" s="102"/>
      <c r="K404" s="222" t="s">
        <v>2537</v>
      </c>
      <c r="L404" s="113">
        <v>3398.2300884955798</v>
      </c>
      <c r="M404" s="148">
        <v>1019.4690265486699</v>
      </c>
      <c r="N404" s="179">
        <v>44621</v>
      </c>
      <c r="O404" s="102" t="s">
        <v>1973</v>
      </c>
      <c r="P404" s="123" t="s">
        <v>1974</v>
      </c>
      <c r="Q404" s="102">
        <v>15103501536</v>
      </c>
      <c r="R404" s="106" t="s">
        <v>1975</v>
      </c>
      <c r="S404" s="125" t="s">
        <v>1736</v>
      </c>
      <c r="T404" s="125"/>
      <c r="U404" s="318"/>
    </row>
    <row r="405" spans="1:21" ht="24.95" customHeight="1">
      <c r="A405" s="117" t="s">
        <v>2574</v>
      </c>
      <c r="B405" s="102" t="s">
        <v>2548</v>
      </c>
      <c r="C405" s="102"/>
      <c r="D405" s="123" t="s">
        <v>2544</v>
      </c>
      <c r="E405" s="102">
        <v>1</v>
      </c>
      <c r="F405" s="113">
        <v>16</v>
      </c>
      <c r="G405" s="102" t="s">
        <v>32</v>
      </c>
      <c r="H405" s="105" t="s">
        <v>33</v>
      </c>
      <c r="I405" s="123"/>
      <c r="J405" s="102"/>
      <c r="K405" s="222" t="s">
        <v>2537</v>
      </c>
      <c r="L405" s="113">
        <v>1415.92920353982</v>
      </c>
      <c r="M405" s="148">
        <v>424.77876106194702</v>
      </c>
      <c r="N405" s="179">
        <v>44621</v>
      </c>
      <c r="O405" s="102" t="s">
        <v>1973</v>
      </c>
      <c r="P405" s="123" t="s">
        <v>1974</v>
      </c>
      <c r="Q405" s="102">
        <v>15103501536</v>
      </c>
      <c r="R405" s="106" t="s">
        <v>1975</v>
      </c>
      <c r="S405" s="125" t="s">
        <v>1736</v>
      </c>
      <c r="T405" s="125"/>
      <c r="U405" s="318"/>
    </row>
    <row r="406" spans="1:21" ht="24.95" customHeight="1">
      <c r="A406" s="117" t="s">
        <v>2575</v>
      </c>
      <c r="B406" s="102" t="s">
        <v>2550</v>
      </c>
      <c r="C406" s="102" t="s">
        <v>2551</v>
      </c>
      <c r="D406" s="123" t="s">
        <v>2544</v>
      </c>
      <c r="E406" s="102">
        <v>1</v>
      </c>
      <c r="F406" s="113">
        <v>48</v>
      </c>
      <c r="G406" s="102" t="s">
        <v>32</v>
      </c>
      <c r="H406" s="105" t="s">
        <v>33</v>
      </c>
      <c r="I406" s="123"/>
      <c r="J406" s="102"/>
      <c r="K406" s="222" t="s">
        <v>2537</v>
      </c>
      <c r="L406" s="113">
        <v>3823.0088495575201</v>
      </c>
      <c r="M406" s="148">
        <v>1146.90265486726</v>
      </c>
      <c r="N406" s="179">
        <v>44621</v>
      </c>
      <c r="O406" s="102" t="s">
        <v>1973</v>
      </c>
      <c r="P406" s="123" t="s">
        <v>1974</v>
      </c>
      <c r="Q406" s="102">
        <v>15103501536</v>
      </c>
      <c r="R406" s="106" t="s">
        <v>1975</v>
      </c>
      <c r="S406" s="125" t="s">
        <v>1736</v>
      </c>
      <c r="T406" s="125"/>
      <c r="U406" s="318"/>
    </row>
    <row r="407" spans="1:21" ht="24.95" customHeight="1">
      <c r="A407" s="117" t="s">
        <v>2576</v>
      </c>
      <c r="B407" s="102" t="s">
        <v>2553</v>
      </c>
      <c r="C407" s="102" t="s">
        <v>2554</v>
      </c>
      <c r="D407" s="123" t="s">
        <v>2544</v>
      </c>
      <c r="E407" s="102">
        <v>1</v>
      </c>
      <c r="F407" s="113">
        <v>48</v>
      </c>
      <c r="G407" s="102" t="s">
        <v>32</v>
      </c>
      <c r="H407" s="105" t="s">
        <v>33</v>
      </c>
      <c r="I407" s="123"/>
      <c r="J407" s="102"/>
      <c r="K407" s="222" t="s">
        <v>2537</v>
      </c>
      <c r="L407" s="113">
        <v>3823.0088495575201</v>
      </c>
      <c r="M407" s="148">
        <v>1146.90265486726</v>
      </c>
      <c r="N407" s="179">
        <v>44621</v>
      </c>
      <c r="O407" s="102" t="s">
        <v>1973</v>
      </c>
      <c r="P407" s="123" t="s">
        <v>1974</v>
      </c>
      <c r="Q407" s="102">
        <v>15103501536</v>
      </c>
      <c r="R407" s="106" t="s">
        <v>1975</v>
      </c>
      <c r="S407" s="125" t="s">
        <v>1736</v>
      </c>
      <c r="T407" s="125"/>
      <c r="U407" s="318"/>
    </row>
    <row r="408" spans="1:21" ht="24.95" customHeight="1">
      <c r="A408" s="117" t="s">
        <v>2577</v>
      </c>
      <c r="B408" s="102" t="s">
        <v>2556</v>
      </c>
      <c r="C408" s="102" t="s">
        <v>2557</v>
      </c>
      <c r="D408" s="123" t="s">
        <v>2544</v>
      </c>
      <c r="E408" s="102">
        <v>1</v>
      </c>
      <c r="F408" s="113">
        <v>16</v>
      </c>
      <c r="G408" s="102" t="s">
        <v>32</v>
      </c>
      <c r="H408" s="105" t="s">
        <v>33</v>
      </c>
      <c r="I408" s="123"/>
      <c r="J408" s="102"/>
      <c r="K408" s="222" t="s">
        <v>2537</v>
      </c>
      <c r="L408" s="113">
        <v>1132.7433628318599</v>
      </c>
      <c r="M408" s="148">
        <v>339.82300884955799</v>
      </c>
      <c r="N408" s="179">
        <v>44621</v>
      </c>
      <c r="O408" s="102" t="s">
        <v>1973</v>
      </c>
      <c r="P408" s="123" t="s">
        <v>1974</v>
      </c>
      <c r="Q408" s="102">
        <v>15103501536</v>
      </c>
      <c r="R408" s="106" t="s">
        <v>1975</v>
      </c>
      <c r="S408" s="125" t="s">
        <v>1736</v>
      </c>
      <c r="T408" s="125"/>
      <c r="U408" s="318"/>
    </row>
    <row r="409" spans="1:21" ht="24.95" customHeight="1">
      <c r="A409" s="117" t="s">
        <v>2578</v>
      </c>
      <c r="B409" s="102" t="s">
        <v>2559</v>
      </c>
      <c r="C409" s="102" t="s">
        <v>2560</v>
      </c>
      <c r="D409" s="123" t="s">
        <v>2544</v>
      </c>
      <c r="E409" s="102">
        <v>1</v>
      </c>
      <c r="F409" s="113">
        <v>48</v>
      </c>
      <c r="G409" s="102" t="s">
        <v>32</v>
      </c>
      <c r="H409" s="105" t="s">
        <v>33</v>
      </c>
      <c r="I409" s="123"/>
      <c r="J409" s="102"/>
      <c r="K409" s="222" t="s">
        <v>2537</v>
      </c>
      <c r="L409" s="113">
        <v>3823.0088495575201</v>
      </c>
      <c r="M409" s="148">
        <v>1146.90265486726</v>
      </c>
      <c r="N409" s="179">
        <v>44621</v>
      </c>
      <c r="O409" s="102" t="s">
        <v>1973</v>
      </c>
      <c r="P409" s="123" t="s">
        <v>1974</v>
      </c>
      <c r="Q409" s="102">
        <v>15103501536</v>
      </c>
      <c r="R409" s="106" t="s">
        <v>1975</v>
      </c>
      <c r="S409" s="125" t="s">
        <v>1736</v>
      </c>
      <c r="T409" s="125"/>
      <c r="U409" s="318"/>
    </row>
    <row r="410" spans="1:21" ht="24.95" customHeight="1">
      <c r="A410" s="117" t="s">
        <v>2579</v>
      </c>
      <c r="B410" s="102" t="s">
        <v>2542</v>
      </c>
      <c r="C410" s="102" t="s">
        <v>2560</v>
      </c>
      <c r="D410" s="123" t="s">
        <v>2544</v>
      </c>
      <c r="E410" s="102">
        <v>1</v>
      </c>
      <c r="F410" s="113">
        <v>48</v>
      </c>
      <c r="G410" s="102" t="s">
        <v>32</v>
      </c>
      <c r="H410" s="105" t="s">
        <v>33</v>
      </c>
      <c r="I410" s="123"/>
      <c r="J410" s="102"/>
      <c r="K410" s="222" t="s">
        <v>2537</v>
      </c>
      <c r="L410" s="113">
        <v>849.55752212389405</v>
      </c>
      <c r="M410" s="148">
        <v>254.867256637168</v>
      </c>
      <c r="N410" s="179">
        <v>44621</v>
      </c>
      <c r="O410" s="102" t="s">
        <v>1973</v>
      </c>
      <c r="P410" s="123" t="s">
        <v>1974</v>
      </c>
      <c r="Q410" s="102">
        <v>15103501536</v>
      </c>
      <c r="R410" s="106" t="s">
        <v>1975</v>
      </c>
      <c r="S410" s="125" t="s">
        <v>1736</v>
      </c>
      <c r="T410" s="125"/>
      <c r="U410" s="318"/>
    </row>
    <row r="411" spans="1:21" ht="24.95" customHeight="1">
      <c r="A411" s="117" t="s">
        <v>2580</v>
      </c>
      <c r="B411" s="102" t="s">
        <v>2563</v>
      </c>
      <c r="C411" s="102" t="s">
        <v>2564</v>
      </c>
      <c r="D411" s="123" t="s">
        <v>2544</v>
      </c>
      <c r="E411" s="102">
        <v>1</v>
      </c>
      <c r="F411" s="113">
        <v>48</v>
      </c>
      <c r="G411" s="102" t="s">
        <v>32</v>
      </c>
      <c r="H411" s="105" t="s">
        <v>33</v>
      </c>
      <c r="I411" s="123"/>
      <c r="J411" s="102"/>
      <c r="K411" s="222" t="s">
        <v>2537</v>
      </c>
      <c r="L411" s="113">
        <v>849.55752212389405</v>
      </c>
      <c r="M411" s="148">
        <v>254.867256637168</v>
      </c>
      <c r="N411" s="179">
        <v>44621</v>
      </c>
      <c r="O411" s="102" t="s">
        <v>1973</v>
      </c>
      <c r="P411" s="123" t="s">
        <v>1974</v>
      </c>
      <c r="Q411" s="102">
        <v>15103501536</v>
      </c>
      <c r="R411" s="106" t="s">
        <v>1975</v>
      </c>
      <c r="S411" s="125" t="s">
        <v>1736</v>
      </c>
      <c r="T411" s="125"/>
      <c r="U411" s="318"/>
    </row>
    <row r="412" spans="1:21" ht="24.95" customHeight="1">
      <c r="A412" s="117" t="s">
        <v>2581</v>
      </c>
      <c r="B412" s="102" t="s">
        <v>2566</v>
      </c>
      <c r="C412" s="102" t="s">
        <v>2567</v>
      </c>
      <c r="D412" s="123" t="s">
        <v>2544</v>
      </c>
      <c r="E412" s="102">
        <v>1</v>
      </c>
      <c r="F412" s="113">
        <v>256</v>
      </c>
      <c r="G412" s="102" t="s">
        <v>32</v>
      </c>
      <c r="H412" s="105" t="s">
        <v>33</v>
      </c>
      <c r="I412" s="123"/>
      <c r="J412" s="102"/>
      <c r="K412" s="222" t="s">
        <v>2537</v>
      </c>
      <c r="L412" s="113">
        <v>3398.2300884955598</v>
      </c>
      <c r="M412" s="148">
        <v>1019.4690265486699</v>
      </c>
      <c r="N412" s="179">
        <v>44621</v>
      </c>
      <c r="O412" s="102" t="s">
        <v>1973</v>
      </c>
      <c r="P412" s="123" t="s">
        <v>1974</v>
      </c>
      <c r="Q412" s="102">
        <v>15103501536</v>
      </c>
      <c r="R412" s="106" t="s">
        <v>1975</v>
      </c>
      <c r="S412" s="125" t="s">
        <v>1736</v>
      </c>
      <c r="T412" s="125"/>
      <c r="U412" s="318"/>
    </row>
    <row r="413" spans="1:21" ht="24.95" customHeight="1">
      <c r="A413" s="117" t="s">
        <v>2582</v>
      </c>
      <c r="B413" s="102" t="s">
        <v>2569</v>
      </c>
      <c r="C413" s="102" t="s">
        <v>2567</v>
      </c>
      <c r="D413" s="123" t="s">
        <v>2544</v>
      </c>
      <c r="E413" s="102">
        <v>1</v>
      </c>
      <c r="F413" s="113">
        <v>256</v>
      </c>
      <c r="G413" s="102" t="s">
        <v>32</v>
      </c>
      <c r="H413" s="105" t="s">
        <v>33</v>
      </c>
      <c r="I413" s="123"/>
      <c r="J413" s="102"/>
      <c r="K413" s="222" t="s">
        <v>2537</v>
      </c>
      <c r="L413" s="113">
        <v>3398.2300884955598</v>
      </c>
      <c r="M413" s="148">
        <v>1019.4690265486699</v>
      </c>
      <c r="N413" s="179">
        <v>44621</v>
      </c>
      <c r="O413" s="102" t="s">
        <v>1973</v>
      </c>
      <c r="P413" s="123" t="s">
        <v>1974</v>
      </c>
      <c r="Q413" s="102">
        <v>15103501536</v>
      </c>
      <c r="R413" s="106" t="s">
        <v>1975</v>
      </c>
      <c r="S413" s="125" t="s">
        <v>1736</v>
      </c>
      <c r="T413" s="125"/>
      <c r="U413" s="318"/>
    </row>
    <row r="414" spans="1:21" ht="24.95" customHeight="1">
      <c r="A414" s="117" t="s">
        <v>2583</v>
      </c>
      <c r="B414" s="102" t="s">
        <v>2584</v>
      </c>
      <c r="C414" s="102" t="s">
        <v>2585</v>
      </c>
      <c r="D414" s="123" t="s">
        <v>131</v>
      </c>
      <c r="E414" s="102">
        <v>1</v>
      </c>
      <c r="F414" s="113">
        <v>2</v>
      </c>
      <c r="G414" s="102" t="s">
        <v>32</v>
      </c>
      <c r="H414" s="105" t="s">
        <v>33</v>
      </c>
      <c r="I414" s="123"/>
      <c r="J414" s="102"/>
      <c r="K414" s="222" t="s">
        <v>2537</v>
      </c>
      <c r="L414" s="113">
        <v>12035.3982300885</v>
      </c>
      <c r="M414" s="148">
        <v>3610.6194690265502</v>
      </c>
      <c r="N414" s="179">
        <v>44621</v>
      </c>
      <c r="O414" s="102" t="s">
        <v>1973</v>
      </c>
      <c r="P414" s="123" t="s">
        <v>1974</v>
      </c>
      <c r="Q414" s="102">
        <v>15103501536</v>
      </c>
      <c r="R414" s="106" t="s">
        <v>1975</v>
      </c>
      <c r="S414" s="125" t="s">
        <v>1736</v>
      </c>
      <c r="T414" s="125"/>
      <c r="U414" s="318"/>
    </row>
    <row r="415" spans="1:21" ht="24.95" customHeight="1">
      <c r="A415" s="327" t="s">
        <v>511</v>
      </c>
      <c r="B415" s="328" t="s">
        <v>512</v>
      </c>
      <c r="C415" s="147"/>
      <c r="D415" s="147"/>
      <c r="E415" s="147"/>
      <c r="F415" s="147"/>
      <c r="G415" s="147"/>
      <c r="H415" s="147"/>
      <c r="I415" s="147"/>
      <c r="J415" s="147"/>
      <c r="K415" s="147"/>
      <c r="L415" s="147"/>
      <c r="M415" s="147"/>
      <c r="N415" s="147"/>
      <c r="O415" s="147"/>
      <c r="P415" s="147"/>
      <c r="Q415" s="147"/>
      <c r="R415" s="147"/>
      <c r="S415" s="125"/>
      <c r="T415" s="329"/>
    </row>
    <row r="416" spans="1:21" ht="24.95" customHeight="1">
      <c r="A416" s="330">
        <v>1</v>
      </c>
      <c r="B416" s="147" t="s">
        <v>513</v>
      </c>
      <c r="C416" s="147" t="s">
        <v>2586</v>
      </c>
      <c r="D416" s="147"/>
      <c r="E416" s="147"/>
      <c r="F416" s="147"/>
      <c r="G416" s="147"/>
      <c r="H416" s="147"/>
      <c r="I416" s="147"/>
      <c r="J416" s="147"/>
      <c r="K416" s="147"/>
      <c r="L416" s="147"/>
      <c r="M416" s="147"/>
      <c r="N416" s="147"/>
      <c r="O416" s="147"/>
      <c r="P416" s="147"/>
      <c r="Q416" s="147"/>
      <c r="R416" s="147"/>
      <c r="S416" s="125"/>
      <c r="T416" s="329"/>
    </row>
    <row r="417" spans="1:20" ht="24.95" customHeight="1">
      <c r="A417" s="331" t="s">
        <v>1731</v>
      </c>
      <c r="B417" s="147" t="s">
        <v>526</v>
      </c>
      <c r="C417" s="332" t="s">
        <v>2587</v>
      </c>
      <c r="D417" s="102" t="s">
        <v>62</v>
      </c>
      <c r="E417" s="102"/>
      <c r="F417" s="333">
        <v>83.866</v>
      </c>
      <c r="G417" s="120" t="s">
        <v>32</v>
      </c>
      <c r="H417" s="120" t="s">
        <v>33</v>
      </c>
      <c r="I417" s="147"/>
      <c r="J417" s="147"/>
      <c r="K417" s="334"/>
      <c r="L417" s="335">
        <v>452876.4</v>
      </c>
      <c r="M417" s="336">
        <v>192862.42</v>
      </c>
      <c r="N417" s="122">
        <v>40848</v>
      </c>
      <c r="O417" s="125" t="s">
        <v>2588</v>
      </c>
      <c r="P417" s="125" t="s">
        <v>1734</v>
      </c>
      <c r="Q417" s="125">
        <v>13935144618</v>
      </c>
      <c r="R417" s="125" t="s">
        <v>2589</v>
      </c>
      <c r="S417" s="125" t="s">
        <v>1736</v>
      </c>
      <c r="T417" s="329"/>
    </row>
    <row r="418" spans="1:20" ht="24.95" customHeight="1">
      <c r="A418" s="331" t="s">
        <v>1737</v>
      </c>
      <c r="B418" s="147" t="s">
        <v>526</v>
      </c>
      <c r="C418" s="332" t="s">
        <v>2590</v>
      </c>
      <c r="D418" s="102" t="s">
        <v>62</v>
      </c>
      <c r="E418" s="102"/>
      <c r="F418" s="333">
        <v>23.327999999999999</v>
      </c>
      <c r="G418" s="120" t="s">
        <v>32</v>
      </c>
      <c r="H418" s="120" t="s">
        <v>33</v>
      </c>
      <c r="I418" s="337"/>
      <c r="J418" s="337"/>
      <c r="K418" s="338"/>
      <c r="L418" s="335">
        <v>114307.2</v>
      </c>
      <c r="M418" s="336">
        <v>34292.160000000003</v>
      </c>
      <c r="N418" s="122">
        <v>40422</v>
      </c>
      <c r="O418" s="125" t="s">
        <v>2588</v>
      </c>
      <c r="P418" s="125" t="s">
        <v>1734</v>
      </c>
      <c r="Q418" s="125">
        <v>13935144618</v>
      </c>
      <c r="R418" s="125" t="s">
        <v>2589</v>
      </c>
      <c r="S418" s="125" t="s">
        <v>1736</v>
      </c>
      <c r="T418" s="329"/>
    </row>
    <row r="419" spans="1:20" ht="24.95" customHeight="1">
      <c r="A419" s="331" t="s">
        <v>1740</v>
      </c>
      <c r="B419" s="150" t="s">
        <v>2591</v>
      </c>
      <c r="C419" s="150" t="s">
        <v>2592</v>
      </c>
      <c r="D419" s="151" t="s">
        <v>62</v>
      </c>
      <c r="E419" s="150">
        <v>15.7</v>
      </c>
      <c r="F419" s="150">
        <v>15.7</v>
      </c>
      <c r="G419" s="152" t="s">
        <v>32</v>
      </c>
      <c r="H419" s="105" t="s">
        <v>33</v>
      </c>
      <c r="I419" s="152"/>
      <c r="J419" s="152" t="s">
        <v>1809</v>
      </c>
      <c r="K419" s="153"/>
      <c r="L419" s="154">
        <v>57939.360825185002</v>
      </c>
      <c r="M419" s="154">
        <v>20619.078771123</v>
      </c>
      <c r="N419" s="155">
        <v>2018.6</v>
      </c>
      <c r="O419" s="156" t="s">
        <v>2593</v>
      </c>
      <c r="P419" s="152" t="s">
        <v>1812</v>
      </c>
      <c r="Q419" s="152">
        <v>15110423230</v>
      </c>
      <c r="R419" s="106" t="s">
        <v>1813</v>
      </c>
      <c r="S419" s="125" t="s">
        <v>1736</v>
      </c>
      <c r="T419" s="103"/>
    </row>
    <row r="420" spans="1:20" ht="24.95" customHeight="1">
      <c r="A420" s="331" t="s">
        <v>1742</v>
      </c>
      <c r="B420" s="150" t="s">
        <v>2591</v>
      </c>
      <c r="C420" s="150" t="s">
        <v>2594</v>
      </c>
      <c r="D420" s="151" t="s">
        <v>62</v>
      </c>
      <c r="E420" s="150">
        <v>2</v>
      </c>
      <c r="F420" s="150">
        <v>2</v>
      </c>
      <c r="G420" s="152" t="s">
        <v>32</v>
      </c>
      <c r="H420" s="105" t="s">
        <v>33</v>
      </c>
      <c r="I420" s="152"/>
      <c r="J420" s="152" t="s">
        <v>1809</v>
      </c>
      <c r="K420" s="153"/>
      <c r="L420" s="154">
        <v>7183.91410769915</v>
      </c>
      <c r="M420" s="154">
        <v>2556.5641174150201</v>
      </c>
      <c r="N420" s="155">
        <v>2018.6</v>
      </c>
      <c r="O420" s="156" t="s">
        <v>2595</v>
      </c>
      <c r="P420" s="152" t="s">
        <v>1812</v>
      </c>
      <c r="Q420" s="152">
        <v>15110423230</v>
      </c>
      <c r="R420" s="106" t="s">
        <v>1813</v>
      </c>
      <c r="S420" s="125" t="s">
        <v>1736</v>
      </c>
      <c r="T420" s="103"/>
    </row>
    <row r="421" spans="1:20" ht="24.95" customHeight="1">
      <c r="A421" s="331" t="s">
        <v>1745</v>
      </c>
      <c r="B421" s="150" t="s">
        <v>2591</v>
      </c>
      <c r="C421" s="150" t="s">
        <v>2596</v>
      </c>
      <c r="D421" s="151" t="s">
        <v>62</v>
      </c>
      <c r="E421" s="150">
        <v>8.1999999999999993</v>
      </c>
      <c r="F421" s="150">
        <v>8.1999999999999993</v>
      </c>
      <c r="G421" s="152" t="s">
        <v>32</v>
      </c>
      <c r="H421" s="105" t="s">
        <v>33</v>
      </c>
      <c r="I421" s="152"/>
      <c r="J421" s="152" t="s">
        <v>1809</v>
      </c>
      <c r="K421" s="153"/>
      <c r="L421" s="154">
        <v>29699.905207057102</v>
      </c>
      <c r="M421" s="154">
        <v>10569.406984085999</v>
      </c>
      <c r="N421" s="155">
        <v>2018.6</v>
      </c>
      <c r="O421" s="156" t="s">
        <v>2595</v>
      </c>
      <c r="P421" s="152" t="s">
        <v>1812</v>
      </c>
      <c r="Q421" s="152">
        <v>15110423230</v>
      </c>
      <c r="R421" s="106" t="s">
        <v>1813</v>
      </c>
      <c r="S421" s="125" t="s">
        <v>1736</v>
      </c>
      <c r="T421" s="103"/>
    </row>
    <row r="422" spans="1:20" ht="24.95" customHeight="1">
      <c r="A422" s="331" t="s">
        <v>1747</v>
      </c>
      <c r="B422" s="150" t="s">
        <v>514</v>
      </c>
      <c r="C422" s="150" t="s">
        <v>887</v>
      </c>
      <c r="D422" s="151" t="s">
        <v>62</v>
      </c>
      <c r="E422" s="150">
        <v>5.82</v>
      </c>
      <c r="F422" s="150">
        <v>5.82</v>
      </c>
      <c r="G422" s="152" t="s">
        <v>32</v>
      </c>
      <c r="H422" s="105" t="s">
        <v>33</v>
      </c>
      <c r="I422" s="152"/>
      <c r="J422" s="152" t="s">
        <v>1809</v>
      </c>
      <c r="K422" s="153"/>
      <c r="L422" s="154">
        <v>26946.6</v>
      </c>
      <c r="M422" s="154">
        <v>9589.5788303626996</v>
      </c>
      <c r="N422" s="155">
        <v>2018.6</v>
      </c>
      <c r="O422" s="156" t="s">
        <v>2595</v>
      </c>
      <c r="P422" s="152" t="s">
        <v>1812</v>
      </c>
      <c r="Q422" s="152">
        <v>15110423230</v>
      </c>
      <c r="R422" s="106" t="s">
        <v>1813</v>
      </c>
      <c r="S422" s="125" t="s">
        <v>1736</v>
      </c>
      <c r="T422" s="103"/>
    </row>
    <row r="423" spans="1:20" ht="24.95" customHeight="1">
      <c r="A423" s="331" t="s">
        <v>1748</v>
      </c>
      <c r="B423" s="150" t="s">
        <v>514</v>
      </c>
      <c r="C423" s="150" t="s">
        <v>2597</v>
      </c>
      <c r="D423" s="151" t="s">
        <v>62</v>
      </c>
      <c r="E423" s="150">
        <v>26.4</v>
      </c>
      <c r="F423" s="150">
        <v>26.4</v>
      </c>
      <c r="G423" s="152" t="s">
        <v>32</v>
      </c>
      <c r="H423" s="105" t="s">
        <v>33</v>
      </c>
      <c r="I423" s="152"/>
      <c r="J423" s="152" t="s">
        <v>1809</v>
      </c>
      <c r="K423" s="153"/>
      <c r="L423" s="154">
        <v>106684.221097424</v>
      </c>
      <c r="M423" s="154">
        <v>37966.079140581598</v>
      </c>
      <c r="N423" s="155">
        <v>2018.6</v>
      </c>
      <c r="O423" s="156" t="s">
        <v>2595</v>
      </c>
      <c r="P423" s="152" t="s">
        <v>1812</v>
      </c>
      <c r="Q423" s="152">
        <v>15110423230</v>
      </c>
      <c r="R423" s="106" t="s">
        <v>1813</v>
      </c>
      <c r="S423" s="125" t="s">
        <v>1736</v>
      </c>
      <c r="T423" s="103"/>
    </row>
    <row r="424" spans="1:20" ht="24.95" customHeight="1">
      <c r="A424" s="331" t="s">
        <v>1751</v>
      </c>
      <c r="B424" s="150" t="s">
        <v>514</v>
      </c>
      <c r="C424" s="150" t="s">
        <v>2598</v>
      </c>
      <c r="D424" s="151" t="s">
        <v>62</v>
      </c>
      <c r="E424" s="150">
        <v>8.85</v>
      </c>
      <c r="F424" s="150">
        <v>8.85</v>
      </c>
      <c r="G424" s="152" t="s">
        <v>32</v>
      </c>
      <c r="H424" s="105" t="s">
        <v>33</v>
      </c>
      <c r="I424" s="152"/>
      <c r="J424" s="152" t="s">
        <v>1809</v>
      </c>
      <c r="K424" s="153"/>
      <c r="L424" s="154">
        <v>42258.75</v>
      </c>
      <c r="M424" s="154">
        <v>15038.766092849901</v>
      </c>
      <c r="N424" s="155">
        <v>2018.6</v>
      </c>
      <c r="O424" s="156" t="s">
        <v>2595</v>
      </c>
      <c r="P424" s="152" t="s">
        <v>1812</v>
      </c>
      <c r="Q424" s="152">
        <v>15110423230</v>
      </c>
      <c r="R424" s="106" t="s">
        <v>1813</v>
      </c>
      <c r="S424" s="125" t="s">
        <v>1736</v>
      </c>
      <c r="T424" s="103"/>
    </row>
    <row r="425" spans="1:20" ht="24.95" customHeight="1">
      <c r="A425" s="331" t="s">
        <v>1752</v>
      </c>
      <c r="B425" s="150" t="s">
        <v>514</v>
      </c>
      <c r="C425" s="150" t="s">
        <v>2599</v>
      </c>
      <c r="D425" s="151" t="s">
        <v>62</v>
      </c>
      <c r="E425" s="150">
        <v>42.625</v>
      </c>
      <c r="F425" s="150">
        <v>42.625</v>
      </c>
      <c r="G425" s="152" t="s">
        <v>32</v>
      </c>
      <c r="H425" s="105" t="s">
        <v>33</v>
      </c>
      <c r="I425" s="152"/>
      <c r="J425" s="152" t="s">
        <v>1809</v>
      </c>
      <c r="K425" s="153"/>
      <c r="L425" s="154">
        <v>173439.66</v>
      </c>
      <c r="M425" s="154">
        <v>61722.565810948603</v>
      </c>
      <c r="N425" s="155">
        <v>2018.6</v>
      </c>
      <c r="O425" s="156" t="s">
        <v>2595</v>
      </c>
      <c r="P425" s="152" t="s">
        <v>1812</v>
      </c>
      <c r="Q425" s="152">
        <v>15110423230</v>
      </c>
      <c r="R425" s="106" t="s">
        <v>1813</v>
      </c>
      <c r="S425" s="125" t="s">
        <v>1736</v>
      </c>
      <c r="T425" s="103"/>
    </row>
    <row r="426" spans="1:20" ht="24.95" customHeight="1">
      <c r="A426" s="331" t="s">
        <v>1753</v>
      </c>
      <c r="B426" s="150" t="s">
        <v>526</v>
      </c>
      <c r="C426" s="150" t="s">
        <v>2600</v>
      </c>
      <c r="D426" s="151" t="s">
        <v>62</v>
      </c>
      <c r="E426" s="150">
        <v>123.43</v>
      </c>
      <c r="F426" s="150">
        <v>10.88</v>
      </c>
      <c r="G426" s="152" t="s">
        <v>32</v>
      </c>
      <c r="H426" s="105" t="s">
        <v>33</v>
      </c>
      <c r="I426" s="152"/>
      <c r="J426" s="152" t="s">
        <v>1809</v>
      </c>
      <c r="K426" s="153"/>
      <c r="L426" s="154">
        <v>361037.51</v>
      </c>
      <c r="M426" s="154">
        <v>108311.253</v>
      </c>
      <c r="N426" s="155" t="s">
        <v>2601</v>
      </c>
      <c r="O426" s="156" t="s">
        <v>1817</v>
      </c>
      <c r="P426" s="152" t="s">
        <v>1812</v>
      </c>
      <c r="Q426" s="152">
        <v>15110423230</v>
      </c>
      <c r="R426" s="106" t="s">
        <v>1813</v>
      </c>
      <c r="S426" s="125" t="s">
        <v>1736</v>
      </c>
      <c r="T426" s="103"/>
    </row>
    <row r="427" spans="1:20" ht="24.95" customHeight="1">
      <c r="A427" s="331" t="s">
        <v>1758</v>
      </c>
      <c r="B427" s="102" t="s">
        <v>526</v>
      </c>
      <c r="C427" s="102" t="s">
        <v>2602</v>
      </c>
      <c r="D427" s="102" t="s">
        <v>62</v>
      </c>
      <c r="E427" s="102"/>
      <c r="F427" s="102">
        <v>9.8260000000000005</v>
      </c>
      <c r="G427" s="102" t="s">
        <v>32</v>
      </c>
      <c r="H427" s="102" t="s">
        <v>32</v>
      </c>
      <c r="I427" s="102"/>
      <c r="J427" s="102"/>
      <c r="K427" s="102"/>
      <c r="L427" s="102">
        <v>31934.5</v>
      </c>
      <c r="M427" s="339">
        <v>9580.35</v>
      </c>
      <c r="N427" s="102">
        <v>2020.5</v>
      </c>
      <c r="O427" s="102" t="s">
        <v>2603</v>
      </c>
      <c r="P427" s="102" t="s">
        <v>2304</v>
      </c>
      <c r="Q427" s="102">
        <v>15525052220</v>
      </c>
      <c r="R427" s="102" t="s">
        <v>2305</v>
      </c>
      <c r="S427" s="102" t="s">
        <v>1736</v>
      </c>
      <c r="T427" s="329"/>
    </row>
    <row r="428" spans="1:20" ht="24.95" customHeight="1">
      <c r="A428" s="331" t="s">
        <v>1767</v>
      </c>
      <c r="B428" s="102" t="s">
        <v>526</v>
      </c>
      <c r="C428" s="102" t="s">
        <v>2604</v>
      </c>
      <c r="D428" s="102" t="s">
        <v>62</v>
      </c>
      <c r="E428" s="102"/>
      <c r="F428" s="102">
        <v>7.609</v>
      </c>
      <c r="G428" s="102" t="s">
        <v>32</v>
      </c>
      <c r="H428" s="102" t="s">
        <v>32</v>
      </c>
      <c r="I428" s="102"/>
      <c r="J428" s="102"/>
      <c r="K428" s="102"/>
      <c r="L428" s="102">
        <v>23131.4</v>
      </c>
      <c r="M428" s="339">
        <v>6939.42</v>
      </c>
      <c r="N428" s="102">
        <v>2020.5</v>
      </c>
      <c r="O428" s="102" t="s">
        <v>2603</v>
      </c>
      <c r="P428" s="102" t="s">
        <v>2304</v>
      </c>
      <c r="Q428" s="102">
        <v>15525052220</v>
      </c>
      <c r="R428" s="102" t="s">
        <v>2305</v>
      </c>
      <c r="S428" s="102" t="s">
        <v>1736</v>
      </c>
      <c r="T428" s="329"/>
    </row>
    <row r="429" spans="1:20" ht="24.95" customHeight="1">
      <c r="A429" s="331" t="s">
        <v>1769</v>
      </c>
      <c r="B429" s="102" t="s">
        <v>526</v>
      </c>
      <c r="C429" s="102" t="s">
        <v>2605</v>
      </c>
      <c r="D429" s="102" t="s">
        <v>62</v>
      </c>
      <c r="E429" s="102"/>
      <c r="F429" s="102">
        <v>44.69</v>
      </c>
      <c r="G429" s="102" t="s">
        <v>32</v>
      </c>
      <c r="H429" s="102" t="s">
        <v>32</v>
      </c>
      <c r="I429" s="102"/>
      <c r="J429" s="102"/>
      <c r="K429" s="102"/>
      <c r="L429" s="102">
        <v>179946.46</v>
      </c>
      <c r="M429" s="339">
        <v>53983.94</v>
      </c>
      <c r="N429" s="102">
        <v>2020.8</v>
      </c>
      <c r="O429" s="102" t="s">
        <v>2606</v>
      </c>
      <c r="P429" s="102" t="s">
        <v>2304</v>
      </c>
      <c r="Q429" s="102">
        <v>15525052220</v>
      </c>
      <c r="R429" s="102" t="s">
        <v>2305</v>
      </c>
      <c r="S429" s="102" t="s">
        <v>1736</v>
      </c>
      <c r="T429" s="329"/>
    </row>
    <row r="430" spans="1:20" ht="24.95" customHeight="1">
      <c r="A430" s="331" t="s">
        <v>1771</v>
      </c>
      <c r="B430" s="102" t="s">
        <v>526</v>
      </c>
      <c r="C430" s="102" t="s">
        <v>2607</v>
      </c>
      <c r="D430" s="102" t="s">
        <v>62</v>
      </c>
      <c r="E430" s="102"/>
      <c r="F430" s="102">
        <v>41.860999999999997</v>
      </c>
      <c r="G430" s="102" t="s">
        <v>32</v>
      </c>
      <c r="H430" s="102" t="s">
        <v>32</v>
      </c>
      <c r="I430" s="102"/>
      <c r="J430" s="102"/>
      <c r="K430" s="102"/>
      <c r="L430" s="102">
        <v>169296.26</v>
      </c>
      <c r="M430" s="339">
        <v>50788.88</v>
      </c>
      <c r="N430" s="102">
        <v>2020.8</v>
      </c>
      <c r="O430" s="102" t="s">
        <v>2606</v>
      </c>
      <c r="P430" s="102" t="s">
        <v>2304</v>
      </c>
      <c r="Q430" s="102">
        <v>15525052220</v>
      </c>
      <c r="R430" s="102" t="s">
        <v>2305</v>
      </c>
      <c r="S430" s="102" t="s">
        <v>1736</v>
      </c>
      <c r="T430" s="329"/>
    </row>
    <row r="431" spans="1:20" ht="24.95" customHeight="1">
      <c r="A431" s="331" t="s">
        <v>1773</v>
      </c>
      <c r="B431" s="197" t="s">
        <v>526</v>
      </c>
      <c r="C431" s="197" t="s">
        <v>2608</v>
      </c>
      <c r="D431" s="197" t="s">
        <v>62</v>
      </c>
      <c r="E431" s="197"/>
      <c r="F431" s="197">
        <v>44.77</v>
      </c>
      <c r="G431" s="197" t="s">
        <v>32</v>
      </c>
      <c r="H431" s="197" t="s">
        <v>32</v>
      </c>
      <c r="I431" s="197"/>
      <c r="J431" s="197"/>
      <c r="K431" s="197"/>
      <c r="L431" s="102">
        <v>261527.72</v>
      </c>
      <c r="M431" s="339">
        <v>78458.320000000007</v>
      </c>
      <c r="N431" s="197">
        <v>2022.1</v>
      </c>
      <c r="O431" s="197" t="s">
        <v>2606</v>
      </c>
      <c r="P431" s="102" t="s">
        <v>2304</v>
      </c>
      <c r="Q431" s="102">
        <v>15525052220</v>
      </c>
      <c r="R431" s="102" t="s">
        <v>2305</v>
      </c>
      <c r="S431" s="102" t="s">
        <v>1736</v>
      </c>
      <c r="T431" s="329"/>
    </row>
    <row r="432" spans="1:20" ht="24.95" customHeight="1">
      <c r="A432" s="331" t="s">
        <v>1780</v>
      </c>
      <c r="B432" s="197" t="s">
        <v>526</v>
      </c>
      <c r="C432" s="197" t="s">
        <v>2609</v>
      </c>
      <c r="D432" s="197" t="s">
        <v>62</v>
      </c>
      <c r="E432" s="197"/>
      <c r="F432" s="197">
        <v>5.2539999999999996</v>
      </c>
      <c r="G432" s="197" t="s">
        <v>32</v>
      </c>
      <c r="H432" s="197" t="s">
        <v>32</v>
      </c>
      <c r="I432" s="197"/>
      <c r="J432" s="197"/>
      <c r="K432" s="197"/>
      <c r="L432" s="102">
        <v>20440.240000000002</v>
      </c>
      <c r="M432" s="339">
        <v>6132.0599999778397</v>
      </c>
      <c r="N432" s="197">
        <v>2022.1</v>
      </c>
      <c r="O432" s="197" t="s">
        <v>2606</v>
      </c>
      <c r="P432" s="102" t="s">
        <v>2304</v>
      </c>
      <c r="Q432" s="102">
        <v>15525052220</v>
      </c>
      <c r="R432" s="102" t="s">
        <v>2305</v>
      </c>
      <c r="S432" s="102" t="s">
        <v>1736</v>
      </c>
      <c r="T432" s="329"/>
    </row>
    <row r="433" spans="1:20" ht="24.95" customHeight="1">
      <c r="A433" s="331" t="s">
        <v>1783</v>
      </c>
      <c r="B433" s="197" t="s">
        <v>526</v>
      </c>
      <c r="C433" s="197" t="s">
        <v>2610</v>
      </c>
      <c r="D433" s="197" t="s">
        <v>62</v>
      </c>
      <c r="E433" s="197"/>
      <c r="F433" s="197">
        <v>18.004000000000001</v>
      </c>
      <c r="G433" s="197" t="s">
        <v>32</v>
      </c>
      <c r="H433" s="197" t="s">
        <v>32</v>
      </c>
      <c r="I433" s="197"/>
      <c r="J433" s="197"/>
      <c r="K433" s="197"/>
      <c r="L433" s="102">
        <v>58966.99</v>
      </c>
      <c r="M433" s="339">
        <v>17690.0999998724</v>
      </c>
      <c r="N433" s="197">
        <v>2022.1</v>
      </c>
      <c r="O433" s="197" t="s">
        <v>2606</v>
      </c>
      <c r="P433" s="102" t="s">
        <v>2304</v>
      </c>
      <c r="Q433" s="102">
        <v>15525052220</v>
      </c>
      <c r="R433" s="102" t="s">
        <v>2305</v>
      </c>
      <c r="S433" s="102" t="s">
        <v>1736</v>
      </c>
      <c r="T433" s="329"/>
    </row>
    <row r="434" spans="1:20" ht="24.95" customHeight="1">
      <c r="A434" s="331" t="s">
        <v>1773</v>
      </c>
      <c r="B434" s="102" t="s">
        <v>2611</v>
      </c>
      <c r="C434" s="102" t="s">
        <v>2612</v>
      </c>
      <c r="D434" s="102" t="s">
        <v>62</v>
      </c>
      <c r="E434" s="102"/>
      <c r="F434" s="102">
        <v>28.375</v>
      </c>
      <c r="G434" s="102" t="s">
        <v>32</v>
      </c>
      <c r="H434" s="102" t="s">
        <v>32</v>
      </c>
      <c r="I434" s="102"/>
      <c r="J434" s="102"/>
      <c r="K434" s="102"/>
      <c r="L434" s="102">
        <v>121786.5</v>
      </c>
      <c r="M434" s="339">
        <v>79161.210000000006</v>
      </c>
      <c r="N434" s="102">
        <v>2020.8</v>
      </c>
      <c r="O434" s="102" t="s">
        <v>2613</v>
      </c>
      <c r="P434" s="102" t="s">
        <v>2304</v>
      </c>
      <c r="Q434" s="102">
        <v>15525052220</v>
      </c>
      <c r="R434" s="102" t="s">
        <v>2305</v>
      </c>
      <c r="S434" s="102" t="s">
        <v>1736</v>
      </c>
      <c r="T434" s="329"/>
    </row>
    <row r="435" spans="1:20" ht="24.95" customHeight="1">
      <c r="A435" s="331" t="s">
        <v>1780</v>
      </c>
      <c r="B435" s="102" t="s">
        <v>2611</v>
      </c>
      <c r="C435" s="102" t="s">
        <v>2614</v>
      </c>
      <c r="D435" s="102" t="s">
        <v>62</v>
      </c>
      <c r="E435" s="102"/>
      <c r="F435" s="102">
        <v>61.164000000000001</v>
      </c>
      <c r="G435" s="102" t="s">
        <v>32</v>
      </c>
      <c r="H435" s="102" t="s">
        <v>32</v>
      </c>
      <c r="I435" s="102"/>
      <c r="J435" s="102"/>
      <c r="K435" s="102"/>
      <c r="L435" s="102">
        <v>262518.03999999998</v>
      </c>
      <c r="M435" s="339">
        <v>78755.41</v>
      </c>
      <c r="N435" s="102">
        <v>2020.8</v>
      </c>
      <c r="O435" s="102" t="s">
        <v>2606</v>
      </c>
      <c r="P435" s="102" t="s">
        <v>2304</v>
      </c>
      <c r="Q435" s="102">
        <v>15525052220</v>
      </c>
      <c r="R435" s="102" t="s">
        <v>2305</v>
      </c>
      <c r="S435" s="102" t="s">
        <v>1736</v>
      </c>
      <c r="T435" s="329"/>
    </row>
    <row r="436" spans="1:20" ht="24.95" customHeight="1">
      <c r="A436" s="331" t="s">
        <v>1783</v>
      </c>
      <c r="B436" s="147" t="s">
        <v>2615</v>
      </c>
      <c r="C436" s="147" t="s">
        <v>2616</v>
      </c>
      <c r="D436" s="147" t="s">
        <v>464</v>
      </c>
      <c r="E436" s="147">
        <v>22</v>
      </c>
      <c r="F436" s="147"/>
      <c r="G436" s="147" t="s">
        <v>72</v>
      </c>
      <c r="H436" s="147" t="s">
        <v>41</v>
      </c>
      <c r="I436" s="147"/>
      <c r="J436" s="147"/>
      <c r="K436" s="140" t="s">
        <v>2617</v>
      </c>
      <c r="L436" s="147">
        <v>123958.62</v>
      </c>
      <c r="M436" s="147">
        <v>37187.586000000003</v>
      </c>
      <c r="N436" s="147">
        <v>2019.6</v>
      </c>
      <c r="O436" s="147" t="s">
        <v>2618</v>
      </c>
      <c r="P436" s="147" t="s">
        <v>2619</v>
      </c>
      <c r="Q436" s="140">
        <v>18636196018</v>
      </c>
      <c r="R436" s="168" t="s">
        <v>2620</v>
      </c>
      <c r="S436" s="147" t="s">
        <v>1736</v>
      </c>
      <c r="T436" s="329"/>
    </row>
    <row r="437" spans="1:20" ht="24.95" customHeight="1">
      <c r="A437" s="331" t="s">
        <v>1799</v>
      </c>
      <c r="B437" s="147" t="s">
        <v>526</v>
      </c>
      <c r="C437" s="147" t="s">
        <v>2621</v>
      </c>
      <c r="D437" s="147" t="s">
        <v>464</v>
      </c>
      <c r="E437" s="147">
        <v>4</v>
      </c>
      <c r="F437" s="147"/>
      <c r="G437" s="147" t="s">
        <v>72</v>
      </c>
      <c r="H437" s="147" t="s">
        <v>41</v>
      </c>
      <c r="I437" s="147"/>
      <c r="J437" s="147"/>
      <c r="K437" s="140" t="s">
        <v>2617</v>
      </c>
      <c r="L437" s="147">
        <v>62168.97</v>
      </c>
      <c r="M437" s="147">
        <v>18650.690999999999</v>
      </c>
      <c r="N437" s="147">
        <v>2019.6</v>
      </c>
      <c r="O437" s="147" t="s">
        <v>2618</v>
      </c>
      <c r="P437" s="147" t="s">
        <v>2619</v>
      </c>
      <c r="Q437" s="140">
        <v>18636196022</v>
      </c>
      <c r="R437" s="168" t="s">
        <v>2620</v>
      </c>
      <c r="S437" s="147" t="s">
        <v>1736</v>
      </c>
      <c r="T437" s="329"/>
    </row>
    <row r="438" spans="1:20" ht="24.95" customHeight="1">
      <c r="A438" s="331" t="s">
        <v>1801</v>
      </c>
      <c r="B438" s="147" t="s">
        <v>526</v>
      </c>
      <c r="C438" s="147" t="s">
        <v>2622</v>
      </c>
      <c r="D438" s="147" t="s">
        <v>464</v>
      </c>
      <c r="E438" s="147">
        <v>6</v>
      </c>
      <c r="F438" s="147"/>
      <c r="G438" s="147" t="s">
        <v>72</v>
      </c>
      <c r="H438" s="147" t="s">
        <v>41</v>
      </c>
      <c r="I438" s="147"/>
      <c r="J438" s="147"/>
      <c r="K438" s="140" t="s">
        <v>2617</v>
      </c>
      <c r="L438" s="147">
        <v>21568.97</v>
      </c>
      <c r="M438" s="147">
        <v>6470.6909999999998</v>
      </c>
      <c r="N438" s="147">
        <v>2019.6</v>
      </c>
      <c r="O438" s="147" t="s">
        <v>2618</v>
      </c>
      <c r="P438" s="147" t="s">
        <v>2619</v>
      </c>
      <c r="Q438" s="140">
        <v>18636196023</v>
      </c>
      <c r="R438" s="168" t="s">
        <v>2620</v>
      </c>
      <c r="S438" s="147" t="s">
        <v>1736</v>
      </c>
      <c r="T438" s="329"/>
    </row>
    <row r="439" spans="1:20" ht="24.95" customHeight="1">
      <c r="A439" s="331" t="s">
        <v>1802</v>
      </c>
      <c r="B439" s="147" t="s">
        <v>526</v>
      </c>
      <c r="C439" s="147" t="s">
        <v>2623</v>
      </c>
      <c r="D439" s="147" t="s">
        <v>464</v>
      </c>
      <c r="E439" s="147">
        <v>30</v>
      </c>
      <c r="F439" s="147"/>
      <c r="G439" s="147" t="s">
        <v>72</v>
      </c>
      <c r="H439" s="147" t="s">
        <v>41</v>
      </c>
      <c r="I439" s="147"/>
      <c r="J439" s="147"/>
      <c r="K439" s="140" t="s">
        <v>2617</v>
      </c>
      <c r="L439" s="147">
        <v>253448.27</v>
      </c>
      <c r="M439" s="147">
        <v>76034.481</v>
      </c>
      <c r="N439" s="147">
        <v>2019.6</v>
      </c>
      <c r="O439" s="147" t="s">
        <v>2618</v>
      </c>
      <c r="P439" s="147" t="s">
        <v>2619</v>
      </c>
      <c r="Q439" s="140">
        <v>18636196024</v>
      </c>
      <c r="R439" s="168" t="s">
        <v>2620</v>
      </c>
      <c r="S439" s="147" t="s">
        <v>1736</v>
      </c>
      <c r="T439" s="329"/>
    </row>
    <row r="440" spans="1:20" ht="24.95" customHeight="1">
      <c r="A440" s="331" t="s">
        <v>1807</v>
      </c>
      <c r="B440" s="147" t="s">
        <v>526</v>
      </c>
      <c r="C440" s="147" t="s">
        <v>2623</v>
      </c>
      <c r="D440" s="147" t="s">
        <v>464</v>
      </c>
      <c r="E440" s="147">
        <v>42</v>
      </c>
      <c r="F440" s="147"/>
      <c r="G440" s="147" t="s">
        <v>72</v>
      </c>
      <c r="H440" s="147" t="s">
        <v>41</v>
      </c>
      <c r="I440" s="147"/>
      <c r="J440" s="147"/>
      <c r="K440" s="140" t="s">
        <v>2617</v>
      </c>
      <c r="L440" s="147">
        <v>356167.25</v>
      </c>
      <c r="M440" s="147">
        <v>106850.175</v>
      </c>
      <c r="N440" s="147">
        <v>2019.6</v>
      </c>
      <c r="O440" s="147" t="s">
        <v>2618</v>
      </c>
      <c r="P440" s="147" t="s">
        <v>2619</v>
      </c>
      <c r="Q440" s="140">
        <v>18636196025</v>
      </c>
      <c r="R440" s="168" t="s">
        <v>2620</v>
      </c>
      <c r="S440" s="147" t="s">
        <v>1736</v>
      </c>
      <c r="T440" s="329"/>
    </row>
    <row r="441" spans="1:20" ht="24.95" customHeight="1">
      <c r="A441" s="331" t="s">
        <v>2624</v>
      </c>
      <c r="B441" s="147" t="s">
        <v>2615</v>
      </c>
      <c r="C441" s="147" t="s">
        <v>2625</v>
      </c>
      <c r="D441" s="147" t="s">
        <v>464</v>
      </c>
      <c r="E441" s="147">
        <v>24</v>
      </c>
      <c r="F441" s="147"/>
      <c r="G441" s="147" t="s">
        <v>72</v>
      </c>
      <c r="H441" s="147" t="s">
        <v>41</v>
      </c>
      <c r="I441" s="147"/>
      <c r="J441" s="147"/>
      <c r="K441" s="140" t="s">
        <v>2617</v>
      </c>
      <c r="L441" s="147">
        <v>120206.89</v>
      </c>
      <c r="M441" s="147">
        <v>36062.067000000003</v>
      </c>
      <c r="N441" s="147">
        <v>2019.6</v>
      </c>
      <c r="O441" s="147" t="s">
        <v>2618</v>
      </c>
      <c r="P441" s="147" t="s">
        <v>2619</v>
      </c>
      <c r="Q441" s="140">
        <v>18636196026</v>
      </c>
      <c r="R441" s="168" t="s">
        <v>2620</v>
      </c>
      <c r="S441" s="147" t="s">
        <v>1736</v>
      </c>
      <c r="T441" s="329"/>
    </row>
    <row r="442" spans="1:20" ht="24.95" customHeight="1">
      <c r="A442" s="331" t="s">
        <v>1818</v>
      </c>
      <c r="B442" s="147" t="s">
        <v>526</v>
      </c>
      <c r="C442" s="147">
        <v>32</v>
      </c>
      <c r="D442" s="147" t="s">
        <v>464</v>
      </c>
      <c r="E442" s="147">
        <v>4</v>
      </c>
      <c r="F442" s="147"/>
      <c r="G442" s="147" t="s">
        <v>72</v>
      </c>
      <c r="H442" s="147" t="s">
        <v>41</v>
      </c>
      <c r="I442" s="147"/>
      <c r="J442" s="147"/>
      <c r="K442" s="140" t="s">
        <v>2617</v>
      </c>
      <c r="L442" s="147">
        <v>68386.210000000006</v>
      </c>
      <c r="M442" s="147">
        <v>20515.863000000001</v>
      </c>
      <c r="N442" s="147">
        <v>2019.6</v>
      </c>
      <c r="O442" s="147" t="s">
        <v>2618</v>
      </c>
      <c r="P442" s="147" t="s">
        <v>2619</v>
      </c>
      <c r="Q442" s="140">
        <v>18636196029</v>
      </c>
      <c r="R442" s="168" t="s">
        <v>2620</v>
      </c>
      <c r="S442" s="147" t="s">
        <v>1736</v>
      </c>
      <c r="T442" s="329"/>
    </row>
    <row r="443" spans="1:20" ht="24.95" customHeight="1">
      <c r="A443" s="331" t="s">
        <v>1820</v>
      </c>
      <c r="B443" s="102" t="s">
        <v>616</v>
      </c>
      <c r="C443" s="102" t="s">
        <v>2626</v>
      </c>
      <c r="D443" s="123" t="s">
        <v>464</v>
      </c>
      <c r="E443" s="102">
        <v>8</v>
      </c>
      <c r="F443" s="102"/>
      <c r="G443" s="102" t="s">
        <v>32</v>
      </c>
      <c r="H443" s="105" t="s">
        <v>33</v>
      </c>
      <c r="I443" s="123"/>
      <c r="J443" s="102"/>
      <c r="K443" s="102"/>
      <c r="L443" s="113">
        <v>368</v>
      </c>
      <c r="M443" s="148">
        <v>18.399999999999999</v>
      </c>
      <c r="N443" s="102">
        <v>2019.06</v>
      </c>
      <c r="O443" s="102" t="s">
        <v>2627</v>
      </c>
      <c r="P443" s="123" t="s">
        <v>2628</v>
      </c>
      <c r="Q443" s="102">
        <v>15735100699</v>
      </c>
      <c r="R443" s="106" t="s">
        <v>2629</v>
      </c>
      <c r="S443" s="147" t="s">
        <v>1736</v>
      </c>
      <c r="T443" s="329"/>
    </row>
    <row r="444" spans="1:20" ht="24.95" customHeight="1">
      <c r="A444" s="331" t="s">
        <v>1823</v>
      </c>
      <c r="B444" s="102" t="s">
        <v>616</v>
      </c>
      <c r="C444" s="102" t="s">
        <v>2630</v>
      </c>
      <c r="D444" s="123" t="s">
        <v>464</v>
      </c>
      <c r="E444" s="102">
        <v>2</v>
      </c>
      <c r="F444" s="102"/>
      <c r="G444" s="102" t="s">
        <v>32</v>
      </c>
      <c r="H444" s="105" t="s">
        <v>33</v>
      </c>
      <c r="I444" s="123"/>
      <c r="J444" s="102"/>
      <c r="K444" s="102"/>
      <c r="L444" s="113">
        <v>92</v>
      </c>
      <c r="M444" s="148">
        <v>4.5999999999999899</v>
      </c>
      <c r="N444" s="102">
        <v>2019.06</v>
      </c>
      <c r="O444" s="102" t="s">
        <v>2627</v>
      </c>
      <c r="P444" s="123" t="s">
        <v>2628</v>
      </c>
      <c r="Q444" s="102">
        <v>15735100699</v>
      </c>
      <c r="R444" s="106" t="s">
        <v>2629</v>
      </c>
      <c r="S444" s="147" t="s">
        <v>1736</v>
      </c>
      <c r="T444" s="329"/>
    </row>
    <row r="445" spans="1:20" ht="24.95" customHeight="1">
      <c r="A445" s="331" t="s">
        <v>1825</v>
      </c>
      <c r="B445" s="102" t="s">
        <v>2631</v>
      </c>
      <c r="C445" s="102" t="s">
        <v>2632</v>
      </c>
      <c r="D445" s="123" t="s">
        <v>2633</v>
      </c>
      <c r="E445" s="102">
        <v>100</v>
      </c>
      <c r="F445" s="102"/>
      <c r="G445" s="102" t="s">
        <v>32</v>
      </c>
      <c r="H445" s="105" t="s">
        <v>33</v>
      </c>
      <c r="I445" s="123"/>
      <c r="J445" s="102"/>
      <c r="K445" s="102"/>
      <c r="L445" s="113">
        <v>29300</v>
      </c>
      <c r="M445" s="148">
        <v>1465</v>
      </c>
      <c r="N445" s="102">
        <v>2019.06</v>
      </c>
      <c r="O445" s="102" t="s">
        <v>2627</v>
      </c>
      <c r="P445" s="123" t="s">
        <v>2628</v>
      </c>
      <c r="Q445" s="102">
        <v>15735100699</v>
      </c>
      <c r="R445" s="106" t="s">
        <v>2629</v>
      </c>
      <c r="S445" s="147" t="s">
        <v>1736</v>
      </c>
      <c r="T445" s="329"/>
    </row>
    <row r="446" spans="1:20" ht="24.95" customHeight="1">
      <c r="A446" s="331" t="s">
        <v>1829</v>
      </c>
      <c r="B446" s="102" t="s">
        <v>616</v>
      </c>
      <c r="C446" s="102" t="s">
        <v>2634</v>
      </c>
      <c r="D446" s="123" t="s">
        <v>62</v>
      </c>
      <c r="E446" s="102">
        <v>25.14</v>
      </c>
      <c r="F446" s="102"/>
      <c r="G446" s="102" t="s">
        <v>32</v>
      </c>
      <c r="H446" s="105" t="s">
        <v>33</v>
      </c>
      <c r="I446" s="123"/>
      <c r="J446" s="102"/>
      <c r="K446" s="102"/>
      <c r="L446" s="113">
        <v>136334.22</v>
      </c>
      <c r="M446" s="148">
        <v>6816.71000000001</v>
      </c>
      <c r="N446" s="102">
        <v>2019.08</v>
      </c>
      <c r="O446" s="102" t="s">
        <v>2627</v>
      </c>
      <c r="P446" s="123" t="s">
        <v>2628</v>
      </c>
      <c r="Q446" s="102">
        <v>15735100699</v>
      </c>
      <c r="R446" s="106" t="s">
        <v>2629</v>
      </c>
      <c r="S446" s="147" t="s">
        <v>1736</v>
      </c>
      <c r="T446" s="329"/>
    </row>
    <row r="447" spans="1:20" ht="24.95" customHeight="1">
      <c r="A447" s="331" t="s">
        <v>1833</v>
      </c>
      <c r="B447" s="102" t="s">
        <v>2635</v>
      </c>
      <c r="C447" s="102" t="s">
        <v>2636</v>
      </c>
      <c r="D447" s="123" t="s">
        <v>31</v>
      </c>
      <c r="E447" s="102">
        <v>134</v>
      </c>
      <c r="F447" s="102"/>
      <c r="G447" s="102" t="s">
        <v>32</v>
      </c>
      <c r="H447" s="105" t="s">
        <v>33</v>
      </c>
      <c r="I447" s="123"/>
      <c r="J447" s="102"/>
      <c r="K447" s="102"/>
      <c r="L447" s="113">
        <v>2948</v>
      </c>
      <c r="M447" s="148">
        <v>147.4</v>
      </c>
      <c r="N447" s="102">
        <v>2019.06</v>
      </c>
      <c r="O447" s="102" t="s">
        <v>2627</v>
      </c>
      <c r="P447" s="123" t="s">
        <v>2628</v>
      </c>
      <c r="Q447" s="102">
        <v>15735100699</v>
      </c>
      <c r="R447" s="106" t="s">
        <v>2629</v>
      </c>
      <c r="S447" s="147" t="s">
        <v>1736</v>
      </c>
      <c r="T447" s="329"/>
    </row>
    <row r="448" spans="1:20" ht="24.95" customHeight="1">
      <c r="A448" s="331" t="s">
        <v>1835</v>
      </c>
      <c r="B448" s="102" t="s">
        <v>2635</v>
      </c>
      <c r="C448" s="102" t="s">
        <v>2637</v>
      </c>
      <c r="D448" s="123" t="s">
        <v>31</v>
      </c>
      <c r="E448" s="102">
        <v>216</v>
      </c>
      <c r="F448" s="102"/>
      <c r="G448" s="102" t="s">
        <v>32</v>
      </c>
      <c r="H448" s="105" t="s">
        <v>33</v>
      </c>
      <c r="I448" s="123"/>
      <c r="J448" s="102"/>
      <c r="K448" s="102"/>
      <c r="L448" s="113">
        <v>3456</v>
      </c>
      <c r="M448" s="148">
        <v>172.8</v>
      </c>
      <c r="N448" s="102">
        <v>2019.06</v>
      </c>
      <c r="O448" s="102" t="s">
        <v>2627</v>
      </c>
      <c r="P448" s="123" t="s">
        <v>2628</v>
      </c>
      <c r="Q448" s="102">
        <v>15735100699</v>
      </c>
      <c r="R448" s="106" t="s">
        <v>2629</v>
      </c>
      <c r="S448" s="147" t="s">
        <v>1736</v>
      </c>
      <c r="T448" s="329"/>
    </row>
    <row r="449" spans="1:20" ht="24.95" customHeight="1">
      <c r="A449" s="331" t="s">
        <v>1838</v>
      </c>
      <c r="B449" s="102" t="s">
        <v>2635</v>
      </c>
      <c r="C449" s="102" t="s">
        <v>2638</v>
      </c>
      <c r="D449" s="123" t="s">
        <v>31</v>
      </c>
      <c r="E449" s="102">
        <v>110</v>
      </c>
      <c r="F449" s="102"/>
      <c r="G449" s="102" t="s">
        <v>32</v>
      </c>
      <c r="H449" s="105" t="s">
        <v>33</v>
      </c>
      <c r="I449" s="123"/>
      <c r="J449" s="102"/>
      <c r="K449" s="102"/>
      <c r="L449" s="113">
        <v>2090</v>
      </c>
      <c r="M449" s="148">
        <v>104.5</v>
      </c>
      <c r="N449" s="102">
        <v>2019.06</v>
      </c>
      <c r="O449" s="102" t="s">
        <v>2627</v>
      </c>
      <c r="P449" s="123" t="s">
        <v>2628</v>
      </c>
      <c r="Q449" s="102">
        <v>15735100699</v>
      </c>
      <c r="R449" s="106" t="s">
        <v>2629</v>
      </c>
      <c r="S449" s="147" t="s">
        <v>1736</v>
      </c>
      <c r="T449" s="329"/>
    </row>
    <row r="450" spans="1:20" ht="24.95" customHeight="1">
      <c r="A450" s="331" t="s">
        <v>1840</v>
      </c>
      <c r="B450" s="147" t="s">
        <v>677</v>
      </c>
      <c r="C450" s="102" t="s">
        <v>2599</v>
      </c>
      <c r="D450" s="102" t="s">
        <v>62</v>
      </c>
      <c r="E450" s="102">
        <v>16.186</v>
      </c>
      <c r="F450" s="102">
        <v>16.186</v>
      </c>
      <c r="G450" s="340" t="s">
        <v>72</v>
      </c>
      <c r="H450" s="102" t="s">
        <v>41</v>
      </c>
      <c r="I450" s="102"/>
      <c r="J450" s="102"/>
      <c r="K450" s="102"/>
      <c r="L450" s="102">
        <v>51793.919999999998</v>
      </c>
      <c r="M450" s="102">
        <v>51793.919999999998</v>
      </c>
      <c r="N450" s="102" t="s">
        <v>1920</v>
      </c>
      <c r="O450" s="245" t="s">
        <v>1911</v>
      </c>
      <c r="P450" s="147" t="s">
        <v>1912</v>
      </c>
      <c r="Q450" s="147">
        <v>13509714024</v>
      </c>
      <c r="R450" s="341" t="s">
        <v>1913</v>
      </c>
      <c r="S450" s="147" t="s">
        <v>1736</v>
      </c>
      <c r="T450" s="329"/>
    </row>
    <row r="451" spans="1:20" ht="24.95" customHeight="1">
      <c r="A451" s="331" t="s">
        <v>1843</v>
      </c>
      <c r="B451" s="147" t="s">
        <v>2639</v>
      </c>
      <c r="C451" s="102" t="s">
        <v>2640</v>
      </c>
      <c r="D451" s="102" t="s">
        <v>62</v>
      </c>
      <c r="E451" s="102">
        <v>8.1649999999999991</v>
      </c>
      <c r="F451" s="102">
        <v>8.1649999999999991</v>
      </c>
      <c r="G451" s="340" t="s">
        <v>72</v>
      </c>
      <c r="H451" s="102" t="s">
        <v>41</v>
      </c>
      <c r="I451" s="102"/>
      <c r="J451" s="102"/>
      <c r="K451" s="102"/>
      <c r="L451" s="102">
        <v>24582.39</v>
      </c>
      <c r="M451" s="102">
        <v>24582.39</v>
      </c>
      <c r="N451" s="102" t="s">
        <v>1920</v>
      </c>
      <c r="O451" s="245" t="s">
        <v>1911</v>
      </c>
      <c r="P451" s="147" t="s">
        <v>1912</v>
      </c>
      <c r="Q451" s="147">
        <v>13509714024</v>
      </c>
      <c r="R451" s="341" t="s">
        <v>1913</v>
      </c>
      <c r="S451" s="125" t="s">
        <v>1736</v>
      </c>
      <c r="T451" s="329"/>
    </row>
    <row r="452" spans="1:20" ht="24.95" customHeight="1">
      <c r="A452" s="331" t="s">
        <v>1846</v>
      </c>
      <c r="B452" s="342" t="s">
        <v>526</v>
      </c>
      <c r="C452" s="342" t="s">
        <v>2641</v>
      </c>
      <c r="D452" s="125" t="s">
        <v>62</v>
      </c>
      <c r="E452" s="342"/>
      <c r="F452" s="342">
        <v>23.265000000000001</v>
      </c>
      <c r="G452" s="340" t="s">
        <v>72</v>
      </c>
      <c r="H452" s="147" t="s">
        <v>33</v>
      </c>
      <c r="I452" s="147" t="s">
        <v>179</v>
      </c>
      <c r="J452" s="147" t="s">
        <v>179</v>
      </c>
      <c r="K452" s="147" t="s">
        <v>179</v>
      </c>
      <c r="L452" s="343">
        <v>102116.537442</v>
      </c>
      <c r="M452" s="344">
        <v>18133.478611105002</v>
      </c>
      <c r="N452" s="125">
        <v>2017.3</v>
      </c>
      <c r="O452" s="245" t="s">
        <v>2642</v>
      </c>
      <c r="P452" s="245" t="s">
        <v>2643</v>
      </c>
      <c r="Q452" s="345" t="s">
        <v>2644</v>
      </c>
      <c r="R452" s="147" t="str">
        <f t="shared" ref="R452:R460" si="0">O452</f>
        <v>市政项目部</v>
      </c>
      <c r="S452" s="125" t="s">
        <v>1736</v>
      </c>
      <c r="T452" s="329"/>
    </row>
    <row r="453" spans="1:20" ht="24.95" customHeight="1">
      <c r="A453" s="331" t="s">
        <v>1847</v>
      </c>
      <c r="B453" s="342" t="s">
        <v>526</v>
      </c>
      <c r="C453" s="342" t="s">
        <v>2645</v>
      </c>
      <c r="D453" s="125" t="s">
        <v>62</v>
      </c>
      <c r="E453" s="342"/>
      <c r="F453" s="346">
        <v>110.67700000000001</v>
      </c>
      <c r="G453" s="347" t="s">
        <v>72</v>
      </c>
      <c r="H453" s="147" t="s">
        <v>41</v>
      </c>
      <c r="I453" s="147" t="s">
        <v>179</v>
      </c>
      <c r="J453" s="147" t="s">
        <v>179</v>
      </c>
      <c r="K453" s="147" t="s">
        <v>179</v>
      </c>
      <c r="L453" s="343">
        <v>408398.13</v>
      </c>
      <c r="M453" s="344">
        <v>133420.758225</v>
      </c>
      <c r="N453" s="348">
        <v>2017.12</v>
      </c>
      <c r="O453" s="245" t="s">
        <v>2646</v>
      </c>
      <c r="P453" s="245" t="s">
        <v>2643</v>
      </c>
      <c r="Q453" s="345" t="s">
        <v>2644</v>
      </c>
      <c r="R453" s="147" t="str">
        <f t="shared" si="0"/>
        <v>机械分公司</v>
      </c>
      <c r="S453" s="125" t="s">
        <v>1736</v>
      </c>
      <c r="T453" s="329"/>
    </row>
    <row r="454" spans="1:20" ht="24.95" customHeight="1">
      <c r="A454" s="331" t="s">
        <v>1848</v>
      </c>
      <c r="B454" s="103" t="s">
        <v>526</v>
      </c>
      <c r="C454" s="125" t="s">
        <v>2647</v>
      </c>
      <c r="D454" s="125" t="s">
        <v>62</v>
      </c>
      <c r="E454" s="147"/>
      <c r="F454" s="125">
        <v>45.128999999999998</v>
      </c>
      <c r="G454" s="147" t="s">
        <v>72</v>
      </c>
      <c r="H454" s="147" t="s">
        <v>41</v>
      </c>
      <c r="I454" s="147" t="s">
        <v>179</v>
      </c>
      <c r="J454" s="147" t="s">
        <v>179</v>
      </c>
      <c r="K454" s="147" t="s">
        <v>179</v>
      </c>
      <c r="L454" s="349">
        <v>155695.04999999999</v>
      </c>
      <c r="M454" s="349">
        <v>778.47324999995203</v>
      </c>
      <c r="N454" s="147"/>
      <c r="O454" s="245" t="s">
        <v>2646</v>
      </c>
      <c r="P454" s="245" t="s">
        <v>2643</v>
      </c>
      <c r="Q454" s="345" t="s">
        <v>2644</v>
      </c>
      <c r="R454" s="147" t="str">
        <f t="shared" si="0"/>
        <v>机械分公司</v>
      </c>
      <c r="S454" s="125" t="s">
        <v>1736</v>
      </c>
      <c r="T454" s="329"/>
    </row>
    <row r="455" spans="1:20" ht="24.95" customHeight="1">
      <c r="A455" s="331" t="s">
        <v>1852</v>
      </c>
      <c r="B455" s="103" t="s">
        <v>593</v>
      </c>
      <c r="C455" s="125" t="s">
        <v>1856</v>
      </c>
      <c r="D455" s="125" t="s">
        <v>62</v>
      </c>
      <c r="E455" s="147"/>
      <c r="F455" s="125">
        <v>3.7549999999999999</v>
      </c>
      <c r="G455" s="147" t="s">
        <v>72</v>
      </c>
      <c r="H455" s="147" t="s">
        <v>41</v>
      </c>
      <c r="I455" s="147" t="s">
        <v>179</v>
      </c>
      <c r="J455" s="147" t="s">
        <v>179</v>
      </c>
      <c r="K455" s="147" t="s">
        <v>179</v>
      </c>
      <c r="L455" s="349">
        <v>13029.85</v>
      </c>
      <c r="M455" s="349">
        <v>65.141916666676494</v>
      </c>
      <c r="N455" s="147"/>
      <c r="O455" s="245" t="s">
        <v>2646</v>
      </c>
      <c r="P455" s="245" t="s">
        <v>2643</v>
      </c>
      <c r="Q455" s="345" t="s">
        <v>2644</v>
      </c>
      <c r="R455" s="147" t="str">
        <f t="shared" si="0"/>
        <v>机械分公司</v>
      </c>
      <c r="S455" s="125" t="s">
        <v>1736</v>
      </c>
      <c r="T455" s="329"/>
    </row>
    <row r="456" spans="1:20" ht="24.95" customHeight="1">
      <c r="A456" s="331" t="s">
        <v>1855</v>
      </c>
      <c r="B456" s="125" t="s">
        <v>2648</v>
      </c>
      <c r="C456" s="125" t="s">
        <v>2649</v>
      </c>
      <c r="D456" s="125" t="s">
        <v>62</v>
      </c>
      <c r="E456" s="147"/>
      <c r="F456" s="125">
        <v>468.2912</v>
      </c>
      <c r="G456" s="340" t="s">
        <v>72</v>
      </c>
      <c r="H456" s="147" t="s">
        <v>41</v>
      </c>
      <c r="I456" s="147" t="s">
        <v>179</v>
      </c>
      <c r="J456" s="147" t="s">
        <v>179</v>
      </c>
      <c r="K456" s="147" t="s">
        <v>179</v>
      </c>
      <c r="L456" s="343">
        <v>3156282.6880000001</v>
      </c>
      <c r="M456" s="343">
        <v>31562.8315133336</v>
      </c>
      <c r="N456" s="147"/>
      <c r="O456" s="147" t="s">
        <v>2646</v>
      </c>
      <c r="P456" s="245" t="s">
        <v>2643</v>
      </c>
      <c r="Q456" s="345" t="s">
        <v>2644</v>
      </c>
      <c r="R456" s="147" t="str">
        <f t="shared" si="0"/>
        <v>机械分公司</v>
      </c>
      <c r="S456" s="125" t="s">
        <v>1736</v>
      </c>
      <c r="T456" s="147"/>
    </row>
    <row r="457" spans="1:20" ht="24.95" customHeight="1">
      <c r="A457" s="331" t="s">
        <v>1857</v>
      </c>
      <c r="B457" s="125" t="s">
        <v>2648</v>
      </c>
      <c r="C457" s="125" t="s">
        <v>2650</v>
      </c>
      <c r="D457" s="125" t="s">
        <v>62</v>
      </c>
      <c r="E457" s="147"/>
      <c r="F457" s="125">
        <v>80</v>
      </c>
      <c r="G457" s="340" t="s">
        <v>72</v>
      </c>
      <c r="H457" s="147" t="s">
        <v>41</v>
      </c>
      <c r="I457" s="147" t="s">
        <v>179</v>
      </c>
      <c r="J457" s="147" t="s">
        <v>179</v>
      </c>
      <c r="K457" s="147" t="s">
        <v>179</v>
      </c>
      <c r="L457" s="343">
        <v>539200</v>
      </c>
      <c r="M457" s="343">
        <v>13030.663333333299</v>
      </c>
      <c r="N457" s="147"/>
      <c r="O457" s="147" t="s">
        <v>2646</v>
      </c>
      <c r="P457" s="245" t="s">
        <v>2643</v>
      </c>
      <c r="Q457" s="345" t="s">
        <v>2644</v>
      </c>
      <c r="R457" s="147" t="str">
        <f t="shared" si="0"/>
        <v>机械分公司</v>
      </c>
      <c r="S457" s="125" t="s">
        <v>1736</v>
      </c>
      <c r="T457" s="147"/>
    </row>
    <row r="458" spans="1:20" ht="24.95" customHeight="1">
      <c r="A458" s="331" t="s">
        <v>1858</v>
      </c>
      <c r="B458" s="125" t="s">
        <v>2648</v>
      </c>
      <c r="C458" s="125" t="s">
        <v>2651</v>
      </c>
      <c r="D458" s="125" t="s">
        <v>62</v>
      </c>
      <c r="E458" s="147"/>
      <c r="F458" s="125">
        <v>22.02</v>
      </c>
      <c r="G458" s="340" t="s">
        <v>72</v>
      </c>
      <c r="H458" s="147" t="s">
        <v>41</v>
      </c>
      <c r="I458" s="147" t="s">
        <v>179</v>
      </c>
      <c r="J458" s="147" t="s">
        <v>179</v>
      </c>
      <c r="K458" s="147" t="s">
        <v>179</v>
      </c>
      <c r="L458" s="343">
        <v>148414.79999999999</v>
      </c>
      <c r="M458" s="343">
        <v>3586.69</v>
      </c>
      <c r="N458" s="147"/>
      <c r="O458" s="147" t="s">
        <v>2646</v>
      </c>
      <c r="P458" s="245" t="s">
        <v>2643</v>
      </c>
      <c r="Q458" s="345" t="s">
        <v>2644</v>
      </c>
      <c r="R458" s="147" t="str">
        <f t="shared" si="0"/>
        <v>机械分公司</v>
      </c>
      <c r="S458" s="125" t="s">
        <v>1736</v>
      </c>
      <c r="T458" s="147"/>
    </row>
    <row r="459" spans="1:20" ht="24.95" customHeight="1">
      <c r="A459" s="331" t="s">
        <v>1859</v>
      </c>
      <c r="B459" s="125" t="s">
        <v>2648</v>
      </c>
      <c r="C459" s="125" t="s">
        <v>2652</v>
      </c>
      <c r="D459" s="125" t="s">
        <v>62</v>
      </c>
      <c r="E459" s="147"/>
      <c r="F459" s="125">
        <v>12.305</v>
      </c>
      <c r="G459" s="340" t="s">
        <v>72</v>
      </c>
      <c r="H459" s="147" t="s">
        <v>41</v>
      </c>
      <c r="I459" s="147" t="s">
        <v>179</v>
      </c>
      <c r="J459" s="147" t="s">
        <v>179</v>
      </c>
      <c r="K459" s="147" t="s">
        <v>179</v>
      </c>
      <c r="L459" s="343">
        <v>82935.7</v>
      </c>
      <c r="M459" s="343">
        <v>2004.2710833333299</v>
      </c>
      <c r="N459" s="147"/>
      <c r="O459" s="147" t="s">
        <v>2646</v>
      </c>
      <c r="P459" s="245" t="s">
        <v>2643</v>
      </c>
      <c r="Q459" s="345" t="s">
        <v>2644</v>
      </c>
      <c r="R459" s="147" t="str">
        <f t="shared" si="0"/>
        <v>机械分公司</v>
      </c>
      <c r="S459" s="125" t="s">
        <v>1736</v>
      </c>
      <c r="T459" s="147"/>
    </row>
    <row r="460" spans="1:20" ht="24.95" customHeight="1">
      <c r="A460" s="331" t="s">
        <v>1861</v>
      </c>
      <c r="B460" s="103" t="s">
        <v>2611</v>
      </c>
      <c r="C460" s="125" t="s">
        <v>1842</v>
      </c>
      <c r="D460" s="125" t="s">
        <v>62</v>
      </c>
      <c r="E460" s="147"/>
      <c r="F460" s="125">
        <v>45.767000000000003</v>
      </c>
      <c r="G460" s="147" t="s">
        <v>72</v>
      </c>
      <c r="H460" s="147" t="s">
        <v>41</v>
      </c>
      <c r="I460" s="147" t="s">
        <v>179</v>
      </c>
      <c r="J460" s="147" t="s">
        <v>179</v>
      </c>
      <c r="K460" s="147" t="s">
        <v>179</v>
      </c>
      <c r="L460" s="349">
        <v>176660.62</v>
      </c>
      <c r="M460" s="349">
        <v>883.30496666653198</v>
      </c>
      <c r="N460" s="147"/>
      <c r="O460" s="245" t="s">
        <v>2646</v>
      </c>
      <c r="P460" s="245" t="s">
        <v>2643</v>
      </c>
      <c r="Q460" s="345" t="s">
        <v>2644</v>
      </c>
      <c r="R460" s="147" t="str">
        <f t="shared" si="0"/>
        <v>机械分公司</v>
      </c>
      <c r="S460" s="125" t="s">
        <v>1736</v>
      </c>
      <c r="T460" s="350" t="s">
        <v>2653</v>
      </c>
    </row>
    <row r="461" spans="1:20" ht="24.95" customHeight="1">
      <c r="A461" s="331" t="s">
        <v>1862</v>
      </c>
      <c r="B461" s="125" t="s">
        <v>2648</v>
      </c>
      <c r="C461" s="125" t="s">
        <v>2654</v>
      </c>
      <c r="D461" s="125" t="s">
        <v>62</v>
      </c>
      <c r="E461" s="147"/>
      <c r="F461" s="125">
        <v>15.99</v>
      </c>
      <c r="G461" s="340" t="s">
        <v>72</v>
      </c>
      <c r="H461" s="147" t="s">
        <v>33</v>
      </c>
      <c r="I461" s="168" t="s">
        <v>179</v>
      </c>
      <c r="J461" s="168" t="s">
        <v>179</v>
      </c>
      <c r="K461" s="168" t="s">
        <v>179</v>
      </c>
      <c r="L461" s="343">
        <v>107772.6</v>
      </c>
      <c r="M461" s="343">
        <v>2604.50450000001</v>
      </c>
      <c r="N461" s="147"/>
      <c r="O461" s="147" t="s">
        <v>2646</v>
      </c>
      <c r="P461" s="245" t="s">
        <v>2643</v>
      </c>
      <c r="Q461" s="345" t="s">
        <v>2644</v>
      </c>
      <c r="R461" s="147" t="s">
        <v>2646</v>
      </c>
      <c r="S461" s="125" t="s">
        <v>1736</v>
      </c>
      <c r="T461" s="147"/>
    </row>
    <row r="462" spans="1:20" ht="24.95" customHeight="1">
      <c r="A462" s="331" t="s">
        <v>1863</v>
      </c>
      <c r="B462" s="342" t="s">
        <v>2648</v>
      </c>
      <c r="C462" s="342" t="s">
        <v>2655</v>
      </c>
      <c r="D462" s="342" t="s">
        <v>62</v>
      </c>
      <c r="E462" s="147"/>
      <c r="F462" s="342">
        <v>44.914000000000001</v>
      </c>
      <c r="G462" s="347" t="s">
        <v>72</v>
      </c>
      <c r="H462" s="147" t="s">
        <v>33</v>
      </c>
      <c r="I462" s="168" t="s">
        <v>179</v>
      </c>
      <c r="J462" s="168" t="s">
        <v>179</v>
      </c>
      <c r="K462" s="168" t="s">
        <v>179</v>
      </c>
      <c r="L462" s="343">
        <v>162588.68</v>
      </c>
      <c r="M462" s="344">
        <v>98095.170266666697</v>
      </c>
      <c r="N462" s="147">
        <v>2017.12</v>
      </c>
      <c r="O462" s="245" t="s">
        <v>2646</v>
      </c>
      <c r="P462" s="245" t="s">
        <v>2643</v>
      </c>
      <c r="Q462" s="345" t="s">
        <v>2644</v>
      </c>
      <c r="R462" s="147" t="s">
        <v>2646</v>
      </c>
      <c r="S462" s="125" t="s">
        <v>1736</v>
      </c>
      <c r="T462" s="147"/>
    </row>
    <row r="463" spans="1:20" ht="24.95" customHeight="1">
      <c r="A463" s="331" t="s">
        <v>1864</v>
      </c>
      <c r="B463" s="342" t="s">
        <v>2648</v>
      </c>
      <c r="C463" s="342" t="s">
        <v>2656</v>
      </c>
      <c r="D463" s="342" t="s">
        <v>161</v>
      </c>
      <c r="E463" s="147">
        <v>280.10000000000002</v>
      </c>
      <c r="F463" s="346">
        <v>42.82</v>
      </c>
      <c r="G463" s="347" t="s">
        <v>72</v>
      </c>
      <c r="H463" s="147" t="s">
        <v>33</v>
      </c>
      <c r="I463" s="168" t="s">
        <v>179</v>
      </c>
      <c r="J463" s="168" t="s">
        <v>179</v>
      </c>
      <c r="K463" s="168" t="s">
        <v>179</v>
      </c>
      <c r="L463" s="343">
        <v>224400.32</v>
      </c>
      <c r="M463" s="344">
        <v>119493.64915500001</v>
      </c>
      <c r="N463" s="343">
        <v>2017.1</v>
      </c>
      <c r="O463" s="245" t="s">
        <v>2646</v>
      </c>
      <c r="P463" s="245" t="s">
        <v>2643</v>
      </c>
      <c r="Q463" s="345" t="s">
        <v>2644</v>
      </c>
      <c r="R463" s="147" t="s">
        <v>2646</v>
      </c>
      <c r="S463" s="125" t="s">
        <v>1736</v>
      </c>
      <c r="T463" s="147"/>
    </row>
    <row r="464" spans="1:20" ht="24.95" customHeight="1">
      <c r="A464" s="331" t="s">
        <v>1865</v>
      </c>
      <c r="B464" s="125" t="s">
        <v>2648</v>
      </c>
      <c r="C464" s="125" t="s">
        <v>2657</v>
      </c>
      <c r="D464" s="125" t="s">
        <v>464</v>
      </c>
      <c r="E464" s="125">
        <v>8.1850000000000005</v>
      </c>
      <c r="F464" s="346"/>
      <c r="G464" s="340" t="s">
        <v>72</v>
      </c>
      <c r="H464" s="147" t="s">
        <v>41</v>
      </c>
      <c r="I464" s="147" t="s">
        <v>179</v>
      </c>
      <c r="J464" s="147" t="s">
        <v>179</v>
      </c>
      <c r="K464" s="147" t="s">
        <v>179</v>
      </c>
      <c r="L464" s="343">
        <v>47232.79</v>
      </c>
      <c r="M464" s="344">
        <v>885.57</v>
      </c>
      <c r="N464" s="147"/>
      <c r="O464" s="245" t="s">
        <v>2646</v>
      </c>
      <c r="P464" s="245" t="s">
        <v>2643</v>
      </c>
      <c r="Q464" s="345" t="s">
        <v>2644</v>
      </c>
      <c r="R464" s="147" t="str">
        <f>O464</f>
        <v>机械分公司</v>
      </c>
      <c r="S464" s="125" t="s">
        <v>1736</v>
      </c>
      <c r="T464" s="147"/>
    </row>
    <row r="465" spans="1:20" ht="24.95" customHeight="1">
      <c r="A465" s="331" t="s">
        <v>1867</v>
      </c>
      <c r="B465" s="342" t="s">
        <v>2648</v>
      </c>
      <c r="C465" s="342" t="s">
        <v>2656</v>
      </c>
      <c r="D465" s="342" t="s">
        <v>161</v>
      </c>
      <c r="E465" s="147">
        <v>42.26</v>
      </c>
      <c r="F465" s="346">
        <v>6.46</v>
      </c>
      <c r="G465" s="347" t="s">
        <v>72</v>
      </c>
      <c r="H465" s="147" t="s">
        <v>33</v>
      </c>
      <c r="I465" s="168" t="s">
        <v>179</v>
      </c>
      <c r="J465" s="168" t="s">
        <v>179</v>
      </c>
      <c r="K465" s="168" t="s">
        <v>179</v>
      </c>
      <c r="L465" s="343">
        <v>33856.18</v>
      </c>
      <c r="M465" s="344">
        <v>18508.021668666701</v>
      </c>
      <c r="N465" s="343">
        <v>2017.11</v>
      </c>
      <c r="O465" s="245" t="s">
        <v>2646</v>
      </c>
      <c r="P465" s="245" t="s">
        <v>2643</v>
      </c>
      <c r="Q465" s="345" t="s">
        <v>2644</v>
      </c>
      <c r="R465" s="147" t="str">
        <f>O465</f>
        <v>机械分公司</v>
      </c>
      <c r="S465" s="125" t="s">
        <v>1736</v>
      </c>
      <c r="T465" s="147"/>
    </row>
    <row r="466" spans="1:20" ht="24.95" customHeight="1">
      <c r="A466" s="331" t="s">
        <v>1869</v>
      </c>
      <c r="B466" s="102" t="s">
        <v>526</v>
      </c>
      <c r="C466" s="147" t="s">
        <v>2658</v>
      </c>
      <c r="D466" s="147" t="s">
        <v>161</v>
      </c>
      <c r="E466" s="147">
        <v>24</v>
      </c>
      <c r="F466" s="147"/>
      <c r="G466" s="147" t="s">
        <v>32</v>
      </c>
      <c r="H466" s="147" t="s">
        <v>33</v>
      </c>
      <c r="I466" s="147"/>
      <c r="J466" s="140" t="s">
        <v>2617</v>
      </c>
      <c r="K466" s="140" t="s">
        <v>2617</v>
      </c>
      <c r="L466" s="147">
        <v>7680</v>
      </c>
      <c r="M466" s="147">
        <v>2304</v>
      </c>
      <c r="N466" s="147">
        <v>2015</v>
      </c>
      <c r="O466" s="147" t="s">
        <v>2659</v>
      </c>
      <c r="P466" s="147" t="s">
        <v>2660</v>
      </c>
      <c r="Q466" s="147">
        <v>17809251055</v>
      </c>
      <c r="R466" s="147" t="s">
        <v>2661</v>
      </c>
      <c r="S466" s="163" t="s">
        <v>1736</v>
      </c>
      <c r="T466" s="329"/>
    </row>
    <row r="467" spans="1:20" ht="24.95" customHeight="1">
      <c r="A467" s="331" t="s">
        <v>1870</v>
      </c>
      <c r="B467" s="102" t="s">
        <v>526</v>
      </c>
      <c r="C467" s="147" t="s">
        <v>2662</v>
      </c>
      <c r="D467" s="147" t="s">
        <v>161</v>
      </c>
      <c r="E467" s="147">
        <v>130</v>
      </c>
      <c r="F467" s="147"/>
      <c r="G467" s="147" t="s">
        <v>32</v>
      </c>
      <c r="H467" s="147" t="s">
        <v>33</v>
      </c>
      <c r="I467" s="147"/>
      <c r="J467" s="140" t="s">
        <v>2617</v>
      </c>
      <c r="K467" s="140" t="s">
        <v>2617</v>
      </c>
      <c r="L467" s="147">
        <v>27300</v>
      </c>
      <c r="M467" s="147">
        <v>8190</v>
      </c>
      <c r="N467" s="147">
        <v>2015</v>
      </c>
      <c r="O467" s="147" t="s">
        <v>2659</v>
      </c>
      <c r="P467" s="147" t="s">
        <v>2660</v>
      </c>
      <c r="Q467" s="147">
        <v>17809251055</v>
      </c>
      <c r="R467" s="147" t="s">
        <v>2661</v>
      </c>
      <c r="S467" s="163" t="s">
        <v>1736</v>
      </c>
      <c r="T467" s="329"/>
    </row>
    <row r="468" spans="1:20" ht="24.95" customHeight="1">
      <c r="A468" s="331" t="s">
        <v>1871</v>
      </c>
      <c r="B468" s="102" t="s">
        <v>526</v>
      </c>
      <c r="C468" s="147" t="s">
        <v>365</v>
      </c>
      <c r="D468" s="147" t="s">
        <v>161</v>
      </c>
      <c r="E468" s="147">
        <v>3177</v>
      </c>
      <c r="F468" s="147"/>
      <c r="G468" s="147" t="s">
        <v>32</v>
      </c>
      <c r="H468" s="147" t="s">
        <v>33</v>
      </c>
      <c r="I468" s="147"/>
      <c r="J468" s="140" t="s">
        <v>2617</v>
      </c>
      <c r="K468" s="140" t="s">
        <v>2617</v>
      </c>
      <c r="L468" s="147">
        <v>167880.498597</v>
      </c>
      <c r="M468" s="147">
        <v>50364.149579099998</v>
      </c>
      <c r="N468" s="147">
        <v>2015</v>
      </c>
      <c r="O468" s="147" t="s">
        <v>2659</v>
      </c>
      <c r="P468" s="147" t="s">
        <v>2660</v>
      </c>
      <c r="Q468" s="147">
        <v>17809251055</v>
      </c>
      <c r="R468" s="147" t="s">
        <v>2661</v>
      </c>
      <c r="S468" s="163" t="s">
        <v>1736</v>
      </c>
      <c r="T468" s="329"/>
    </row>
    <row r="469" spans="1:20" ht="24.95" customHeight="1">
      <c r="A469" s="331" t="s">
        <v>1872</v>
      </c>
      <c r="B469" s="102" t="s">
        <v>526</v>
      </c>
      <c r="C469" s="147" t="s">
        <v>765</v>
      </c>
      <c r="D469" s="147" t="s">
        <v>464</v>
      </c>
      <c r="E469" s="147">
        <v>1</v>
      </c>
      <c r="F469" s="147"/>
      <c r="G469" s="147" t="s">
        <v>32</v>
      </c>
      <c r="H469" s="147" t="s">
        <v>33</v>
      </c>
      <c r="I469" s="147"/>
      <c r="J469" s="140" t="s">
        <v>2617</v>
      </c>
      <c r="K469" s="140" t="s">
        <v>2617</v>
      </c>
      <c r="L469" s="147">
        <v>280</v>
      </c>
      <c r="M469" s="147">
        <v>84</v>
      </c>
      <c r="N469" s="147">
        <v>2015</v>
      </c>
      <c r="O469" s="147" t="s">
        <v>2659</v>
      </c>
      <c r="P469" s="147" t="s">
        <v>2660</v>
      </c>
      <c r="Q469" s="147">
        <v>17809251055</v>
      </c>
      <c r="R469" s="147" t="s">
        <v>2661</v>
      </c>
      <c r="S469" s="163" t="s">
        <v>1736</v>
      </c>
      <c r="T469" s="329"/>
    </row>
    <row r="470" spans="1:20" ht="24.95" customHeight="1">
      <c r="A470" s="331" t="s">
        <v>1873</v>
      </c>
      <c r="B470" s="102" t="s">
        <v>526</v>
      </c>
      <c r="C470" s="147" t="s">
        <v>2663</v>
      </c>
      <c r="D470" s="147" t="s">
        <v>464</v>
      </c>
      <c r="E470" s="147">
        <v>32</v>
      </c>
      <c r="F470" s="147"/>
      <c r="G470" s="147" t="s">
        <v>32</v>
      </c>
      <c r="H470" s="147" t="s">
        <v>33</v>
      </c>
      <c r="I470" s="147"/>
      <c r="J470" s="140" t="s">
        <v>2617</v>
      </c>
      <c r="K470" s="140" t="s">
        <v>2617</v>
      </c>
      <c r="L470" s="147">
        <v>39609.599999999999</v>
      </c>
      <c r="M470" s="147">
        <v>11882.88</v>
      </c>
      <c r="N470" s="147">
        <v>2015</v>
      </c>
      <c r="O470" s="147" t="s">
        <v>2659</v>
      </c>
      <c r="P470" s="147" t="s">
        <v>2660</v>
      </c>
      <c r="Q470" s="147">
        <v>17809251055</v>
      </c>
      <c r="R470" s="147" t="s">
        <v>2661</v>
      </c>
      <c r="S470" s="163" t="s">
        <v>1736</v>
      </c>
      <c r="T470" s="329"/>
    </row>
    <row r="471" spans="1:20" ht="24.95" customHeight="1">
      <c r="A471" s="331" t="s">
        <v>1874</v>
      </c>
      <c r="B471" s="102" t="s">
        <v>526</v>
      </c>
      <c r="C471" s="147" t="s">
        <v>2664</v>
      </c>
      <c r="D471" s="147" t="s">
        <v>62</v>
      </c>
      <c r="E471" s="147"/>
      <c r="F471" s="147">
        <v>8.4220000000000006</v>
      </c>
      <c r="G471" s="147" t="s">
        <v>32</v>
      </c>
      <c r="H471" s="147" t="s">
        <v>33</v>
      </c>
      <c r="I471" s="147"/>
      <c r="J471" s="140" t="s">
        <v>2617</v>
      </c>
      <c r="K471" s="140" t="s">
        <v>2617</v>
      </c>
      <c r="L471" s="147">
        <v>28213.7</v>
      </c>
      <c r="M471" s="147">
        <v>8464.11</v>
      </c>
      <c r="N471" s="147">
        <v>2015</v>
      </c>
      <c r="O471" s="147" t="s">
        <v>2659</v>
      </c>
      <c r="P471" s="147" t="s">
        <v>2660</v>
      </c>
      <c r="Q471" s="147">
        <v>17809251055</v>
      </c>
      <c r="R471" s="147" t="s">
        <v>2661</v>
      </c>
      <c r="S471" s="163" t="s">
        <v>1736</v>
      </c>
      <c r="T471" s="329"/>
    </row>
    <row r="472" spans="1:20" ht="24.95" customHeight="1">
      <c r="A472" s="331" t="s">
        <v>1875</v>
      </c>
      <c r="B472" s="102" t="s">
        <v>526</v>
      </c>
      <c r="C472" s="147" t="s">
        <v>2665</v>
      </c>
      <c r="D472" s="147" t="s">
        <v>62</v>
      </c>
      <c r="E472" s="147"/>
      <c r="F472" s="147">
        <v>2.246</v>
      </c>
      <c r="G472" s="147" t="s">
        <v>32</v>
      </c>
      <c r="H472" s="147" t="s">
        <v>33</v>
      </c>
      <c r="I472" s="147"/>
      <c r="J472" s="140" t="s">
        <v>2617</v>
      </c>
      <c r="K472" s="140" t="s">
        <v>2617</v>
      </c>
      <c r="L472" s="147">
        <v>7524.1</v>
      </c>
      <c r="M472" s="147">
        <v>2257.23</v>
      </c>
      <c r="N472" s="147">
        <v>2015</v>
      </c>
      <c r="O472" s="147" t="s">
        <v>2659</v>
      </c>
      <c r="P472" s="147" t="s">
        <v>2660</v>
      </c>
      <c r="Q472" s="147">
        <v>17809251055</v>
      </c>
      <c r="R472" s="147" t="s">
        <v>2661</v>
      </c>
      <c r="S472" s="163" t="s">
        <v>1736</v>
      </c>
      <c r="T472" s="329"/>
    </row>
    <row r="473" spans="1:20" ht="24.95" customHeight="1">
      <c r="A473" s="331" t="s">
        <v>1878</v>
      </c>
      <c r="B473" s="102" t="s">
        <v>526</v>
      </c>
      <c r="C473" s="147" t="s">
        <v>2666</v>
      </c>
      <c r="D473" s="147" t="s">
        <v>62</v>
      </c>
      <c r="E473" s="147"/>
      <c r="F473" s="147">
        <v>3.35</v>
      </c>
      <c r="G473" s="147" t="s">
        <v>32</v>
      </c>
      <c r="H473" s="147" t="s">
        <v>33</v>
      </c>
      <c r="I473" s="147"/>
      <c r="J473" s="140" t="s">
        <v>2617</v>
      </c>
      <c r="K473" s="140" t="s">
        <v>2617</v>
      </c>
      <c r="L473" s="147">
        <v>11323</v>
      </c>
      <c r="M473" s="147">
        <v>3396.9</v>
      </c>
      <c r="N473" s="147">
        <v>2015</v>
      </c>
      <c r="O473" s="147" t="s">
        <v>2659</v>
      </c>
      <c r="P473" s="147" t="s">
        <v>2660</v>
      </c>
      <c r="Q473" s="147">
        <v>17809251055</v>
      </c>
      <c r="R473" s="147" t="s">
        <v>2661</v>
      </c>
      <c r="S473" s="163" t="s">
        <v>1736</v>
      </c>
      <c r="T473" s="329"/>
    </row>
    <row r="474" spans="1:20" ht="24.95" customHeight="1">
      <c r="A474" s="331" t="s">
        <v>1882</v>
      </c>
      <c r="B474" s="102" t="s">
        <v>526</v>
      </c>
      <c r="C474" s="147" t="s">
        <v>2667</v>
      </c>
      <c r="D474" s="147" t="s">
        <v>62</v>
      </c>
      <c r="E474" s="147"/>
      <c r="F474" s="147">
        <v>23</v>
      </c>
      <c r="G474" s="147" t="s">
        <v>32</v>
      </c>
      <c r="H474" s="147" t="s">
        <v>33</v>
      </c>
      <c r="I474" s="147"/>
      <c r="J474" s="140" t="s">
        <v>2617</v>
      </c>
      <c r="K474" s="140" t="s">
        <v>2617</v>
      </c>
      <c r="L474" s="147">
        <v>87400</v>
      </c>
      <c r="M474" s="147">
        <v>26220</v>
      </c>
      <c r="N474" s="147">
        <v>2015</v>
      </c>
      <c r="O474" s="147" t="s">
        <v>2659</v>
      </c>
      <c r="P474" s="147" t="s">
        <v>2660</v>
      </c>
      <c r="Q474" s="147">
        <v>17809251055</v>
      </c>
      <c r="R474" s="147" t="s">
        <v>2661</v>
      </c>
      <c r="S474" s="163" t="s">
        <v>1736</v>
      </c>
      <c r="T474" s="329"/>
    </row>
    <row r="475" spans="1:20" ht="24.95" customHeight="1">
      <c r="A475" s="331" t="s">
        <v>1885</v>
      </c>
      <c r="B475" s="102" t="s">
        <v>526</v>
      </c>
      <c r="C475" s="147" t="s">
        <v>1868</v>
      </c>
      <c r="D475" s="147" t="s">
        <v>62</v>
      </c>
      <c r="E475" s="147"/>
      <c r="F475" s="147">
        <v>5.3869999999999996</v>
      </c>
      <c r="G475" s="147" t="s">
        <v>32</v>
      </c>
      <c r="H475" s="147" t="s">
        <v>33</v>
      </c>
      <c r="I475" s="147"/>
      <c r="J475" s="140" t="s">
        <v>2617</v>
      </c>
      <c r="K475" s="140" t="s">
        <v>2617</v>
      </c>
      <c r="L475" s="147">
        <v>18046.45</v>
      </c>
      <c r="M475" s="147">
        <v>5413.9350000000004</v>
      </c>
      <c r="N475" s="147">
        <v>2015</v>
      </c>
      <c r="O475" s="147" t="s">
        <v>2659</v>
      </c>
      <c r="P475" s="147" t="s">
        <v>2660</v>
      </c>
      <c r="Q475" s="147">
        <v>17809251055</v>
      </c>
      <c r="R475" s="147" t="s">
        <v>2661</v>
      </c>
      <c r="S475" s="163" t="s">
        <v>1736</v>
      </c>
      <c r="T475" s="329"/>
    </row>
    <row r="476" spans="1:20" ht="24.95" customHeight="1">
      <c r="A476" s="331" t="s">
        <v>1887</v>
      </c>
      <c r="B476" s="102" t="s">
        <v>526</v>
      </c>
      <c r="C476" s="147" t="s">
        <v>2667</v>
      </c>
      <c r="D476" s="147" t="s">
        <v>62</v>
      </c>
      <c r="E476" s="147"/>
      <c r="F476" s="147">
        <v>23</v>
      </c>
      <c r="G476" s="147" t="s">
        <v>32</v>
      </c>
      <c r="H476" s="147" t="s">
        <v>33</v>
      </c>
      <c r="I476" s="147"/>
      <c r="J476" s="140" t="s">
        <v>2617</v>
      </c>
      <c r="K476" s="140" t="s">
        <v>2617</v>
      </c>
      <c r="L476" s="147">
        <v>87400</v>
      </c>
      <c r="M476" s="147">
        <v>26220</v>
      </c>
      <c r="N476" s="147">
        <v>2015</v>
      </c>
      <c r="O476" s="147" t="s">
        <v>2659</v>
      </c>
      <c r="P476" s="147" t="s">
        <v>2660</v>
      </c>
      <c r="Q476" s="147">
        <v>17809251055</v>
      </c>
      <c r="R476" s="147" t="s">
        <v>2661</v>
      </c>
      <c r="S476" s="163" t="s">
        <v>1736</v>
      </c>
      <c r="T476" s="329"/>
    </row>
    <row r="477" spans="1:20" ht="24.95" customHeight="1">
      <c r="A477" s="331" t="s">
        <v>1889</v>
      </c>
      <c r="B477" s="102" t="s">
        <v>526</v>
      </c>
      <c r="C477" s="147" t="s">
        <v>2664</v>
      </c>
      <c r="D477" s="147" t="s">
        <v>62</v>
      </c>
      <c r="E477" s="147"/>
      <c r="F477" s="147">
        <v>7.0919999999999996</v>
      </c>
      <c r="G477" s="147" t="s">
        <v>32</v>
      </c>
      <c r="H477" s="147" t="s">
        <v>33</v>
      </c>
      <c r="I477" s="147"/>
      <c r="J477" s="140" t="s">
        <v>2617</v>
      </c>
      <c r="K477" s="140" t="s">
        <v>2617</v>
      </c>
      <c r="L477" s="147">
        <v>29431.8</v>
      </c>
      <c r="M477" s="147">
        <v>8829.5400000000009</v>
      </c>
      <c r="N477" s="147">
        <v>2015</v>
      </c>
      <c r="O477" s="147" t="s">
        <v>2659</v>
      </c>
      <c r="P477" s="147" t="s">
        <v>2660</v>
      </c>
      <c r="Q477" s="147">
        <v>17809251055</v>
      </c>
      <c r="R477" s="147" t="s">
        <v>2661</v>
      </c>
      <c r="S477" s="163" t="s">
        <v>1736</v>
      </c>
      <c r="T477" s="329"/>
    </row>
    <row r="478" spans="1:20" ht="24.95" customHeight="1">
      <c r="A478" s="331" t="s">
        <v>1892</v>
      </c>
      <c r="B478" s="102" t="s">
        <v>526</v>
      </c>
      <c r="C478" s="147" t="s">
        <v>2666</v>
      </c>
      <c r="D478" s="147" t="s">
        <v>62</v>
      </c>
      <c r="E478" s="147"/>
      <c r="F478" s="147">
        <v>3.153</v>
      </c>
      <c r="G478" s="147" t="s">
        <v>32</v>
      </c>
      <c r="H478" s="147" t="s">
        <v>33</v>
      </c>
      <c r="I478" s="147"/>
      <c r="J478" s="140" t="s">
        <v>2617</v>
      </c>
      <c r="K478" s="140" t="s">
        <v>2617</v>
      </c>
      <c r="L478" s="147">
        <v>13084.95</v>
      </c>
      <c r="M478" s="147">
        <v>3925.4850000000001</v>
      </c>
      <c r="N478" s="147">
        <v>2015</v>
      </c>
      <c r="O478" s="147" t="s">
        <v>2659</v>
      </c>
      <c r="P478" s="147" t="s">
        <v>2660</v>
      </c>
      <c r="Q478" s="147">
        <v>17809251055</v>
      </c>
      <c r="R478" s="147" t="s">
        <v>2661</v>
      </c>
      <c r="S478" s="163" t="s">
        <v>1736</v>
      </c>
      <c r="T478" s="329"/>
    </row>
    <row r="479" spans="1:20" ht="24.95" customHeight="1">
      <c r="A479" s="331" t="s">
        <v>1894</v>
      </c>
      <c r="B479" s="102" t="s">
        <v>526</v>
      </c>
      <c r="C479" s="147" t="s">
        <v>2667</v>
      </c>
      <c r="D479" s="147" t="s">
        <v>62</v>
      </c>
      <c r="E479" s="147"/>
      <c r="F479" s="147">
        <v>22.667999999999999</v>
      </c>
      <c r="G479" s="147" t="s">
        <v>32</v>
      </c>
      <c r="H479" s="147" t="s">
        <v>33</v>
      </c>
      <c r="I479" s="147"/>
      <c r="J479" s="140" t="s">
        <v>2617</v>
      </c>
      <c r="K479" s="140" t="s">
        <v>2617</v>
      </c>
      <c r="L479" s="147">
        <v>94072.2</v>
      </c>
      <c r="M479" s="147">
        <v>28221.66</v>
      </c>
      <c r="N479" s="147">
        <v>2015</v>
      </c>
      <c r="O479" s="147" t="s">
        <v>2659</v>
      </c>
      <c r="P479" s="147" t="s">
        <v>2660</v>
      </c>
      <c r="Q479" s="147">
        <v>17809251055</v>
      </c>
      <c r="R479" s="147" t="s">
        <v>2661</v>
      </c>
      <c r="S479" s="163" t="s">
        <v>1736</v>
      </c>
      <c r="T479" s="329"/>
    </row>
    <row r="480" spans="1:20" ht="24.95" customHeight="1">
      <c r="A480" s="331" t="s">
        <v>1896</v>
      </c>
      <c r="B480" s="102" t="s">
        <v>526</v>
      </c>
      <c r="C480" s="147" t="s">
        <v>1868</v>
      </c>
      <c r="D480" s="147" t="s">
        <v>62</v>
      </c>
      <c r="E480" s="147"/>
      <c r="F480" s="147">
        <v>4.9980000000000002</v>
      </c>
      <c r="G480" s="147" t="s">
        <v>32</v>
      </c>
      <c r="H480" s="147" t="s">
        <v>33</v>
      </c>
      <c r="I480" s="147"/>
      <c r="J480" s="140" t="s">
        <v>2617</v>
      </c>
      <c r="K480" s="140" t="s">
        <v>2617</v>
      </c>
      <c r="L480" s="147">
        <v>18992.400000000001</v>
      </c>
      <c r="M480" s="147">
        <v>5697.72</v>
      </c>
      <c r="N480" s="147">
        <v>2015</v>
      </c>
      <c r="O480" s="147" t="s">
        <v>2659</v>
      </c>
      <c r="P480" s="147" t="s">
        <v>2660</v>
      </c>
      <c r="Q480" s="147">
        <v>17809251055</v>
      </c>
      <c r="R480" s="147" t="s">
        <v>2661</v>
      </c>
      <c r="S480" s="163" t="s">
        <v>1736</v>
      </c>
      <c r="T480" s="329"/>
    </row>
    <row r="481" spans="1:20" ht="24.95" customHeight="1">
      <c r="A481" s="331" t="s">
        <v>1898</v>
      </c>
      <c r="B481" s="102" t="s">
        <v>526</v>
      </c>
      <c r="C481" s="147" t="s">
        <v>2667</v>
      </c>
      <c r="D481" s="147" t="s">
        <v>62</v>
      </c>
      <c r="E481" s="147"/>
      <c r="F481" s="147">
        <v>18.978000000000002</v>
      </c>
      <c r="G481" s="147" t="s">
        <v>32</v>
      </c>
      <c r="H481" s="147" t="s">
        <v>33</v>
      </c>
      <c r="I481" s="147"/>
      <c r="J481" s="140" t="s">
        <v>2617</v>
      </c>
      <c r="K481" s="140" t="s">
        <v>2617</v>
      </c>
      <c r="L481" s="147">
        <v>85401</v>
      </c>
      <c r="M481" s="147">
        <v>25620.3</v>
      </c>
      <c r="N481" s="147">
        <v>2015</v>
      </c>
      <c r="O481" s="147" t="s">
        <v>2659</v>
      </c>
      <c r="P481" s="147" t="s">
        <v>2660</v>
      </c>
      <c r="Q481" s="147">
        <v>17809251055</v>
      </c>
      <c r="R481" s="147" t="s">
        <v>2661</v>
      </c>
      <c r="S481" s="163" t="s">
        <v>1736</v>
      </c>
      <c r="T481" s="329"/>
    </row>
    <row r="482" spans="1:20" ht="24.95" customHeight="1">
      <c r="A482" s="331" t="s">
        <v>1899</v>
      </c>
      <c r="B482" s="102" t="s">
        <v>526</v>
      </c>
      <c r="C482" s="147" t="s">
        <v>2668</v>
      </c>
      <c r="D482" s="147" t="s">
        <v>161</v>
      </c>
      <c r="E482" s="147">
        <v>180</v>
      </c>
      <c r="F482" s="147"/>
      <c r="G482" s="147" t="s">
        <v>32</v>
      </c>
      <c r="H482" s="147" t="s">
        <v>33</v>
      </c>
      <c r="I482" s="147"/>
      <c r="J482" s="140" t="s">
        <v>2617</v>
      </c>
      <c r="K482" s="140" t="s">
        <v>2617</v>
      </c>
      <c r="L482" s="147">
        <v>21600</v>
      </c>
      <c r="M482" s="147">
        <v>6480</v>
      </c>
      <c r="N482" s="147">
        <v>2015</v>
      </c>
      <c r="O482" s="147" t="s">
        <v>2659</v>
      </c>
      <c r="P482" s="147" t="s">
        <v>2660</v>
      </c>
      <c r="Q482" s="147">
        <v>17809251055</v>
      </c>
      <c r="R482" s="147" t="s">
        <v>2661</v>
      </c>
      <c r="S482" s="163" t="s">
        <v>1736</v>
      </c>
      <c r="T482" s="329"/>
    </row>
    <row r="483" spans="1:20" ht="24.95" customHeight="1">
      <c r="A483" s="331" t="s">
        <v>1901</v>
      </c>
      <c r="B483" s="102" t="s">
        <v>526</v>
      </c>
      <c r="C483" s="147" t="s">
        <v>2669</v>
      </c>
      <c r="D483" s="147" t="s">
        <v>161</v>
      </c>
      <c r="E483" s="147">
        <v>48</v>
      </c>
      <c r="F483" s="147"/>
      <c r="G483" s="147" t="s">
        <v>32</v>
      </c>
      <c r="H483" s="147" t="s">
        <v>33</v>
      </c>
      <c r="I483" s="147"/>
      <c r="J483" s="140" t="s">
        <v>2617</v>
      </c>
      <c r="K483" s="140" t="s">
        <v>2617</v>
      </c>
      <c r="L483" s="147">
        <v>11520</v>
      </c>
      <c r="M483" s="147">
        <v>3456</v>
      </c>
      <c r="N483" s="147">
        <v>2015</v>
      </c>
      <c r="O483" s="147" t="s">
        <v>2659</v>
      </c>
      <c r="P483" s="147" t="s">
        <v>2660</v>
      </c>
      <c r="Q483" s="147">
        <v>17809251055</v>
      </c>
      <c r="R483" s="147" t="s">
        <v>2661</v>
      </c>
      <c r="S483" s="163" t="s">
        <v>1736</v>
      </c>
      <c r="T483" s="329"/>
    </row>
    <row r="484" spans="1:20" ht="24.95" customHeight="1">
      <c r="A484" s="331" t="s">
        <v>1902</v>
      </c>
      <c r="B484" s="102" t="s">
        <v>526</v>
      </c>
      <c r="C484" s="147" t="s">
        <v>599</v>
      </c>
      <c r="D484" s="147" t="s">
        <v>161</v>
      </c>
      <c r="E484" s="147">
        <v>48</v>
      </c>
      <c r="F484" s="147"/>
      <c r="G484" s="147" t="s">
        <v>32</v>
      </c>
      <c r="H484" s="147" t="s">
        <v>33</v>
      </c>
      <c r="I484" s="147"/>
      <c r="J484" s="140" t="s">
        <v>2617</v>
      </c>
      <c r="K484" s="140" t="s">
        <v>2617</v>
      </c>
      <c r="L484" s="147">
        <v>6480</v>
      </c>
      <c r="M484" s="147">
        <v>1944</v>
      </c>
      <c r="N484" s="147">
        <v>2015</v>
      </c>
      <c r="O484" s="147" t="s">
        <v>2659</v>
      </c>
      <c r="P484" s="147" t="s">
        <v>2660</v>
      </c>
      <c r="Q484" s="147">
        <v>17809251055</v>
      </c>
      <c r="R484" s="147" t="s">
        <v>2661</v>
      </c>
      <c r="S484" s="163" t="s">
        <v>1736</v>
      </c>
      <c r="T484" s="329"/>
    </row>
    <row r="485" spans="1:20" ht="24.95" customHeight="1">
      <c r="A485" s="331" t="s">
        <v>1903</v>
      </c>
      <c r="B485" s="102" t="s">
        <v>526</v>
      </c>
      <c r="C485" s="147" t="s">
        <v>2670</v>
      </c>
      <c r="D485" s="147" t="s">
        <v>464</v>
      </c>
      <c r="E485" s="147">
        <v>16</v>
      </c>
      <c r="F485" s="147"/>
      <c r="G485" s="147" t="s">
        <v>32</v>
      </c>
      <c r="H485" s="147" t="s">
        <v>33</v>
      </c>
      <c r="I485" s="147"/>
      <c r="J485" s="140" t="s">
        <v>2617</v>
      </c>
      <c r="K485" s="140" t="s">
        <v>2617</v>
      </c>
      <c r="L485" s="147">
        <v>58755.8</v>
      </c>
      <c r="M485" s="147">
        <v>17626.740000000002</v>
      </c>
      <c r="N485" s="147">
        <v>2015</v>
      </c>
      <c r="O485" s="147" t="s">
        <v>2659</v>
      </c>
      <c r="P485" s="147" t="s">
        <v>2660</v>
      </c>
      <c r="Q485" s="147">
        <v>17809251055</v>
      </c>
      <c r="R485" s="147" t="s">
        <v>2661</v>
      </c>
      <c r="S485" s="163" t="s">
        <v>1736</v>
      </c>
      <c r="T485" s="329"/>
    </row>
    <row r="486" spans="1:20" ht="24.95" customHeight="1">
      <c r="A486" s="331" t="s">
        <v>1905</v>
      </c>
      <c r="B486" s="102" t="s">
        <v>526</v>
      </c>
      <c r="C486" s="147" t="s">
        <v>2671</v>
      </c>
      <c r="D486" s="147" t="s">
        <v>464</v>
      </c>
      <c r="E486" s="147">
        <v>12</v>
      </c>
      <c r="F486" s="147"/>
      <c r="G486" s="147" t="s">
        <v>32</v>
      </c>
      <c r="H486" s="147" t="s">
        <v>33</v>
      </c>
      <c r="I486" s="147"/>
      <c r="J486" s="140" t="s">
        <v>2617</v>
      </c>
      <c r="K486" s="140" t="s">
        <v>2617</v>
      </c>
      <c r="L486" s="147">
        <v>29957.4</v>
      </c>
      <c r="M486" s="147">
        <v>8987.2199999999993</v>
      </c>
      <c r="N486" s="147">
        <v>2015</v>
      </c>
      <c r="O486" s="147" t="s">
        <v>2659</v>
      </c>
      <c r="P486" s="147" t="s">
        <v>2660</v>
      </c>
      <c r="Q486" s="147">
        <v>17809251055</v>
      </c>
      <c r="R486" s="147" t="s">
        <v>2661</v>
      </c>
      <c r="S486" s="163" t="s">
        <v>1736</v>
      </c>
      <c r="T486" s="329"/>
    </row>
    <row r="487" spans="1:20" ht="24.95" customHeight="1">
      <c r="A487" s="331" t="s">
        <v>1906</v>
      </c>
      <c r="B487" s="102" t="s">
        <v>526</v>
      </c>
      <c r="C487" s="147" t="s">
        <v>2672</v>
      </c>
      <c r="D487" s="147" t="s">
        <v>464</v>
      </c>
      <c r="E487" s="147">
        <v>4</v>
      </c>
      <c r="F487" s="147"/>
      <c r="G487" s="147" t="s">
        <v>32</v>
      </c>
      <c r="H487" s="147" t="s">
        <v>33</v>
      </c>
      <c r="I487" s="147"/>
      <c r="J487" s="140" t="s">
        <v>2617</v>
      </c>
      <c r="K487" s="140" t="s">
        <v>2617</v>
      </c>
      <c r="L487" s="147">
        <v>9078.48</v>
      </c>
      <c r="M487" s="147">
        <v>2723.5439999999999</v>
      </c>
      <c r="N487" s="147">
        <v>2015</v>
      </c>
      <c r="O487" s="147" t="s">
        <v>2659</v>
      </c>
      <c r="P487" s="147" t="s">
        <v>2660</v>
      </c>
      <c r="Q487" s="147">
        <v>17809251055</v>
      </c>
      <c r="R487" s="147" t="s">
        <v>2661</v>
      </c>
      <c r="S487" s="163" t="s">
        <v>1736</v>
      </c>
      <c r="T487" s="329"/>
    </row>
    <row r="488" spans="1:20" ht="24.95" customHeight="1">
      <c r="A488" s="331" t="s">
        <v>1907</v>
      </c>
      <c r="B488" s="102" t="s">
        <v>526</v>
      </c>
      <c r="C488" s="147" t="s">
        <v>2673</v>
      </c>
      <c r="D488" s="147" t="s">
        <v>464</v>
      </c>
      <c r="E488" s="147">
        <v>2</v>
      </c>
      <c r="F488" s="147"/>
      <c r="G488" s="147" t="s">
        <v>32</v>
      </c>
      <c r="H488" s="147" t="s">
        <v>33</v>
      </c>
      <c r="I488" s="147"/>
      <c r="J488" s="140" t="s">
        <v>2617</v>
      </c>
      <c r="K488" s="140" t="s">
        <v>2617</v>
      </c>
      <c r="L488" s="147">
        <v>7096.5</v>
      </c>
      <c r="M488" s="147">
        <v>2128.9499999999998</v>
      </c>
      <c r="N488" s="147">
        <v>2015</v>
      </c>
      <c r="O488" s="147" t="s">
        <v>2659</v>
      </c>
      <c r="P488" s="147" t="s">
        <v>2660</v>
      </c>
      <c r="Q488" s="147">
        <v>17809251055</v>
      </c>
      <c r="R488" s="147" t="s">
        <v>2661</v>
      </c>
      <c r="S488" s="163" t="s">
        <v>1736</v>
      </c>
      <c r="T488" s="329"/>
    </row>
    <row r="489" spans="1:20" ht="24.95" customHeight="1">
      <c r="A489" s="331" t="s">
        <v>1914</v>
      </c>
      <c r="B489" s="102" t="s">
        <v>526</v>
      </c>
      <c r="C489" s="147" t="s">
        <v>2667</v>
      </c>
      <c r="D489" s="147" t="s">
        <v>464</v>
      </c>
      <c r="E489" s="147">
        <v>4</v>
      </c>
      <c r="F489" s="147"/>
      <c r="G489" s="147" t="s">
        <v>32</v>
      </c>
      <c r="H489" s="147" t="s">
        <v>33</v>
      </c>
      <c r="I489" s="147"/>
      <c r="J489" s="140" t="s">
        <v>2617</v>
      </c>
      <c r="K489" s="140" t="s">
        <v>2617</v>
      </c>
      <c r="L489" s="147">
        <v>11800</v>
      </c>
      <c r="M489" s="147">
        <v>3540</v>
      </c>
      <c r="N489" s="147">
        <v>2015</v>
      </c>
      <c r="O489" s="147" t="s">
        <v>2659</v>
      </c>
      <c r="P489" s="147" t="s">
        <v>2660</v>
      </c>
      <c r="Q489" s="147">
        <v>17809251055</v>
      </c>
      <c r="R489" s="147" t="s">
        <v>2661</v>
      </c>
      <c r="S489" s="163" t="s">
        <v>1736</v>
      </c>
      <c r="T489" s="329"/>
    </row>
    <row r="490" spans="1:20" ht="24.95" customHeight="1">
      <c r="A490" s="331" t="s">
        <v>1916</v>
      </c>
      <c r="B490" s="102" t="s">
        <v>526</v>
      </c>
      <c r="C490" s="147" t="s">
        <v>2674</v>
      </c>
      <c r="D490" s="147" t="s">
        <v>464</v>
      </c>
      <c r="E490" s="147">
        <v>24</v>
      </c>
      <c r="F490" s="147"/>
      <c r="G490" s="147" t="s">
        <v>32</v>
      </c>
      <c r="H490" s="147" t="s">
        <v>33</v>
      </c>
      <c r="I490" s="147"/>
      <c r="J490" s="140" t="s">
        <v>2617</v>
      </c>
      <c r="K490" s="140" t="s">
        <v>2617</v>
      </c>
      <c r="L490" s="147">
        <v>24607.439999999999</v>
      </c>
      <c r="M490" s="147">
        <v>7382.232</v>
      </c>
      <c r="N490" s="147">
        <v>2015</v>
      </c>
      <c r="O490" s="147" t="s">
        <v>2659</v>
      </c>
      <c r="P490" s="147" t="s">
        <v>2660</v>
      </c>
      <c r="Q490" s="147">
        <v>17809251055</v>
      </c>
      <c r="R490" s="147" t="s">
        <v>2661</v>
      </c>
      <c r="S490" s="163" t="s">
        <v>1736</v>
      </c>
      <c r="T490" s="329"/>
    </row>
    <row r="491" spans="1:20" ht="24.95" customHeight="1">
      <c r="A491" s="331" t="s">
        <v>1918</v>
      </c>
      <c r="B491" s="102" t="s">
        <v>526</v>
      </c>
      <c r="C491" s="147" t="s">
        <v>2675</v>
      </c>
      <c r="D491" s="147" t="s">
        <v>464</v>
      </c>
      <c r="E491" s="147">
        <v>24</v>
      </c>
      <c r="F491" s="147"/>
      <c r="G491" s="147" t="s">
        <v>32</v>
      </c>
      <c r="H491" s="147" t="s">
        <v>33</v>
      </c>
      <c r="I491" s="147"/>
      <c r="J491" s="140" t="s">
        <v>2617</v>
      </c>
      <c r="K491" s="140" t="s">
        <v>2617</v>
      </c>
      <c r="L491" s="147">
        <v>24600</v>
      </c>
      <c r="M491" s="147">
        <v>7380</v>
      </c>
      <c r="N491" s="147">
        <v>2015</v>
      </c>
      <c r="O491" s="147" t="s">
        <v>2659</v>
      </c>
      <c r="P491" s="147" t="s">
        <v>2660</v>
      </c>
      <c r="Q491" s="147">
        <v>17809251055</v>
      </c>
      <c r="R491" s="147" t="s">
        <v>2661</v>
      </c>
      <c r="S491" s="163" t="s">
        <v>1736</v>
      </c>
      <c r="T491" s="329"/>
    </row>
    <row r="492" spans="1:20" ht="24.95" customHeight="1">
      <c r="A492" s="331" t="s">
        <v>1921</v>
      </c>
      <c r="B492" s="102" t="s">
        <v>526</v>
      </c>
      <c r="C492" s="147" t="s">
        <v>2676</v>
      </c>
      <c r="D492" s="147" t="s">
        <v>464</v>
      </c>
      <c r="E492" s="147">
        <v>12</v>
      </c>
      <c r="F492" s="147"/>
      <c r="G492" s="147" t="s">
        <v>32</v>
      </c>
      <c r="H492" s="147" t="s">
        <v>33</v>
      </c>
      <c r="I492" s="147"/>
      <c r="J492" s="140" t="s">
        <v>2617</v>
      </c>
      <c r="K492" s="140" t="s">
        <v>2617</v>
      </c>
      <c r="L492" s="147">
        <v>23400</v>
      </c>
      <c r="M492" s="147">
        <v>7020</v>
      </c>
      <c r="N492" s="147">
        <v>2015</v>
      </c>
      <c r="O492" s="147" t="s">
        <v>2659</v>
      </c>
      <c r="P492" s="147" t="s">
        <v>2660</v>
      </c>
      <c r="Q492" s="147">
        <v>17809251055</v>
      </c>
      <c r="R492" s="147" t="s">
        <v>2661</v>
      </c>
      <c r="S492" s="163" t="s">
        <v>1736</v>
      </c>
      <c r="T492" s="329"/>
    </row>
    <row r="493" spans="1:20" ht="24.95" customHeight="1">
      <c r="A493" s="331" t="s">
        <v>1925</v>
      </c>
      <c r="B493" s="102" t="s">
        <v>526</v>
      </c>
      <c r="C493" s="147" t="s">
        <v>2677</v>
      </c>
      <c r="D493" s="147" t="s">
        <v>464</v>
      </c>
      <c r="E493" s="147">
        <v>8</v>
      </c>
      <c r="F493" s="147"/>
      <c r="G493" s="147" t="s">
        <v>32</v>
      </c>
      <c r="H493" s="147" t="s">
        <v>33</v>
      </c>
      <c r="I493" s="147"/>
      <c r="J493" s="140" t="s">
        <v>2617</v>
      </c>
      <c r="K493" s="140" t="s">
        <v>2617</v>
      </c>
      <c r="L493" s="147">
        <v>24600</v>
      </c>
      <c r="M493" s="147">
        <v>7380</v>
      </c>
      <c r="N493" s="147">
        <v>2015</v>
      </c>
      <c r="O493" s="147" t="s">
        <v>2659</v>
      </c>
      <c r="P493" s="147" t="s">
        <v>2660</v>
      </c>
      <c r="Q493" s="147">
        <v>17809251055</v>
      </c>
      <c r="R493" s="147" t="s">
        <v>2661</v>
      </c>
      <c r="S493" s="163" t="s">
        <v>1736</v>
      </c>
      <c r="T493" s="329"/>
    </row>
    <row r="494" spans="1:20" ht="24.95" customHeight="1">
      <c r="A494" s="331" t="s">
        <v>1927</v>
      </c>
      <c r="B494" s="102" t="s">
        <v>526</v>
      </c>
      <c r="C494" s="147" t="s">
        <v>2678</v>
      </c>
      <c r="D494" s="147" t="s">
        <v>464</v>
      </c>
      <c r="E494" s="147">
        <v>16</v>
      </c>
      <c r="F494" s="147"/>
      <c r="G494" s="147" t="s">
        <v>32</v>
      </c>
      <c r="H494" s="147" t="s">
        <v>33</v>
      </c>
      <c r="I494" s="147"/>
      <c r="J494" s="140" t="s">
        <v>2617</v>
      </c>
      <c r="K494" s="140" t="s">
        <v>2617</v>
      </c>
      <c r="L494" s="147">
        <v>12800</v>
      </c>
      <c r="M494" s="147">
        <v>3840</v>
      </c>
      <c r="N494" s="147">
        <v>2015</v>
      </c>
      <c r="O494" s="147" t="s">
        <v>2659</v>
      </c>
      <c r="P494" s="147" t="s">
        <v>2660</v>
      </c>
      <c r="Q494" s="147">
        <v>17809251055</v>
      </c>
      <c r="R494" s="147" t="s">
        <v>2661</v>
      </c>
      <c r="S494" s="163" t="s">
        <v>1736</v>
      </c>
      <c r="T494" s="329"/>
    </row>
    <row r="495" spans="1:20" ht="24.95" customHeight="1">
      <c r="A495" s="331" t="s">
        <v>1929</v>
      </c>
      <c r="B495" s="102" t="s">
        <v>526</v>
      </c>
      <c r="C495" s="147" t="s">
        <v>2679</v>
      </c>
      <c r="D495" s="147" t="s">
        <v>464</v>
      </c>
      <c r="E495" s="147">
        <v>16</v>
      </c>
      <c r="F495" s="147"/>
      <c r="G495" s="147" t="s">
        <v>32</v>
      </c>
      <c r="H495" s="147" t="s">
        <v>33</v>
      </c>
      <c r="I495" s="147"/>
      <c r="J495" s="140" t="s">
        <v>2617</v>
      </c>
      <c r="K495" s="140" t="s">
        <v>2617</v>
      </c>
      <c r="L495" s="147">
        <v>9200</v>
      </c>
      <c r="M495" s="147">
        <v>2760</v>
      </c>
      <c r="N495" s="147">
        <v>2015</v>
      </c>
      <c r="O495" s="147" t="s">
        <v>2659</v>
      </c>
      <c r="P495" s="147" t="s">
        <v>2660</v>
      </c>
      <c r="Q495" s="147">
        <v>17809251055</v>
      </c>
      <c r="R495" s="147" t="s">
        <v>2661</v>
      </c>
      <c r="S495" s="163" t="s">
        <v>1736</v>
      </c>
      <c r="T495" s="329"/>
    </row>
    <row r="496" spans="1:20" ht="24.95" customHeight="1">
      <c r="A496" s="331" t="s">
        <v>1935</v>
      </c>
      <c r="B496" s="102" t="s">
        <v>526</v>
      </c>
      <c r="C496" s="147" t="s">
        <v>2680</v>
      </c>
      <c r="D496" s="147" t="s">
        <v>464</v>
      </c>
      <c r="E496" s="147">
        <v>16</v>
      </c>
      <c r="F496" s="147"/>
      <c r="G496" s="147" t="s">
        <v>32</v>
      </c>
      <c r="H496" s="147" t="s">
        <v>33</v>
      </c>
      <c r="I496" s="147"/>
      <c r="J496" s="140" t="s">
        <v>2617</v>
      </c>
      <c r="K496" s="140" t="s">
        <v>2617</v>
      </c>
      <c r="L496" s="147">
        <v>13632</v>
      </c>
      <c r="M496" s="147">
        <v>4089.6</v>
      </c>
      <c r="N496" s="147">
        <v>2015</v>
      </c>
      <c r="O496" s="147" t="s">
        <v>2659</v>
      </c>
      <c r="P496" s="147" t="s">
        <v>2660</v>
      </c>
      <c r="Q496" s="147">
        <v>17809251055</v>
      </c>
      <c r="R496" s="147" t="s">
        <v>2661</v>
      </c>
      <c r="S496" s="163" t="s">
        <v>1736</v>
      </c>
      <c r="T496" s="329"/>
    </row>
    <row r="497" spans="1:20" ht="24.95" customHeight="1">
      <c r="A497" s="331" t="s">
        <v>1937</v>
      </c>
      <c r="B497" s="102" t="s">
        <v>526</v>
      </c>
      <c r="C497" s="147" t="s">
        <v>2681</v>
      </c>
      <c r="D497" s="147" t="s">
        <v>464</v>
      </c>
      <c r="E497" s="147">
        <v>8</v>
      </c>
      <c r="F497" s="147"/>
      <c r="G497" s="147" t="s">
        <v>32</v>
      </c>
      <c r="H497" s="147" t="s">
        <v>33</v>
      </c>
      <c r="I497" s="147"/>
      <c r="J497" s="140" t="s">
        <v>2617</v>
      </c>
      <c r="K497" s="140" t="s">
        <v>2617</v>
      </c>
      <c r="L497" s="147">
        <v>3648</v>
      </c>
      <c r="M497" s="147">
        <v>1094.4000000000001</v>
      </c>
      <c r="N497" s="147">
        <v>2015</v>
      </c>
      <c r="O497" s="147" t="s">
        <v>2659</v>
      </c>
      <c r="P497" s="147" t="s">
        <v>2660</v>
      </c>
      <c r="Q497" s="147">
        <v>17809251055</v>
      </c>
      <c r="R497" s="147" t="s">
        <v>2661</v>
      </c>
      <c r="S497" s="163" t="s">
        <v>1736</v>
      </c>
      <c r="T497" s="329"/>
    </row>
    <row r="498" spans="1:20" ht="24.95" customHeight="1">
      <c r="A498" s="331" t="s">
        <v>1941</v>
      </c>
      <c r="B498" s="102" t="s">
        <v>526</v>
      </c>
      <c r="C498" s="147" t="s">
        <v>2682</v>
      </c>
      <c r="D498" s="147" t="s">
        <v>464</v>
      </c>
      <c r="E498" s="147">
        <v>16</v>
      </c>
      <c r="F498" s="147"/>
      <c r="G498" s="147" t="s">
        <v>32</v>
      </c>
      <c r="H498" s="147" t="s">
        <v>33</v>
      </c>
      <c r="I498" s="147"/>
      <c r="J498" s="140" t="s">
        <v>2617</v>
      </c>
      <c r="K498" s="140" t="s">
        <v>2617</v>
      </c>
      <c r="L498" s="147">
        <v>12240</v>
      </c>
      <c r="M498" s="147">
        <v>3672</v>
      </c>
      <c r="N498" s="147">
        <v>2015</v>
      </c>
      <c r="O498" s="147" t="s">
        <v>2659</v>
      </c>
      <c r="P498" s="147" t="s">
        <v>2660</v>
      </c>
      <c r="Q498" s="147">
        <v>17809251055</v>
      </c>
      <c r="R498" s="147" t="s">
        <v>2661</v>
      </c>
      <c r="S498" s="163" t="s">
        <v>1736</v>
      </c>
      <c r="T498" s="329"/>
    </row>
    <row r="499" spans="1:20" ht="24.95" customHeight="1">
      <c r="A499" s="331" t="s">
        <v>1944</v>
      </c>
      <c r="B499" s="102" t="s">
        <v>526</v>
      </c>
      <c r="C499" s="147" t="s">
        <v>2683</v>
      </c>
      <c r="D499" s="147" t="s">
        <v>464</v>
      </c>
      <c r="E499" s="147">
        <v>16</v>
      </c>
      <c r="F499" s="147"/>
      <c r="G499" s="147" t="s">
        <v>32</v>
      </c>
      <c r="H499" s="147" t="s">
        <v>33</v>
      </c>
      <c r="I499" s="147"/>
      <c r="J499" s="140" t="s">
        <v>2617</v>
      </c>
      <c r="K499" s="140" t="s">
        <v>2617</v>
      </c>
      <c r="L499" s="147">
        <v>9920</v>
      </c>
      <c r="M499" s="147">
        <v>2976</v>
      </c>
      <c r="N499" s="147">
        <v>2015</v>
      </c>
      <c r="O499" s="147" t="s">
        <v>2659</v>
      </c>
      <c r="P499" s="147" t="s">
        <v>2660</v>
      </c>
      <c r="Q499" s="147">
        <v>17809251055</v>
      </c>
      <c r="R499" s="147" t="s">
        <v>2661</v>
      </c>
      <c r="S499" s="163" t="s">
        <v>1736</v>
      </c>
      <c r="T499" s="329"/>
    </row>
    <row r="500" spans="1:20" ht="24.95" customHeight="1">
      <c r="A500" s="331" t="s">
        <v>1945</v>
      </c>
      <c r="B500" s="102" t="s">
        <v>526</v>
      </c>
      <c r="C500" s="147" t="s">
        <v>2684</v>
      </c>
      <c r="D500" s="147" t="s">
        <v>464</v>
      </c>
      <c r="E500" s="147">
        <v>8</v>
      </c>
      <c r="F500" s="147"/>
      <c r="G500" s="147" t="s">
        <v>32</v>
      </c>
      <c r="H500" s="147" t="s">
        <v>33</v>
      </c>
      <c r="I500" s="147"/>
      <c r="J500" s="140" t="s">
        <v>2617</v>
      </c>
      <c r="K500" s="140" t="s">
        <v>2617</v>
      </c>
      <c r="L500" s="147">
        <v>3240</v>
      </c>
      <c r="M500" s="147">
        <v>972</v>
      </c>
      <c r="N500" s="147">
        <v>2015</v>
      </c>
      <c r="O500" s="147" t="s">
        <v>2659</v>
      </c>
      <c r="P500" s="147" t="s">
        <v>2660</v>
      </c>
      <c r="Q500" s="147">
        <v>17809251055</v>
      </c>
      <c r="R500" s="147" t="s">
        <v>2661</v>
      </c>
      <c r="S500" s="163" t="s">
        <v>1736</v>
      </c>
      <c r="T500" s="329"/>
    </row>
    <row r="501" spans="1:20" ht="24.95" customHeight="1">
      <c r="A501" s="331" t="s">
        <v>1949</v>
      </c>
      <c r="B501" s="102" t="s">
        <v>526</v>
      </c>
      <c r="C501" s="147" t="s">
        <v>2685</v>
      </c>
      <c r="D501" s="147" t="s">
        <v>464</v>
      </c>
      <c r="E501" s="147">
        <v>4</v>
      </c>
      <c r="F501" s="147"/>
      <c r="G501" s="147" t="s">
        <v>32</v>
      </c>
      <c r="H501" s="147" t="s">
        <v>33</v>
      </c>
      <c r="I501" s="147"/>
      <c r="J501" s="140" t="s">
        <v>2617</v>
      </c>
      <c r="K501" s="140" t="s">
        <v>2617</v>
      </c>
      <c r="L501" s="147">
        <v>3280</v>
      </c>
      <c r="M501" s="147">
        <v>984</v>
      </c>
      <c r="N501" s="147">
        <v>2015</v>
      </c>
      <c r="O501" s="147" t="s">
        <v>2659</v>
      </c>
      <c r="P501" s="147" t="s">
        <v>2660</v>
      </c>
      <c r="Q501" s="147">
        <v>17809251055</v>
      </c>
      <c r="R501" s="147" t="s">
        <v>2661</v>
      </c>
      <c r="S501" s="163" t="s">
        <v>1736</v>
      </c>
      <c r="T501" s="329"/>
    </row>
    <row r="502" spans="1:20" ht="24.95" customHeight="1">
      <c r="A502" s="331" t="s">
        <v>1951</v>
      </c>
      <c r="B502" s="102" t="s">
        <v>526</v>
      </c>
      <c r="C502" s="147" t="s">
        <v>2686</v>
      </c>
      <c r="D502" s="147" t="s">
        <v>464</v>
      </c>
      <c r="E502" s="147">
        <v>8</v>
      </c>
      <c r="F502" s="147"/>
      <c r="G502" s="147" t="s">
        <v>32</v>
      </c>
      <c r="H502" s="147" t="s">
        <v>33</v>
      </c>
      <c r="I502" s="147"/>
      <c r="J502" s="140" t="s">
        <v>2617</v>
      </c>
      <c r="K502" s="140" t="s">
        <v>2617</v>
      </c>
      <c r="L502" s="147">
        <v>6080</v>
      </c>
      <c r="M502" s="147">
        <v>1824</v>
      </c>
      <c r="N502" s="147">
        <v>2015</v>
      </c>
      <c r="O502" s="147" t="s">
        <v>2659</v>
      </c>
      <c r="P502" s="147" t="s">
        <v>2660</v>
      </c>
      <c r="Q502" s="147">
        <v>17809251055</v>
      </c>
      <c r="R502" s="147" t="s">
        <v>2661</v>
      </c>
      <c r="S502" s="163" t="s">
        <v>1736</v>
      </c>
      <c r="T502" s="329"/>
    </row>
    <row r="503" spans="1:20" ht="24.95" customHeight="1">
      <c r="A503" s="331" t="s">
        <v>1953</v>
      </c>
      <c r="B503" s="102" t="s">
        <v>526</v>
      </c>
      <c r="C503" s="147" t="s">
        <v>2686</v>
      </c>
      <c r="D503" s="147" t="s">
        <v>464</v>
      </c>
      <c r="E503" s="147">
        <v>8</v>
      </c>
      <c r="F503" s="147"/>
      <c r="G503" s="147" t="s">
        <v>32</v>
      </c>
      <c r="H503" s="147" t="s">
        <v>33</v>
      </c>
      <c r="I503" s="147"/>
      <c r="J503" s="140" t="s">
        <v>2617</v>
      </c>
      <c r="K503" s="140" t="s">
        <v>2617</v>
      </c>
      <c r="L503" s="147">
        <v>6080</v>
      </c>
      <c r="M503" s="147">
        <v>1824</v>
      </c>
      <c r="N503" s="147">
        <v>2015</v>
      </c>
      <c r="O503" s="147" t="s">
        <v>2659</v>
      </c>
      <c r="P503" s="147" t="s">
        <v>2660</v>
      </c>
      <c r="Q503" s="147">
        <v>17809251055</v>
      </c>
      <c r="R503" s="147" t="s">
        <v>2661</v>
      </c>
      <c r="S503" s="163" t="s">
        <v>1736</v>
      </c>
      <c r="T503" s="329"/>
    </row>
    <row r="504" spans="1:20" ht="24.95" customHeight="1">
      <c r="A504" s="331" t="s">
        <v>1955</v>
      </c>
      <c r="B504" s="102" t="s">
        <v>526</v>
      </c>
      <c r="C504" s="147" t="s">
        <v>2687</v>
      </c>
      <c r="D504" s="147" t="s">
        <v>464</v>
      </c>
      <c r="E504" s="147">
        <v>12</v>
      </c>
      <c r="F504" s="147"/>
      <c r="G504" s="147" t="s">
        <v>32</v>
      </c>
      <c r="H504" s="147" t="s">
        <v>33</v>
      </c>
      <c r="I504" s="147"/>
      <c r="J504" s="140" t="s">
        <v>2617</v>
      </c>
      <c r="K504" s="140" t="s">
        <v>2617</v>
      </c>
      <c r="L504" s="147">
        <v>19980</v>
      </c>
      <c r="M504" s="147">
        <v>5994</v>
      </c>
      <c r="N504" s="147">
        <v>2015</v>
      </c>
      <c r="O504" s="147" t="s">
        <v>2659</v>
      </c>
      <c r="P504" s="147" t="s">
        <v>2660</v>
      </c>
      <c r="Q504" s="147">
        <v>17809251055</v>
      </c>
      <c r="R504" s="147" t="s">
        <v>2661</v>
      </c>
      <c r="S504" s="163" t="s">
        <v>1736</v>
      </c>
      <c r="T504" s="329"/>
    </row>
    <row r="505" spans="1:20" ht="24.95" customHeight="1">
      <c r="A505" s="331" t="s">
        <v>1957</v>
      </c>
      <c r="B505" s="102" t="s">
        <v>526</v>
      </c>
      <c r="C505" s="147" t="s">
        <v>2688</v>
      </c>
      <c r="D505" s="147" t="s">
        <v>464</v>
      </c>
      <c r="E505" s="147">
        <v>28</v>
      </c>
      <c r="F505" s="147"/>
      <c r="G505" s="147" t="s">
        <v>32</v>
      </c>
      <c r="H505" s="147" t="s">
        <v>33</v>
      </c>
      <c r="I505" s="147"/>
      <c r="J505" s="140" t="s">
        <v>2617</v>
      </c>
      <c r="K505" s="140" t="s">
        <v>2617</v>
      </c>
      <c r="L505" s="147">
        <v>4340</v>
      </c>
      <c r="M505" s="147">
        <v>1302</v>
      </c>
      <c r="N505" s="147">
        <v>2015</v>
      </c>
      <c r="O505" s="147" t="s">
        <v>2659</v>
      </c>
      <c r="P505" s="147" t="s">
        <v>2660</v>
      </c>
      <c r="Q505" s="147">
        <v>17809251055</v>
      </c>
      <c r="R505" s="147" t="s">
        <v>2661</v>
      </c>
      <c r="S505" s="163" t="s">
        <v>1736</v>
      </c>
      <c r="T505" s="329"/>
    </row>
    <row r="506" spans="1:20" ht="24.95" customHeight="1">
      <c r="A506" s="331" t="s">
        <v>1958</v>
      </c>
      <c r="B506" s="102" t="s">
        <v>526</v>
      </c>
      <c r="C506" s="147" t="s">
        <v>2689</v>
      </c>
      <c r="D506" s="147" t="s">
        <v>464</v>
      </c>
      <c r="E506" s="147">
        <v>81</v>
      </c>
      <c r="F506" s="147"/>
      <c r="G506" s="147" t="s">
        <v>32</v>
      </c>
      <c r="H506" s="147" t="s">
        <v>33</v>
      </c>
      <c r="I506" s="147"/>
      <c r="J506" s="140" t="s">
        <v>2617</v>
      </c>
      <c r="K506" s="140" t="s">
        <v>2617</v>
      </c>
      <c r="L506" s="147">
        <v>25920</v>
      </c>
      <c r="M506" s="147">
        <v>7776</v>
      </c>
      <c r="N506" s="147">
        <v>2015</v>
      </c>
      <c r="O506" s="147" t="s">
        <v>2659</v>
      </c>
      <c r="P506" s="147" t="s">
        <v>2660</v>
      </c>
      <c r="Q506" s="147">
        <v>17809251055</v>
      </c>
      <c r="R506" s="147" t="s">
        <v>2661</v>
      </c>
      <c r="S506" s="163" t="s">
        <v>1736</v>
      </c>
      <c r="T506" s="329"/>
    </row>
    <row r="507" spans="1:20" ht="24.95" customHeight="1">
      <c r="A507" s="331" t="s">
        <v>1961</v>
      </c>
      <c r="B507" s="102" t="s">
        <v>526</v>
      </c>
      <c r="C507" s="147" t="s">
        <v>2690</v>
      </c>
      <c r="D507" s="147" t="s">
        <v>2323</v>
      </c>
      <c r="E507" s="147"/>
      <c r="F507" s="147">
        <v>1.081</v>
      </c>
      <c r="G507" s="147" t="s">
        <v>32</v>
      </c>
      <c r="H507" s="147" t="s">
        <v>33</v>
      </c>
      <c r="I507" s="147"/>
      <c r="J507" s="140" t="s">
        <v>2617</v>
      </c>
      <c r="K507" s="140" t="s">
        <v>2617</v>
      </c>
      <c r="L507" s="147">
        <v>3783.5</v>
      </c>
      <c r="M507" s="147">
        <v>1135.05</v>
      </c>
      <c r="N507" s="147">
        <v>2015</v>
      </c>
      <c r="O507" s="147" t="s">
        <v>2659</v>
      </c>
      <c r="P507" s="147" t="s">
        <v>2660</v>
      </c>
      <c r="Q507" s="147">
        <v>17809251055</v>
      </c>
      <c r="R507" s="147" t="s">
        <v>2661</v>
      </c>
      <c r="S507" s="163" t="s">
        <v>1736</v>
      </c>
      <c r="T507" s="329"/>
    </row>
    <row r="508" spans="1:20" ht="24.95" customHeight="1">
      <c r="A508" s="331" t="s">
        <v>1963</v>
      </c>
      <c r="B508" s="102" t="s">
        <v>526</v>
      </c>
      <c r="C508" s="147" t="s">
        <v>1868</v>
      </c>
      <c r="D508" s="147" t="s">
        <v>62</v>
      </c>
      <c r="E508" s="147"/>
      <c r="F508" s="147">
        <v>44.249000000000002</v>
      </c>
      <c r="G508" s="147" t="s">
        <v>32</v>
      </c>
      <c r="H508" s="147" t="s">
        <v>33</v>
      </c>
      <c r="I508" s="147"/>
      <c r="J508" s="140" t="s">
        <v>2617</v>
      </c>
      <c r="K508" s="140" t="s">
        <v>2617</v>
      </c>
      <c r="L508" s="147">
        <v>152659.04999999999</v>
      </c>
      <c r="M508" s="147">
        <v>45797.714999999997</v>
      </c>
      <c r="N508" s="147">
        <v>2015</v>
      </c>
      <c r="O508" s="147" t="s">
        <v>2659</v>
      </c>
      <c r="P508" s="147" t="s">
        <v>2660</v>
      </c>
      <c r="Q508" s="147">
        <v>17809251055</v>
      </c>
      <c r="R508" s="147" t="s">
        <v>2661</v>
      </c>
      <c r="S508" s="163" t="s">
        <v>1736</v>
      </c>
      <c r="T508" s="329"/>
    </row>
    <row r="509" spans="1:20" ht="24.95" customHeight="1">
      <c r="A509" s="331" t="s">
        <v>1964</v>
      </c>
      <c r="B509" s="102" t="s">
        <v>526</v>
      </c>
      <c r="C509" s="147" t="s">
        <v>2668</v>
      </c>
      <c r="D509" s="147" t="s">
        <v>161</v>
      </c>
      <c r="E509" s="147">
        <v>180</v>
      </c>
      <c r="F509" s="147"/>
      <c r="G509" s="147" t="s">
        <v>32</v>
      </c>
      <c r="H509" s="147" t="s">
        <v>33</v>
      </c>
      <c r="I509" s="147"/>
      <c r="J509" s="140" t="s">
        <v>2617</v>
      </c>
      <c r="K509" s="140" t="s">
        <v>2617</v>
      </c>
      <c r="L509" s="147">
        <v>21600</v>
      </c>
      <c r="M509" s="147">
        <v>6480</v>
      </c>
      <c r="N509" s="147">
        <v>2015.12</v>
      </c>
      <c r="O509" s="147" t="s">
        <v>2691</v>
      </c>
      <c r="P509" s="147" t="s">
        <v>2660</v>
      </c>
      <c r="Q509" s="147">
        <v>17809251055</v>
      </c>
      <c r="R509" s="147" t="s">
        <v>2661</v>
      </c>
      <c r="S509" s="163" t="s">
        <v>1736</v>
      </c>
      <c r="T509" s="329"/>
    </row>
    <row r="510" spans="1:20" ht="24.95" customHeight="1">
      <c r="A510" s="331" t="s">
        <v>1965</v>
      </c>
      <c r="B510" s="102" t="s">
        <v>526</v>
      </c>
      <c r="C510" s="147" t="s">
        <v>2669</v>
      </c>
      <c r="D510" s="147" t="s">
        <v>161</v>
      </c>
      <c r="E510" s="147">
        <v>48</v>
      </c>
      <c r="F510" s="147"/>
      <c r="G510" s="147" t="s">
        <v>32</v>
      </c>
      <c r="H510" s="147" t="s">
        <v>33</v>
      </c>
      <c r="I510" s="147"/>
      <c r="J510" s="140" t="s">
        <v>2617</v>
      </c>
      <c r="K510" s="140" t="s">
        <v>2617</v>
      </c>
      <c r="L510" s="147">
        <v>11520</v>
      </c>
      <c r="M510" s="147">
        <v>3456</v>
      </c>
      <c r="N510" s="147">
        <v>2015.12</v>
      </c>
      <c r="O510" s="147" t="s">
        <v>2691</v>
      </c>
      <c r="P510" s="147" t="s">
        <v>2660</v>
      </c>
      <c r="Q510" s="147">
        <v>17809251055</v>
      </c>
      <c r="R510" s="147" t="s">
        <v>2661</v>
      </c>
      <c r="S510" s="163" t="s">
        <v>1736</v>
      </c>
      <c r="T510" s="329"/>
    </row>
    <row r="511" spans="1:20" ht="24.95" customHeight="1">
      <c r="A511" s="331" t="s">
        <v>1966</v>
      </c>
      <c r="B511" s="102" t="s">
        <v>526</v>
      </c>
      <c r="C511" s="147" t="s">
        <v>599</v>
      </c>
      <c r="D511" s="147" t="s">
        <v>161</v>
      </c>
      <c r="E511" s="147">
        <v>48</v>
      </c>
      <c r="F511" s="147"/>
      <c r="G511" s="147" t="s">
        <v>32</v>
      </c>
      <c r="H511" s="147" t="s">
        <v>33</v>
      </c>
      <c r="I511" s="147"/>
      <c r="J511" s="140" t="s">
        <v>2617</v>
      </c>
      <c r="K511" s="140" t="s">
        <v>2617</v>
      </c>
      <c r="L511" s="147">
        <v>6480</v>
      </c>
      <c r="M511" s="147">
        <v>1944</v>
      </c>
      <c r="N511" s="147">
        <v>2015.12</v>
      </c>
      <c r="O511" s="147" t="s">
        <v>2691</v>
      </c>
      <c r="P511" s="147" t="s">
        <v>2660</v>
      </c>
      <c r="Q511" s="147">
        <v>17809251055</v>
      </c>
      <c r="R511" s="147" t="s">
        <v>2661</v>
      </c>
      <c r="S511" s="163" t="s">
        <v>1736</v>
      </c>
      <c r="T511" s="329"/>
    </row>
    <row r="512" spans="1:20" ht="24.95" customHeight="1">
      <c r="A512" s="331" t="s">
        <v>1967</v>
      </c>
      <c r="B512" s="102" t="s">
        <v>526</v>
      </c>
      <c r="C512" s="147" t="s">
        <v>2690</v>
      </c>
      <c r="D512" s="147" t="s">
        <v>2323</v>
      </c>
      <c r="E512" s="147"/>
      <c r="F512" s="147">
        <v>1.081</v>
      </c>
      <c r="G512" s="147" t="s">
        <v>32</v>
      </c>
      <c r="H512" s="147" t="s">
        <v>33</v>
      </c>
      <c r="I512" s="147"/>
      <c r="J512" s="140" t="s">
        <v>2617</v>
      </c>
      <c r="K512" s="140" t="s">
        <v>2617</v>
      </c>
      <c r="L512" s="147">
        <v>3783.5</v>
      </c>
      <c r="M512" s="147">
        <v>1135.05</v>
      </c>
      <c r="N512" s="147" t="s">
        <v>2692</v>
      </c>
      <c r="O512" s="147" t="s">
        <v>2693</v>
      </c>
      <c r="P512" s="147" t="s">
        <v>2660</v>
      </c>
      <c r="Q512" s="147">
        <v>17809251055</v>
      </c>
      <c r="R512" s="147" t="s">
        <v>2661</v>
      </c>
      <c r="S512" s="163" t="s">
        <v>1736</v>
      </c>
      <c r="T512" s="329"/>
    </row>
    <row r="513" spans="1:20" ht="24.95" customHeight="1">
      <c r="A513" s="331" t="s">
        <v>1968</v>
      </c>
      <c r="B513" s="102" t="s">
        <v>593</v>
      </c>
      <c r="C513" s="147" t="s">
        <v>2694</v>
      </c>
      <c r="D513" s="147" t="s">
        <v>464</v>
      </c>
      <c r="E513" s="147">
        <v>120</v>
      </c>
      <c r="F513" s="147"/>
      <c r="G513" s="147" t="s">
        <v>32</v>
      </c>
      <c r="H513" s="147" t="s">
        <v>33</v>
      </c>
      <c r="I513" s="147"/>
      <c r="J513" s="140" t="s">
        <v>2695</v>
      </c>
      <c r="K513" s="140" t="s">
        <v>2695</v>
      </c>
      <c r="L513" s="147">
        <v>23400</v>
      </c>
      <c r="M513" s="147">
        <v>7020</v>
      </c>
      <c r="N513" s="147">
        <v>2015.12</v>
      </c>
      <c r="O513" s="147" t="s">
        <v>2691</v>
      </c>
      <c r="P513" s="147" t="s">
        <v>2660</v>
      </c>
      <c r="Q513" s="147">
        <v>17809251055</v>
      </c>
      <c r="R513" s="147" t="s">
        <v>2661</v>
      </c>
      <c r="S513" s="163" t="s">
        <v>1736</v>
      </c>
      <c r="T513" s="329"/>
    </row>
    <row r="514" spans="1:20" ht="24.95" customHeight="1">
      <c r="A514" s="331" t="s">
        <v>1969</v>
      </c>
      <c r="B514" s="147" t="s">
        <v>2696</v>
      </c>
      <c r="C514" s="147" t="s">
        <v>2697</v>
      </c>
      <c r="D514" s="147" t="s">
        <v>62</v>
      </c>
      <c r="E514" s="147"/>
      <c r="F514" s="147">
        <v>1.0680000000000001</v>
      </c>
      <c r="G514" s="147" t="s">
        <v>32</v>
      </c>
      <c r="H514" s="147" t="s">
        <v>33</v>
      </c>
      <c r="I514" s="140"/>
      <c r="J514" s="140" t="s">
        <v>2695</v>
      </c>
      <c r="K514" s="140" t="s">
        <v>2695</v>
      </c>
      <c r="L514" s="140">
        <v>3364.2</v>
      </c>
      <c r="M514" s="147">
        <v>1009.26</v>
      </c>
      <c r="N514" s="147">
        <v>2015</v>
      </c>
      <c r="O514" s="147" t="s">
        <v>2698</v>
      </c>
      <c r="P514" s="147" t="s">
        <v>2660</v>
      </c>
      <c r="Q514" s="147">
        <v>17809251055</v>
      </c>
      <c r="R514" s="147" t="s">
        <v>2661</v>
      </c>
      <c r="S514" s="163" t="s">
        <v>1736</v>
      </c>
      <c r="T514" s="329"/>
    </row>
    <row r="515" spans="1:20" ht="24.95" customHeight="1">
      <c r="A515" s="331" t="s">
        <v>1970</v>
      </c>
      <c r="B515" s="147" t="s">
        <v>2696</v>
      </c>
      <c r="C515" s="147" t="s">
        <v>2699</v>
      </c>
      <c r="D515" s="147" t="s">
        <v>62</v>
      </c>
      <c r="E515" s="147"/>
      <c r="F515" s="147">
        <v>0.04</v>
      </c>
      <c r="G515" s="147" t="s">
        <v>32</v>
      </c>
      <c r="H515" s="147" t="s">
        <v>33</v>
      </c>
      <c r="I515" s="140"/>
      <c r="J515" s="140" t="s">
        <v>2695</v>
      </c>
      <c r="K515" s="140" t="s">
        <v>2695</v>
      </c>
      <c r="L515" s="140">
        <v>126</v>
      </c>
      <c r="M515" s="147">
        <v>37.799999999999997</v>
      </c>
      <c r="N515" s="147">
        <v>2015</v>
      </c>
      <c r="O515" s="147" t="s">
        <v>2698</v>
      </c>
      <c r="P515" s="147" t="s">
        <v>2660</v>
      </c>
      <c r="Q515" s="147">
        <v>17809251055</v>
      </c>
      <c r="R515" s="147" t="s">
        <v>2661</v>
      </c>
      <c r="S515" s="163" t="s">
        <v>1736</v>
      </c>
      <c r="T515" s="329"/>
    </row>
    <row r="516" spans="1:20" ht="24.95" customHeight="1">
      <c r="A516" s="331" t="s">
        <v>1977</v>
      </c>
      <c r="B516" s="147" t="s">
        <v>2700</v>
      </c>
      <c r="C516" s="147" t="s">
        <v>2701</v>
      </c>
      <c r="D516" s="147" t="s">
        <v>464</v>
      </c>
      <c r="E516" s="147">
        <v>16</v>
      </c>
      <c r="F516" s="147"/>
      <c r="G516" s="147" t="s">
        <v>32</v>
      </c>
      <c r="H516" s="147" t="s">
        <v>33</v>
      </c>
      <c r="I516" s="140"/>
      <c r="J516" s="140" t="s">
        <v>2695</v>
      </c>
      <c r="K516" s="140" t="s">
        <v>2695</v>
      </c>
      <c r="L516" s="140">
        <v>944</v>
      </c>
      <c r="M516" s="147">
        <v>283.2</v>
      </c>
      <c r="N516" s="147">
        <v>2015</v>
      </c>
      <c r="O516" s="147" t="s">
        <v>2698</v>
      </c>
      <c r="P516" s="147" t="s">
        <v>2660</v>
      </c>
      <c r="Q516" s="147">
        <v>17809251055</v>
      </c>
      <c r="R516" s="147" t="s">
        <v>2661</v>
      </c>
      <c r="S516" s="163" t="s">
        <v>1736</v>
      </c>
      <c r="T516" s="329"/>
    </row>
    <row r="517" spans="1:20" ht="24.95" customHeight="1">
      <c r="A517" s="331" t="s">
        <v>1979</v>
      </c>
      <c r="B517" s="147" t="s">
        <v>2702</v>
      </c>
      <c r="C517" s="147" t="s">
        <v>2699</v>
      </c>
      <c r="D517" s="147" t="s">
        <v>62</v>
      </c>
      <c r="E517" s="147"/>
      <c r="F517" s="147">
        <v>0.03</v>
      </c>
      <c r="G517" s="147" t="s">
        <v>32</v>
      </c>
      <c r="H517" s="147" t="s">
        <v>33</v>
      </c>
      <c r="I517" s="140"/>
      <c r="J517" s="140" t="s">
        <v>2695</v>
      </c>
      <c r="K517" s="140" t="s">
        <v>2695</v>
      </c>
      <c r="L517" s="140">
        <v>97.5</v>
      </c>
      <c r="M517" s="147">
        <v>29.25</v>
      </c>
      <c r="N517" s="147">
        <v>2015</v>
      </c>
      <c r="O517" s="147" t="s">
        <v>2698</v>
      </c>
      <c r="P517" s="147" t="s">
        <v>2660</v>
      </c>
      <c r="Q517" s="147">
        <v>17809251055</v>
      </c>
      <c r="R517" s="147" t="s">
        <v>2661</v>
      </c>
      <c r="S517" s="163" t="s">
        <v>1736</v>
      </c>
      <c r="T517" s="329"/>
    </row>
    <row r="518" spans="1:20" ht="24.95" customHeight="1">
      <c r="A518" s="331" t="s">
        <v>1980</v>
      </c>
      <c r="B518" s="147" t="s">
        <v>2702</v>
      </c>
      <c r="C518" s="147" t="s">
        <v>2697</v>
      </c>
      <c r="D518" s="147" t="s">
        <v>62</v>
      </c>
      <c r="E518" s="147"/>
      <c r="F518" s="147">
        <v>6.99</v>
      </c>
      <c r="G518" s="147" t="s">
        <v>32</v>
      </c>
      <c r="H518" s="147" t="s">
        <v>33</v>
      </c>
      <c r="I518" s="140"/>
      <c r="J518" s="140" t="s">
        <v>2695</v>
      </c>
      <c r="K518" s="140" t="s">
        <v>2695</v>
      </c>
      <c r="L518" s="140">
        <v>22717.5</v>
      </c>
      <c r="M518" s="147">
        <v>6815.25</v>
      </c>
      <c r="N518" s="147">
        <v>2015</v>
      </c>
      <c r="O518" s="147" t="s">
        <v>2698</v>
      </c>
      <c r="P518" s="147" t="s">
        <v>2660</v>
      </c>
      <c r="Q518" s="147">
        <v>17809251055</v>
      </c>
      <c r="R518" s="147" t="s">
        <v>2661</v>
      </c>
      <c r="S518" s="163" t="s">
        <v>1736</v>
      </c>
      <c r="T518" s="329"/>
    </row>
    <row r="519" spans="1:20" ht="24.95" customHeight="1">
      <c r="A519" s="331" t="s">
        <v>1984</v>
      </c>
      <c r="B519" s="147" t="s">
        <v>2703</v>
      </c>
      <c r="C519" s="147" t="s">
        <v>2704</v>
      </c>
      <c r="D519" s="147" t="s">
        <v>31</v>
      </c>
      <c r="E519" s="147">
        <v>16</v>
      </c>
      <c r="F519" s="147"/>
      <c r="G519" s="147" t="s">
        <v>32</v>
      </c>
      <c r="H519" s="147" t="s">
        <v>33</v>
      </c>
      <c r="I519" s="140"/>
      <c r="J519" s="140" t="s">
        <v>2695</v>
      </c>
      <c r="K519" s="140" t="s">
        <v>2695</v>
      </c>
      <c r="L519" s="140">
        <v>12400</v>
      </c>
      <c r="M519" s="147">
        <v>3720</v>
      </c>
      <c r="N519" s="147">
        <v>2015</v>
      </c>
      <c r="O519" s="147" t="s">
        <v>2698</v>
      </c>
      <c r="P519" s="147" t="s">
        <v>2660</v>
      </c>
      <c r="Q519" s="147">
        <v>17809251055</v>
      </c>
      <c r="R519" s="147" t="s">
        <v>2661</v>
      </c>
      <c r="S519" s="163" t="s">
        <v>1736</v>
      </c>
      <c r="T519" s="329"/>
    </row>
    <row r="520" spans="1:20" ht="24.95" customHeight="1">
      <c r="A520" s="331" t="s">
        <v>1986</v>
      </c>
      <c r="B520" s="147" t="s">
        <v>773</v>
      </c>
      <c r="C520" s="147" t="s">
        <v>2705</v>
      </c>
      <c r="D520" s="147" t="s">
        <v>62</v>
      </c>
      <c r="E520" s="147"/>
      <c r="F520" s="147">
        <v>29.013999999999999</v>
      </c>
      <c r="G520" s="147" t="s">
        <v>32</v>
      </c>
      <c r="H520" s="147" t="s">
        <v>33</v>
      </c>
      <c r="I520" s="140"/>
      <c r="J520" s="140" t="s">
        <v>2695</v>
      </c>
      <c r="K520" s="140" t="s">
        <v>2695</v>
      </c>
      <c r="L520" s="140">
        <v>89943.4</v>
      </c>
      <c r="M520" s="147">
        <v>26983.02</v>
      </c>
      <c r="N520" s="147">
        <v>2015</v>
      </c>
      <c r="O520" s="147" t="s">
        <v>2698</v>
      </c>
      <c r="P520" s="147" t="s">
        <v>2660</v>
      </c>
      <c r="Q520" s="147">
        <v>17809251055</v>
      </c>
      <c r="R520" s="147" t="s">
        <v>2661</v>
      </c>
      <c r="S520" s="163" t="s">
        <v>1736</v>
      </c>
      <c r="T520" s="329"/>
    </row>
    <row r="521" spans="1:20" ht="24.95" customHeight="1">
      <c r="A521" s="331" t="s">
        <v>1988</v>
      </c>
      <c r="B521" s="147" t="s">
        <v>773</v>
      </c>
      <c r="C521" s="147" t="s">
        <v>2706</v>
      </c>
      <c r="D521" s="147" t="s">
        <v>62</v>
      </c>
      <c r="E521" s="147"/>
      <c r="F521" s="147">
        <v>15.542999999999999</v>
      </c>
      <c r="G521" s="147" t="s">
        <v>32</v>
      </c>
      <c r="H521" s="147" t="s">
        <v>33</v>
      </c>
      <c r="I521" s="140"/>
      <c r="J521" s="140" t="s">
        <v>2695</v>
      </c>
      <c r="K521" s="140" t="s">
        <v>2695</v>
      </c>
      <c r="L521" s="140">
        <v>48183.3</v>
      </c>
      <c r="M521" s="147">
        <v>14454.99</v>
      </c>
      <c r="N521" s="147">
        <v>2015</v>
      </c>
      <c r="O521" s="147" t="s">
        <v>2698</v>
      </c>
      <c r="P521" s="147" t="s">
        <v>2660</v>
      </c>
      <c r="Q521" s="147">
        <v>17809251055</v>
      </c>
      <c r="R521" s="147" t="s">
        <v>2661</v>
      </c>
      <c r="S521" s="163" t="s">
        <v>1736</v>
      </c>
      <c r="T521" s="329"/>
    </row>
    <row r="522" spans="1:20" ht="24.95" customHeight="1">
      <c r="A522" s="331" t="s">
        <v>1990</v>
      </c>
      <c r="B522" s="147" t="s">
        <v>773</v>
      </c>
      <c r="C522" s="147" t="s">
        <v>2707</v>
      </c>
      <c r="D522" s="147" t="s">
        <v>31</v>
      </c>
      <c r="E522" s="147">
        <v>9.9480000000000004</v>
      </c>
      <c r="F522" s="147"/>
      <c r="G522" s="147" t="s">
        <v>32</v>
      </c>
      <c r="H522" s="147" t="s">
        <v>33</v>
      </c>
      <c r="I522" s="140"/>
      <c r="J522" s="140" t="s">
        <v>2695</v>
      </c>
      <c r="K522" s="140" t="s">
        <v>2695</v>
      </c>
      <c r="L522" s="140">
        <v>35016.959999999999</v>
      </c>
      <c r="M522" s="147">
        <v>10505.088</v>
      </c>
      <c r="N522" s="147">
        <v>2015</v>
      </c>
      <c r="O522" s="147" t="s">
        <v>2698</v>
      </c>
      <c r="P522" s="147" t="s">
        <v>2660</v>
      </c>
      <c r="Q522" s="147">
        <v>17809251055</v>
      </c>
      <c r="R522" s="147" t="s">
        <v>2661</v>
      </c>
      <c r="S522" s="163" t="s">
        <v>1736</v>
      </c>
      <c r="T522" s="329"/>
    </row>
    <row r="523" spans="1:20" ht="24.95" customHeight="1">
      <c r="A523" s="331" t="s">
        <v>1992</v>
      </c>
      <c r="B523" s="147" t="s">
        <v>2611</v>
      </c>
      <c r="C523" s="147" t="s">
        <v>2708</v>
      </c>
      <c r="D523" s="147" t="s">
        <v>31</v>
      </c>
      <c r="E523" s="147">
        <v>5</v>
      </c>
      <c r="F523" s="147"/>
      <c r="G523" s="147" t="s">
        <v>32</v>
      </c>
      <c r="H523" s="147" t="s">
        <v>33</v>
      </c>
      <c r="I523" s="140"/>
      <c r="J523" s="140" t="s">
        <v>2695</v>
      </c>
      <c r="K523" s="140" t="s">
        <v>2695</v>
      </c>
      <c r="L523" s="140">
        <v>616.85</v>
      </c>
      <c r="M523" s="147">
        <v>185.05500000000001</v>
      </c>
      <c r="N523" s="147">
        <v>2015</v>
      </c>
      <c r="O523" s="147" t="s">
        <v>2698</v>
      </c>
      <c r="P523" s="147" t="s">
        <v>2660</v>
      </c>
      <c r="Q523" s="147">
        <v>17809251055</v>
      </c>
      <c r="R523" s="147" t="s">
        <v>2661</v>
      </c>
      <c r="S523" s="163" t="s">
        <v>1736</v>
      </c>
      <c r="T523" s="329"/>
    </row>
    <row r="524" spans="1:20" ht="24.95" customHeight="1">
      <c r="A524" s="331" t="s">
        <v>1994</v>
      </c>
      <c r="B524" s="147" t="s">
        <v>2611</v>
      </c>
      <c r="C524" s="147" t="s">
        <v>2709</v>
      </c>
      <c r="D524" s="147" t="s">
        <v>62</v>
      </c>
      <c r="E524" s="147"/>
      <c r="F524" s="147">
        <v>0.79200000000000004</v>
      </c>
      <c r="G524" s="147" t="s">
        <v>32</v>
      </c>
      <c r="H524" s="147" t="s">
        <v>33</v>
      </c>
      <c r="I524" s="140"/>
      <c r="J524" s="140" t="s">
        <v>2695</v>
      </c>
      <c r="K524" s="140" t="s">
        <v>2695</v>
      </c>
      <c r="L524" s="140">
        <v>2098.8000000000002</v>
      </c>
      <c r="M524" s="147">
        <v>629.64</v>
      </c>
      <c r="N524" s="147">
        <v>2015</v>
      </c>
      <c r="O524" s="147" t="s">
        <v>2698</v>
      </c>
      <c r="P524" s="147" t="s">
        <v>2660</v>
      </c>
      <c r="Q524" s="147">
        <v>17809251055</v>
      </c>
      <c r="R524" s="147" t="s">
        <v>2661</v>
      </c>
      <c r="S524" s="163" t="s">
        <v>1736</v>
      </c>
      <c r="T524" s="329"/>
    </row>
    <row r="525" spans="1:20" ht="24.95" customHeight="1">
      <c r="A525" s="331" t="s">
        <v>1996</v>
      </c>
      <c r="B525" s="147" t="s">
        <v>2710</v>
      </c>
      <c r="C525" s="147" t="s">
        <v>2711</v>
      </c>
      <c r="D525" s="147" t="s">
        <v>2084</v>
      </c>
      <c r="E525" s="147"/>
      <c r="F525" s="147">
        <v>3.3090000000000002</v>
      </c>
      <c r="G525" s="147" t="s">
        <v>32</v>
      </c>
      <c r="H525" s="147" t="s">
        <v>33</v>
      </c>
      <c r="I525" s="140"/>
      <c r="J525" s="140" t="s">
        <v>2617</v>
      </c>
      <c r="K525" s="140" t="s">
        <v>2617</v>
      </c>
      <c r="L525" s="147">
        <v>31270.05</v>
      </c>
      <c r="M525" s="147">
        <v>31270.05</v>
      </c>
      <c r="N525" s="147" t="s">
        <v>2712</v>
      </c>
      <c r="O525" s="147" t="s">
        <v>2659</v>
      </c>
      <c r="P525" s="147" t="s">
        <v>2660</v>
      </c>
      <c r="Q525" s="147">
        <v>17809251055</v>
      </c>
      <c r="R525" s="147" t="s">
        <v>2661</v>
      </c>
      <c r="S525" s="163" t="s">
        <v>1736</v>
      </c>
      <c r="T525" s="329"/>
    </row>
    <row r="526" spans="1:20" ht="24.95" customHeight="1">
      <c r="A526" s="331" t="s">
        <v>1998</v>
      </c>
      <c r="B526" s="147" t="s">
        <v>2713</v>
      </c>
      <c r="C526" s="147" t="s">
        <v>2714</v>
      </c>
      <c r="D526" s="147" t="s">
        <v>31</v>
      </c>
      <c r="E526" s="147">
        <v>72</v>
      </c>
      <c r="F526" s="147"/>
      <c r="G526" s="147" t="s">
        <v>32</v>
      </c>
      <c r="H526" s="147" t="s">
        <v>33</v>
      </c>
      <c r="I526" s="140"/>
      <c r="J526" s="140" t="s">
        <v>2617</v>
      </c>
      <c r="K526" s="140" t="s">
        <v>2617</v>
      </c>
      <c r="L526" s="147">
        <v>6696</v>
      </c>
      <c r="M526" s="147">
        <v>6696</v>
      </c>
      <c r="N526" s="147" t="s">
        <v>2712</v>
      </c>
      <c r="O526" s="147" t="s">
        <v>2659</v>
      </c>
      <c r="P526" s="147" t="s">
        <v>2660</v>
      </c>
      <c r="Q526" s="147">
        <v>17809251055</v>
      </c>
      <c r="R526" s="147" t="s">
        <v>2661</v>
      </c>
      <c r="S526" s="163" t="s">
        <v>1736</v>
      </c>
      <c r="T526" s="329"/>
    </row>
    <row r="527" spans="1:20" ht="24.95" customHeight="1">
      <c r="A527" s="331" t="s">
        <v>1999</v>
      </c>
      <c r="B527" s="147" t="s">
        <v>2713</v>
      </c>
      <c r="C527" s="147" t="s">
        <v>2715</v>
      </c>
      <c r="D527" s="147" t="s">
        <v>31</v>
      </c>
      <c r="E527" s="147">
        <v>8</v>
      </c>
      <c r="F527" s="147"/>
      <c r="G527" s="147" t="s">
        <v>32</v>
      </c>
      <c r="H527" s="147" t="s">
        <v>33</v>
      </c>
      <c r="I527" s="140"/>
      <c r="J527" s="140" t="s">
        <v>2617</v>
      </c>
      <c r="K527" s="140" t="s">
        <v>2617</v>
      </c>
      <c r="L527" s="147">
        <v>1320</v>
      </c>
      <c r="M527" s="147">
        <v>1320</v>
      </c>
      <c r="N527" s="147" t="s">
        <v>2712</v>
      </c>
      <c r="O527" s="147" t="s">
        <v>2659</v>
      </c>
      <c r="P527" s="147" t="s">
        <v>2660</v>
      </c>
      <c r="Q527" s="147">
        <v>17809251055</v>
      </c>
      <c r="R527" s="147" t="s">
        <v>2661</v>
      </c>
      <c r="S527" s="163" t="s">
        <v>1736</v>
      </c>
      <c r="T527" s="329"/>
    </row>
    <row r="528" spans="1:20" ht="24.95" customHeight="1">
      <c r="A528" s="331" t="s">
        <v>2001</v>
      </c>
      <c r="B528" s="147" t="s">
        <v>2716</v>
      </c>
      <c r="C528" s="147" t="s">
        <v>2717</v>
      </c>
      <c r="D528" s="147" t="s">
        <v>2084</v>
      </c>
      <c r="E528" s="147"/>
      <c r="F528" s="147">
        <v>21.978000000000002</v>
      </c>
      <c r="G528" s="147" t="s">
        <v>32</v>
      </c>
      <c r="H528" s="147" t="s">
        <v>33</v>
      </c>
      <c r="I528" s="140"/>
      <c r="J528" s="140" t="s">
        <v>2617</v>
      </c>
      <c r="K528" s="140" t="s">
        <v>2617</v>
      </c>
      <c r="L528" s="147">
        <v>210988.79999999999</v>
      </c>
      <c r="M528" s="147">
        <v>210988.79999999999</v>
      </c>
      <c r="N528" s="147" t="s">
        <v>2712</v>
      </c>
      <c r="O528" s="147" t="s">
        <v>2659</v>
      </c>
      <c r="P528" s="147" t="s">
        <v>2660</v>
      </c>
      <c r="Q528" s="147">
        <v>17809251055</v>
      </c>
      <c r="R528" s="147" t="s">
        <v>2661</v>
      </c>
      <c r="S528" s="163" t="s">
        <v>1736</v>
      </c>
      <c r="T528" s="329"/>
    </row>
    <row r="529" spans="1:20" ht="24.95" customHeight="1">
      <c r="A529" s="331" t="s">
        <v>2003</v>
      </c>
      <c r="B529" s="147" t="s">
        <v>2716</v>
      </c>
      <c r="C529" s="147" t="s">
        <v>2718</v>
      </c>
      <c r="D529" s="147" t="s">
        <v>2084</v>
      </c>
      <c r="E529" s="147"/>
      <c r="F529" s="147">
        <v>29.975999999999999</v>
      </c>
      <c r="G529" s="147" t="s">
        <v>32</v>
      </c>
      <c r="H529" s="147" t="s">
        <v>33</v>
      </c>
      <c r="I529" s="140"/>
      <c r="J529" s="140" t="s">
        <v>2617</v>
      </c>
      <c r="K529" s="140" t="s">
        <v>2617</v>
      </c>
      <c r="L529" s="147">
        <v>287769.59999999998</v>
      </c>
      <c r="M529" s="147">
        <v>287769.59999999998</v>
      </c>
      <c r="N529" s="147" t="s">
        <v>2712</v>
      </c>
      <c r="O529" s="147" t="s">
        <v>2659</v>
      </c>
      <c r="P529" s="147" t="s">
        <v>2660</v>
      </c>
      <c r="Q529" s="147">
        <v>17809251055</v>
      </c>
      <c r="R529" s="147" t="s">
        <v>2661</v>
      </c>
      <c r="S529" s="163" t="s">
        <v>1736</v>
      </c>
      <c r="T529" s="329"/>
    </row>
    <row r="530" spans="1:20" ht="24.95" customHeight="1">
      <c r="A530" s="331" t="s">
        <v>2005</v>
      </c>
      <c r="B530" s="147" t="s">
        <v>2713</v>
      </c>
      <c r="C530" s="147" t="s">
        <v>2719</v>
      </c>
      <c r="D530" s="147" t="s">
        <v>31</v>
      </c>
      <c r="E530" s="147">
        <v>16</v>
      </c>
      <c r="F530" s="147"/>
      <c r="G530" s="147" t="s">
        <v>32</v>
      </c>
      <c r="H530" s="147" t="s">
        <v>33</v>
      </c>
      <c r="I530" s="140"/>
      <c r="J530" s="140" t="s">
        <v>2617</v>
      </c>
      <c r="K530" s="140" t="s">
        <v>2617</v>
      </c>
      <c r="L530" s="147">
        <v>648</v>
      </c>
      <c r="M530" s="147">
        <v>648</v>
      </c>
      <c r="N530" s="147" t="s">
        <v>2712</v>
      </c>
      <c r="O530" s="147" t="s">
        <v>2659</v>
      </c>
      <c r="P530" s="147" t="s">
        <v>2660</v>
      </c>
      <c r="Q530" s="147">
        <v>17809251055</v>
      </c>
      <c r="R530" s="147" t="s">
        <v>2661</v>
      </c>
      <c r="S530" s="163" t="s">
        <v>1736</v>
      </c>
      <c r="T530" s="329"/>
    </row>
    <row r="531" spans="1:20" ht="24.95" customHeight="1">
      <c r="A531" s="331" t="s">
        <v>2008</v>
      </c>
      <c r="B531" s="147" t="s">
        <v>2713</v>
      </c>
      <c r="C531" s="147" t="s">
        <v>2720</v>
      </c>
      <c r="D531" s="147" t="s">
        <v>31</v>
      </c>
      <c r="E531" s="147">
        <v>36</v>
      </c>
      <c r="F531" s="147"/>
      <c r="G531" s="147" t="s">
        <v>32</v>
      </c>
      <c r="H531" s="147" t="s">
        <v>33</v>
      </c>
      <c r="I531" s="140"/>
      <c r="J531" s="140" t="s">
        <v>2617</v>
      </c>
      <c r="K531" s="140" t="s">
        <v>2617</v>
      </c>
      <c r="L531" s="147">
        <v>19224</v>
      </c>
      <c r="M531" s="147">
        <v>19224</v>
      </c>
      <c r="N531" s="147" t="s">
        <v>2712</v>
      </c>
      <c r="O531" s="147" t="s">
        <v>2659</v>
      </c>
      <c r="P531" s="147" t="s">
        <v>2660</v>
      </c>
      <c r="Q531" s="147">
        <v>17809251055</v>
      </c>
      <c r="R531" s="147" t="s">
        <v>2661</v>
      </c>
      <c r="S531" s="163" t="s">
        <v>1736</v>
      </c>
      <c r="T531" s="329"/>
    </row>
    <row r="532" spans="1:20" ht="24.95" customHeight="1">
      <c r="A532" s="331" t="s">
        <v>2010</v>
      </c>
      <c r="B532" s="147" t="s">
        <v>2710</v>
      </c>
      <c r="C532" s="147" t="s">
        <v>2721</v>
      </c>
      <c r="D532" s="147" t="s">
        <v>2084</v>
      </c>
      <c r="E532" s="147"/>
      <c r="F532" s="147">
        <v>1.3720000000000001</v>
      </c>
      <c r="G532" s="147" t="s">
        <v>32</v>
      </c>
      <c r="H532" s="147" t="s">
        <v>33</v>
      </c>
      <c r="I532" s="140"/>
      <c r="J532" s="140" t="s">
        <v>2617</v>
      </c>
      <c r="K532" s="140" t="s">
        <v>2617</v>
      </c>
      <c r="L532" s="147">
        <v>12965.4</v>
      </c>
      <c r="M532" s="147">
        <v>12965.4</v>
      </c>
      <c r="N532" s="147" t="s">
        <v>2712</v>
      </c>
      <c r="O532" s="147" t="s">
        <v>2659</v>
      </c>
      <c r="P532" s="147" t="s">
        <v>2660</v>
      </c>
      <c r="Q532" s="147">
        <v>17809251055</v>
      </c>
      <c r="R532" s="147" t="s">
        <v>2661</v>
      </c>
      <c r="S532" s="163" t="s">
        <v>1736</v>
      </c>
      <c r="T532" s="329"/>
    </row>
    <row r="533" spans="1:20" ht="24.95" customHeight="1">
      <c r="A533" s="331" t="s">
        <v>2012</v>
      </c>
      <c r="B533" s="147" t="s">
        <v>2713</v>
      </c>
      <c r="C533" s="147" t="s">
        <v>2722</v>
      </c>
      <c r="D533" s="147" t="s">
        <v>31</v>
      </c>
      <c r="E533" s="147">
        <v>8</v>
      </c>
      <c r="F533" s="147"/>
      <c r="G533" s="147" t="s">
        <v>32</v>
      </c>
      <c r="H533" s="147" t="s">
        <v>33</v>
      </c>
      <c r="I533" s="140"/>
      <c r="J533" s="140" t="s">
        <v>2617</v>
      </c>
      <c r="K533" s="140" t="s">
        <v>2617</v>
      </c>
      <c r="L533" s="147">
        <v>1064</v>
      </c>
      <c r="M533" s="147">
        <v>1064</v>
      </c>
      <c r="N533" s="147" t="s">
        <v>2712</v>
      </c>
      <c r="O533" s="147" t="s">
        <v>2659</v>
      </c>
      <c r="P533" s="147" t="s">
        <v>2660</v>
      </c>
      <c r="Q533" s="147">
        <v>17809251055</v>
      </c>
      <c r="R533" s="147" t="s">
        <v>2661</v>
      </c>
      <c r="S533" s="163" t="s">
        <v>1736</v>
      </c>
      <c r="T533" s="329"/>
    </row>
    <row r="534" spans="1:20" ht="24.95" customHeight="1">
      <c r="A534" s="331" t="s">
        <v>2013</v>
      </c>
      <c r="B534" s="147" t="s">
        <v>2713</v>
      </c>
      <c r="C534" s="147" t="s">
        <v>2723</v>
      </c>
      <c r="D534" s="147" t="s">
        <v>31</v>
      </c>
      <c r="E534" s="147">
        <v>36</v>
      </c>
      <c r="F534" s="147"/>
      <c r="G534" s="147" t="s">
        <v>32</v>
      </c>
      <c r="H534" s="147" t="s">
        <v>33</v>
      </c>
      <c r="I534" s="140"/>
      <c r="J534" s="140" t="s">
        <v>2617</v>
      </c>
      <c r="K534" s="140" t="s">
        <v>2617</v>
      </c>
      <c r="L534" s="147">
        <v>7740</v>
      </c>
      <c r="M534" s="147">
        <v>7740</v>
      </c>
      <c r="N534" s="147" t="s">
        <v>2712</v>
      </c>
      <c r="O534" s="147" t="s">
        <v>2659</v>
      </c>
      <c r="P534" s="147" t="s">
        <v>2660</v>
      </c>
      <c r="Q534" s="147">
        <v>17809251055</v>
      </c>
      <c r="R534" s="147" t="s">
        <v>2661</v>
      </c>
      <c r="S534" s="163" t="s">
        <v>1736</v>
      </c>
      <c r="T534" s="329"/>
    </row>
    <row r="535" spans="1:20" ht="24.95" customHeight="1">
      <c r="A535" s="331" t="s">
        <v>2017</v>
      </c>
      <c r="B535" s="168" t="s">
        <v>2648</v>
      </c>
      <c r="C535" s="351" t="s">
        <v>2656</v>
      </c>
      <c r="D535" s="329" t="s">
        <v>2724</v>
      </c>
      <c r="E535" s="147"/>
      <c r="F535" s="147"/>
      <c r="G535" s="147" t="s">
        <v>32</v>
      </c>
      <c r="H535" s="147" t="s">
        <v>33</v>
      </c>
      <c r="I535" s="140"/>
      <c r="J535" s="140"/>
      <c r="K535" s="140"/>
      <c r="L535" s="168">
        <v>302391.65999999997</v>
      </c>
      <c r="M535" s="168">
        <v>90717.5</v>
      </c>
      <c r="N535" s="147">
        <v>2020.1</v>
      </c>
      <c r="O535" s="352" t="s">
        <v>2309</v>
      </c>
      <c r="P535" s="147" t="s">
        <v>2304</v>
      </c>
      <c r="Q535" s="147">
        <v>15525052220</v>
      </c>
      <c r="R535" s="147" t="s">
        <v>2305</v>
      </c>
      <c r="S535" s="163" t="s">
        <v>1736</v>
      </c>
      <c r="T535" s="329"/>
    </row>
    <row r="536" spans="1:20" ht="24.95" customHeight="1">
      <c r="A536" s="331" t="s">
        <v>2019</v>
      </c>
      <c r="B536" s="210" t="s">
        <v>2725</v>
      </c>
      <c r="C536" s="210"/>
      <c r="D536" s="210" t="s">
        <v>2084</v>
      </c>
      <c r="E536" s="214"/>
      <c r="F536" s="353">
        <v>119.71599999999999</v>
      </c>
      <c r="G536" s="214"/>
      <c r="H536" s="214" t="s">
        <v>33</v>
      </c>
      <c r="I536" s="214"/>
      <c r="J536" s="214"/>
      <c r="K536" s="354"/>
      <c r="L536" s="214">
        <v>443731.20000000001</v>
      </c>
      <c r="M536" s="355">
        <v>443731.20000000001</v>
      </c>
      <c r="N536" s="214">
        <v>2020.8</v>
      </c>
      <c r="O536" s="354" t="s">
        <v>2726</v>
      </c>
      <c r="P536" s="214" t="s">
        <v>2087</v>
      </c>
      <c r="Q536" s="218">
        <v>18135206600</v>
      </c>
      <c r="R536" s="356" t="s">
        <v>2088</v>
      </c>
      <c r="S536" s="357" t="s">
        <v>1736</v>
      </c>
      <c r="T536" s="358"/>
    </row>
    <row r="537" spans="1:20" ht="24.95" customHeight="1">
      <c r="A537" s="331" t="s">
        <v>2020</v>
      </c>
      <c r="B537" s="210" t="s">
        <v>2725</v>
      </c>
      <c r="C537" s="210"/>
      <c r="D537" s="210" t="s">
        <v>2084</v>
      </c>
      <c r="E537" s="214"/>
      <c r="F537" s="210">
        <v>5.97</v>
      </c>
      <c r="G537" s="214"/>
      <c r="H537" s="214" t="s">
        <v>33</v>
      </c>
      <c r="I537" s="214"/>
      <c r="J537" s="214"/>
      <c r="K537" s="354"/>
      <c r="L537" s="214">
        <v>22128</v>
      </c>
      <c r="M537" s="355">
        <v>17287.5</v>
      </c>
      <c r="N537" s="214">
        <v>2020.8</v>
      </c>
      <c r="O537" s="354" t="s">
        <v>2726</v>
      </c>
      <c r="P537" s="214" t="s">
        <v>2087</v>
      </c>
      <c r="Q537" s="218">
        <v>18135206600</v>
      </c>
      <c r="R537" s="356" t="s">
        <v>2088</v>
      </c>
      <c r="S537" s="357" t="s">
        <v>1736</v>
      </c>
      <c r="T537" s="358"/>
    </row>
    <row r="538" spans="1:20" ht="24.95" customHeight="1">
      <c r="A538" s="331" t="s">
        <v>2022</v>
      </c>
      <c r="B538" s="210" t="s">
        <v>2725</v>
      </c>
      <c r="C538" s="210"/>
      <c r="D538" s="210" t="s">
        <v>2084</v>
      </c>
      <c r="E538" s="214"/>
      <c r="F538" s="210">
        <v>30.123999999999999</v>
      </c>
      <c r="G538" s="214"/>
      <c r="H538" s="214" t="s">
        <v>33</v>
      </c>
      <c r="I538" s="214"/>
      <c r="J538" s="214"/>
      <c r="K538" s="354"/>
      <c r="L538" s="214">
        <v>111006.03</v>
      </c>
      <c r="M538" s="355">
        <v>33301.81</v>
      </c>
      <c r="N538" s="214">
        <v>2020.8</v>
      </c>
      <c r="O538" s="354" t="s">
        <v>2726</v>
      </c>
      <c r="P538" s="214" t="s">
        <v>2087</v>
      </c>
      <c r="Q538" s="218">
        <v>18135206600</v>
      </c>
      <c r="R538" s="356" t="s">
        <v>2088</v>
      </c>
      <c r="S538" s="357" t="s">
        <v>1736</v>
      </c>
      <c r="T538" s="358"/>
    </row>
    <row r="539" spans="1:20" ht="24.95" customHeight="1">
      <c r="A539" s="331" t="s">
        <v>2024</v>
      </c>
      <c r="B539" s="210" t="s">
        <v>2727</v>
      </c>
      <c r="C539" s="210"/>
      <c r="D539" s="210" t="s">
        <v>2084</v>
      </c>
      <c r="E539" s="214"/>
      <c r="F539" s="210">
        <v>19.38</v>
      </c>
      <c r="G539" s="214"/>
      <c r="H539" s="214" t="s">
        <v>33</v>
      </c>
      <c r="I539" s="214"/>
      <c r="J539" s="214"/>
      <c r="K539" s="354"/>
      <c r="L539" s="214">
        <v>72546.37</v>
      </c>
      <c r="M539" s="355">
        <v>52444.94</v>
      </c>
      <c r="N539" s="214">
        <v>2020.8</v>
      </c>
      <c r="O539" s="354" t="s">
        <v>2726</v>
      </c>
      <c r="P539" s="214" t="s">
        <v>2087</v>
      </c>
      <c r="Q539" s="218">
        <v>18135206600</v>
      </c>
      <c r="R539" s="356" t="s">
        <v>2088</v>
      </c>
      <c r="S539" s="357" t="s">
        <v>1736</v>
      </c>
      <c r="T539" s="358"/>
    </row>
    <row r="540" spans="1:20" ht="24.95" customHeight="1">
      <c r="A540" s="331" t="s">
        <v>2026</v>
      </c>
      <c r="B540" s="210" t="s">
        <v>2728</v>
      </c>
      <c r="C540" s="210"/>
      <c r="D540" s="210" t="s">
        <v>2084</v>
      </c>
      <c r="E540" s="214"/>
      <c r="F540" s="359">
        <v>2.84</v>
      </c>
      <c r="G540" s="214"/>
      <c r="H540" s="214" t="s">
        <v>33</v>
      </c>
      <c r="I540" s="214"/>
      <c r="J540" s="214"/>
      <c r="K540" s="354"/>
      <c r="L540" s="214">
        <v>10580.88</v>
      </c>
      <c r="M540" s="355">
        <v>8266.3799999999992</v>
      </c>
      <c r="N540" s="214">
        <v>2020.8</v>
      </c>
      <c r="O540" s="354" t="s">
        <v>2726</v>
      </c>
      <c r="P540" s="214" t="s">
        <v>2087</v>
      </c>
      <c r="Q540" s="218">
        <v>18135206600</v>
      </c>
      <c r="R540" s="360" t="s">
        <v>2088</v>
      </c>
      <c r="S540" s="360" t="s">
        <v>1736</v>
      </c>
      <c r="T540" s="360"/>
    </row>
    <row r="541" spans="1:20" ht="24.95" customHeight="1">
      <c r="A541" s="331" t="s">
        <v>2027</v>
      </c>
      <c r="B541" s="210" t="s">
        <v>2729</v>
      </c>
      <c r="C541" s="210"/>
      <c r="D541" s="210" t="s">
        <v>2084</v>
      </c>
      <c r="E541" s="214"/>
      <c r="F541" s="361">
        <v>16.190000000000001</v>
      </c>
      <c r="G541" s="214"/>
      <c r="H541" s="214" t="s">
        <v>33</v>
      </c>
      <c r="I541" s="214"/>
      <c r="J541" s="214"/>
      <c r="K541" s="354"/>
      <c r="L541" s="362">
        <v>63470.54</v>
      </c>
      <c r="M541" s="355">
        <v>44195.6</v>
      </c>
      <c r="N541" s="214">
        <v>2020.8</v>
      </c>
      <c r="O541" s="354" t="s">
        <v>2100</v>
      </c>
      <c r="P541" s="214" t="s">
        <v>2087</v>
      </c>
      <c r="Q541" s="218">
        <v>18135206600</v>
      </c>
      <c r="R541" s="360" t="s">
        <v>2088</v>
      </c>
      <c r="S541" s="360" t="s">
        <v>1736</v>
      </c>
      <c r="T541" s="360"/>
    </row>
    <row r="542" spans="1:20" ht="24.95" customHeight="1">
      <c r="A542" s="331" t="s">
        <v>2028</v>
      </c>
      <c r="B542" s="210" t="s">
        <v>2729</v>
      </c>
      <c r="C542" s="210"/>
      <c r="D542" s="210" t="s">
        <v>2084</v>
      </c>
      <c r="E542" s="214"/>
      <c r="F542" s="363">
        <v>0.71</v>
      </c>
      <c r="G542" s="214"/>
      <c r="H542" s="214" t="s">
        <v>33</v>
      </c>
      <c r="I542" s="214"/>
      <c r="J542" s="214"/>
      <c r="K542" s="354"/>
      <c r="L542" s="364">
        <v>2783.45</v>
      </c>
      <c r="M542" s="355">
        <v>347.9</v>
      </c>
      <c r="N542" s="214">
        <v>2020.8</v>
      </c>
      <c r="O542" s="354" t="s">
        <v>2726</v>
      </c>
      <c r="P542" s="214" t="s">
        <v>2087</v>
      </c>
      <c r="Q542" s="218">
        <v>18135206600</v>
      </c>
      <c r="R542" s="360" t="s">
        <v>2088</v>
      </c>
      <c r="S542" s="360" t="s">
        <v>1736</v>
      </c>
      <c r="T542" s="360"/>
    </row>
    <row r="543" spans="1:20" ht="24.95" customHeight="1">
      <c r="A543" s="331" t="s">
        <v>2029</v>
      </c>
      <c r="B543" s="210" t="s">
        <v>2729</v>
      </c>
      <c r="C543" s="210"/>
      <c r="D543" s="210" t="s">
        <v>2084</v>
      </c>
      <c r="E543" s="214"/>
      <c r="F543" s="363">
        <v>1.83</v>
      </c>
      <c r="G543" s="214"/>
      <c r="H543" s="214" t="s">
        <v>33</v>
      </c>
      <c r="I543" s="214"/>
      <c r="J543" s="214"/>
      <c r="K543" s="354"/>
      <c r="L543" s="364">
        <v>7174.24</v>
      </c>
      <c r="M543" s="355">
        <v>7174.24</v>
      </c>
      <c r="N543" s="214">
        <v>2020.9</v>
      </c>
      <c r="O543" s="354" t="s">
        <v>2726</v>
      </c>
      <c r="P543" s="214" t="s">
        <v>2087</v>
      </c>
      <c r="Q543" s="218">
        <v>18135206600</v>
      </c>
      <c r="R543" s="360" t="s">
        <v>2088</v>
      </c>
      <c r="S543" s="360" t="s">
        <v>1736</v>
      </c>
      <c r="T543" s="360"/>
    </row>
    <row r="544" spans="1:20" ht="24.95" customHeight="1">
      <c r="A544" s="331" t="s">
        <v>2031</v>
      </c>
      <c r="B544" s="210" t="s">
        <v>2730</v>
      </c>
      <c r="C544" s="210"/>
      <c r="D544" s="210" t="s">
        <v>2084</v>
      </c>
      <c r="E544" s="214"/>
      <c r="F544" s="363">
        <v>4.0170000000000003</v>
      </c>
      <c r="G544" s="214"/>
      <c r="H544" s="214" t="s">
        <v>33</v>
      </c>
      <c r="I544" s="214"/>
      <c r="J544" s="214"/>
      <c r="K544" s="354"/>
      <c r="L544" s="364">
        <v>15184.19</v>
      </c>
      <c r="M544" s="355">
        <v>15184.19</v>
      </c>
      <c r="N544" s="214">
        <v>2020.9</v>
      </c>
      <c r="O544" s="354" t="s">
        <v>2726</v>
      </c>
      <c r="P544" s="214" t="s">
        <v>2087</v>
      </c>
      <c r="Q544" s="218">
        <v>18135206600</v>
      </c>
      <c r="R544" s="360" t="s">
        <v>2088</v>
      </c>
      <c r="S544" s="360" t="s">
        <v>1736</v>
      </c>
      <c r="T544" s="360"/>
    </row>
    <row r="545" spans="1:20" ht="24.95" customHeight="1">
      <c r="A545" s="331" t="s">
        <v>2032</v>
      </c>
      <c r="B545" s="210" t="s">
        <v>2730</v>
      </c>
      <c r="C545" s="210"/>
      <c r="D545" s="210" t="s">
        <v>2084</v>
      </c>
      <c r="E545" s="214"/>
      <c r="F545" s="363">
        <v>8.3629999999999995</v>
      </c>
      <c r="G545" s="214"/>
      <c r="H545" s="214" t="s">
        <v>33</v>
      </c>
      <c r="I545" s="214"/>
      <c r="J545" s="214"/>
      <c r="K545" s="354"/>
      <c r="L545" s="364">
        <v>31611.99</v>
      </c>
      <c r="M545" s="355">
        <v>24235.83</v>
      </c>
      <c r="N545" s="214">
        <v>2020.9</v>
      </c>
      <c r="O545" s="354" t="s">
        <v>2726</v>
      </c>
      <c r="P545" s="214" t="s">
        <v>2087</v>
      </c>
      <c r="Q545" s="218">
        <v>18135206600</v>
      </c>
      <c r="R545" s="360" t="s">
        <v>2088</v>
      </c>
      <c r="S545" s="360" t="s">
        <v>1736</v>
      </c>
      <c r="T545" s="360"/>
    </row>
    <row r="546" spans="1:20" ht="24.95" customHeight="1">
      <c r="A546" s="331" t="s">
        <v>2033</v>
      </c>
      <c r="B546" s="210" t="s">
        <v>2730</v>
      </c>
      <c r="C546" s="210"/>
      <c r="D546" s="210" t="s">
        <v>2084</v>
      </c>
      <c r="E546" s="365"/>
      <c r="F546" s="366">
        <v>8.26</v>
      </c>
      <c r="G546" s="365"/>
      <c r="H546" s="365" t="s">
        <v>33</v>
      </c>
      <c r="I546" s="365"/>
      <c r="J546" s="365"/>
      <c r="K546" s="217"/>
      <c r="L546" s="367">
        <v>31197.45</v>
      </c>
      <c r="M546" s="355">
        <v>23463.13</v>
      </c>
      <c r="N546" s="365">
        <v>2020.9</v>
      </c>
      <c r="O546" s="217" t="s">
        <v>2726</v>
      </c>
      <c r="P546" s="365" t="s">
        <v>2087</v>
      </c>
      <c r="Q546" s="368">
        <v>18135206600</v>
      </c>
      <c r="R546" s="360" t="s">
        <v>2088</v>
      </c>
      <c r="S546" s="360" t="s">
        <v>1736</v>
      </c>
      <c r="T546" s="360"/>
    </row>
    <row r="547" spans="1:20" ht="24.95" customHeight="1">
      <c r="A547" s="331" t="s">
        <v>2035</v>
      </c>
      <c r="B547" s="210" t="s">
        <v>2731</v>
      </c>
      <c r="C547" s="210"/>
      <c r="D547" s="210" t="s">
        <v>2084</v>
      </c>
      <c r="E547" s="365"/>
      <c r="F547" s="210">
        <v>55.845999999999997</v>
      </c>
      <c r="G547" s="365"/>
      <c r="H547" s="365" t="s">
        <v>33</v>
      </c>
      <c r="I547" s="365"/>
      <c r="J547" s="365"/>
      <c r="K547" s="217"/>
      <c r="L547" s="367">
        <v>205592.35</v>
      </c>
      <c r="M547" s="355">
        <v>148626.17000000001</v>
      </c>
      <c r="N547" s="365">
        <v>2020.9</v>
      </c>
      <c r="O547" s="217" t="s">
        <v>2100</v>
      </c>
      <c r="P547" s="365" t="s">
        <v>2087</v>
      </c>
      <c r="Q547" s="368">
        <v>18135206600</v>
      </c>
      <c r="R547" s="360" t="s">
        <v>2088</v>
      </c>
      <c r="S547" s="360" t="s">
        <v>1736</v>
      </c>
      <c r="T547" s="360"/>
    </row>
    <row r="548" spans="1:20" ht="24.95" customHeight="1">
      <c r="A548" s="331" t="s">
        <v>2037</v>
      </c>
      <c r="B548" s="210" t="s">
        <v>2732</v>
      </c>
      <c r="C548" s="210"/>
      <c r="D548" s="210" t="s">
        <v>464</v>
      </c>
      <c r="E548" s="365"/>
      <c r="F548" s="210">
        <v>24</v>
      </c>
      <c r="G548" s="365"/>
      <c r="H548" s="365" t="s">
        <v>33</v>
      </c>
      <c r="I548" s="365"/>
      <c r="J548" s="365"/>
      <c r="K548" s="217"/>
      <c r="L548" s="205">
        <v>20028.32</v>
      </c>
      <c r="M548" s="369">
        <v>15647.12</v>
      </c>
      <c r="N548" s="370">
        <v>2020.1</v>
      </c>
      <c r="O548" s="217" t="s">
        <v>2733</v>
      </c>
      <c r="P548" s="365" t="s">
        <v>2087</v>
      </c>
      <c r="Q548" s="368">
        <v>18135206600</v>
      </c>
      <c r="R548" s="371" t="s">
        <v>2088</v>
      </c>
      <c r="S548" s="360" t="s">
        <v>1736</v>
      </c>
      <c r="T548" s="360"/>
    </row>
    <row r="549" spans="1:20" ht="24.95" customHeight="1">
      <c r="A549" s="331" t="s">
        <v>2038</v>
      </c>
      <c r="B549" s="210" t="s">
        <v>2734</v>
      </c>
      <c r="C549" s="210"/>
      <c r="D549" s="210" t="s">
        <v>2084</v>
      </c>
      <c r="E549" s="365"/>
      <c r="F549" s="210">
        <v>26.38</v>
      </c>
      <c r="G549" s="365"/>
      <c r="H549" s="365" t="s">
        <v>33</v>
      </c>
      <c r="I549" s="365"/>
      <c r="J549" s="365"/>
      <c r="K549" s="217"/>
      <c r="L549" s="205">
        <v>102018.23</v>
      </c>
      <c r="M549" s="369">
        <v>12752.33</v>
      </c>
      <c r="N549" s="370">
        <v>2020.1</v>
      </c>
      <c r="O549" s="217" t="s">
        <v>2100</v>
      </c>
      <c r="P549" s="365" t="s">
        <v>2087</v>
      </c>
      <c r="Q549" s="368">
        <v>18135206600</v>
      </c>
      <c r="R549" s="371" t="s">
        <v>2088</v>
      </c>
      <c r="S549" s="360" t="s">
        <v>1736</v>
      </c>
      <c r="T549" s="360"/>
    </row>
    <row r="550" spans="1:20" ht="24.95" customHeight="1">
      <c r="A550" s="331" t="s">
        <v>2039</v>
      </c>
      <c r="B550" s="210" t="s">
        <v>2735</v>
      </c>
      <c r="C550" s="210"/>
      <c r="D550" s="210" t="s">
        <v>2084</v>
      </c>
      <c r="E550" s="365"/>
      <c r="F550" s="210">
        <v>4.2430000000000003</v>
      </c>
      <c r="G550" s="365"/>
      <c r="H550" s="365" t="s">
        <v>33</v>
      </c>
      <c r="I550" s="365"/>
      <c r="J550" s="365"/>
      <c r="K550" s="217"/>
      <c r="L550" s="205">
        <v>15716.52</v>
      </c>
      <c r="M550" s="369">
        <v>12278.52</v>
      </c>
      <c r="N550" s="370">
        <v>2020.1</v>
      </c>
      <c r="O550" s="217" t="s">
        <v>2100</v>
      </c>
      <c r="P550" s="365" t="s">
        <v>2087</v>
      </c>
      <c r="Q550" s="368">
        <v>18135206600</v>
      </c>
      <c r="R550" s="371" t="s">
        <v>2088</v>
      </c>
      <c r="S550" s="360" t="s">
        <v>1736</v>
      </c>
      <c r="T550" s="360"/>
    </row>
    <row r="551" spans="1:20" ht="24.95" customHeight="1">
      <c r="A551" s="331" t="s">
        <v>2041</v>
      </c>
      <c r="B551" s="210" t="s">
        <v>2736</v>
      </c>
      <c r="C551" s="210"/>
      <c r="D551" s="210" t="s">
        <v>2084</v>
      </c>
      <c r="E551" s="365"/>
      <c r="F551" s="210">
        <v>13.93</v>
      </c>
      <c r="G551" s="365"/>
      <c r="H551" s="365" t="s">
        <v>33</v>
      </c>
      <c r="I551" s="365"/>
      <c r="J551" s="365"/>
      <c r="K551" s="217"/>
      <c r="L551" s="205">
        <v>52021.77</v>
      </c>
      <c r="M551" s="369">
        <v>40642.019999999997</v>
      </c>
      <c r="N551" s="370">
        <v>2020.1</v>
      </c>
      <c r="O551" s="217" t="s">
        <v>2086</v>
      </c>
      <c r="P551" s="365" t="s">
        <v>2087</v>
      </c>
      <c r="Q551" s="368">
        <v>18135206600</v>
      </c>
      <c r="R551" s="371" t="s">
        <v>2088</v>
      </c>
      <c r="S551" s="360" t="s">
        <v>1736</v>
      </c>
      <c r="T551" s="360"/>
    </row>
    <row r="552" spans="1:20" ht="24.95" customHeight="1">
      <c r="A552" s="331" t="s">
        <v>2043</v>
      </c>
      <c r="B552" s="210" t="s">
        <v>2737</v>
      </c>
      <c r="C552" s="210"/>
      <c r="D552" s="210" t="s">
        <v>2084</v>
      </c>
      <c r="E552" s="365"/>
      <c r="F552" s="210">
        <v>23.620999999999999</v>
      </c>
      <c r="G552" s="365"/>
      <c r="H552" s="365" t="s">
        <v>33</v>
      </c>
      <c r="I552" s="365"/>
      <c r="J552" s="365"/>
      <c r="K552" s="217"/>
      <c r="L552" s="205">
        <v>92107.21</v>
      </c>
      <c r="M552" s="369">
        <v>71958.759999999995</v>
      </c>
      <c r="N552" s="370">
        <v>2020.1</v>
      </c>
      <c r="O552" s="217" t="s">
        <v>2086</v>
      </c>
      <c r="P552" s="365" t="s">
        <v>2087</v>
      </c>
      <c r="Q552" s="368">
        <v>18135206600</v>
      </c>
      <c r="R552" s="371" t="s">
        <v>2088</v>
      </c>
      <c r="S552" s="360" t="s">
        <v>1736</v>
      </c>
      <c r="T552" s="360"/>
    </row>
    <row r="553" spans="1:20" ht="24.95" customHeight="1">
      <c r="A553" s="331" t="s">
        <v>2045</v>
      </c>
      <c r="B553" s="210" t="s">
        <v>2738</v>
      </c>
      <c r="C553" s="210"/>
      <c r="D553" s="210" t="s">
        <v>2084</v>
      </c>
      <c r="E553" s="365"/>
      <c r="F553" s="216">
        <v>8.69</v>
      </c>
      <c r="G553" s="365"/>
      <c r="H553" s="365" t="s">
        <v>33</v>
      </c>
      <c r="I553" s="365"/>
      <c r="J553" s="365"/>
      <c r="K553" s="217"/>
      <c r="L553" s="216">
        <v>44834.25</v>
      </c>
      <c r="M553" s="372">
        <v>37860.01</v>
      </c>
      <c r="N553" s="216">
        <v>2021.5</v>
      </c>
      <c r="O553" s="217" t="s">
        <v>2086</v>
      </c>
      <c r="P553" s="365" t="s">
        <v>2087</v>
      </c>
      <c r="Q553" s="368">
        <v>18135206600</v>
      </c>
      <c r="R553" s="371" t="s">
        <v>2088</v>
      </c>
      <c r="S553" s="360" t="s">
        <v>1736</v>
      </c>
      <c r="T553" s="360"/>
    </row>
    <row r="554" spans="1:20" ht="24.95" customHeight="1">
      <c r="A554" s="331" t="s">
        <v>2047</v>
      </c>
      <c r="B554" s="210" t="s">
        <v>2739</v>
      </c>
      <c r="C554" s="210"/>
      <c r="D554" s="210" t="s">
        <v>2084</v>
      </c>
      <c r="E554" s="365"/>
      <c r="F554" s="216">
        <v>31.29</v>
      </c>
      <c r="G554" s="365"/>
      <c r="H554" s="365" t="s">
        <v>33</v>
      </c>
      <c r="I554" s="365"/>
      <c r="J554" s="365"/>
      <c r="K554" s="217"/>
      <c r="L554" s="216">
        <v>163926.37</v>
      </c>
      <c r="M554" s="372">
        <v>138426.69</v>
      </c>
      <c r="N554" s="216">
        <v>2021.5</v>
      </c>
      <c r="O554" s="217" t="s">
        <v>2086</v>
      </c>
      <c r="P554" s="365" t="s">
        <v>2087</v>
      </c>
      <c r="Q554" s="368">
        <v>18135206600</v>
      </c>
      <c r="R554" s="371" t="s">
        <v>2088</v>
      </c>
      <c r="S554" s="360" t="s">
        <v>1736</v>
      </c>
      <c r="T554" s="360"/>
    </row>
    <row r="555" spans="1:20" ht="24.95" customHeight="1">
      <c r="A555" s="331" t="s">
        <v>2049</v>
      </c>
      <c r="B555" s="373" t="s">
        <v>514</v>
      </c>
      <c r="C555" s="374" t="s">
        <v>1860</v>
      </c>
      <c r="D555" s="375" t="s">
        <v>62</v>
      </c>
      <c r="E555" s="376"/>
      <c r="F555" s="374">
        <v>11.276</v>
      </c>
      <c r="G555" s="377" t="s">
        <v>2085</v>
      </c>
      <c r="H555" s="377" t="s">
        <v>33</v>
      </c>
      <c r="I555" s="376"/>
      <c r="J555" s="376"/>
      <c r="K555" s="198"/>
      <c r="L555" s="378">
        <v>44312.36</v>
      </c>
      <c r="M555" s="379"/>
      <c r="N555" s="376"/>
      <c r="O555" s="198" t="s">
        <v>2740</v>
      </c>
      <c r="P555" s="377" t="s">
        <v>2087</v>
      </c>
      <c r="Q555" s="380">
        <v>18135206600</v>
      </c>
      <c r="R555" s="371" t="s">
        <v>2088</v>
      </c>
      <c r="S555" s="360" t="s">
        <v>1736</v>
      </c>
      <c r="T555" s="360"/>
    </row>
    <row r="556" spans="1:20" ht="24.95" customHeight="1">
      <c r="A556" s="331" t="s">
        <v>2051</v>
      </c>
      <c r="B556" s="373" t="s">
        <v>593</v>
      </c>
      <c r="C556" s="374" t="s">
        <v>1856</v>
      </c>
      <c r="D556" s="375" t="s">
        <v>62</v>
      </c>
      <c r="E556" s="376"/>
      <c r="F556" s="374">
        <v>3.5700000000000101</v>
      </c>
      <c r="G556" s="377" t="s">
        <v>2085</v>
      </c>
      <c r="H556" s="377" t="s">
        <v>33</v>
      </c>
      <c r="I556" s="376"/>
      <c r="J556" s="376"/>
      <c r="K556" s="198"/>
      <c r="L556" s="378">
        <v>13811.15</v>
      </c>
      <c r="M556" s="379"/>
      <c r="N556" s="376"/>
      <c r="O556" s="198" t="s">
        <v>2740</v>
      </c>
      <c r="P556" s="377" t="s">
        <v>2087</v>
      </c>
      <c r="Q556" s="380">
        <v>18135206600</v>
      </c>
      <c r="R556" s="371" t="s">
        <v>2088</v>
      </c>
      <c r="S556" s="360" t="s">
        <v>1736</v>
      </c>
      <c r="T556" s="360"/>
    </row>
    <row r="557" spans="1:20" ht="24.95" customHeight="1">
      <c r="A557" s="331" t="s">
        <v>2053</v>
      </c>
      <c r="B557" s="373" t="s">
        <v>514</v>
      </c>
      <c r="C557" s="374" t="s">
        <v>1842</v>
      </c>
      <c r="D557" s="375" t="s">
        <v>62</v>
      </c>
      <c r="E557" s="376"/>
      <c r="F557" s="374">
        <v>4.2</v>
      </c>
      <c r="G557" s="377" t="s">
        <v>2085</v>
      </c>
      <c r="H557" s="377" t="s">
        <v>33</v>
      </c>
      <c r="I557" s="376"/>
      <c r="J557" s="376"/>
      <c r="K557" s="198"/>
      <c r="L557" s="378">
        <v>16800</v>
      </c>
      <c r="M557" s="379"/>
      <c r="N557" s="376"/>
      <c r="O557" s="198" t="s">
        <v>2740</v>
      </c>
      <c r="P557" s="377" t="s">
        <v>2087</v>
      </c>
      <c r="Q557" s="380">
        <v>18135206600</v>
      </c>
      <c r="R557" s="371" t="s">
        <v>2088</v>
      </c>
      <c r="S557" s="360" t="s">
        <v>1736</v>
      </c>
      <c r="T557" s="360"/>
    </row>
    <row r="558" spans="1:20" ht="24.95" customHeight="1">
      <c r="A558" s="331" t="s">
        <v>2055</v>
      </c>
      <c r="B558" s="381" t="s">
        <v>2741</v>
      </c>
      <c r="C558" s="382"/>
      <c r="D558" s="383" t="s">
        <v>62</v>
      </c>
      <c r="E558" s="380"/>
      <c r="F558" s="382">
        <v>3.052</v>
      </c>
      <c r="G558" s="384" t="s">
        <v>2085</v>
      </c>
      <c r="H558" s="384" t="s">
        <v>33</v>
      </c>
      <c r="I558" s="380"/>
      <c r="J558" s="380"/>
      <c r="K558" s="385"/>
      <c r="L558" s="386">
        <v>11771.24</v>
      </c>
      <c r="M558" s="199">
        <v>0</v>
      </c>
      <c r="N558" s="380">
        <v>2020.11</v>
      </c>
      <c r="O558" s="385" t="s">
        <v>2100</v>
      </c>
      <c r="P558" s="384" t="s">
        <v>2087</v>
      </c>
      <c r="Q558" s="380">
        <v>18135206600</v>
      </c>
      <c r="R558" s="371" t="s">
        <v>2088</v>
      </c>
      <c r="S558" s="360" t="s">
        <v>1736</v>
      </c>
      <c r="T558" s="360"/>
    </row>
    <row r="559" spans="1:20" ht="24.95" customHeight="1">
      <c r="A559" s="331" t="s">
        <v>2056</v>
      </c>
      <c r="B559" s="387" t="s">
        <v>2742</v>
      </c>
      <c r="C559" s="355"/>
      <c r="D559" s="388" t="s">
        <v>62</v>
      </c>
      <c r="E559" s="358"/>
      <c r="F559" s="355">
        <v>11.276</v>
      </c>
      <c r="G559" s="218" t="s">
        <v>2085</v>
      </c>
      <c r="H559" s="218" t="s">
        <v>33</v>
      </c>
      <c r="I559" s="358"/>
      <c r="J559" s="358"/>
      <c r="K559" s="358"/>
      <c r="L559" s="389">
        <v>44312.36</v>
      </c>
      <c r="M559" s="389">
        <v>0</v>
      </c>
      <c r="N559" s="218">
        <v>2020.11</v>
      </c>
      <c r="O559" s="390" t="s">
        <v>2100</v>
      </c>
      <c r="P559" s="218" t="s">
        <v>2087</v>
      </c>
      <c r="Q559" s="391">
        <v>18135206600</v>
      </c>
      <c r="R559" s="218" t="s">
        <v>2088</v>
      </c>
      <c r="S559" s="360" t="s">
        <v>1736</v>
      </c>
      <c r="T559" s="329"/>
    </row>
    <row r="560" spans="1:20" ht="24.95" customHeight="1">
      <c r="A560" s="331" t="s">
        <v>2058</v>
      </c>
      <c r="B560" s="392" t="s">
        <v>2743</v>
      </c>
      <c r="C560" s="392"/>
      <c r="D560" s="392" t="s">
        <v>2084</v>
      </c>
      <c r="E560" s="216"/>
      <c r="F560" s="216">
        <v>5.45</v>
      </c>
      <c r="G560" s="392" t="s">
        <v>2085</v>
      </c>
      <c r="H560" s="216" t="s">
        <v>33</v>
      </c>
      <c r="I560" s="216"/>
      <c r="J560" s="216"/>
      <c r="K560" s="216"/>
      <c r="L560" s="216">
        <v>28455.75</v>
      </c>
      <c r="M560" s="216">
        <v>24029.27</v>
      </c>
      <c r="N560" s="216">
        <v>2021.5</v>
      </c>
      <c r="O560" s="393" t="s">
        <v>2086</v>
      </c>
      <c r="P560" s="392" t="s">
        <v>2087</v>
      </c>
      <c r="Q560" s="372">
        <v>18135206600</v>
      </c>
      <c r="R560" s="216" t="s">
        <v>2088</v>
      </c>
      <c r="S560" s="360"/>
      <c r="T560" s="329"/>
    </row>
    <row r="561" spans="1:20" ht="24.95" customHeight="1">
      <c r="A561" s="331" t="s">
        <v>2059</v>
      </c>
      <c r="B561" s="387" t="s">
        <v>2744</v>
      </c>
      <c r="C561" s="355"/>
      <c r="D561" s="388" t="s">
        <v>62</v>
      </c>
      <c r="E561" s="358"/>
      <c r="F561" s="355">
        <v>3.5700000000000101</v>
      </c>
      <c r="G561" s="218" t="s">
        <v>2085</v>
      </c>
      <c r="H561" s="218" t="s">
        <v>33</v>
      </c>
      <c r="I561" s="358"/>
      <c r="J561" s="358"/>
      <c r="K561" s="358"/>
      <c r="L561" s="389">
        <v>13811.15</v>
      </c>
      <c r="M561" s="389">
        <v>0</v>
      </c>
      <c r="N561" s="218">
        <v>2020.11</v>
      </c>
      <c r="O561" s="390" t="s">
        <v>2100</v>
      </c>
      <c r="P561" s="218" t="s">
        <v>2087</v>
      </c>
      <c r="Q561" s="391">
        <v>18135206600</v>
      </c>
      <c r="R561" s="218" t="s">
        <v>2088</v>
      </c>
      <c r="S561" s="360" t="s">
        <v>1736</v>
      </c>
      <c r="T561" s="329"/>
    </row>
    <row r="562" spans="1:20" ht="24.95" customHeight="1">
      <c r="A562" s="331" t="s">
        <v>2061</v>
      </c>
      <c r="B562" s="356" t="s">
        <v>2745</v>
      </c>
      <c r="C562" s="356"/>
      <c r="D562" s="356" t="s">
        <v>62</v>
      </c>
      <c r="E562" s="356"/>
      <c r="F562" s="356">
        <v>4.2</v>
      </c>
      <c r="G562" s="356" t="s">
        <v>2085</v>
      </c>
      <c r="H562" s="356" t="s">
        <v>33</v>
      </c>
      <c r="I562" s="356"/>
      <c r="J562" s="356"/>
      <c r="K562" s="356"/>
      <c r="L562" s="356">
        <v>16800</v>
      </c>
      <c r="M562" s="356">
        <v>0</v>
      </c>
      <c r="N562" s="356">
        <v>2020.12</v>
      </c>
      <c r="O562" s="356" t="s">
        <v>2100</v>
      </c>
      <c r="P562" s="356" t="s">
        <v>2087</v>
      </c>
      <c r="Q562" s="356">
        <v>18135206600</v>
      </c>
      <c r="R562" s="356" t="s">
        <v>2088</v>
      </c>
      <c r="S562" s="360" t="s">
        <v>1736</v>
      </c>
      <c r="T562" s="329"/>
    </row>
    <row r="563" spans="1:20" ht="24.95" customHeight="1">
      <c r="A563" s="331" t="s">
        <v>2062</v>
      </c>
      <c r="B563" s="394" t="s">
        <v>2746</v>
      </c>
      <c r="C563" s="395" t="s">
        <v>2747</v>
      </c>
      <c r="D563" s="395" t="s">
        <v>62</v>
      </c>
      <c r="E563" s="168"/>
      <c r="F563" s="168">
        <v>11.16</v>
      </c>
      <c r="G563" s="168" t="s">
        <v>32</v>
      </c>
      <c r="H563" s="168" t="s">
        <v>33</v>
      </c>
      <c r="I563" s="168"/>
      <c r="J563" s="168"/>
      <c r="K563" s="168" t="s">
        <v>2748</v>
      </c>
      <c r="L563" s="396">
        <v>44442.47</v>
      </c>
      <c r="M563" s="396">
        <v>30183.84</v>
      </c>
      <c r="N563" s="155" t="s">
        <v>2749</v>
      </c>
      <c r="O563" s="174" t="s">
        <v>1932</v>
      </c>
      <c r="P563" s="168" t="s">
        <v>1933</v>
      </c>
      <c r="Q563" s="168">
        <v>18335403600</v>
      </c>
      <c r="R563" s="168" t="s">
        <v>1934</v>
      </c>
      <c r="S563" s="168" t="s">
        <v>1736</v>
      </c>
      <c r="T563" s="168"/>
    </row>
    <row r="564" spans="1:20" ht="24.95" customHeight="1">
      <c r="A564" s="331" t="s">
        <v>2063</v>
      </c>
      <c r="B564" s="394" t="s">
        <v>2746</v>
      </c>
      <c r="C564" s="395">
        <v>16</v>
      </c>
      <c r="D564" s="395" t="s">
        <v>62</v>
      </c>
      <c r="E564" s="168"/>
      <c r="F564" s="168">
        <v>2.0840000000000001</v>
      </c>
      <c r="G564" s="168" t="s">
        <v>32</v>
      </c>
      <c r="H564" s="168" t="s">
        <v>33</v>
      </c>
      <c r="I564" s="168"/>
      <c r="J564" s="168"/>
      <c r="K564" s="168" t="s">
        <v>2748</v>
      </c>
      <c r="L564" s="396">
        <v>7930.27</v>
      </c>
      <c r="M564" s="396">
        <v>5385.98</v>
      </c>
      <c r="N564" s="155" t="s">
        <v>2749</v>
      </c>
      <c r="O564" s="174" t="s">
        <v>1932</v>
      </c>
      <c r="P564" s="168" t="s">
        <v>1933</v>
      </c>
      <c r="Q564" s="168">
        <v>18335403600</v>
      </c>
      <c r="R564" s="168" t="s">
        <v>1934</v>
      </c>
      <c r="S564" s="168" t="s">
        <v>1736</v>
      </c>
      <c r="T564" s="168"/>
    </row>
    <row r="565" spans="1:20" ht="24.95" customHeight="1">
      <c r="A565" s="331" t="s">
        <v>2064</v>
      </c>
      <c r="B565" s="394" t="s">
        <v>2746</v>
      </c>
      <c r="C565" s="395">
        <v>16</v>
      </c>
      <c r="D565" s="395" t="s">
        <v>62</v>
      </c>
      <c r="E565" s="168"/>
      <c r="F565" s="168">
        <v>2.1</v>
      </c>
      <c r="G565" s="168" t="s">
        <v>32</v>
      </c>
      <c r="H565" s="168" t="s">
        <v>33</v>
      </c>
      <c r="I565" s="168"/>
      <c r="J565" s="168"/>
      <c r="K565" s="168" t="s">
        <v>2748</v>
      </c>
      <c r="L565" s="396">
        <v>7991.15</v>
      </c>
      <c r="M565" s="396">
        <v>5427.32</v>
      </c>
      <c r="N565" s="155" t="s">
        <v>2749</v>
      </c>
      <c r="O565" s="174" t="s">
        <v>1932</v>
      </c>
      <c r="P565" s="168" t="s">
        <v>1933</v>
      </c>
      <c r="Q565" s="168">
        <v>18335403600</v>
      </c>
      <c r="R565" s="168" t="s">
        <v>1934</v>
      </c>
      <c r="S565" s="168" t="s">
        <v>1736</v>
      </c>
      <c r="T565" s="168"/>
    </row>
    <row r="566" spans="1:20" ht="24.95" customHeight="1">
      <c r="A566" s="331" t="s">
        <v>2068</v>
      </c>
      <c r="B566" s="397" t="s">
        <v>526</v>
      </c>
      <c r="C566" s="150" t="s">
        <v>2750</v>
      </c>
      <c r="D566" s="398" t="s">
        <v>62</v>
      </c>
      <c r="E566" s="168"/>
      <c r="F566" s="150">
        <v>95.028999999999996</v>
      </c>
      <c r="G566" s="168" t="s">
        <v>32</v>
      </c>
      <c r="H566" s="168" t="s">
        <v>33</v>
      </c>
      <c r="I566" s="168"/>
      <c r="J566" s="168"/>
      <c r="K566" s="399" t="s">
        <v>2751</v>
      </c>
      <c r="L566" s="400">
        <v>107477.8</v>
      </c>
      <c r="M566" s="400">
        <v>107477.8</v>
      </c>
      <c r="N566" s="155">
        <v>2020.9</v>
      </c>
      <c r="O566" s="174" t="s">
        <v>1932</v>
      </c>
      <c r="P566" s="168" t="s">
        <v>1933</v>
      </c>
      <c r="Q566" s="168">
        <v>18335403600</v>
      </c>
      <c r="R566" s="168" t="s">
        <v>1934</v>
      </c>
      <c r="S566" s="168" t="s">
        <v>1736</v>
      </c>
      <c r="T566" s="168"/>
    </row>
    <row r="567" spans="1:20" ht="24.95" customHeight="1">
      <c r="A567" s="331" t="s">
        <v>2070</v>
      </c>
      <c r="B567" s="397" t="s">
        <v>526</v>
      </c>
      <c r="C567" s="150" t="s">
        <v>2752</v>
      </c>
      <c r="D567" s="398" t="s">
        <v>62</v>
      </c>
      <c r="E567" s="168"/>
      <c r="F567" s="150">
        <v>15.958</v>
      </c>
      <c r="G567" s="168" t="s">
        <v>32</v>
      </c>
      <c r="H567" s="168" t="s">
        <v>33</v>
      </c>
      <c r="I567" s="168"/>
      <c r="J567" s="168"/>
      <c r="K567" s="399" t="s">
        <v>2751</v>
      </c>
      <c r="L567" s="400">
        <v>27527.55</v>
      </c>
      <c r="M567" s="400">
        <v>27527.55</v>
      </c>
      <c r="N567" s="155">
        <v>2020.9</v>
      </c>
      <c r="O567" s="174" t="s">
        <v>1932</v>
      </c>
      <c r="P567" s="168" t="s">
        <v>1933</v>
      </c>
      <c r="Q567" s="168">
        <v>18335403600</v>
      </c>
      <c r="R567" s="168" t="s">
        <v>1934</v>
      </c>
      <c r="S567" s="168" t="s">
        <v>1736</v>
      </c>
      <c r="T567" s="168"/>
    </row>
    <row r="568" spans="1:20" ht="24.95" customHeight="1">
      <c r="A568" s="331" t="s">
        <v>2072</v>
      </c>
      <c r="B568" s="397" t="s">
        <v>514</v>
      </c>
      <c r="C568" s="150" t="s">
        <v>1853</v>
      </c>
      <c r="D568" s="398" t="s">
        <v>62</v>
      </c>
      <c r="E568" s="168"/>
      <c r="F568" s="150">
        <v>626.97400000000005</v>
      </c>
      <c r="G568" s="168" t="s">
        <v>32</v>
      </c>
      <c r="H568" s="168" t="s">
        <v>33</v>
      </c>
      <c r="I568" s="168"/>
      <c r="J568" s="168"/>
      <c r="K568" s="399" t="s">
        <v>2753</v>
      </c>
      <c r="L568" s="400">
        <v>2663175.65</v>
      </c>
      <c r="M568" s="400">
        <v>1686677.92</v>
      </c>
      <c r="N568" s="176">
        <v>2021.9</v>
      </c>
      <c r="O568" s="174" t="s">
        <v>1932</v>
      </c>
      <c r="P568" s="168" t="s">
        <v>1933</v>
      </c>
      <c r="Q568" s="168">
        <v>18335403600</v>
      </c>
      <c r="R568" s="168" t="s">
        <v>1934</v>
      </c>
      <c r="S568" s="168" t="s">
        <v>1736</v>
      </c>
      <c r="T568" s="168" t="s">
        <v>2754</v>
      </c>
    </row>
    <row r="569" spans="1:20" ht="24.95" customHeight="1">
      <c r="A569" s="331" t="s">
        <v>2074</v>
      </c>
      <c r="B569" s="397" t="s">
        <v>593</v>
      </c>
      <c r="C569" s="150" t="s">
        <v>1856</v>
      </c>
      <c r="D569" s="398" t="s">
        <v>62</v>
      </c>
      <c r="E569" s="168"/>
      <c r="F569" s="150">
        <v>387.97300000000001</v>
      </c>
      <c r="G569" s="168" t="s">
        <v>32</v>
      </c>
      <c r="H569" s="168" t="s">
        <v>33</v>
      </c>
      <c r="I569" s="168"/>
      <c r="J569" s="168"/>
      <c r="K569" s="399" t="s">
        <v>2753</v>
      </c>
      <c r="L569" s="400">
        <v>2093580.5</v>
      </c>
      <c r="M569" s="400">
        <v>1325934.31</v>
      </c>
      <c r="N569" s="176">
        <v>2021.9</v>
      </c>
      <c r="O569" s="174" t="s">
        <v>1932</v>
      </c>
      <c r="P569" s="168" t="s">
        <v>1933</v>
      </c>
      <c r="Q569" s="168">
        <v>18335403600</v>
      </c>
      <c r="R569" s="168" t="s">
        <v>1934</v>
      </c>
      <c r="S569" s="168" t="s">
        <v>1736</v>
      </c>
      <c r="T569" s="168" t="s">
        <v>2754</v>
      </c>
    </row>
    <row r="570" spans="1:20" ht="24.95" customHeight="1">
      <c r="A570" s="331" t="s">
        <v>2075</v>
      </c>
      <c r="B570" s="397" t="s">
        <v>526</v>
      </c>
      <c r="C570" s="150" t="s">
        <v>1868</v>
      </c>
      <c r="D570" s="398" t="s">
        <v>62</v>
      </c>
      <c r="E570" s="168"/>
      <c r="F570" s="150">
        <v>42.322000000000003</v>
      </c>
      <c r="G570" s="168" t="s">
        <v>32</v>
      </c>
      <c r="H570" s="168" t="s">
        <v>33</v>
      </c>
      <c r="I570" s="168"/>
      <c r="J570" s="168"/>
      <c r="K570" s="399" t="s">
        <v>2753</v>
      </c>
      <c r="L570" s="400">
        <v>165243.75</v>
      </c>
      <c r="M570" s="400">
        <v>104654.38</v>
      </c>
      <c r="N570" s="176">
        <v>2021.9</v>
      </c>
      <c r="O570" s="174" t="s">
        <v>1932</v>
      </c>
      <c r="P570" s="168" t="s">
        <v>1933</v>
      </c>
      <c r="Q570" s="168">
        <v>18335403600</v>
      </c>
      <c r="R570" s="168" t="s">
        <v>1934</v>
      </c>
      <c r="S570" s="168" t="s">
        <v>1736</v>
      </c>
      <c r="T570" s="168" t="s">
        <v>2754</v>
      </c>
    </row>
    <row r="571" spans="1:20" ht="24.95" customHeight="1">
      <c r="A571" s="331" t="s">
        <v>2076</v>
      </c>
      <c r="B571" s="397" t="s">
        <v>2755</v>
      </c>
      <c r="C571" s="150" t="s">
        <v>2756</v>
      </c>
      <c r="D571" s="398" t="s">
        <v>62</v>
      </c>
      <c r="E571" s="168"/>
      <c r="F571" s="150">
        <v>15.65</v>
      </c>
      <c r="G571" s="168" t="s">
        <v>32</v>
      </c>
      <c r="H571" s="168" t="s">
        <v>33</v>
      </c>
      <c r="I571" s="168"/>
      <c r="J571" s="168"/>
      <c r="K571" s="399" t="s">
        <v>2753</v>
      </c>
      <c r="L571" s="400">
        <v>67394.61</v>
      </c>
      <c r="M571" s="400">
        <v>43993.71</v>
      </c>
      <c r="N571" s="176">
        <v>2021.9</v>
      </c>
      <c r="O571" s="174" t="s">
        <v>1932</v>
      </c>
      <c r="P571" s="168" t="s">
        <v>1933</v>
      </c>
      <c r="Q571" s="168">
        <v>18335403600</v>
      </c>
      <c r="R571" s="168" t="s">
        <v>1934</v>
      </c>
      <c r="S571" s="168" t="s">
        <v>1736</v>
      </c>
      <c r="T571" s="168" t="s">
        <v>2754</v>
      </c>
    </row>
    <row r="572" spans="1:20" ht="24.95" customHeight="1">
      <c r="A572" s="331" t="s">
        <v>2082</v>
      </c>
      <c r="B572" s="397" t="s">
        <v>616</v>
      </c>
      <c r="C572" s="150" t="s">
        <v>2757</v>
      </c>
      <c r="D572" s="398" t="s">
        <v>62</v>
      </c>
      <c r="E572" s="168"/>
      <c r="F572" s="150">
        <v>14.19</v>
      </c>
      <c r="G572" s="168" t="s">
        <v>32</v>
      </c>
      <c r="H572" s="168" t="s">
        <v>33</v>
      </c>
      <c r="I572" s="168"/>
      <c r="J572" s="168"/>
      <c r="K572" s="399" t="s">
        <v>2753</v>
      </c>
      <c r="L572" s="400">
        <v>87274.78</v>
      </c>
      <c r="M572" s="400">
        <v>87274.78</v>
      </c>
      <c r="N572" s="176">
        <v>2021.9</v>
      </c>
      <c r="O572" s="174" t="s">
        <v>1932</v>
      </c>
      <c r="P572" s="168" t="s">
        <v>1933</v>
      </c>
      <c r="Q572" s="168">
        <v>18335403600</v>
      </c>
      <c r="R572" s="168" t="s">
        <v>1934</v>
      </c>
      <c r="S572" s="168" t="s">
        <v>1736</v>
      </c>
      <c r="T572" s="168" t="s">
        <v>2754</v>
      </c>
    </row>
    <row r="573" spans="1:20" ht="24.95" customHeight="1">
      <c r="A573" s="331" t="s">
        <v>2089</v>
      </c>
      <c r="B573" s="397" t="s">
        <v>514</v>
      </c>
      <c r="C573" s="150" t="s">
        <v>1853</v>
      </c>
      <c r="D573" s="398" t="s">
        <v>62</v>
      </c>
      <c r="E573" s="168"/>
      <c r="F573" s="150">
        <v>99.33</v>
      </c>
      <c r="G573" s="168" t="s">
        <v>32</v>
      </c>
      <c r="H573" s="168" t="s">
        <v>33</v>
      </c>
      <c r="I573" s="168"/>
      <c r="J573" s="168"/>
      <c r="K573" s="399" t="s">
        <v>2753</v>
      </c>
      <c r="L573" s="400">
        <v>541480.35</v>
      </c>
      <c r="M573" s="400">
        <v>541480.35</v>
      </c>
      <c r="N573" s="176">
        <v>2021.9</v>
      </c>
      <c r="O573" s="174" t="s">
        <v>1932</v>
      </c>
      <c r="P573" s="168" t="s">
        <v>1933</v>
      </c>
      <c r="Q573" s="168">
        <v>18335403600</v>
      </c>
      <c r="R573" s="168" t="s">
        <v>1934</v>
      </c>
      <c r="S573" s="168" t="s">
        <v>1736</v>
      </c>
      <c r="T573" s="168" t="s">
        <v>2754</v>
      </c>
    </row>
    <row r="574" spans="1:20" ht="24.95" customHeight="1">
      <c r="A574" s="331" t="s">
        <v>2091</v>
      </c>
      <c r="B574" s="397" t="s">
        <v>514</v>
      </c>
      <c r="C574" s="150" t="s">
        <v>1860</v>
      </c>
      <c r="D574" s="398" t="s">
        <v>62</v>
      </c>
      <c r="E574" s="168"/>
      <c r="F574" s="150">
        <v>83.001999999999995</v>
      </c>
      <c r="G574" s="168" t="s">
        <v>32</v>
      </c>
      <c r="H574" s="168" t="s">
        <v>33</v>
      </c>
      <c r="I574" s="168"/>
      <c r="J574" s="168"/>
      <c r="K574" s="399" t="s">
        <v>2753</v>
      </c>
      <c r="L574" s="400">
        <v>462019.98</v>
      </c>
      <c r="M574" s="400">
        <v>462019.98</v>
      </c>
      <c r="N574" s="176">
        <v>2021.9</v>
      </c>
      <c r="O574" s="174" t="s">
        <v>1932</v>
      </c>
      <c r="P574" s="168" t="s">
        <v>1933</v>
      </c>
      <c r="Q574" s="168">
        <v>18335403600</v>
      </c>
      <c r="R574" s="168" t="s">
        <v>1934</v>
      </c>
      <c r="S574" s="168" t="s">
        <v>1736</v>
      </c>
      <c r="T574" s="168" t="s">
        <v>2754</v>
      </c>
    </row>
    <row r="575" spans="1:20" ht="24.95" customHeight="1">
      <c r="A575" s="331" t="s">
        <v>2093</v>
      </c>
      <c r="B575" s="397" t="s">
        <v>514</v>
      </c>
      <c r="C575" s="150" t="s">
        <v>887</v>
      </c>
      <c r="D575" s="398" t="s">
        <v>62</v>
      </c>
      <c r="E575" s="168"/>
      <c r="F575" s="150">
        <v>20.56</v>
      </c>
      <c r="G575" s="168" t="s">
        <v>32</v>
      </c>
      <c r="H575" s="168" t="s">
        <v>33</v>
      </c>
      <c r="I575" s="168"/>
      <c r="J575" s="168"/>
      <c r="K575" s="399" t="s">
        <v>2753</v>
      </c>
      <c r="L575" s="400">
        <v>119721.06</v>
      </c>
      <c r="M575" s="400">
        <v>119721.06</v>
      </c>
      <c r="N575" s="176">
        <v>2021.9</v>
      </c>
      <c r="O575" s="174" t="s">
        <v>1932</v>
      </c>
      <c r="P575" s="168" t="s">
        <v>1933</v>
      </c>
      <c r="Q575" s="168">
        <v>18335403600</v>
      </c>
      <c r="R575" s="168" t="s">
        <v>1934</v>
      </c>
      <c r="S575" s="168" t="s">
        <v>1736</v>
      </c>
      <c r="T575" s="168" t="s">
        <v>2754</v>
      </c>
    </row>
    <row r="576" spans="1:20" ht="24.95" customHeight="1">
      <c r="A576" s="331" t="s">
        <v>2095</v>
      </c>
      <c r="B576" s="397" t="s">
        <v>593</v>
      </c>
      <c r="C576" s="150" t="s">
        <v>1868</v>
      </c>
      <c r="D576" s="398" t="s">
        <v>62</v>
      </c>
      <c r="E576" s="168"/>
      <c r="F576" s="150">
        <v>11.85</v>
      </c>
      <c r="G576" s="168" t="s">
        <v>32</v>
      </c>
      <c r="H576" s="168" t="s">
        <v>33</v>
      </c>
      <c r="I576" s="168"/>
      <c r="J576" s="168"/>
      <c r="K576" s="399" t="s">
        <v>2753</v>
      </c>
      <c r="L576" s="400">
        <v>65122.57</v>
      </c>
      <c r="M576" s="400">
        <v>65122.57</v>
      </c>
      <c r="N576" s="176">
        <v>2021.9</v>
      </c>
      <c r="O576" s="174" t="s">
        <v>1932</v>
      </c>
      <c r="P576" s="168" t="s">
        <v>1933</v>
      </c>
      <c r="Q576" s="168">
        <v>18335403600</v>
      </c>
      <c r="R576" s="168" t="s">
        <v>1934</v>
      </c>
      <c r="S576" s="168" t="s">
        <v>1736</v>
      </c>
      <c r="T576" s="168" t="s">
        <v>2754</v>
      </c>
    </row>
    <row r="577" spans="1:20" ht="24.95" customHeight="1">
      <c r="A577" s="331" t="s">
        <v>2097</v>
      </c>
      <c r="B577" s="397" t="s">
        <v>526</v>
      </c>
      <c r="C577" s="150" t="s">
        <v>1868</v>
      </c>
      <c r="D577" s="398" t="s">
        <v>62</v>
      </c>
      <c r="E577" s="168"/>
      <c r="F577" s="150">
        <v>5.03</v>
      </c>
      <c r="G577" s="168" t="s">
        <v>32</v>
      </c>
      <c r="H577" s="168" t="s">
        <v>33</v>
      </c>
      <c r="I577" s="168"/>
      <c r="J577" s="168"/>
      <c r="K577" s="399" t="s">
        <v>2753</v>
      </c>
      <c r="L577" s="400">
        <v>27064.07</v>
      </c>
      <c r="M577" s="400">
        <v>27064.07</v>
      </c>
      <c r="N577" s="176">
        <v>2021.9</v>
      </c>
      <c r="O577" s="174" t="s">
        <v>1932</v>
      </c>
      <c r="P577" s="168" t="s">
        <v>1933</v>
      </c>
      <c r="Q577" s="168">
        <v>18335403600</v>
      </c>
      <c r="R577" s="168" t="s">
        <v>1934</v>
      </c>
      <c r="S577" s="168" t="s">
        <v>1736</v>
      </c>
      <c r="T577" s="168" t="s">
        <v>2754</v>
      </c>
    </row>
    <row r="578" spans="1:20" ht="24.95" customHeight="1">
      <c r="A578" s="331" t="s">
        <v>2099</v>
      </c>
      <c r="B578" s="397" t="s">
        <v>593</v>
      </c>
      <c r="C578" s="150" t="s">
        <v>1856</v>
      </c>
      <c r="D578" s="398" t="s">
        <v>62</v>
      </c>
      <c r="E578" s="168"/>
      <c r="F578" s="150">
        <v>52.46</v>
      </c>
      <c r="G578" s="168" t="s">
        <v>32</v>
      </c>
      <c r="H578" s="168" t="s">
        <v>33</v>
      </c>
      <c r="I578" s="168"/>
      <c r="J578" s="168"/>
      <c r="K578" s="399" t="s">
        <v>2753</v>
      </c>
      <c r="L578" s="400">
        <v>292011.86</v>
      </c>
      <c r="M578" s="400">
        <v>292011.86</v>
      </c>
      <c r="N578" s="176">
        <v>2021.9</v>
      </c>
      <c r="O578" s="174" t="s">
        <v>1932</v>
      </c>
      <c r="P578" s="168" t="s">
        <v>1933</v>
      </c>
      <c r="Q578" s="168">
        <v>18335403600</v>
      </c>
      <c r="R578" s="168" t="s">
        <v>1934</v>
      </c>
      <c r="S578" s="168" t="s">
        <v>1736</v>
      </c>
      <c r="T578" s="168" t="s">
        <v>2754</v>
      </c>
    </row>
    <row r="579" spans="1:20" ht="24.95" customHeight="1">
      <c r="A579" s="331" t="s">
        <v>2101</v>
      </c>
      <c r="B579" s="397" t="s">
        <v>593</v>
      </c>
      <c r="C579" s="150" t="s">
        <v>363</v>
      </c>
      <c r="D579" s="398" t="s">
        <v>62</v>
      </c>
      <c r="E579" s="168"/>
      <c r="F579" s="150">
        <v>34.700000000000003</v>
      </c>
      <c r="G579" s="168" t="s">
        <v>32</v>
      </c>
      <c r="H579" s="168" t="s">
        <v>33</v>
      </c>
      <c r="I579" s="168"/>
      <c r="J579" s="168"/>
      <c r="K579" s="399" t="s">
        <v>2753</v>
      </c>
      <c r="L579" s="400">
        <v>192846.02</v>
      </c>
      <c r="M579" s="400">
        <v>192846.02</v>
      </c>
      <c r="N579" s="176">
        <v>2021.9</v>
      </c>
      <c r="O579" s="174" t="s">
        <v>1932</v>
      </c>
      <c r="P579" s="168" t="s">
        <v>1933</v>
      </c>
      <c r="Q579" s="168">
        <v>18335403600</v>
      </c>
      <c r="R579" s="168" t="s">
        <v>1934</v>
      </c>
      <c r="S579" s="168" t="s">
        <v>1736</v>
      </c>
      <c r="T579" s="168" t="s">
        <v>2754</v>
      </c>
    </row>
    <row r="580" spans="1:20" ht="24.95" customHeight="1">
      <c r="A580" s="331" t="s">
        <v>2102</v>
      </c>
      <c r="B580" s="397" t="s">
        <v>514</v>
      </c>
      <c r="C580" s="150" t="s">
        <v>2758</v>
      </c>
      <c r="D580" s="398" t="s">
        <v>62</v>
      </c>
      <c r="E580" s="168"/>
      <c r="F580" s="150">
        <v>0.79</v>
      </c>
      <c r="G580" s="168" t="s">
        <v>32</v>
      </c>
      <c r="H580" s="168" t="s">
        <v>33</v>
      </c>
      <c r="I580" s="168"/>
      <c r="J580" s="168"/>
      <c r="K580" s="399" t="s">
        <v>2753</v>
      </c>
      <c r="L580" s="400">
        <v>4600.18</v>
      </c>
      <c r="M580" s="400">
        <v>4600.18</v>
      </c>
      <c r="N580" s="176">
        <v>2021.9</v>
      </c>
      <c r="O580" s="174" t="s">
        <v>1932</v>
      </c>
      <c r="P580" s="168" t="s">
        <v>1933</v>
      </c>
      <c r="Q580" s="168">
        <v>18335403600</v>
      </c>
      <c r="R580" s="168" t="s">
        <v>1934</v>
      </c>
      <c r="S580" s="168" t="s">
        <v>1736</v>
      </c>
      <c r="T580" s="168" t="s">
        <v>2754</v>
      </c>
    </row>
    <row r="581" spans="1:20" ht="24.95" customHeight="1">
      <c r="A581" s="331" t="s">
        <v>2103</v>
      </c>
      <c r="B581" s="397" t="s">
        <v>514</v>
      </c>
      <c r="C581" s="150" t="s">
        <v>2697</v>
      </c>
      <c r="D581" s="398" t="s">
        <v>62</v>
      </c>
      <c r="E581" s="168"/>
      <c r="F581" s="150">
        <v>29.14</v>
      </c>
      <c r="G581" s="168" t="s">
        <v>32</v>
      </c>
      <c r="H581" s="168" t="s">
        <v>33</v>
      </c>
      <c r="I581" s="168"/>
      <c r="J581" s="168"/>
      <c r="K581" s="399" t="s">
        <v>2753</v>
      </c>
      <c r="L581" s="400">
        <v>169682.48</v>
      </c>
      <c r="M581" s="400">
        <v>169682.48</v>
      </c>
      <c r="N581" s="176">
        <v>2021.9</v>
      </c>
      <c r="O581" s="174" t="s">
        <v>1932</v>
      </c>
      <c r="P581" s="168" t="s">
        <v>1933</v>
      </c>
      <c r="Q581" s="168">
        <v>18335403600</v>
      </c>
      <c r="R581" s="168" t="s">
        <v>1934</v>
      </c>
      <c r="S581" s="168" t="s">
        <v>1736</v>
      </c>
      <c r="T581" s="168" t="s">
        <v>2754</v>
      </c>
    </row>
    <row r="582" spans="1:20" ht="24.95" customHeight="1">
      <c r="A582" s="331" t="s">
        <v>2104</v>
      </c>
      <c r="B582" s="397" t="s">
        <v>526</v>
      </c>
      <c r="C582" s="150" t="s">
        <v>553</v>
      </c>
      <c r="D582" s="398" t="s">
        <v>62</v>
      </c>
      <c r="E582" s="168"/>
      <c r="F582" s="150">
        <v>6.3780000000000001</v>
      </c>
      <c r="G582" s="168" t="s">
        <v>32</v>
      </c>
      <c r="H582" s="168" t="s">
        <v>33</v>
      </c>
      <c r="I582" s="168"/>
      <c r="J582" s="168"/>
      <c r="K582" s="399" t="s">
        <v>2753</v>
      </c>
      <c r="L582" s="400">
        <v>34599.24</v>
      </c>
      <c r="M582" s="400">
        <v>34599.24</v>
      </c>
      <c r="N582" s="176">
        <v>2021.9</v>
      </c>
      <c r="O582" s="174" t="s">
        <v>1932</v>
      </c>
      <c r="P582" s="168" t="s">
        <v>1933</v>
      </c>
      <c r="Q582" s="168">
        <v>18335403600</v>
      </c>
      <c r="R582" s="168" t="s">
        <v>1934</v>
      </c>
      <c r="S582" s="168" t="s">
        <v>1736</v>
      </c>
      <c r="T582" s="168" t="s">
        <v>2754</v>
      </c>
    </row>
    <row r="583" spans="1:20" ht="24.95" customHeight="1">
      <c r="A583" s="331" t="s">
        <v>2106</v>
      </c>
      <c r="B583" s="397" t="s">
        <v>514</v>
      </c>
      <c r="C583" s="150" t="s">
        <v>1860</v>
      </c>
      <c r="D583" s="398" t="s">
        <v>62</v>
      </c>
      <c r="E583" s="168"/>
      <c r="F583" s="150">
        <v>12.005000000000001</v>
      </c>
      <c r="G583" s="168" t="s">
        <v>32</v>
      </c>
      <c r="H583" s="168" t="s">
        <v>33</v>
      </c>
      <c r="I583" s="168"/>
      <c r="J583" s="168"/>
      <c r="K583" s="399" t="s">
        <v>2753</v>
      </c>
      <c r="L583" s="400">
        <v>66824.289999999994</v>
      </c>
      <c r="M583" s="400">
        <v>66824.289999999994</v>
      </c>
      <c r="N583" s="176">
        <v>2021.9</v>
      </c>
      <c r="O583" s="174" t="s">
        <v>1932</v>
      </c>
      <c r="P583" s="168" t="s">
        <v>1933</v>
      </c>
      <c r="Q583" s="168">
        <v>18335403600</v>
      </c>
      <c r="R583" s="168" t="s">
        <v>1934</v>
      </c>
      <c r="S583" s="168" t="s">
        <v>1736</v>
      </c>
      <c r="T583" s="168" t="s">
        <v>2754</v>
      </c>
    </row>
    <row r="584" spans="1:20" ht="24.95" customHeight="1">
      <c r="A584" s="331" t="s">
        <v>2107</v>
      </c>
      <c r="B584" s="397" t="s">
        <v>514</v>
      </c>
      <c r="C584" s="150" t="s">
        <v>1842</v>
      </c>
      <c r="D584" s="398" t="s">
        <v>62</v>
      </c>
      <c r="E584" s="168"/>
      <c r="F584" s="150">
        <v>8.3149999999999995</v>
      </c>
      <c r="G584" s="168" t="s">
        <v>32</v>
      </c>
      <c r="H584" s="168" t="s">
        <v>33</v>
      </c>
      <c r="I584" s="168"/>
      <c r="J584" s="168"/>
      <c r="K584" s="399" t="s">
        <v>2753</v>
      </c>
      <c r="L584" s="400">
        <v>46946.64</v>
      </c>
      <c r="M584" s="400">
        <v>46946.64</v>
      </c>
      <c r="N584" s="176">
        <v>2021.9</v>
      </c>
      <c r="O584" s="174" t="s">
        <v>1932</v>
      </c>
      <c r="P584" s="168" t="s">
        <v>1933</v>
      </c>
      <c r="Q584" s="168">
        <v>18335403600</v>
      </c>
      <c r="R584" s="168" t="s">
        <v>1934</v>
      </c>
      <c r="S584" s="168" t="s">
        <v>1736</v>
      </c>
      <c r="T584" s="168" t="s">
        <v>2754</v>
      </c>
    </row>
    <row r="585" spans="1:20" ht="24.95" customHeight="1">
      <c r="A585" s="331" t="s">
        <v>2108</v>
      </c>
      <c r="B585" s="397" t="s">
        <v>514</v>
      </c>
      <c r="C585" s="150" t="s">
        <v>2597</v>
      </c>
      <c r="D585" s="398" t="s">
        <v>62</v>
      </c>
      <c r="E585" s="168"/>
      <c r="F585" s="150">
        <v>8.6850000000000005</v>
      </c>
      <c r="G585" s="168" t="s">
        <v>32</v>
      </c>
      <c r="H585" s="168" t="s">
        <v>33</v>
      </c>
      <c r="I585" s="168"/>
      <c r="J585" s="168"/>
      <c r="K585" s="399" t="s">
        <v>2753</v>
      </c>
      <c r="L585" s="400">
        <v>47344.78</v>
      </c>
      <c r="M585" s="400">
        <v>47344.78</v>
      </c>
      <c r="N585" s="176">
        <v>2021.9</v>
      </c>
      <c r="O585" s="174" t="s">
        <v>1932</v>
      </c>
      <c r="P585" s="168" t="s">
        <v>1933</v>
      </c>
      <c r="Q585" s="168">
        <v>18335403600</v>
      </c>
      <c r="R585" s="168" t="s">
        <v>1934</v>
      </c>
      <c r="S585" s="168" t="s">
        <v>1736</v>
      </c>
      <c r="T585" s="168" t="s">
        <v>2754</v>
      </c>
    </row>
    <row r="586" spans="1:20" ht="24.95" customHeight="1">
      <c r="A586" s="331" t="s">
        <v>2109</v>
      </c>
      <c r="B586" s="397" t="s">
        <v>2755</v>
      </c>
      <c r="C586" s="150" t="s">
        <v>2759</v>
      </c>
      <c r="D586" s="398" t="s">
        <v>62</v>
      </c>
      <c r="E586" s="168"/>
      <c r="F586" s="150">
        <v>0.35399999999999998</v>
      </c>
      <c r="G586" s="168" t="s">
        <v>32</v>
      </c>
      <c r="H586" s="168" t="s">
        <v>33</v>
      </c>
      <c r="I586" s="168"/>
      <c r="J586" s="168"/>
      <c r="K586" s="399" t="s">
        <v>2753</v>
      </c>
      <c r="L586" s="400">
        <v>2023.75</v>
      </c>
      <c r="M586" s="400">
        <v>2023.75</v>
      </c>
      <c r="N586" s="176">
        <v>2021.9</v>
      </c>
      <c r="O586" s="174" t="s">
        <v>1932</v>
      </c>
      <c r="P586" s="168" t="s">
        <v>1933</v>
      </c>
      <c r="Q586" s="168">
        <v>18335403600</v>
      </c>
      <c r="R586" s="168" t="s">
        <v>1934</v>
      </c>
      <c r="S586" s="168" t="s">
        <v>1736</v>
      </c>
      <c r="T586" s="168" t="s">
        <v>2754</v>
      </c>
    </row>
    <row r="587" spans="1:20" ht="24.95" customHeight="1">
      <c r="A587" s="331" t="s">
        <v>2111</v>
      </c>
      <c r="B587" s="397" t="s">
        <v>2755</v>
      </c>
      <c r="C587" s="150" t="s">
        <v>2760</v>
      </c>
      <c r="D587" s="398" t="s">
        <v>62</v>
      </c>
      <c r="E587" s="168"/>
      <c r="F587" s="150">
        <v>2.1880000000000002</v>
      </c>
      <c r="G587" s="168" t="s">
        <v>32</v>
      </c>
      <c r="H587" s="168" t="s">
        <v>33</v>
      </c>
      <c r="I587" s="168"/>
      <c r="J587" s="168"/>
      <c r="K587" s="399" t="s">
        <v>2753</v>
      </c>
      <c r="L587" s="400">
        <v>12547.12</v>
      </c>
      <c r="M587" s="400">
        <v>12547.12</v>
      </c>
      <c r="N587" s="176">
        <v>2021.9</v>
      </c>
      <c r="O587" s="174" t="s">
        <v>1932</v>
      </c>
      <c r="P587" s="168" t="s">
        <v>1933</v>
      </c>
      <c r="Q587" s="168">
        <v>18335403600</v>
      </c>
      <c r="R587" s="168" t="s">
        <v>1934</v>
      </c>
      <c r="S587" s="168" t="s">
        <v>1736</v>
      </c>
      <c r="T587" s="168" t="s">
        <v>2754</v>
      </c>
    </row>
    <row r="588" spans="1:20" ht="24.95" customHeight="1">
      <c r="A588" s="331" t="s">
        <v>2113</v>
      </c>
      <c r="B588" s="397" t="s">
        <v>514</v>
      </c>
      <c r="C588" s="150" t="s">
        <v>1853</v>
      </c>
      <c r="D588" s="398" t="s">
        <v>62</v>
      </c>
      <c r="E588" s="168"/>
      <c r="F588" s="150">
        <v>14.31</v>
      </c>
      <c r="G588" s="168" t="s">
        <v>32</v>
      </c>
      <c r="H588" s="168" t="s">
        <v>33</v>
      </c>
      <c r="I588" s="168"/>
      <c r="J588" s="168"/>
      <c r="K588" s="399" t="s">
        <v>2753</v>
      </c>
      <c r="L588" s="400">
        <v>78008.5</v>
      </c>
      <c r="M588" s="400">
        <v>78008.5</v>
      </c>
      <c r="N588" s="176">
        <v>2021.9</v>
      </c>
      <c r="O588" s="174" t="s">
        <v>1932</v>
      </c>
      <c r="P588" s="168" t="s">
        <v>1933</v>
      </c>
      <c r="Q588" s="168">
        <v>18335403600</v>
      </c>
      <c r="R588" s="168" t="s">
        <v>1934</v>
      </c>
      <c r="S588" s="168" t="s">
        <v>1736</v>
      </c>
      <c r="T588" s="168" t="s">
        <v>2754</v>
      </c>
    </row>
    <row r="589" spans="1:20" ht="24.95" customHeight="1">
      <c r="A589" s="331" t="s">
        <v>2114</v>
      </c>
      <c r="B589" s="397" t="s">
        <v>514</v>
      </c>
      <c r="C589" s="150" t="s">
        <v>1842</v>
      </c>
      <c r="D589" s="398" t="s">
        <v>62</v>
      </c>
      <c r="E589" s="168"/>
      <c r="F589" s="150">
        <v>6.93</v>
      </c>
      <c r="G589" s="168" t="s">
        <v>32</v>
      </c>
      <c r="H589" s="168" t="s">
        <v>33</v>
      </c>
      <c r="I589" s="168"/>
      <c r="J589" s="168"/>
      <c r="K589" s="399" t="s">
        <v>2753</v>
      </c>
      <c r="L589" s="400">
        <v>39126.9</v>
      </c>
      <c r="M589" s="400">
        <v>39126.9</v>
      </c>
      <c r="N589" s="176">
        <v>2021.9</v>
      </c>
      <c r="O589" s="174" t="s">
        <v>1932</v>
      </c>
      <c r="P589" s="168" t="s">
        <v>1933</v>
      </c>
      <c r="Q589" s="168">
        <v>18335403600</v>
      </c>
      <c r="R589" s="168" t="s">
        <v>1934</v>
      </c>
      <c r="S589" s="168" t="s">
        <v>1736</v>
      </c>
      <c r="T589" s="168" t="s">
        <v>2754</v>
      </c>
    </row>
    <row r="590" spans="1:20" ht="24.95" customHeight="1">
      <c r="A590" s="331" t="s">
        <v>2115</v>
      </c>
      <c r="B590" s="397" t="s">
        <v>514</v>
      </c>
      <c r="C590" s="150" t="s">
        <v>1860</v>
      </c>
      <c r="D590" s="398" t="s">
        <v>62</v>
      </c>
      <c r="E590" s="168"/>
      <c r="F590" s="150">
        <v>13.44</v>
      </c>
      <c r="G590" s="168" t="s">
        <v>32</v>
      </c>
      <c r="H590" s="168" t="s">
        <v>33</v>
      </c>
      <c r="I590" s="168"/>
      <c r="J590" s="168"/>
      <c r="K590" s="399" t="s">
        <v>2753</v>
      </c>
      <c r="L590" s="400">
        <v>74812.039999999994</v>
      </c>
      <c r="M590" s="400">
        <v>74812.039999999994</v>
      </c>
      <c r="N590" s="176">
        <v>2021.9</v>
      </c>
      <c r="O590" s="174" t="s">
        <v>1932</v>
      </c>
      <c r="P590" s="168" t="s">
        <v>1933</v>
      </c>
      <c r="Q590" s="168">
        <v>18335403600</v>
      </c>
      <c r="R590" s="168" t="s">
        <v>1934</v>
      </c>
      <c r="S590" s="168" t="s">
        <v>1736</v>
      </c>
      <c r="T590" s="168" t="s">
        <v>2754</v>
      </c>
    </row>
    <row r="591" spans="1:20" ht="24.95" customHeight="1">
      <c r="A591" s="331" t="s">
        <v>2116</v>
      </c>
      <c r="B591" s="397" t="s">
        <v>514</v>
      </c>
      <c r="C591" s="150" t="s">
        <v>2697</v>
      </c>
      <c r="D591" s="398" t="s">
        <v>62</v>
      </c>
      <c r="E591" s="168"/>
      <c r="F591" s="150">
        <v>115.202</v>
      </c>
      <c r="G591" s="168" t="s">
        <v>32</v>
      </c>
      <c r="H591" s="168" t="s">
        <v>33</v>
      </c>
      <c r="I591" s="168"/>
      <c r="J591" s="168"/>
      <c r="K591" s="399" t="s">
        <v>2753</v>
      </c>
      <c r="L591" s="400">
        <v>670822.27</v>
      </c>
      <c r="M591" s="400">
        <v>670822.27</v>
      </c>
      <c r="N591" s="176">
        <v>2021.9</v>
      </c>
      <c r="O591" s="174" t="s">
        <v>1932</v>
      </c>
      <c r="P591" s="168" t="s">
        <v>1933</v>
      </c>
      <c r="Q591" s="168">
        <v>18335403600</v>
      </c>
      <c r="R591" s="168" t="s">
        <v>1934</v>
      </c>
      <c r="S591" s="168" t="s">
        <v>1736</v>
      </c>
      <c r="T591" s="168" t="s">
        <v>2754</v>
      </c>
    </row>
    <row r="592" spans="1:20" ht="24.95" customHeight="1">
      <c r="A592" s="331" t="s">
        <v>2117</v>
      </c>
      <c r="B592" s="397" t="s">
        <v>593</v>
      </c>
      <c r="C592" s="150" t="s">
        <v>1856</v>
      </c>
      <c r="D592" s="398" t="s">
        <v>62</v>
      </c>
      <c r="E592" s="168"/>
      <c r="F592" s="150">
        <v>58.4</v>
      </c>
      <c r="G592" s="168" t="s">
        <v>32</v>
      </c>
      <c r="H592" s="168" t="s">
        <v>33</v>
      </c>
      <c r="I592" s="168"/>
      <c r="J592" s="168"/>
      <c r="K592" s="399" t="s">
        <v>2753</v>
      </c>
      <c r="L592" s="400">
        <v>325076.11</v>
      </c>
      <c r="M592" s="400">
        <v>325076.11</v>
      </c>
      <c r="N592" s="176">
        <v>2021.9</v>
      </c>
      <c r="O592" s="174" t="s">
        <v>1932</v>
      </c>
      <c r="P592" s="168" t="s">
        <v>1933</v>
      </c>
      <c r="Q592" s="168">
        <v>18335403600</v>
      </c>
      <c r="R592" s="168" t="s">
        <v>1934</v>
      </c>
      <c r="S592" s="168" t="s">
        <v>1736</v>
      </c>
      <c r="T592" s="168" t="s">
        <v>2754</v>
      </c>
    </row>
    <row r="593" spans="1:20" ht="24.95" customHeight="1">
      <c r="A593" s="331" t="s">
        <v>2118</v>
      </c>
      <c r="B593" s="397" t="s">
        <v>2761</v>
      </c>
      <c r="C593" s="150" t="s">
        <v>2757</v>
      </c>
      <c r="D593" s="398" t="s">
        <v>62</v>
      </c>
      <c r="E593" s="168"/>
      <c r="F593" s="150">
        <v>9.8800000000000008</v>
      </c>
      <c r="G593" s="168" t="s">
        <v>32</v>
      </c>
      <c r="H593" s="168" t="s">
        <v>33</v>
      </c>
      <c r="I593" s="168"/>
      <c r="J593" s="168"/>
      <c r="K593" s="399" t="s">
        <v>2753</v>
      </c>
      <c r="L593" s="400">
        <v>54558.58</v>
      </c>
      <c r="M593" s="400">
        <v>54558.58</v>
      </c>
      <c r="N593" s="176">
        <v>2021.9</v>
      </c>
      <c r="O593" s="174" t="s">
        <v>1932</v>
      </c>
      <c r="P593" s="168" t="s">
        <v>1933</v>
      </c>
      <c r="Q593" s="168">
        <v>18335403600</v>
      </c>
      <c r="R593" s="168" t="s">
        <v>1934</v>
      </c>
      <c r="S593" s="168" t="s">
        <v>1736</v>
      </c>
      <c r="T593" s="168" t="s">
        <v>2754</v>
      </c>
    </row>
    <row r="594" spans="1:20" ht="24.95" customHeight="1">
      <c r="A594" s="331" t="s">
        <v>2121</v>
      </c>
      <c r="B594" s="397" t="s">
        <v>514</v>
      </c>
      <c r="C594" s="150" t="s">
        <v>2697</v>
      </c>
      <c r="D594" s="398" t="s">
        <v>62</v>
      </c>
      <c r="E594" s="168"/>
      <c r="F594" s="150">
        <v>33.76</v>
      </c>
      <c r="G594" s="168" t="s">
        <v>32</v>
      </c>
      <c r="H594" s="168" t="s">
        <v>33</v>
      </c>
      <c r="I594" s="168"/>
      <c r="J594" s="168"/>
      <c r="K594" s="399" t="s">
        <v>2753</v>
      </c>
      <c r="L594" s="400">
        <v>196584.78</v>
      </c>
      <c r="M594" s="400">
        <v>196584.78</v>
      </c>
      <c r="N594" s="176">
        <v>2021.9</v>
      </c>
      <c r="O594" s="174" t="s">
        <v>1932</v>
      </c>
      <c r="P594" s="168" t="s">
        <v>1933</v>
      </c>
      <c r="Q594" s="168">
        <v>18335403600</v>
      </c>
      <c r="R594" s="168" t="s">
        <v>1934</v>
      </c>
      <c r="S594" s="168" t="s">
        <v>1736</v>
      </c>
      <c r="T594" s="168" t="s">
        <v>2754</v>
      </c>
    </row>
    <row r="595" spans="1:20" ht="24.95" customHeight="1">
      <c r="A595" s="331" t="s">
        <v>2126</v>
      </c>
      <c r="B595" s="397" t="s">
        <v>514</v>
      </c>
      <c r="C595" s="150" t="s">
        <v>1860</v>
      </c>
      <c r="D595" s="398" t="s">
        <v>62</v>
      </c>
      <c r="E595" s="168"/>
      <c r="F595" s="150">
        <v>10</v>
      </c>
      <c r="G595" s="168" t="s">
        <v>32</v>
      </c>
      <c r="H595" s="168" t="s">
        <v>33</v>
      </c>
      <c r="I595" s="168"/>
      <c r="J595" s="168"/>
      <c r="K595" s="399" t="s">
        <v>2753</v>
      </c>
      <c r="L595" s="400">
        <v>55663.72</v>
      </c>
      <c r="M595" s="400">
        <v>55663.72</v>
      </c>
      <c r="N595" s="176">
        <v>2021.9</v>
      </c>
      <c r="O595" s="174" t="s">
        <v>1932</v>
      </c>
      <c r="P595" s="168" t="s">
        <v>1933</v>
      </c>
      <c r="Q595" s="168">
        <v>18335403600</v>
      </c>
      <c r="R595" s="168" t="s">
        <v>1934</v>
      </c>
      <c r="S595" s="168" t="s">
        <v>1736</v>
      </c>
      <c r="T595" s="168" t="s">
        <v>2754</v>
      </c>
    </row>
    <row r="596" spans="1:20" ht="24.95" customHeight="1">
      <c r="A596" s="331" t="s">
        <v>2130</v>
      </c>
      <c r="B596" s="397" t="s">
        <v>514</v>
      </c>
      <c r="C596" s="150" t="s">
        <v>2697</v>
      </c>
      <c r="D596" s="398" t="s">
        <v>62</v>
      </c>
      <c r="E596" s="168"/>
      <c r="F596" s="150">
        <v>24.04</v>
      </c>
      <c r="G596" s="168" t="s">
        <v>32</v>
      </c>
      <c r="H596" s="168" t="s">
        <v>33</v>
      </c>
      <c r="I596" s="168"/>
      <c r="J596" s="168"/>
      <c r="K596" s="399" t="s">
        <v>2753</v>
      </c>
      <c r="L596" s="400">
        <v>139985.13</v>
      </c>
      <c r="M596" s="400">
        <v>139985.13</v>
      </c>
      <c r="N596" s="176">
        <v>2021.9</v>
      </c>
      <c r="O596" s="174" t="s">
        <v>1932</v>
      </c>
      <c r="P596" s="168" t="s">
        <v>1933</v>
      </c>
      <c r="Q596" s="168">
        <v>18335403600</v>
      </c>
      <c r="R596" s="168" t="s">
        <v>1934</v>
      </c>
      <c r="S596" s="168" t="s">
        <v>1736</v>
      </c>
      <c r="T596" s="168" t="s">
        <v>2754</v>
      </c>
    </row>
    <row r="597" spans="1:20" ht="24.95" customHeight="1">
      <c r="A597" s="331" t="s">
        <v>2132</v>
      </c>
      <c r="B597" s="397" t="s">
        <v>514</v>
      </c>
      <c r="C597" s="150" t="s">
        <v>2697</v>
      </c>
      <c r="D597" s="398" t="s">
        <v>62</v>
      </c>
      <c r="E597" s="168"/>
      <c r="F597" s="150">
        <v>35.64</v>
      </c>
      <c r="G597" s="168" t="s">
        <v>32</v>
      </c>
      <c r="H597" s="168" t="s">
        <v>33</v>
      </c>
      <c r="I597" s="168"/>
      <c r="J597" s="168"/>
      <c r="K597" s="399" t="s">
        <v>2753</v>
      </c>
      <c r="L597" s="400">
        <v>207847.43</v>
      </c>
      <c r="M597" s="400">
        <v>207847.43</v>
      </c>
      <c r="N597" s="176">
        <v>2021.9</v>
      </c>
      <c r="O597" s="174" t="s">
        <v>1932</v>
      </c>
      <c r="P597" s="168" t="s">
        <v>1933</v>
      </c>
      <c r="Q597" s="168">
        <v>18335403600</v>
      </c>
      <c r="R597" s="168" t="s">
        <v>1934</v>
      </c>
      <c r="S597" s="168" t="s">
        <v>1736</v>
      </c>
      <c r="T597" s="168" t="s">
        <v>2754</v>
      </c>
    </row>
    <row r="598" spans="1:20" ht="24.95" customHeight="1">
      <c r="A598" s="331" t="s">
        <v>2134</v>
      </c>
      <c r="B598" s="397" t="s">
        <v>514</v>
      </c>
      <c r="C598" s="150" t="s">
        <v>1860</v>
      </c>
      <c r="D598" s="398" t="s">
        <v>62</v>
      </c>
      <c r="E598" s="168"/>
      <c r="F598" s="150">
        <v>35.68</v>
      </c>
      <c r="G598" s="168" t="s">
        <v>32</v>
      </c>
      <c r="H598" s="168" t="s">
        <v>33</v>
      </c>
      <c r="I598" s="168"/>
      <c r="J598" s="168"/>
      <c r="K598" s="399" t="s">
        <v>2753</v>
      </c>
      <c r="L598" s="400">
        <v>198923.89</v>
      </c>
      <c r="M598" s="400">
        <v>198923.89</v>
      </c>
      <c r="N598" s="176">
        <v>2021.9</v>
      </c>
      <c r="O598" s="174" t="s">
        <v>1932</v>
      </c>
      <c r="P598" s="168" t="s">
        <v>1933</v>
      </c>
      <c r="Q598" s="168">
        <v>18335403600</v>
      </c>
      <c r="R598" s="168" t="s">
        <v>1934</v>
      </c>
      <c r="S598" s="168" t="s">
        <v>1736</v>
      </c>
      <c r="T598" s="168" t="s">
        <v>2754</v>
      </c>
    </row>
    <row r="599" spans="1:20" ht="24.95" customHeight="1">
      <c r="A599" s="331" t="s">
        <v>2137</v>
      </c>
      <c r="B599" s="397" t="s">
        <v>593</v>
      </c>
      <c r="C599" s="150" t="s">
        <v>1856</v>
      </c>
      <c r="D599" s="398" t="s">
        <v>62</v>
      </c>
      <c r="E599" s="168"/>
      <c r="F599" s="150">
        <v>33.18</v>
      </c>
      <c r="G599" s="168" t="s">
        <v>32</v>
      </c>
      <c r="H599" s="168" t="s">
        <v>33</v>
      </c>
      <c r="I599" s="168"/>
      <c r="J599" s="168"/>
      <c r="K599" s="399" t="s">
        <v>2753</v>
      </c>
      <c r="L599" s="400">
        <v>180875.04</v>
      </c>
      <c r="M599" s="400">
        <v>180875.04</v>
      </c>
      <c r="N599" s="176">
        <v>2021.9</v>
      </c>
      <c r="O599" s="174" t="s">
        <v>1932</v>
      </c>
      <c r="P599" s="168" t="s">
        <v>1933</v>
      </c>
      <c r="Q599" s="168">
        <v>18335403600</v>
      </c>
      <c r="R599" s="168" t="s">
        <v>1934</v>
      </c>
      <c r="S599" s="168" t="s">
        <v>1736</v>
      </c>
      <c r="T599" s="168" t="s">
        <v>2754</v>
      </c>
    </row>
    <row r="600" spans="1:20" ht="24.95" customHeight="1">
      <c r="A600" s="331" t="s">
        <v>2140</v>
      </c>
      <c r="B600" s="397" t="s">
        <v>514</v>
      </c>
      <c r="C600" s="150" t="s">
        <v>2699</v>
      </c>
      <c r="D600" s="398" t="s">
        <v>62</v>
      </c>
      <c r="E600" s="168"/>
      <c r="F600" s="150">
        <v>11.57</v>
      </c>
      <c r="G600" s="168" t="s">
        <v>32</v>
      </c>
      <c r="H600" s="168" t="s">
        <v>33</v>
      </c>
      <c r="I600" s="168"/>
      <c r="J600" s="168"/>
      <c r="K600" s="399" t="s">
        <v>2753</v>
      </c>
      <c r="L600" s="400">
        <v>67576.990000000005</v>
      </c>
      <c r="M600" s="400">
        <v>67576.990000000005</v>
      </c>
      <c r="N600" s="176" t="s">
        <v>1954</v>
      </c>
      <c r="O600" s="174" t="s">
        <v>1932</v>
      </c>
      <c r="P600" s="168" t="s">
        <v>1933</v>
      </c>
      <c r="Q600" s="168">
        <v>18335403600</v>
      </c>
      <c r="R600" s="168" t="s">
        <v>1934</v>
      </c>
      <c r="S600" s="168" t="s">
        <v>1736</v>
      </c>
      <c r="T600" s="168" t="s">
        <v>2754</v>
      </c>
    </row>
    <row r="601" spans="1:20" ht="24.95" customHeight="1">
      <c r="A601" s="331" t="s">
        <v>2142</v>
      </c>
      <c r="B601" s="397" t="s">
        <v>514</v>
      </c>
      <c r="C601" s="150" t="s">
        <v>2758</v>
      </c>
      <c r="D601" s="398" t="s">
        <v>62</v>
      </c>
      <c r="E601" s="168"/>
      <c r="F601" s="150">
        <v>21.61</v>
      </c>
      <c r="G601" s="168" t="s">
        <v>32</v>
      </c>
      <c r="H601" s="168" t="s">
        <v>33</v>
      </c>
      <c r="I601" s="168"/>
      <c r="J601" s="168"/>
      <c r="K601" s="399" t="s">
        <v>2753</v>
      </c>
      <c r="L601" s="400">
        <v>126217.7</v>
      </c>
      <c r="M601" s="400">
        <v>126217.7</v>
      </c>
      <c r="N601" s="176" t="s">
        <v>1954</v>
      </c>
      <c r="O601" s="174" t="s">
        <v>1932</v>
      </c>
      <c r="P601" s="168" t="s">
        <v>1933</v>
      </c>
      <c r="Q601" s="168">
        <v>18335403600</v>
      </c>
      <c r="R601" s="168" t="s">
        <v>1934</v>
      </c>
      <c r="S601" s="168" t="s">
        <v>1736</v>
      </c>
      <c r="T601" s="168" t="s">
        <v>2754</v>
      </c>
    </row>
    <row r="602" spans="1:20" ht="24.95" customHeight="1">
      <c r="A602" s="331" t="s">
        <v>2145</v>
      </c>
      <c r="B602" s="397" t="s">
        <v>514</v>
      </c>
      <c r="C602" s="150" t="s">
        <v>2697</v>
      </c>
      <c r="D602" s="398" t="s">
        <v>62</v>
      </c>
      <c r="E602" s="168"/>
      <c r="F602" s="150">
        <v>30.95</v>
      </c>
      <c r="G602" s="168" t="s">
        <v>32</v>
      </c>
      <c r="H602" s="168" t="s">
        <v>33</v>
      </c>
      <c r="I602" s="168"/>
      <c r="J602" s="168"/>
      <c r="K602" s="399" t="s">
        <v>2753</v>
      </c>
      <c r="L602" s="400">
        <v>180769.91</v>
      </c>
      <c r="M602" s="400">
        <v>180769.91</v>
      </c>
      <c r="N602" s="176" t="s">
        <v>1954</v>
      </c>
      <c r="O602" s="174" t="s">
        <v>1932</v>
      </c>
      <c r="P602" s="168" t="s">
        <v>1933</v>
      </c>
      <c r="Q602" s="168">
        <v>18335403600</v>
      </c>
      <c r="R602" s="168" t="s">
        <v>1934</v>
      </c>
      <c r="S602" s="168" t="s">
        <v>1736</v>
      </c>
      <c r="T602" s="168" t="s">
        <v>2754</v>
      </c>
    </row>
    <row r="603" spans="1:20" ht="24.95" customHeight="1">
      <c r="A603" s="331" t="s">
        <v>2146</v>
      </c>
      <c r="B603" s="397" t="s">
        <v>514</v>
      </c>
      <c r="C603" s="150" t="s">
        <v>1860</v>
      </c>
      <c r="D603" s="398" t="s">
        <v>62</v>
      </c>
      <c r="E603" s="168"/>
      <c r="F603" s="150">
        <v>11.63</v>
      </c>
      <c r="G603" s="168" t="s">
        <v>32</v>
      </c>
      <c r="H603" s="168" t="s">
        <v>33</v>
      </c>
      <c r="I603" s="168"/>
      <c r="J603" s="168"/>
      <c r="K603" s="399" t="s">
        <v>2753</v>
      </c>
      <c r="L603" s="400">
        <v>64942.74</v>
      </c>
      <c r="M603" s="400">
        <v>64942.74</v>
      </c>
      <c r="N603" s="176" t="s">
        <v>1954</v>
      </c>
      <c r="O603" s="174" t="s">
        <v>1932</v>
      </c>
      <c r="P603" s="168" t="s">
        <v>1933</v>
      </c>
      <c r="Q603" s="168">
        <v>18335403600</v>
      </c>
      <c r="R603" s="168" t="s">
        <v>1934</v>
      </c>
      <c r="S603" s="168" t="s">
        <v>1736</v>
      </c>
      <c r="T603" s="168" t="s">
        <v>2754</v>
      </c>
    </row>
    <row r="604" spans="1:20" ht="24.95" customHeight="1">
      <c r="A604" s="331" t="s">
        <v>2148</v>
      </c>
      <c r="B604" s="397" t="s">
        <v>593</v>
      </c>
      <c r="C604" s="150" t="s">
        <v>1856</v>
      </c>
      <c r="D604" s="398" t="s">
        <v>62</v>
      </c>
      <c r="E604" s="168"/>
      <c r="F604" s="150">
        <v>22.53</v>
      </c>
      <c r="G604" s="168" t="s">
        <v>32</v>
      </c>
      <c r="H604" s="168" t="s">
        <v>33</v>
      </c>
      <c r="I604" s="168"/>
      <c r="J604" s="168"/>
      <c r="K604" s="399" t="s">
        <v>2753</v>
      </c>
      <c r="L604" s="400">
        <v>126806.02</v>
      </c>
      <c r="M604" s="400">
        <v>126806.02</v>
      </c>
      <c r="N604" s="176" t="s">
        <v>1954</v>
      </c>
      <c r="O604" s="174" t="s">
        <v>1932</v>
      </c>
      <c r="P604" s="168" t="s">
        <v>1933</v>
      </c>
      <c r="Q604" s="168">
        <v>18335403600</v>
      </c>
      <c r="R604" s="168" t="s">
        <v>1934</v>
      </c>
      <c r="S604" s="168" t="s">
        <v>1736</v>
      </c>
      <c r="T604" s="168" t="s">
        <v>2754</v>
      </c>
    </row>
    <row r="605" spans="1:20" ht="24.95" customHeight="1">
      <c r="A605" s="331" t="s">
        <v>2156</v>
      </c>
      <c r="B605" s="397" t="s">
        <v>593</v>
      </c>
      <c r="C605" s="150" t="s">
        <v>2762</v>
      </c>
      <c r="D605" s="398" t="s">
        <v>62</v>
      </c>
      <c r="E605" s="168"/>
      <c r="F605" s="150">
        <v>11.79</v>
      </c>
      <c r="G605" s="168" t="s">
        <v>32</v>
      </c>
      <c r="H605" s="168" t="s">
        <v>33</v>
      </c>
      <c r="I605" s="168"/>
      <c r="J605" s="168"/>
      <c r="K605" s="399" t="s">
        <v>2753</v>
      </c>
      <c r="L605" s="400">
        <v>67192.570000000007</v>
      </c>
      <c r="M605" s="400">
        <v>67192.570000000007</v>
      </c>
      <c r="N605" s="176" t="s">
        <v>1954</v>
      </c>
      <c r="O605" s="174" t="s">
        <v>1932</v>
      </c>
      <c r="P605" s="168" t="s">
        <v>1933</v>
      </c>
      <c r="Q605" s="168">
        <v>18335403600</v>
      </c>
      <c r="R605" s="168" t="s">
        <v>1934</v>
      </c>
      <c r="S605" s="168" t="s">
        <v>1736</v>
      </c>
      <c r="T605" s="168" t="s">
        <v>2754</v>
      </c>
    </row>
    <row r="606" spans="1:20" ht="24.95" customHeight="1">
      <c r="A606" s="331" t="s">
        <v>2157</v>
      </c>
      <c r="B606" s="397" t="s">
        <v>526</v>
      </c>
      <c r="C606" s="150" t="s">
        <v>2763</v>
      </c>
      <c r="D606" s="398" t="s">
        <v>62</v>
      </c>
      <c r="E606" s="168"/>
      <c r="F606" s="150">
        <v>13.9</v>
      </c>
      <c r="G606" s="168" t="s">
        <v>32</v>
      </c>
      <c r="H606" s="168" t="s">
        <v>33</v>
      </c>
      <c r="I606" s="168"/>
      <c r="J606" s="168"/>
      <c r="K606" s="399" t="s">
        <v>2764</v>
      </c>
      <c r="L606" s="400">
        <v>19765.61</v>
      </c>
      <c r="M606" s="400">
        <v>19765.61</v>
      </c>
      <c r="N606" s="176">
        <v>2021.9</v>
      </c>
      <c r="O606" s="174" t="s">
        <v>1932</v>
      </c>
      <c r="P606" s="168" t="s">
        <v>1933</v>
      </c>
      <c r="Q606" s="168">
        <v>18335403600</v>
      </c>
      <c r="R606" s="168" t="s">
        <v>1934</v>
      </c>
      <c r="S606" s="168" t="s">
        <v>1736</v>
      </c>
      <c r="T606" s="168"/>
    </row>
    <row r="607" spans="1:20" ht="24.95" customHeight="1">
      <c r="A607" s="330">
        <v>2</v>
      </c>
      <c r="B607" s="356"/>
      <c r="C607" s="356"/>
      <c r="D607" s="356"/>
      <c r="E607" s="356"/>
      <c r="F607" s="356"/>
      <c r="G607" s="356"/>
      <c r="H607" s="401"/>
      <c r="I607" s="356"/>
      <c r="J607" s="356"/>
      <c r="K607" s="402"/>
      <c r="L607" s="356"/>
      <c r="M607" s="356"/>
      <c r="N607" s="356"/>
      <c r="O607" s="402"/>
      <c r="P607" s="356"/>
      <c r="Q607" s="356"/>
      <c r="R607" s="403"/>
      <c r="S607" s="360"/>
      <c r="T607" s="329"/>
    </row>
    <row r="608" spans="1:20" ht="24.95" customHeight="1">
      <c r="A608" s="327">
        <v>2.1</v>
      </c>
      <c r="B608" s="150" t="s">
        <v>890</v>
      </c>
      <c r="C608" s="150" t="s">
        <v>913</v>
      </c>
      <c r="D608" s="151" t="s">
        <v>62</v>
      </c>
      <c r="E608" s="150">
        <v>12.08</v>
      </c>
      <c r="F608" s="150">
        <v>12.08</v>
      </c>
      <c r="G608" s="152" t="s">
        <v>32</v>
      </c>
      <c r="H608" s="105" t="s">
        <v>33</v>
      </c>
      <c r="I608" s="152"/>
      <c r="J608" s="152" t="s">
        <v>1809</v>
      </c>
      <c r="K608" s="153"/>
      <c r="L608" s="154">
        <v>63478.8</v>
      </c>
      <c r="M608" s="154">
        <v>11337.9581665845</v>
      </c>
      <c r="N608" s="155" t="s">
        <v>1888</v>
      </c>
      <c r="O608" s="156" t="s">
        <v>1817</v>
      </c>
      <c r="P608" s="152" t="s">
        <v>1812</v>
      </c>
      <c r="Q608" s="152">
        <v>15110423230</v>
      </c>
      <c r="R608" s="106" t="s">
        <v>1813</v>
      </c>
      <c r="S608" s="125" t="s">
        <v>1736</v>
      </c>
      <c r="T608" s="103"/>
    </row>
    <row r="609" spans="1:20" ht="24.95" customHeight="1">
      <c r="A609" s="327">
        <v>2.2000000000000002</v>
      </c>
      <c r="B609" s="150" t="s">
        <v>890</v>
      </c>
      <c r="C609" s="150" t="s">
        <v>2765</v>
      </c>
      <c r="D609" s="151" t="s">
        <v>464</v>
      </c>
      <c r="E609" s="150">
        <v>46</v>
      </c>
      <c r="F609" s="150">
        <v>46</v>
      </c>
      <c r="G609" s="152" t="s">
        <v>32</v>
      </c>
      <c r="H609" s="105" t="s">
        <v>33</v>
      </c>
      <c r="I609" s="152"/>
      <c r="J609" s="152" t="s">
        <v>1809</v>
      </c>
      <c r="K609" s="153"/>
      <c r="L609" s="154">
        <v>220197.95</v>
      </c>
      <c r="M609" s="154">
        <v>37984.146374999997</v>
      </c>
      <c r="N609" s="155" t="s">
        <v>1888</v>
      </c>
      <c r="O609" s="156" t="s">
        <v>1817</v>
      </c>
      <c r="P609" s="152" t="s">
        <v>1812</v>
      </c>
      <c r="Q609" s="152">
        <v>15110423230</v>
      </c>
      <c r="R609" s="106" t="s">
        <v>1813</v>
      </c>
      <c r="S609" s="125" t="s">
        <v>1736</v>
      </c>
      <c r="T609" s="103"/>
    </row>
    <row r="610" spans="1:20" ht="24.95" customHeight="1">
      <c r="A610" s="327">
        <v>2.2999999999999998</v>
      </c>
      <c r="B610" s="150" t="s">
        <v>893</v>
      </c>
      <c r="C610" s="150" t="s">
        <v>913</v>
      </c>
      <c r="D610" s="151" t="s">
        <v>31</v>
      </c>
      <c r="E610" s="150">
        <v>178</v>
      </c>
      <c r="F610" s="150">
        <v>178</v>
      </c>
      <c r="G610" s="152" t="s">
        <v>32</v>
      </c>
      <c r="H610" s="105" t="s">
        <v>33</v>
      </c>
      <c r="I610" s="152"/>
      <c r="J610" s="152" t="s">
        <v>1809</v>
      </c>
      <c r="K610" s="153"/>
      <c r="L610" s="154">
        <v>49980</v>
      </c>
      <c r="M610" s="154">
        <v>7849.8</v>
      </c>
      <c r="N610" s="155" t="s">
        <v>2766</v>
      </c>
      <c r="O610" s="156" t="s">
        <v>2767</v>
      </c>
      <c r="P610" s="152" t="s">
        <v>1812</v>
      </c>
      <c r="Q610" s="152">
        <v>15110423230</v>
      </c>
      <c r="R610" s="106" t="s">
        <v>1813</v>
      </c>
      <c r="S610" s="125" t="s">
        <v>1736</v>
      </c>
      <c r="T610" s="103"/>
    </row>
    <row r="611" spans="1:20" ht="24.95" customHeight="1">
      <c r="A611" s="327">
        <v>2.4</v>
      </c>
      <c r="B611" s="150" t="s">
        <v>2768</v>
      </c>
      <c r="C611" s="150" t="s">
        <v>2769</v>
      </c>
      <c r="D611" s="151" t="s">
        <v>131</v>
      </c>
      <c r="E611" s="150">
        <v>467</v>
      </c>
      <c r="F611" s="150">
        <v>467</v>
      </c>
      <c r="G611" s="152" t="s">
        <v>32</v>
      </c>
      <c r="H611" s="105" t="s">
        <v>33</v>
      </c>
      <c r="I611" s="152"/>
      <c r="J611" s="152" t="s">
        <v>1809</v>
      </c>
      <c r="K611" s="153"/>
      <c r="L611" s="154">
        <v>3892.83</v>
      </c>
      <c r="M611" s="154">
        <v>629.04899999999998</v>
      </c>
      <c r="N611" s="155" t="s">
        <v>2766</v>
      </c>
      <c r="O611" s="156" t="s">
        <v>1877</v>
      </c>
      <c r="P611" s="152" t="s">
        <v>1812</v>
      </c>
      <c r="Q611" s="152">
        <v>15110423230</v>
      </c>
      <c r="R611" s="106" t="s">
        <v>1813</v>
      </c>
      <c r="S611" s="125" t="s">
        <v>1736</v>
      </c>
      <c r="T611" s="103"/>
    </row>
    <row r="612" spans="1:20" ht="24.95" customHeight="1">
      <c r="A612" s="331" t="s">
        <v>2202</v>
      </c>
      <c r="B612" s="150" t="s">
        <v>2768</v>
      </c>
      <c r="C612" s="150" t="s">
        <v>2770</v>
      </c>
      <c r="D612" s="151" t="s">
        <v>131</v>
      </c>
      <c r="E612" s="150">
        <v>73.3</v>
      </c>
      <c r="F612" s="150">
        <v>73.3</v>
      </c>
      <c r="G612" s="152" t="s">
        <v>32</v>
      </c>
      <c r="H612" s="105" t="s">
        <v>33</v>
      </c>
      <c r="I612" s="152"/>
      <c r="J612" s="152" t="s">
        <v>1809</v>
      </c>
      <c r="K612" s="153"/>
      <c r="L612" s="154">
        <v>469.86</v>
      </c>
      <c r="M612" s="154">
        <v>140.958</v>
      </c>
      <c r="N612" s="155" t="s">
        <v>2766</v>
      </c>
      <c r="O612" s="156" t="s">
        <v>1877</v>
      </c>
      <c r="P612" s="152" t="s">
        <v>1812</v>
      </c>
      <c r="Q612" s="152">
        <v>15110423230</v>
      </c>
      <c r="R612" s="106" t="s">
        <v>1813</v>
      </c>
      <c r="S612" s="125" t="s">
        <v>1736</v>
      </c>
      <c r="T612" s="103"/>
    </row>
    <row r="613" spans="1:20" ht="24.95" customHeight="1">
      <c r="A613" s="331" t="s">
        <v>2209</v>
      </c>
      <c r="B613" s="150" t="s">
        <v>2771</v>
      </c>
      <c r="C613" s="150" t="s">
        <v>2772</v>
      </c>
      <c r="D613" s="151" t="s">
        <v>131</v>
      </c>
      <c r="E613" s="150">
        <v>1300</v>
      </c>
      <c r="F613" s="150">
        <v>1300</v>
      </c>
      <c r="G613" s="152" t="s">
        <v>32</v>
      </c>
      <c r="H613" s="105" t="s">
        <v>33</v>
      </c>
      <c r="I613" s="152"/>
      <c r="J613" s="152" t="s">
        <v>1809</v>
      </c>
      <c r="K613" s="153"/>
      <c r="L613" s="154">
        <v>3183.33</v>
      </c>
      <c r="M613" s="154">
        <v>304.99968062827202</v>
      </c>
      <c r="N613" s="155" t="s">
        <v>2766</v>
      </c>
      <c r="O613" s="156" t="s">
        <v>1877</v>
      </c>
      <c r="P613" s="152" t="s">
        <v>1812</v>
      </c>
      <c r="Q613" s="152">
        <v>15110423230</v>
      </c>
      <c r="R613" s="106" t="s">
        <v>1813</v>
      </c>
      <c r="S613" s="125" t="s">
        <v>1736</v>
      </c>
      <c r="T613" s="103"/>
    </row>
    <row r="614" spans="1:20" ht="24.95" customHeight="1">
      <c r="A614" s="331" t="s">
        <v>2211</v>
      </c>
      <c r="B614" s="150" t="s">
        <v>890</v>
      </c>
      <c r="C614" s="150" t="s">
        <v>2773</v>
      </c>
      <c r="D614" s="151" t="s">
        <v>62</v>
      </c>
      <c r="E614" s="150">
        <v>69.727999999999994</v>
      </c>
      <c r="F614" s="150">
        <v>69.727999999999994</v>
      </c>
      <c r="G614" s="152" t="s">
        <v>32</v>
      </c>
      <c r="H614" s="105" t="s">
        <v>33</v>
      </c>
      <c r="I614" s="152"/>
      <c r="J614" s="152" t="s">
        <v>1809</v>
      </c>
      <c r="K614" s="153"/>
      <c r="L614" s="154">
        <v>247441.84</v>
      </c>
      <c r="M614" s="154">
        <v>74232.551999999996</v>
      </c>
      <c r="N614" s="155" t="s">
        <v>1891</v>
      </c>
      <c r="O614" s="156" t="s">
        <v>1822</v>
      </c>
      <c r="P614" s="152" t="s">
        <v>1812</v>
      </c>
      <c r="Q614" s="152">
        <v>15110423230</v>
      </c>
      <c r="R614" s="106" t="s">
        <v>1813</v>
      </c>
      <c r="S614" s="125" t="s">
        <v>1736</v>
      </c>
      <c r="T614" s="103"/>
    </row>
    <row r="615" spans="1:20" ht="24.95" customHeight="1">
      <c r="A615" s="331" t="s">
        <v>2213</v>
      </c>
      <c r="B615" s="150" t="s">
        <v>890</v>
      </c>
      <c r="C615" s="150" t="s">
        <v>2774</v>
      </c>
      <c r="D615" s="151" t="s">
        <v>161</v>
      </c>
      <c r="E615" s="150">
        <v>2168.6999999999998</v>
      </c>
      <c r="F615" s="150">
        <v>2168.6999999999998</v>
      </c>
      <c r="G615" s="152" t="s">
        <v>32</v>
      </c>
      <c r="H615" s="105" t="s">
        <v>33</v>
      </c>
      <c r="I615" s="152"/>
      <c r="J615" s="152" t="s">
        <v>1809</v>
      </c>
      <c r="K615" s="153"/>
      <c r="L615" s="154">
        <v>489109.05999999901</v>
      </c>
      <c r="M615" s="154">
        <v>122392.017510231</v>
      </c>
      <c r="N615" s="155" t="s">
        <v>1821</v>
      </c>
      <c r="O615" s="156" t="s">
        <v>1822</v>
      </c>
      <c r="P615" s="152" t="s">
        <v>1812</v>
      </c>
      <c r="Q615" s="152">
        <v>15110423230</v>
      </c>
      <c r="R615" s="106" t="s">
        <v>1813</v>
      </c>
      <c r="S615" s="125" t="s">
        <v>1736</v>
      </c>
      <c r="T615" s="103"/>
    </row>
    <row r="616" spans="1:20" ht="24.95" customHeight="1">
      <c r="A616" s="331" t="s">
        <v>2218</v>
      </c>
      <c r="B616" s="150" t="s">
        <v>893</v>
      </c>
      <c r="C616" s="150" t="s">
        <v>913</v>
      </c>
      <c r="D616" s="151" t="s">
        <v>31</v>
      </c>
      <c r="E616" s="150">
        <v>360</v>
      </c>
      <c r="F616" s="150">
        <v>360</v>
      </c>
      <c r="G616" s="152" t="s">
        <v>32</v>
      </c>
      <c r="H616" s="105" t="s">
        <v>33</v>
      </c>
      <c r="I616" s="152"/>
      <c r="J616" s="152" t="s">
        <v>1809</v>
      </c>
      <c r="K616" s="153"/>
      <c r="L616" s="154">
        <v>52920</v>
      </c>
      <c r="M616" s="154">
        <v>15876</v>
      </c>
      <c r="N616" s="155" t="s">
        <v>1831</v>
      </c>
      <c r="O616" s="156" t="s">
        <v>1822</v>
      </c>
      <c r="P616" s="152" t="s">
        <v>1812</v>
      </c>
      <c r="Q616" s="152">
        <v>15110423230</v>
      </c>
      <c r="R616" s="106" t="s">
        <v>1813</v>
      </c>
      <c r="S616" s="125" t="s">
        <v>1736</v>
      </c>
      <c r="T616" s="103"/>
    </row>
    <row r="617" spans="1:20" ht="24.95" customHeight="1">
      <c r="A617" s="331" t="s">
        <v>2220</v>
      </c>
      <c r="B617" s="150" t="s">
        <v>2775</v>
      </c>
      <c r="C617" s="150" t="s">
        <v>913</v>
      </c>
      <c r="D617" s="151" t="s">
        <v>79</v>
      </c>
      <c r="E617" s="150">
        <v>440</v>
      </c>
      <c r="F617" s="150">
        <v>440</v>
      </c>
      <c r="G617" s="152" t="s">
        <v>32</v>
      </c>
      <c r="H617" s="105" t="s">
        <v>33</v>
      </c>
      <c r="I617" s="152"/>
      <c r="J617" s="152" t="s">
        <v>1809</v>
      </c>
      <c r="K617" s="153"/>
      <c r="L617" s="154">
        <v>3750</v>
      </c>
      <c r="M617" s="154">
        <v>660</v>
      </c>
      <c r="N617" s="155" t="s">
        <v>1831</v>
      </c>
      <c r="O617" s="156" t="s">
        <v>1822</v>
      </c>
      <c r="P617" s="152" t="s">
        <v>1812</v>
      </c>
      <c r="Q617" s="152">
        <v>15110423230</v>
      </c>
      <c r="R617" s="106" t="s">
        <v>1813</v>
      </c>
      <c r="S617" s="125" t="s">
        <v>1736</v>
      </c>
      <c r="T617" s="103"/>
    </row>
    <row r="618" spans="1:20" ht="24.95" customHeight="1">
      <c r="A618" s="331" t="s">
        <v>2223</v>
      </c>
      <c r="B618" s="150" t="s">
        <v>893</v>
      </c>
      <c r="C618" s="150" t="s">
        <v>913</v>
      </c>
      <c r="D618" s="151" t="s">
        <v>31</v>
      </c>
      <c r="E618" s="150">
        <v>380</v>
      </c>
      <c r="F618" s="150">
        <v>380</v>
      </c>
      <c r="G618" s="152" t="s">
        <v>32</v>
      </c>
      <c r="H618" s="105" t="s">
        <v>33</v>
      </c>
      <c r="I618" s="152"/>
      <c r="J618" s="152" t="s">
        <v>1809</v>
      </c>
      <c r="K618" s="153"/>
      <c r="L618" s="154">
        <v>55860</v>
      </c>
      <c r="M618" s="154">
        <v>16758</v>
      </c>
      <c r="N618" s="155" t="s">
        <v>1831</v>
      </c>
      <c r="O618" s="156" t="s">
        <v>1822</v>
      </c>
      <c r="P618" s="152" t="s">
        <v>1812</v>
      </c>
      <c r="Q618" s="152">
        <v>15110423230</v>
      </c>
      <c r="R618" s="106" t="s">
        <v>1813</v>
      </c>
      <c r="S618" s="125" t="s">
        <v>1736</v>
      </c>
      <c r="T618" s="103"/>
    </row>
    <row r="619" spans="1:20" ht="24.95" customHeight="1">
      <c r="A619" s="331" t="s">
        <v>2225</v>
      </c>
      <c r="B619" s="150" t="s">
        <v>2775</v>
      </c>
      <c r="C619" s="150" t="s">
        <v>913</v>
      </c>
      <c r="D619" s="151" t="s">
        <v>79</v>
      </c>
      <c r="E619" s="150">
        <v>1600</v>
      </c>
      <c r="F619" s="150">
        <v>1600</v>
      </c>
      <c r="G619" s="152" t="s">
        <v>32</v>
      </c>
      <c r="H619" s="105" t="s">
        <v>33</v>
      </c>
      <c r="I619" s="152"/>
      <c r="J619" s="152" t="s">
        <v>1809</v>
      </c>
      <c r="K619" s="153"/>
      <c r="L619" s="154">
        <v>8000</v>
      </c>
      <c r="M619" s="154">
        <v>2400</v>
      </c>
      <c r="N619" s="155" t="s">
        <v>1831</v>
      </c>
      <c r="O619" s="156" t="s">
        <v>1822</v>
      </c>
      <c r="P619" s="152" t="s">
        <v>1812</v>
      </c>
      <c r="Q619" s="152">
        <v>15110423230</v>
      </c>
      <c r="R619" s="106" t="s">
        <v>1813</v>
      </c>
      <c r="S619" s="125" t="s">
        <v>1736</v>
      </c>
      <c r="T619" s="103"/>
    </row>
    <row r="620" spans="1:20" ht="24.95" customHeight="1">
      <c r="A620" s="331" t="s">
        <v>2228</v>
      </c>
      <c r="B620" s="150" t="s">
        <v>890</v>
      </c>
      <c r="C620" s="150" t="s">
        <v>2776</v>
      </c>
      <c r="D620" s="151" t="s">
        <v>62</v>
      </c>
      <c r="E620" s="150">
        <v>62.746000000000002</v>
      </c>
      <c r="F620" s="150">
        <v>62.746000000000002</v>
      </c>
      <c r="G620" s="152" t="s">
        <v>32</v>
      </c>
      <c r="H620" s="105" t="s">
        <v>33</v>
      </c>
      <c r="I620" s="152"/>
      <c r="J620" s="152" t="s">
        <v>1809</v>
      </c>
      <c r="K620" s="153"/>
      <c r="L620" s="154">
        <v>219611</v>
      </c>
      <c r="M620" s="154">
        <v>65883.3</v>
      </c>
      <c r="N620" s="155" t="s">
        <v>1831</v>
      </c>
      <c r="O620" s="156" t="s">
        <v>1822</v>
      </c>
      <c r="P620" s="152" t="s">
        <v>1812</v>
      </c>
      <c r="Q620" s="152">
        <v>15110423230</v>
      </c>
      <c r="R620" s="106" t="s">
        <v>1813</v>
      </c>
      <c r="S620" s="125" t="s">
        <v>1736</v>
      </c>
      <c r="T620" s="103"/>
    </row>
    <row r="621" spans="1:20" ht="24.95" customHeight="1">
      <c r="A621" s="331" t="s">
        <v>2230</v>
      </c>
      <c r="B621" s="150" t="s">
        <v>890</v>
      </c>
      <c r="C621" s="150" t="s">
        <v>2777</v>
      </c>
      <c r="D621" s="151" t="s">
        <v>464</v>
      </c>
      <c r="E621" s="150">
        <v>44</v>
      </c>
      <c r="F621" s="150">
        <v>91</v>
      </c>
      <c r="G621" s="152" t="s">
        <v>32</v>
      </c>
      <c r="H621" s="105" t="s">
        <v>33</v>
      </c>
      <c r="I621" s="152"/>
      <c r="J621" s="152" t="s">
        <v>1809</v>
      </c>
      <c r="K621" s="153"/>
      <c r="L621" s="154">
        <v>231000</v>
      </c>
      <c r="M621" s="154">
        <v>69300</v>
      </c>
      <c r="N621" s="155" t="s">
        <v>1831</v>
      </c>
      <c r="O621" s="156" t="s">
        <v>1822</v>
      </c>
      <c r="P621" s="152" t="s">
        <v>1812</v>
      </c>
      <c r="Q621" s="152">
        <v>15110423230</v>
      </c>
      <c r="R621" s="106" t="s">
        <v>1813</v>
      </c>
      <c r="S621" s="125" t="s">
        <v>1736</v>
      </c>
      <c r="T621" s="103"/>
    </row>
    <row r="622" spans="1:20" ht="24.95" customHeight="1">
      <c r="A622" s="331" t="s">
        <v>2233</v>
      </c>
      <c r="B622" s="147" t="s">
        <v>981</v>
      </c>
      <c r="C622" s="140" t="s">
        <v>2778</v>
      </c>
      <c r="D622" s="147" t="s">
        <v>161</v>
      </c>
      <c r="E622" s="147"/>
      <c r="F622" s="140">
        <v>288</v>
      </c>
      <c r="G622" s="147" t="s">
        <v>32</v>
      </c>
      <c r="H622" s="147" t="s">
        <v>33</v>
      </c>
      <c r="I622" s="147" t="s">
        <v>179</v>
      </c>
      <c r="J622" s="147"/>
      <c r="K622" s="147"/>
      <c r="L622" s="147">
        <v>737881.2</v>
      </c>
      <c r="M622" s="140">
        <v>61490.1</v>
      </c>
      <c r="N622" s="147">
        <v>2010.11</v>
      </c>
      <c r="O622" s="147" t="s">
        <v>2779</v>
      </c>
      <c r="P622" s="147" t="s">
        <v>1923</v>
      </c>
      <c r="Q622" s="147">
        <v>18636653547</v>
      </c>
      <c r="R622" s="147" t="s">
        <v>1924</v>
      </c>
      <c r="S622" s="125" t="s">
        <v>1736</v>
      </c>
      <c r="T622" s="329"/>
    </row>
    <row r="623" spans="1:20" ht="24.95" customHeight="1">
      <c r="A623" s="331" t="s">
        <v>2239</v>
      </c>
      <c r="B623" s="147" t="s">
        <v>981</v>
      </c>
      <c r="C623" s="140" t="s">
        <v>2778</v>
      </c>
      <c r="D623" s="147" t="s">
        <v>161</v>
      </c>
      <c r="E623" s="147"/>
      <c r="F623" s="140">
        <v>255.7</v>
      </c>
      <c r="G623" s="147" t="s">
        <v>32</v>
      </c>
      <c r="H623" s="147" t="s">
        <v>33</v>
      </c>
      <c r="I623" s="147" t="s">
        <v>179</v>
      </c>
      <c r="J623" s="147"/>
      <c r="K623" s="147"/>
      <c r="L623" s="147">
        <v>633567.14</v>
      </c>
      <c r="M623" s="140">
        <v>297202.76</v>
      </c>
      <c r="N623" s="147">
        <v>2011.3</v>
      </c>
      <c r="O623" s="147" t="s">
        <v>2779</v>
      </c>
      <c r="P623" s="147" t="s">
        <v>1923</v>
      </c>
      <c r="Q623" s="147">
        <v>18636653547</v>
      </c>
      <c r="R623" s="147" t="s">
        <v>1924</v>
      </c>
      <c r="S623" s="125" t="s">
        <v>1736</v>
      </c>
      <c r="T623" s="329"/>
    </row>
    <row r="624" spans="1:20" ht="24.95" customHeight="1">
      <c r="A624" s="331" t="s">
        <v>2240</v>
      </c>
      <c r="B624" s="147" t="s">
        <v>981</v>
      </c>
      <c r="C624" s="140" t="s">
        <v>2780</v>
      </c>
      <c r="D624" s="147" t="s">
        <v>161</v>
      </c>
      <c r="E624" s="147"/>
      <c r="F624" s="140">
        <v>54.08</v>
      </c>
      <c r="G624" s="147" t="s">
        <v>32</v>
      </c>
      <c r="H624" s="147" t="s">
        <v>33</v>
      </c>
      <c r="I624" s="147" t="s">
        <v>179</v>
      </c>
      <c r="J624" s="147"/>
      <c r="K624" s="147"/>
      <c r="L624" s="147">
        <v>134023.82</v>
      </c>
      <c r="M624" s="140">
        <v>62869.88</v>
      </c>
      <c r="N624" s="147">
        <v>2011.3</v>
      </c>
      <c r="O624" s="147" t="s">
        <v>2779</v>
      </c>
      <c r="P624" s="147" t="s">
        <v>1923</v>
      </c>
      <c r="Q624" s="147">
        <v>18636653547</v>
      </c>
      <c r="R624" s="147" t="s">
        <v>1924</v>
      </c>
      <c r="S624" s="125" t="s">
        <v>1736</v>
      </c>
      <c r="T624" s="329"/>
    </row>
    <row r="625" spans="1:20" ht="24.95" customHeight="1">
      <c r="A625" s="331" t="s">
        <v>2241</v>
      </c>
      <c r="B625" s="147" t="s">
        <v>981</v>
      </c>
      <c r="C625" s="147"/>
      <c r="D625" s="147" t="s">
        <v>2084</v>
      </c>
      <c r="E625" s="147"/>
      <c r="F625" s="140">
        <v>91.292000000000002</v>
      </c>
      <c r="G625" s="147" t="s">
        <v>32</v>
      </c>
      <c r="H625" s="147" t="s">
        <v>33</v>
      </c>
      <c r="I625" s="147" t="s">
        <v>179</v>
      </c>
      <c r="J625" s="147"/>
      <c r="K625" s="147"/>
      <c r="L625" s="147">
        <v>509423.27</v>
      </c>
      <c r="M625" s="140">
        <v>2956.19</v>
      </c>
      <c r="N625" s="147">
        <v>2016.3</v>
      </c>
      <c r="O625" s="147" t="s">
        <v>2779</v>
      </c>
      <c r="P625" s="147" t="s">
        <v>1923</v>
      </c>
      <c r="Q625" s="147">
        <v>18636653547</v>
      </c>
      <c r="R625" s="147" t="s">
        <v>1924</v>
      </c>
      <c r="S625" s="125" t="s">
        <v>1736</v>
      </c>
      <c r="T625" s="329"/>
    </row>
    <row r="626" spans="1:20" ht="24.95" customHeight="1">
      <c r="A626" s="331" t="s">
        <v>2243</v>
      </c>
      <c r="B626" s="356" t="s">
        <v>890</v>
      </c>
      <c r="C626" s="356" t="s">
        <v>943</v>
      </c>
      <c r="D626" s="356" t="s">
        <v>62</v>
      </c>
      <c r="E626" s="356"/>
      <c r="F626" s="290">
        <v>11.25</v>
      </c>
      <c r="G626" s="356" t="s">
        <v>32</v>
      </c>
      <c r="H626" s="356" t="s">
        <v>32</v>
      </c>
      <c r="I626" s="356"/>
      <c r="J626" s="356"/>
      <c r="K626" s="356"/>
      <c r="L626" s="356">
        <v>41850</v>
      </c>
      <c r="M626" s="102">
        <v>12555</v>
      </c>
      <c r="N626" s="356">
        <v>2020.3</v>
      </c>
      <c r="O626" s="356" t="s">
        <v>1418</v>
      </c>
      <c r="P626" s="356" t="s">
        <v>2304</v>
      </c>
      <c r="Q626" s="356">
        <v>15525052220</v>
      </c>
      <c r="R626" s="356" t="s">
        <v>2305</v>
      </c>
      <c r="S626" s="305" t="s">
        <v>1736</v>
      </c>
      <c r="T626" s="329"/>
    </row>
    <row r="627" spans="1:20" ht="24.95" customHeight="1">
      <c r="A627" s="331" t="s">
        <v>2245</v>
      </c>
      <c r="B627" s="168" t="s">
        <v>2781</v>
      </c>
      <c r="C627" s="351" t="s">
        <v>2782</v>
      </c>
      <c r="D627" s="329" t="s">
        <v>464</v>
      </c>
      <c r="E627" s="329"/>
      <c r="F627" s="404">
        <v>96</v>
      </c>
      <c r="G627" s="102" t="s">
        <v>32</v>
      </c>
      <c r="H627" s="102" t="s">
        <v>33</v>
      </c>
      <c r="I627" s="329"/>
      <c r="J627" s="329"/>
      <c r="K627" s="1839" t="s">
        <v>2783</v>
      </c>
      <c r="L627" s="405">
        <v>229544.55445535999</v>
      </c>
      <c r="M627" s="271">
        <v>68865.004455360002</v>
      </c>
      <c r="N627" s="102">
        <v>2020.9</v>
      </c>
      <c r="O627" s="1834" t="s">
        <v>2236</v>
      </c>
      <c r="P627" s="1822" t="s">
        <v>2237</v>
      </c>
      <c r="Q627" s="102">
        <v>13934221581</v>
      </c>
      <c r="R627" s="1810" t="s">
        <v>2238</v>
      </c>
      <c r="S627" s="1824" t="s">
        <v>1736</v>
      </c>
      <c r="T627" s="329"/>
    </row>
    <row r="628" spans="1:20" ht="24.95" customHeight="1">
      <c r="A628" s="331" t="s">
        <v>2247</v>
      </c>
      <c r="B628" s="168" t="s">
        <v>2784</v>
      </c>
      <c r="C628" s="351" t="s">
        <v>2785</v>
      </c>
      <c r="D628" s="329" t="s">
        <v>31</v>
      </c>
      <c r="E628" s="329"/>
      <c r="F628" s="404">
        <v>184</v>
      </c>
      <c r="G628" s="102" t="s">
        <v>32</v>
      </c>
      <c r="H628" s="102" t="s">
        <v>33</v>
      </c>
      <c r="I628" s="329"/>
      <c r="J628" s="329"/>
      <c r="K628" s="1840"/>
      <c r="L628" s="405">
        <v>16396.039603943998</v>
      </c>
      <c r="M628" s="405">
        <v>5000</v>
      </c>
      <c r="N628" s="102">
        <v>2020.9</v>
      </c>
      <c r="O628" s="1842"/>
      <c r="P628" s="1808"/>
      <c r="Q628" s="102">
        <v>13934221581</v>
      </c>
      <c r="R628" s="1810"/>
      <c r="S628" s="1825"/>
      <c r="T628" s="329"/>
    </row>
    <row r="629" spans="1:20" ht="24.95" customHeight="1">
      <c r="A629" s="331" t="s">
        <v>2248</v>
      </c>
      <c r="B629" s="168" t="s">
        <v>2786</v>
      </c>
      <c r="C629" s="351" t="s">
        <v>2787</v>
      </c>
      <c r="D629" s="329" t="s">
        <v>79</v>
      </c>
      <c r="E629" s="329"/>
      <c r="F629" s="404">
        <v>388</v>
      </c>
      <c r="G629" s="102" t="s">
        <v>32</v>
      </c>
      <c r="H629" s="102" t="s">
        <v>33</v>
      </c>
      <c r="I629" s="329"/>
      <c r="J629" s="329"/>
      <c r="K629" s="1840"/>
      <c r="L629" s="405">
        <v>2304.9504950472001</v>
      </c>
      <c r="M629" s="405"/>
      <c r="N629" s="102">
        <v>2020.9</v>
      </c>
      <c r="O629" s="1842"/>
      <c r="P629" s="1808"/>
      <c r="Q629" s="102">
        <v>13934221581</v>
      </c>
      <c r="R629" s="1810"/>
      <c r="S629" s="1825"/>
      <c r="T629" s="329"/>
    </row>
    <row r="630" spans="1:20" ht="24.95" customHeight="1">
      <c r="A630" s="331" t="s">
        <v>2249</v>
      </c>
      <c r="B630" s="168" t="s">
        <v>2788</v>
      </c>
      <c r="C630" s="351" t="s">
        <v>2789</v>
      </c>
      <c r="D630" s="329" t="s">
        <v>131</v>
      </c>
      <c r="E630" s="329"/>
      <c r="F630" s="404">
        <v>388</v>
      </c>
      <c r="G630" s="102" t="s">
        <v>32</v>
      </c>
      <c r="H630" s="102" t="s">
        <v>33</v>
      </c>
      <c r="I630" s="329"/>
      <c r="J630" s="329"/>
      <c r="K630" s="1841"/>
      <c r="L630" s="405">
        <v>192.0792079206</v>
      </c>
      <c r="M630" s="405"/>
      <c r="N630" s="102">
        <v>2020.9</v>
      </c>
      <c r="O630" s="1843"/>
      <c r="P630" s="1809"/>
      <c r="Q630" s="102">
        <v>13934221581</v>
      </c>
      <c r="R630" s="1811"/>
      <c r="S630" s="1826"/>
      <c r="T630" s="329"/>
    </row>
    <row r="631" spans="1:20" ht="24.95" customHeight="1">
      <c r="A631" s="331" t="s">
        <v>2250</v>
      </c>
      <c r="B631" s="406" t="s">
        <v>890</v>
      </c>
      <c r="C631" s="407" t="s">
        <v>2790</v>
      </c>
      <c r="D631" s="358" t="s">
        <v>62</v>
      </c>
      <c r="E631" s="358"/>
      <c r="F631" s="408">
        <v>5.375</v>
      </c>
      <c r="G631" s="102" t="s">
        <v>32</v>
      </c>
      <c r="H631" s="102" t="s">
        <v>33</v>
      </c>
      <c r="I631" s="358"/>
      <c r="J631" s="358"/>
      <c r="K631" s="409" t="s">
        <v>2791</v>
      </c>
      <c r="L631" s="405">
        <v>31298.67</v>
      </c>
      <c r="M631" s="405">
        <v>28516.57</v>
      </c>
      <c r="N631" s="102">
        <v>2021.07</v>
      </c>
      <c r="O631" s="410" t="s">
        <v>2792</v>
      </c>
      <c r="P631" s="185" t="s">
        <v>2793</v>
      </c>
      <c r="Q631" s="102">
        <v>13700506803</v>
      </c>
      <c r="R631" s="411" t="s">
        <v>2794</v>
      </c>
      <c r="S631" s="412" t="s">
        <v>1736</v>
      </c>
      <c r="T631" s="358"/>
    </row>
    <row r="632" spans="1:20" ht="24.95" customHeight="1">
      <c r="A632" s="331" t="s">
        <v>2253</v>
      </c>
      <c r="B632" s="168" t="s">
        <v>890</v>
      </c>
      <c r="C632" s="168" t="s">
        <v>2795</v>
      </c>
      <c r="D632" s="168" t="s">
        <v>62</v>
      </c>
      <c r="E632" s="168">
        <v>8.2100000000000009</v>
      </c>
      <c r="F632" s="168">
        <f>E632</f>
        <v>8.2100000000000009</v>
      </c>
      <c r="G632" s="168" t="s">
        <v>32</v>
      </c>
      <c r="H632" s="168" t="s">
        <v>33</v>
      </c>
      <c r="I632" s="168"/>
      <c r="J632" s="168"/>
      <c r="K632" s="168" t="s">
        <v>2764</v>
      </c>
      <c r="L632" s="396">
        <v>7705.81</v>
      </c>
      <c r="M632" s="396">
        <v>7705.81</v>
      </c>
      <c r="N632" s="176">
        <v>2021.9</v>
      </c>
      <c r="O632" s="174" t="s">
        <v>1932</v>
      </c>
      <c r="P632" s="168" t="s">
        <v>1933</v>
      </c>
      <c r="Q632" s="168">
        <v>18335403600</v>
      </c>
      <c r="R632" s="168" t="s">
        <v>1934</v>
      </c>
      <c r="S632" s="168" t="s">
        <v>1736</v>
      </c>
      <c r="T632" s="168"/>
    </row>
    <row r="633" spans="1:20" ht="24.95" customHeight="1">
      <c r="A633" s="331" t="s">
        <v>2256</v>
      </c>
      <c r="B633" s="168" t="s">
        <v>890</v>
      </c>
      <c r="C633" s="168" t="s">
        <v>2765</v>
      </c>
      <c r="D633" s="168" t="s">
        <v>464</v>
      </c>
      <c r="E633" s="168">
        <v>34</v>
      </c>
      <c r="F633" s="168">
        <f>34*12.5*60/1000</f>
        <v>25.5</v>
      </c>
      <c r="G633" s="168" t="s">
        <v>32</v>
      </c>
      <c r="H633" s="168" t="s">
        <v>33</v>
      </c>
      <c r="I633" s="168"/>
      <c r="J633" s="168"/>
      <c r="K633" s="168" t="s">
        <v>2764</v>
      </c>
      <c r="L633" s="396">
        <v>28075.24</v>
      </c>
      <c r="M633" s="396">
        <v>28075.24</v>
      </c>
      <c r="N633" s="176">
        <v>2021.9</v>
      </c>
      <c r="O633" s="174" t="s">
        <v>1932</v>
      </c>
      <c r="P633" s="168" t="s">
        <v>1933</v>
      </c>
      <c r="Q633" s="168">
        <v>18335403600</v>
      </c>
      <c r="R633" s="168" t="s">
        <v>1934</v>
      </c>
      <c r="S633" s="168" t="s">
        <v>1736</v>
      </c>
      <c r="T633" s="168"/>
    </row>
    <row r="634" spans="1:20" ht="24.95" customHeight="1">
      <c r="A634" s="331" t="s">
        <v>2257</v>
      </c>
      <c r="B634" s="168" t="s">
        <v>893</v>
      </c>
      <c r="C634" s="168" t="s">
        <v>2795</v>
      </c>
      <c r="D634" s="168" t="s">
        <v>31</v>
      </c>
      <c r="E634" s="168">
        <v>162</v>
      </c>
      <c r="F634" s="168"/>
      <c r="G634" s="168" t="s">
        <v>32</v>
      </c>
      <c r="H634" s="168" t="s">
        <v>33</v>
      </c>
      <c r="I634" s="168"/>
      <c r="J634" s="168"/>
      <c r="K634" s="168" t="s">
        <v>2764</v>
      </c>
      <c r="L634" s="396">
        <v>7144.2</v>
      </c>
      <c r="M634" s="396">
        <v>7144.2</v>
      </c>
      <c r="N634" s="176">
        <v>2021.9</v>
      </c>
      <c r="O634" s="174" t="s">
        <v>1932</v>
      </c>
      <c r="P634" s="168" t="s">
        <v>1933</v>
      </c>
      <c r="Q634" s="168">
        <v>18335403600</v>
      </c>
      <c r="R634" s="168" t="s">
        <v>1934</v>
      </c>
      <c r="S634" s="168" t="s">
        <v>1736</v>
      </c>
      <c r="T634" s="168"/>
    </row>
    <row r="635" spans="1:20" ht="24.95" customHeight="1">
      <c r="A635" s="331" t="s">
        <v>2258</v>
      </c>
      <c r="B635" s="168" t="s">
        <v>2775</v>
      </c>
      <c r="C635" s="168" t="s">
        <v>2795</v>
      </c>
      <c r="D635" s="168" t="s">
        <v>79</v>
      </c>
      <c r="E635" s="168">
        <v>650</v>
      </c>
      <c r="F635" s="168"/>
      <c r="G635" s="168" t="s">
        <v>32</v>
      </c>
      <c r="H635" s="168" t="s">
        <v>33</v>
      </c>
      <c r="I635" s="168"/>
      <c r="J635" s="168"/>
      <c r="K635" s="168" t="s">
        <v>2764</v>
      </c>
      <c r="L635" s="396">
        <v>975</v>
      </c>
      <c r="M635" s="396">
        <v>975</v>
      </c>
      <c r="N635" s="176">
        <v>2021.9</v>
      </c>
      <c r="O635" s="174" t="s">
        <v>1932</v>
      </c>
      <c r="P635" s="168" t="s">
        <v>1933</v>
      </c>
      <c r="Q635" s="168">
        <v>18335403600</v>
      </c>
      <c r="R635" s="168" t="s">
        <v>1934</v>
      </c>
      <c r="S635" s="168" t="s">
        <v>1736</v>
      </c>
      <c r="T635" s="168"/>
    </row>
    <row r="636" spans="1:20" ht="24.95" customHeight="1">
      <c r="A636" s="331" t="s">
        <v>2259</v>
      </c>
      <c r="B636" s="168" t="s">
        <v>2768</v>
      </c>
      <c r="C636" s="168" t="s">
        <v>2769</v>
      </c>
      <c r="D636" s="168" t="s">
        <v>131</v>
      </c>
      <c r="E636" s="168">
        <v>400</v>
      </c>
      <c r="F636" s="168"/>
      <c r="G636" s="168" t="s">
        <v>32</v>
      </c>
      <c r="H636" s="168" t="s">
        <v>33</v>
      </c>
      <c r="I636" s="168"/>
      <c r="J636" s="168"/>
      <c r="K636" s="168" t="s">
        <v>2764</v>
      </c>
      <c r="L636" s="396">
        <v>538.79999999999995</v>
      </c>
      <c r="M636" s="396">
        <v>538.79999999999995</v>
      </c>
      <c r="N636" s="176">
        <v>2021.9</v>
      </c>
      <c r="O636" s="174" t="s">
        <v>1932</v>
      </c>
      <c r="P636" s="168" t="s">
        <v>1933</v>
      </c>
      <c r="Q636" s="168">
        <v>18335403600</v>
      </c>
      <c r="R636" s="168" t="s">
        <v>1934</v>
      </c>
      <c r="S636" s="168" t="s">
        <v>1736</v>
      </c>
      <c r="T636" s="168"/>
    </row>
    <row r="637" spans="1:20" ht="24.95" customHeight="1">
      <c r="A637" s="331" t="s">
        <v>2260</v>
      </c>
      <c r="B637" s="168" t="s">
        <v>2771</v>
      </c>
      <c r="C637" s="168" t="s">
        <v>2772</v>
      </c>
      <c r="D637" s="168" t="s">
        <v>131</v>
      </c>
      <c r="E637" s="168">
        <v>610</v>
      </c>
      <c r="F637" s="168"/>
      <c r="G637" s="168" t="s">
        <v>32</v>
      </c>
      <c r="H637" s="168" t="s">
        <v>33</v>
      </c>
      <c r="I637" s="168"/>
      <c r="J637" s="168"/>
      <c r="K637" s="168" t="s">
        <v>2764</v>
      </c>
      <c r="L637" s="396">
        <v>305</v>
      </c>
      <c r="M637" s="396">
        <v>305</v>
      </c>
      <c r="N637" s="176">
        <v>2021.9</v>
      </c>
      <c r="O637" s="174" t="s">
        <v>1932</v>
      </c>
      <c r="P637" s="168" t="s">
        <v>1933</v>
      </c>
      <c r="Q637" s="168">
        <v>18335403600</v>
      </c>
      <c r="R637" s="168" t="s">
        <v>1934</v>
      </c>
      <c r="S637" s="168" t="s">
        <v>1736</v>
      </c>
      <c r="T637" s="168"/>
    </row>
    <row r="638" spans="1:20" ht="24.95" customHeight="1">
      <c r="A638" s="331" t="s">
        <v>2261</v>
      </c>
      <c r="B638" s="168" t="s">
        <v>2771</v>
      </c>
      <c r="C638" s="168" t="s">
        <v>2772</v>
      </c>
      <c r="D638" s="168" t="s">
        <v>131</v>
      </c>
      <c r="E638" s="168">
        <v>960</v>
      </c>
      <c r="F638" s="168"/>
      <c r="G638" s="168" t="s">
        <v>32</v>
      </c>
      <c r="H638" s="168" t="s">
        <v>33</v>
      </c>
      <c r="I638" s="168"/>
      <c r="J638" s="168"/>
      <c r="K638" s="168" t="s">
        <v>2764</v>
      </c>
      <c r="L638" s="396">
        <v>590.77</v>
      </c>
      <c r="M638" s="396">
        <v>590.77</v>
      </c>
      <c r="N638" s="176">
        <v>2021.9</v>
      </c>
      <c r="O638" s="174" t="s">
        <v>1932</v>
      </c>
      <c r="P638" s="168" t="s">
        <v>1933</v>
      </c>
      <c r="Q638" s="168">
        <v>18335403600</v>
      </c>
      <c r="R638" s="168" t="s">
        <v>1934</v>
      </c>
      <c r="S638" s="168" t="s">
        <v>1736</v>
      </c>
      <c r="T638" s="168"/>
    </row>
    <row r="639" spans="1:20" ht="24.95" customHeight="1">
      <c r="A639" s="331" t="s">
        <v>2263</v>
      </c>
      <c r="B639" s="168" t="s">
        <v>2771</v>
      </c>
      <c r="C639" s="168" t="s">
        <v>2772</v>
      </c>
      <c r="D639" s="168" t="s">
        <v>131</v>
      </c>
      <c r="E639" s="168">
        <v>270</v>
      </c>
      <c r="F639" s="168"/>
      <c r="G639" s="168" t="s">
        <v>32</v>
      </c>
      <c r="H639" s="168" t="s">
        <v>33</v>
      </c>
      <c r="I639" s="168"/>
      <c r="J639" s="168"/>
      <c r="K639" s="168" t="s">
        <v>2764</v>
      </c>
      <c r="L639" s="396">
        <v>93.46</v>
      </c>
      <c r="M639" s="396">
        <v>93.46</v>
      </c>
      <c r="N639" s="176">
        <v>2021.9</v>
      </c>
      <c r="O639" s="174" t="s">
        <v>1932</v>
      </c>
      <c r="P639" s="168" t="s">
        <v>1933</v>
      </c>
      <c r="Q639" s="168">
        <v>18335403600</v>
      </c>
      <c r="R639" s="168" t="s">
        <v>1934</v>
      </c>
      <c r="S639" s="168" t="s">
        <v>1736</v>
      </c>
      <c r="T639" s="168"/>
    </row>
    <row r="640" spans="1:20" ht="24.95" customHeight="1">
      <c r="A640" s="331" t="s">
        <v>2266</v>
      </c>
      <c r="B640" s="168" t="s">
        <v>890</v>
      </c>
      <c r="C640" s="168" t="s">
        <v>2782</v>
      </c>
      <c r="D640" s="168" t="s">
        <v>161</v>
      </c>
      <c r="E640" s="168">
        <v>431.25</v>
      </c>
      <c r="F640" s="168">
        <f>431.25*50/1000</f>
        <v>21.5625</v>
      </c>
      <c r="G640" s="168" t="s">
        <v>32</v>
      </c>
      <c r="H640" s="168" t="s">
        <v>33</v>
      </c>
      <c r="I640" s="168"/>
      <c r="J640" s="168"/>
      <c r="K640" s="168" t="s">
        <v>2764</v>
      </c>
      <c r="L640" s="396">
        <v>24337.88</v>
      </c>
      <c r="M640" s="396">
        <v>24337.88</v>
      </c>
      <c r="N640" s="176">
        <v>2021.9</v>
      </c>
      <c r="O640" s="174" t="s">
        <v>1932</v>
      </c>
      <c r="P640" s="168" t="s">
        <v>1933</v>
      </c>
      <c r="Q640" s="168">
        <v>18335403600</v>
      </c>
      <c r="R640" s="168" t="s">
        <v>1934</v>
      </c>
      <c r="S640" s="168" t="s">
        <v>1736</v>
      </c>
      <c r="T640" s="168"/>
    </row>
    <row r="641" spans="1:20" ht="24.95" customHeight="1">
      <c r="A641" s="331" t="s">
        <v>2267</v>
      </c>
      <c r="B641" s="168" t="s">
        <v>2775</v>
      </c>
      <c r="C641" s="168" t="s">
        <v>2795</v>
      </c>
      <c r="D641" s="168" t="s">
        <v>79</v>
      </c>
      <c r="E641" s="168">
        <v>310</v>
      </c>
      <c r="F641" s="168"/>
      <c r="G641" s="168" t="s">
        <v>32</v>
      </c>
      <c r="H641" s="168" t="s">
        <v>33</v>
      </c>
      <c r="I641" s="168"/>
      <c r="J641" s="168"/>
      <c r="K641" s="168" t="s">
        <v>2764</v>
      </c>
      <c r="L641" s="396">
        <v>465</v>
      </c>
      <c r="M641" s="396">
        <v>465</v>
      </c>
      <c r="N641" s="176">
        <v>2021.9</v>
      </c>
      <c r="O641" s="174" t="s">
        <v>1932</v>
      </c>
      <c r="P641" s="168" t="s">
        <v>1933</v>
      </c>
      <c r="Q641" s="168">
        <v>18335403600</v>
      </c>
      <c r="R641" s="168" t="s">
        <v>1934</v>
      </c>
      <c r="S641" s="168" t="s">
        <v>1736</v>
      </c>
      <c r="T641" s="168"/>
    </row>
    <row r="642" spans="1:20" ht="24.95" customHeight="1">
      <c r="A642" s="331" t="s">
        <v>2269</v>
      </c>
      <c r="B642" s="168" t="s">
        <v>890</v>
      </c>
      <c r="C642" s="168" t="s">
        <v>2796</v>
      </c>
      <c r="D642" s="168" t="s">
        <v>464</v>
      </c>
      <c r="E642" s="168">
        <v>1.5</v>
      </c>
      <c r="F642" s="168">
        <f>1.5*25*50/1000</f>
        <v>1.875</v>
      </c>
      <c r="G642" s="168" t="s">
        <v>32</v>
      </c>
      <c r="H642" s="168" t="s">
        <v>33</v>
      </c>
      <c r="I642" s="168"/>
      <c r="J642" s="168"/>
      <c r="K642" s="168" t="s">
        <v>2764</v>
      </c>
      <c r="L642" s="396">
        <v>3100.06</v>
      </c>
      <c r="M642" s="396">
        <v>3100.06</v>
      </c>
      <c r="N642" s="176">
        <v>2021.9</v>
      </c>
      <c r="O642" s="174" t="s">
        <v>1932</v>
      </c>
      <c r="P642" s="168" t="s">
        <v>1933</v>
      </c>
      <c r="Q642" s="168">
        <v>18335403600</v>
      </c>
      <c r="R642" s="168" t="s">
        <v>1934</v>
      </c>
      <c r="S642" s="168" t="s">
        <v>1736</v>
      </c>
      <c r="T642" s="168"/>
    </row>
    <row r="643" spans="1:20" ht="24.95" customHeight="1">
      <c r="A643" s="330">
        <v>4</v>
      </c>
      <c r="B643" s="147" t="s">
        <v>982</v>
      </c>
      <c r="C643" s="147"/>
      <c r="D643" s="147"/>
      <c r="E643" s="147"/>
      <c r="F643" s="147"/>
      <c r="G643" s="147"/>
      <c r="H643" s="147"/>
      <c r="I643" s="147"/>
      <c r="J643" s="147"/>
      <c r="K643" s="147"/>
      <c r="L643" s="147"/>
      <c r="M643" s="147"/>
      <c r="N643" s="147"/>
      <c r="O643" s="147"/>
      <c r="P643" s="147"/>
      <c r="Q643" s="147"/>
      <c r="R643" s="147"/>
      <c r="S643" s="125"/>
      <c r="T643" s="329"/>
    </row>
    <row r="644" spans="1:20" ht="24.95" customHeight="1">
      <c r="A644" s="327">
        <v>4.0999999999999996</v>
      </c>
      <c r="B644" s="147" t="s">
        <v>982</v>
      </c>
      <c r="C644" s="140" t="s">
        <v>1760</v>
      </c>
      <c r="D644" s="147" t="s">
        <v>161</v>
      </c>
      <c r="E644" s="147"/>
      <c r="F644" s="140">
        <v>21.6</v>
      </c>
      <c r="G644" s="147" t="s">
        <v>32</v>
      </c>
      <c r="H644" s="147" t="s">
        <v>33</v>
      </c>
      <c r="I644" s="147" t="s">
        <v>179</v>
      </c>
      <c r="J644" s="147"/>
      <c r="K644" s="147"/>
      <c r="L644" s="147">
        <v>156397.79999999999</v>
      </c>
      <c r="M644" s="140">
        <v>13033.15</v>
      </c>
      <c r="N644" s="147">
        <v>2010.11</v>
      </c>
      <c r="O644" s="147" t="s">
        <v>2779</v>
      </c>
      <c r="P644" s="147" t="s">
        <v>1923</v>
      </c>
      <c r="Q644" s="147"/>
      <c r="R644" s="147" t="s">
        <v>1924</v>
      </c>
      <c r="S644" s="125" t="s">
        <v>1736</v>
      </c>
      <c r="T644" s="329"/>
    </row>
    <row r="645" spans="1:20" ht="24.95" customHeight="1">
      <c r="A645" s="327">
        <v>4.2</v>
      </c>
      <c r="B645" s="147" t="s">
        <v>982</v>
      </c>
      <c r="C645" s="147"/>
      <c r="D645" s="147" t="s">
        <v>2084</v>
      </c>
      <c r="E645" s="147"/>
      <c r="F645" s="140">
        <v>20.012</v>
      </c>
      <c r="G645" s="147" t="s">
        <v>32</v>
      </c>
      <c r="H645" s="147" t="s">
        <v>33</v>
      </c>
      <c r="I645" s="147" t="s">
        <v>179</v>
      </c>
      <c r="J645" s="147"/>
      <c r="K645" s="147"/>
      <c r="L645" s="147">
        <v>111619</v>
      </c>
      <c r="M645" s="140">
        <v>649</v>
      </c>
      <c r="N645" s="147">
        <v>2016.3</v>
      </c>
      <c r="O645" s="147" t="s">
        <v>2779</v>
      </c>
      <c r="P645" s="147" t="s">
        <v>1923</v>
      </c>
      <c r="Q645" s="147"/>
      <c r="R645" s="147" t="s">
        <v>1924</v>
      </c>
      <c r="S645" s="125" t="s">
        <v>1736</v>
      </c>
      <c r="T645" s="329"/>
    </row>
    <row r="646" spans="1:20" ht="24.95" customHeight="1">
      <c r="A646" s="330" t="s">
        <v>1006</v>
      </c>
      <c r="B646" s="328" t="s">
        <v>1007</v>
      </c>
      <c r="C646" s="147"/>
      <c r="D646" s="147"/>
      <c r="E646" s="147"/>
      <c r="F646" s="147"/>
      <c r="G646" s="147"/>
      <c r="H646" s="147"/>
      <c r="I646" s="147"/>
      <c r="J646" s="147"/>
      <c r="K646" s="147"/>
      <c r="L646" s="147"/>
      <c r="M646" s="147"/>
      <c r="N646" s="147"/>
      <c r="O646" s="147"/>
      <c r="P646" s="147"/>
      <c r="Q646" s="147"/>
      <c r="R646" s="147"/>
      <c r="S646" s="125"/>
      <c r="T646" s="329"/>
    </row>
    <row r="647" spans="1:20" ht="24.95" customHeight="1">
      <c r="A647" s="413">
        <v>1</v>
      </c>
      <c r="B647" s="147" t="s">
        <v>1008</v>
      </c>
      <c r="C647" s="147"/>
      <c r="D647" s="147"/>
      <c r="E647" s="147"/>
      <c r="F647" s="147"/>
      <c r="G647" s="147"/>
      <c r="H647" s="147"/>
      <c r="I647" s="147"/>
      <c r="J647" s="147"/>
      <c r="K647" s="147"/>
      <c r="L647" s="147"/>
      <c r="M647" s="147"/>
      <c r="N647" s="147"/>
      <c r="O647" s="147"/>
      <c r="P647" s="147"/>
      <c r="Q647" s="147"/>
      <c r="R647" s="147"/>
      <c r="S647" s="125"/>
      <c r="T647" s="329"/>
    </row>
    <row r="648" spans="1:20" ht="24.95" customHeight="1">
      <c r="A648" s="155" t="s">
        <v>1731</v>
      </c>
      <c r="B648" s="150" t="s">
        <v>2797</v>
      </c>
      <c r="C648" s="150" t="s">
        <v>2798</v>
      </c>
      <c r="D648" s="151" t="s">
        <v>161</v>
      </c>
      <c r="E648" s="150">
        <v>54</v>
      </c>
      <c r="F648" s="150">
        <v>54</v>
      </c>
      <c r="G648" s="152" t="s">
        <v>32</v>
      </c>
      <c r="H648" s="105" t="s">
        <v>33</v>
      </c>
      <c r="I648" s="152"/>
      <c r="J648" s="152" t="s">
        <v>1809</v>
      </c>
      <c r="K648" s="153"/>
      <c r="L648" s="154">
        <v>58300.880000000201</v>
      </c>
      <c r="M648" s="154">
        <v>17490.264000000101</v>
      </c>
      <c r="N648" s="155" t="s">
        <v>1888</v>
      </c>
      <c r="O648" s="156" t="s">
        <v>1832</v>
      </c>
      <c r="P648" s="152" t="s">
        <v>1812</v>
      </c>
      <c r="Q648" s="152">
        <v>15110423230</v>
      </c>
      <c r="R648" s="106" t="s">
        <v>1813</v>
      </c>
      <c r="S648" s="125" t="s">
        <v>1736</v>
      </c>
      <c r="T648" s="103"/>
    </row>
    <row r="649" spans="1:20" ht="24.95" customHeight="1">
      <c r="A649" s="155" t="s">
        <v>1737</v>
      </c>
      <c r="B649" s="150" t="s">
        <v>2799</v>
      </c>
      <c r="C649" s="150" t="s">
        <v>2798</v>
      </c>
      <c r="D649" s="151" t="s">
        <v>161</v>
      </c>
      <c r="E649" s="150">
        <v>213</v>
      </c>
      <c r="F649" s="150">
        <v>213</v>
      </c>
      <c r="G649" s="152" t="s">
        <v>32</v>
      </c>
      <c r="H649" s="105" t="s">
        <v>33</v>
      </c>
      <c r="I649" s="152"/>
      <c r="J649" s="152" t="s">
        <v>1809</v>
      </c>
      <c r="K649" s="153"/>
      <c r="L649" s="154">
        <v>141371.68</v>
      </c>
      <c r="M649" s="154">
        <v>42411.504000000001</v>
      </c>
      <c r="N649" s="155" t="s">
        <v>1888</v>
      </c>
      <c r="O649" s="156" t="s">
        <v>1832</v>
      </c>
      <c r="P649" s="152" t="s">
        <v>1812</v>
      </c>
      <c r="Q649" s="152">
        <v>15110423230</v>
      </c>
      <c r="R649" s="106" t="s">
        <v>1813</v>
      </c>
      <c r="S649" s="125" t="s">
        <v>1736</v>
      </c>
      <c r="T649" s="103"/>
    </row>
    <row r="650" spans="1:20" ht="24.95" customHeight="1">
      <c r="A650" s="155" t="s">
        <v>1740</v>
      </c>
      <c r="B650" s="150" t="s">
        <v>2800</v>
      </c>
      <c r="C650" s="150" t="s">
        <v>2801</v>
      </c>
      <c r="D650" s="151" t="s">
        <v>161</v>
      </c>
      <c r="E650" s="150">
        <v>100</v>
      </c>
      <c r="F650" s="150">
        <v>100</v>
      </c>
      <c r="G650" s="152" t="s">
        <v>32</v>
      </c>
      <c r="H650" s="105" t="s">
        <v>33</v>
      </c>
      <c r="I650" s="152"/>
      <c r="J650" s="152" t="s">
        <v>1809</v>
      </c>
      <c r="K650" s="153"/>
      <c r="L650" s="154">
        <v>216814.16</v>
      </c>
      <c r="M650" s="154">
        <v>65044.248</v>
      </c>
      <c r="N650" s="155" t="s">
        <v>1888</v>
      </c>
      <c r="O650" s="156" t="s">
        <v>1832</v>
      </c>
      <c r="P650" s="152" t="s">
        <v>1812</v>
      </c>
      <c r="Q650" s="152">
        <v>15110423230</v>
      </c>
      <c r="R650" s="106" t="s">
        <v>1813</v>
      </c>
      <c r="S650" s="125" t="s">
        <v>1736</v>
      </c>
      <c r="T650" s="103"/>
    </row>
    <row r="651" spans="1:20" ht="24.95" customHeight="1">
      <c r="A651" s="155" t="s">
        <v>1742</v>
      </c>
      <c r="B651" s="150" t="s">
        <v>2802</v>
      </c>
      <c r="C651" s="150"/>
      <c r="D651" s="151" t="s">
        <v>161</v>
      </c>
      <c r="E651" s="150">
        <v>208</v>
      </c>
      <c r="F651" s="150">
        <v>208</v>
      </c>
      <c r="G651" s="152" t="s">
        <v>32</v>
      </c>
      <c r="H651" s="105" t="s">
        <v>33</v>
      </c>
      <c r="I651" s="152"/>
      <c r="J651" s="152" t="s">
        <v>1809</v>
      </c>
      <c r="K651" s="153"/>
      <c r="L651" s="154">
        <v>403115.02999999898</v>
      </c>
      <c r="M651" s="154">
        <v>120934.50900000001</v>
      </c>
      <c r="N651" s="155" t="s">
        <v>1888</v>
      </c>
      <c r="O651" s="156" t="s">
        <v>1832</v>
      </c>
      <c r="P651" s="152" t="s">
        <v>1812</v>
      </c>
      <c r="Q651" s="152">
        <v>15110423230</v>
      </c>
      <c r="R651" s="106" t="s">
        <v>1813</v>
      </c>
      <c r="S651" s="125" t="s">
        <v>1736</v>
      </c>
      <c r="T651" s="103"/>
    </row>
    <row r="652" spans="1:20" ht="24.95" customHeight="1">
      <c r="A652" s="155" t="s">
        <v>1745</v>
      </c>
      <c r="B652" s="150" t="s">
        <v>2802</v>
      </c>
      <c r="C652" s="150"/>
      <c r="D652" s="151" t="s">
        <v>161</v>
      </c>
      <c r="E652" s="150">
        <v>148</v>
      </c>
      <c r="F652" s="150">
        <v>148</v>
      </c>
      <c r="G652" s="152" t="s">
        <v>32</v>
      </c>
      <c r="H652" s="105" t="s">
        <v>33</v>
      </c>
      <c r="I652" s="152"/>
      <c r="J652" s="152" t="s">
        <v>1809</v>
      </c>
      <c r="K652" s="153"/>
      <c r="L652" s="154">
        <v>286831.84999999998</v>
      </c>
      <c r="M652" s="154">
        <v>11046.902331081101</v>
      </c>
      <c r="N652" s="155" t="s">
        <v>1888</v>
      </c>
      <c r="O652" s="156" t="s">
        <v>1832</v>
      </c>
      <c r="P652" s="152" t="s">
        <v>1812</v>
      </c>
      <c r="Q652" s="152">
        <v>15110423230</v>
      </c>
      <c r="R652" s="106" t="s">
        <v>1813</v>
      </c>
      <c r="S652" s="125" t="s">
        <v>1736</v>
      </c>
      <c r="T652" s="103"/>
    </row>
    <row r="653" spans="1:20" ht="24.95" customHeight="1">
      <c r="A653" s="155" t="s">
        <v>1747</v>
      </c>
      <c r="B653" s="150" t="s">
        <v>2802</v>
      </c>
      <c r="C653" s="150"/>
      <c r="D653" s="151" t="s">
        <v>161</v>
      </c>
      <c r="E653" s="150">
        <v>140</v>
      </c>
      <c r="F653" s="150">
        <v>140</v>
      </c>
      <c r="G653" s="152" t="s">
        <v>32</v>
      </c>
      <c r="H653" s="105" t="s">
        <v>33</v>
      </c>
      <c r="I653" s="152"/>
      <c r="J653" s="152" t="s">
        <v>1809</v>
      </c>
      <c r="K653" s="153"/>
      <c r="L653" s="154">
        <v>271327.43</v>
      </c>
      <c r="M653" s="154">
        <v>81398.229000000007</v>
      </c>
      <c r="N653" s="155" t="s">
        <v>1888</v>
      </c>
      <c r="O653" s="156" t="s">
        <v>1832</v>
      </c>
      <c r="P653" s="152" t="s">
        <v>1812</v>
      </c>
      <c r="Q653" s="152">
        <v>15110423230</v>
      </c>
      <c r="R653" s="106" t="s">
        <v>1813</v>
      </c>
      <c r="S653" s="125" t="s">
        <v>1736</v>
      </c>
      <c r="T653" s="103"/>
    </row>
    <row r="654" spans="1:20" ht="24.95" customHeight="1">
      <c r="A654" s="155" t="s">
        <v>1748</v>
      </c>
      <c r="B654" s="150" t="s">
        <v>2803</v>
      </c>
      <c r="C654" s="150" t="s">
        <v>2798</v>
      </c>
      <c r="D654" s="151" t="s">
        <v>161</v>
      </c>
      <c r="E654" s="150">
        <v>90</v>
      </c>
      <c r="F654" s="150">
        <v>90</v>
      </c>
      <c r="G654" s="152" t="s">
        <v>32</v>
      </c>
      <c r="H654" s="105" t="s">
        <v>33</v>
      </c>
      <c r="I654" s="152"/>
      <c r="J654" s="152" t="s">
        <v>1809</v>
      </c>
      <c r="K654" s="153"/>
      <c r="L654" s="154">
        <v>97168.14</v>
      </c>
      <c r="M654" s="154">
        <v>29150.441999999999</v>
      </c>
      <c r="N654" s="155" t="s">
        <v>2766</v>
      </c>
      <c r="O654" s="156" t="s">
        <v>1832</v>
      </c>
      <c r="P654" s="152" t="s">
        <v>1812</v>
      </c>
      <c r="Q654" s="152">
        <v>15110423230</v>
      </c>
      <c r="R654" s="106" t="s">
        <v>1813</v>
      </c>
      <c r="S654" s="125" t="s">
        <v>1736</v>
      </c>
      <c r="T654" s="103"/>
    </row>
    <row r="655" spans="1:20" ht="24.95" customHeight="1">
      <c r="A655" s="155" t="s">
        <v>1751</v>
      </c>
      <c r="B655" s="150" t="s">
        <v>2804</v>
      </c>
      <c r="C655" s="150" t="s">
        <v>2805</v>
      </c>
      <c r="D655" s="151" t="s">
        <v>464</v>
      </c>
      <c r="E655" s="150">
        <v>80</v>
      </c>
      <c r="F655" s="150">
        <v>140</v>
      </c>
      <c r="G655" s="152" t="s">
        <v>32</v>
      </c>
      <c r="H655" s="105" t="s">
        <v>33</v>
      </c>
      <c r="I655" s="152"/>
      <c r="J655" s="152" t="s">
        <v>1809</v>
      </c>
      <c r="K655" s="153"/>
      <c r="L655" s="154">
        <v>2619.4699999999998</v>
      </c>
      <c r="M655" s="154">
        <v>785.84100000000001</v>
      </c>
      <c r="N655" s="155" t="s">
        <v>1886</v>
      </c>
      <c r="O655" s="156" t="s">
        <v>1811</v>
      </c>
      <c r="P655" s="152" t="s">
        <v>1812</v>
      </c>
      <c r="Q655" s="152">
        <v>15110423230</v>
      </c>
      <c r="R655" s="106" t="s">
        <v>1813</v>
      </c>
      <c r="S655" s="125" t="s">
        <v>1736</v>
      </c>
      <c r="T655" s="103"/>
    </row>
    <row r="656" spans="1:20" ht="24.95" customHeight="1">
      <c r="A656" s="155" t="s">
        <v>1752</v>
      </c>
      <c r="B656" s="150" t="s">
        <v>2800</v>
      </c>
      <c r="C656" s="150" t="s">
        <v>2801</v>
      </c>
      <c r="D656" s="151" t="s">
        <v>161</v>
      </c>
      <c r="E656" s="150">
        <v>15</v>
      </c>
      <c r="F656" s="150">
        <v>90</v>
      </c>
      <c r="G656" s="152" t="s">
        <v>32</v>
      </c>
      <c r="H656" s="105" t="s">
        <v>33</v>
      </c>
      <c r="I656" s="152"/>
      <c r="J656" s="152" t="s">
        <v>1809</v>
      </c>
      <c r="K656" s="153"/>
      <c r="L656" s="154">
        <v>32522.119999999901</v>
      </c>
      <c r="M656" s="154">
        <v>9756.6360000000004</v>
      </c>
      <c r="N656" s="155" t="s">
        <v>1886</v>
      </c>
      <c r="O656" s="156" t="s">
        <v>1811</v>
      </c>
      <c r="P656" s="152" t="s">
        <v>1812</v>
      </c>
      <c r="Q656" s="152">
        <v>15110423230</v>
      </c>
      <c r="R656" s="106" t="s">
        <v>1813</v>
      </c>
      <c r="S656" s="125" t="s">
        <v>1736</v>
      </c>
      <c r="T656" s="103"/>
    </row>
    <row r="657" spans="1:20" ht="24.95" customHeight="1">
      <c r="A657" s="155" t="s">
        <v>1753</v>
      </c>
      <c r="B657" s="150" t="s">
        <v>2803</v>
      </c>
      <c r="C657" s="150" t="s">
        <v>2798</v>
      </c>
      <c r="D657" s="151" t="s">
        <v>161</v>
      </c>
      <c r="E657" s="150">
        <v>60</v>
      </c>
      <c r="F657" s="150">
        <v>80</v>
      </c>
      <c r="G657" s="152" t="s">
        <v>32</v>
      </c>
      <c r="H657" s="105" t="s">
        <v>33</v>
      </c>
      <c r="I657" s="152"/>
      <c r="J657" s="152" t="s">
        <v>1809</v>
      </c>
      <c r="K657" s="153"/>
      <c r="L657" s="154">
        <v>64778.76</v>
      </c>
      <c r="M657" s="154">
        <v>19433.628000000001</v>
      </c>
      <c r="N657" s="155" t="s">
        <v>1886</v>
      </c>
      <c r="O657" s="156" t="s">
        <v>1811</v>
      </c>
      <c r="P657" s="152" t="s">
        <v>1812</v>
      </c>
      <c r="Q657" s="152">
        <v>15110423230</v>
      </c>
      <c r="R657" s="106" t="s">
        <v>1813</v>
      </c>
      <c r="S657" s="125" t="s">
        <v>1736</v>
      </c>
      <c r="T657" s="103"/>
    </row>
    <row r="658" spans="1:20" ht="24.95" customHeight="1">
      <c r="A658" s="155" t="s">
        <v>1758</v>
      </c>
      <c r="B658" s="150" t="s">
        <v>2800</v>
      </c>
      <c r="C658" s="150" t="s">
        <v>2801</v>
      </c>
      <c r="D658" s="151" t="s">
        <v>161</v>
      </c>
      <c r="E658" s="150">
        <v>39</v>
      </c>
      <c r="F658" s="150">
        <v>15</v>
      </c>
      <c r="G658" s="152" t="s">
        <v>32</v>
      </c>
      <c r="H658" s="105" t="s">
        <v>33</v>
      </c>
      <c r="I658" s="152"/>
      <c r="J658" s="152" t="s">
        <v>1809</v>
      </c>
      <c r="K658" s="153"/>
      <c r="L658" s="154">
        <v>84557.520000000106</v>
      </c>
      <c r="M658" s="154">
        <v>25367.256000000001</v>
      </c>
      <c r="N658" s="155" t="s">
        <v>1886</v>
      </c>
      <c r="O658" s="156" t="s">
        <v>1811</v>
      </c>
      <c r="P658" s="152" t="s">
        <v>1812</v>
      </c>
      <c r="Q658" s="152">
        <v>15110423230</v>
      </c>
      <c r="R658" s="106" t="s">
        <v>1813</v>
      </c>
      <c r="S658" s="125" t="s">
        <v>1736</v>
      </c>
      <c r="T658" s="103"/>
    </row>
    <row r="659" spans="1:20" ht="24.95" customHeight="1">
      <c r="A659" s="155" t="s">
        <v>1767</v>
      </c>
      <c r="B659" s="150" t="s">
        <v>2800</v>
      </c>
      <c r="C659" s="150" t="s">
        <v>2801</v>
      </c>
      <c r="D659" s="151" t="s">
        <v>161</v>
      </c>
      <c r="E659" s="150">
        <v>20</v>
      </c>
      <c r="F659" s="150">
        <v>60</v>
      </c>
      <c r="G659" s="152" t="s">
        <v>32</v>
      </c>
      <c r="H659" s="105" t="s">
        <v>33</v>
      </c>
      <c r="I659" s="152"/>
      <c r="J659" s="152" t="s">
        <v>1809</v>
      </c>
      <c r="K659" s="153"/>
      <c r="L659" s="154">
        <v>43362.83</v>
      </c>
      <c r="M659" s="154">
        <v>13008.849</v>
      </c>
      <c r="N659" s="155" t="s">
        <v>1886</v>
      </c>
      <c r="O659" s="156" t="s">
        <v>1811</v>
      </c>
      <c r="P659" s="152" t="s">
        <v>1812</v>
      </c>
      <c r="Q659" s="152">
        <v>15110423230</v>
      </c>
      <c r="R659" s="106" t="s">
        <v>1813</v>
      </c>
      <c r="S659" s="125" t="s">
        <v>1736</v>
      </c>
      <c r="T659" s="103"/>
    </row>
    <row r="660" spans="1:20" ht="24.95" customHeight="1">
      <c r="A660" s="155" t="s">
        <v>1769</v>
      </c>
      <c r="B660" s="150" t="s">
        <v>2803</v>
      </c>
      <c r="C660" s="150" t="s">
        <v>2798</v>
      </c>
      <c r="D660" s="151" t="s">
        <v>161</v>
      </c>
      <c r="E660" s="150">
        <v>150</v>
      </c>
      <c r="F660" s="150">
        <v>39</v>
      </c>
      <c r="G660" s="152" t="s">
        <v>32</v>
      </c>
      <c r="H660" s="105" t="s">
        <v>33</v>
      </c>
      <c r="I660" s="152"/>
      <c r="J660" s="152" t="s">
        <v>1809</v>
      </c>
      <c r="K660" s="153"/>
      <c r="L660" s="154">
        <v>161946.9</v>
      </c>
      <c r="M660" s="154">
        <v>48584.07</v>
      </c>
      <c r="N660" s="155" t="s">
        <v>1886</v>
      </c>
      <c r="O660" s="156" t="s">
        <v>1811</v>
      </c>
      <c r="P660" s="152" t="s">
        <v>1812</v>
      </c>
      <c r="Q660" s="152">
        <v>15110423230</v>
      </c>
      <c r="R660" s="106" t="s">
        <v>1813</v>
      </c>
      <c r="S660" s="125" t="s">
        <v>1736</v>
      </c>
      <c r="T660" s="103"/>
    </row>
    <row r="661" spans="1:20" ht="24.95" customHeight="1">
      <c r="A661" s="155" t="s">
        <v>1771</v>
      </c>
      <c r="B661" s="150" t="s">
        <v>2804</v>
      </c>
      <c r="C661" s="150" t="s">
        <v>2805</v>
      </c>
      <c r="D661" s="151" t="s">
        <v>464</v>
      </c>
      <c r="E661" s="150">
        <v>80</v>
      </c>
      <c r="F661" s="150">
        <v>20</v>
      </c>
      <c r="G661" s="152" t="s">
        <v>32</v>
      </c>
      <c r="H661" s="105" t="s">
        <v>33</v>
      </c>
      <c r="I661" s="152"/>
      <c r="J661" s="152" t="s">
        <v>1809</v>
      </c>
      <c r="K661" s="153"/>
      <c r="L661" s="154">
        <v>2619.4699999999998</v>
      </c>
      <c r="M661" s="154">
        <v>785.84100000000001</v>
      </c>
      <c r="N661" s="155" t="s">
        <v>1886</v>
      </c>
      <c r="O661" s="156" t="s">
        <v>1811</v>
      </c>
      <c r="P661" s="152" t="s">
        <v>1812</v>
      </c>
      <c r="Q661" s="152">
        <v>15110423230</v>
      </c>
      <c r="R661" s="106" t="s">
        <v>1813</v>
      </c>
      <c r="S661" s="125" t="s">
        <v>1736</v>
      </c>
      <c r="T661" s="103"/>
    </row>
    <row r="662" spans="1:20" ht="24.95" customHeight="1">
      <c r="A662" s="155" t="s">
        <v>1773</v>
      </c>
      <c r="B662" s="150" t="s">
        <v>2800</v>
      </c>
      <c r="C662" s="150" t="s">
        <v>2801</v>
      </c>
      <c r="D662" s="151" t="s">
        <v>161</v>
      </c>
      <c r="E662" s="150">
        <v>74</v>
      </c>
      <c r="F662" s="150">
        <v>150</v>
      </c>
      <c r="G662" s="152" t="s">
        <v>32</v>
      </c>
      <c r="H662" s="105" t="s">
        <v>33</v>
      </c>
      <c r="I662" s="152"/>
      <c r="J662" s="152" t="s">
        <v>1809</v>
      </c>
      <c r="K662" s="153"/>
      <c r="L662" s="154">
        <v>160442.47</v>
      </c>
      <c r="M662" s="154">
        <v>48132.741000000002</v>
      </c>
      <c r="N662" s="155" t="s">
        <v>2601</v>
      </c>
      <c r="O662" s="156" t="s">
        <v>1811</v>
      </c>
      <c r="P662" s="152" t="s">
        <v>1812</v>
      </c>
      <c r="Q662" s="152">
        <v>15110423230</v>
      </c>
      <c r="R662" s="106" t="s">
        <v>1813</v>
      </c>
      <c r="S662" s="125" t="s">
        <v>1736</v>
      </c>
      <c r="T662" s="103"/>
    </row>
    <row r="663" spans="1:20" ht="24.95" customHeight="1">
      <c r="A663" s="155" t="s">
        <v>1780</v>
      </c>
      <c r="B663" s="150" t="s">
        <v>2806</v>
      </c>
      <c r="C663" s="150"/>
      <c r="D663" s="151" t="s">
        <v>161</v>
      </c>
      <c r="E663" s="150">
        <v>400</v>
      </c>
      <c r="F663" s="150">
        <v>80</v>
      </c>
      <c r="G663" s="152" t="s">
        <v>32</v>
      </c>
      <c r="H663" s="105" t="s">
        <v>33</v>
      </c>
      <c r="I663" s="152"/>
      <c r="J663" s="152" t="s">
        <v>1809</v>
      </c>
      <c r="K663" s="153"/>
      <c r="L663" s="154">
        <v>718584.08</v>
      </c>
      <c r="M663" s="154">
        <v>215575.22399999999</v>
      </c>
      <c r="N663" s="155" t="s">
        <v>2601</v>
      </c>
      <c r="O663" s="156" t="s">
        <v>1811</v>
      </c>
      <c r="P663" s="152" t="s">
        <v>1812</v>
      </c>
      <c r="Q663" s="152">
        <v>15110423230</v>
      </c>
      <c r="R663" s="106" t="s">
        <v>1813</v>
      </c>
      <c r="S663" s="125" t="s">
        <v>1736</v>
      </c>
      <c r="T663" s="103"/>
    </row>
    <row r="664" spans="1:20" ht="24.95" customHeight="1">
      <c r="A664" s="155" t="s">
        <v>1786</v>
      </c>
      <c r="B664" s="150" t="s">
        <v>2807</v>
      </c>
      <c r="C664" s="150" t="s">
        <v>2808</v>
      </c>
      <c r="D664" s="151" t="s">
        <v>464</v>
      </c>
      <c r="E664" s="150">
        <v>184</v>
      </c>
      <c r="F664" s="150">
        <v>54</v>
      </c>
      <c r="G664" s="152" t="s">
        <v>32</v>
      </c>
      <c r="H664" s="105" t="s">
        <v>33</v>
      </c>
      <c r="I664" s="152"/>
      <c r="J664" s="152" t="s">
        <v>1809</v>
      </c>
      <c r="K664" s="153"/>
      <c r="L664" s="154">
        <v>34194.69</v>
      </c>
      <c r="M664" s="154">
        <v>9422.1238206521703</v>
      </c>
      <c r="N664" s="155" t="s">
        <v>1816</v>
      </c>
      <c r="O664" s="156" t="s">
        <v>1817</v>
      </c>
      <c r="P664" s="123" t="s">
        <v>1812</v>
      </c>
      <c r="Q664" s="152">
        <v>15110423230</v>
      </c>
      <c r="R664" s="152" t="s">
        <v>1813</v>
      </c>
      <c r="S664" s="125" t="s">
        <v>1736</v>
      </c>
      <c r="T664" s="329"/>
    </row>
    <row r="665" spans="1:20" ht="24.95" customHeight="1">
      <c r="A665" s="155" t="s">
        <v>1789</v>
      </c>
      <c r="B665" s="150" t="s">
        <v>2809</v>
      </c>
      <c r="C665" s="150"/>
      <c r="D665" s="151" t="s">
        <v>464</v>
      </c>
      <c r="E665" s="150">
        <v>47</v>
      </c>
      <c r="F665" s="150">
        <v>213</v>
      </c>
      <c r="G665" s="152" t="s">
        <v>32</v>
      </c>
      <c r="H665" s="105" t="s">
        <v>33</v>
      </c>
      <c r="I665" s="152"/>
      <c r="J665" s="152" t="s">
        <v>1809</v>
      </c>
      <c r="K665" s="153"/>
      <c r="L665" s="154">
        <v>3535.4</v>
      </c>
      <c r="M665" s="154">
        <v>1060.6199999999999</v>
      </c>
      <c r="N665" s="155" t="s">
        <v>1816</v>
      </c>
      <c r="O665" s="156" t="s">
        <v>1817</v>
      </c>
      <c r="P665" s="123" t="s">
        <v>1812</v>
      </c>
      <c r="Q665" s="152">
        <v>15110423230</v>
      </c>
      <c r="R665" s="152" t="s">
        <v>1813</v>
      </c>
      <c r="S665" s="125" t="s">
        <v>1736</v>
      </c>
      <c r="T665" s="329"/>
    </row>
    <row r="666" spans="1:20" ht="24.95" customHeight="1">
      <c r="A666" s="155" t="s">
        <v>1801</v>
      </c>
      <c r="B666" s="150" t="s">
        <v>2800</v>
      </c>
      <c r="C666" s="150" t="s">
        <v>2801</v>
      </c>
      <c r="D666" s="151" t="s">
        <v>161</v>
      </c>
      <c r="E666" s="150">
        <v>160</v>
      </c>
      <c r="F666" s="150">
        <v>148</v>
      </c>
      <c r="G666" s="152" t="s">
        <v>32</v>
      </c>
      <c r="H666" s="105" t="s">
        <v>33</v>
      </c>
      <c r="I666" s="152"/>
      <c r="J666" s="152" t="s">
        <v>1809</v>
      </c>
      <c r="K666" s="153"/>
      <c r="L666" s="154">
        <v>346902.64</v>
      </c>
      <c r="M666" s="154">
        <v>104070.792</v>
      </c>
      <c r="N666" s="155" t="s">
        <v>1886</v>
      </c>
      <c r="O666" s="156" t="s">
        <v>1811</v>
      </c>
      <c r="P666" s="123"/>
      <c r="Q666" s="152"/>
      <c r="R666" s="152"/>
      <c r="S666" s="125"/>
      <c r="T666" s="329"/>
    </row>
    <row r="667" spans="1:20" ht="24.95" customHeight="1">
      <c r="A667" s="155" t="s">
        <v>1802</v>
      </c>
      <c r="B667" s="150" t="s">
        <v>2810</v>
      </c>
      <c r="C667" s="150" t="s">
        <v>2811</v>
      </c>
      <c r="D667" s="151" t="s">
        <v>79</v>
      </c>
      <c r="E667" s="150">
        <v>91</v>
      </c>
      <c r="F667" s="150">
        <v>360</v>
      </c>
      <c r="G667" s="152" t="s">
        <v>32</v>
      </c>
      <c r="H667" s="105" t="s">
        <v>33</v>
      </c>
      <c r="I667" s="152"/>
      <c r="J667" s="152" t="s">
        <v>1809</v>
      </c>
      <c r="K667" s="153"/>
      <c r="L667" s="154">
        <v>231389.34</v>
      </c>
      <c r="M667" s="154">
        <v>69416.801999999996</v>
      </c>
      <c r="N667" s="155" t="s">
        <v>1831</v>
      </c>
      <c r="O667" s="156" t="s">
        <v>1822</v>
      </c>
      <c r="P667" s="123"/>
      <c r="Q667" s="152"/>
      <c r="R667" s="152"/>
      <c r="S667" s="125"/>
      <c r="T667" s="329"/>
    </row>
    <row r="668" spans="1:20" ht="24.95" customHeight="1">
      <c r="A668" s="155" t="s">
        <v>1807</v>
      </c>
      <c r="B668" s="150" t="s">
        <v>2812</v>
      </c>
      <c r="C668" s="150" t="s">
        <v>2813</v>
      </c>
      <c r="D668" s="151" t="s">
        <v>161</v>
      </c>
      <c r="E668" s="150"/>
      <c r="F668" s="150">
        <v>140</v>
      </c>
      <c r="G668" s="152" t="s">
        <v>32</v>
      </c>
      <c r="H668" s="105" t="s">
        <v>33</v>
      </c>
      <c r="I668" s="152"/>
      <c r="J668" s="152" t="s">
        <v>1809</v>
      </c>
      <c r="K668" s="153"/>
      <c r="L668" s="154">
        <v>1017.69914285714</v>
      </c>
      <c r="M668" s="154">
        <v>142477.88</v>
      </c>
      <c r="N668" s="155" t="s">
        <v>2814</v>
      </c>
      <c r="O668" s="156" t="s">
        <v>1822</v>
      </c>
      <c r="P668" s="152" t="s">
        <v>1812</v>
      </c>
      <c r="Q668" s="152">
        <v>15110423230</v>
      </c>
      <c r="R668" s="106" t="s">
        <v>1813</v>
      </c>
      <c r="S668" s="125" t="s">
        <v>1736</v>
      </c>
      <c r="T668" s="329"/>
    </row>
    <row r="669" spans="1:20" ht="24.95" customHeight="1">
      <c r="A669" s="155" t="s">
        <v>2624</v>
      </c>
      <c r="B669" s="150" t="s">
        <v>2815</v>
      </c>
      <c r="C669" s="150" t="s">
        <v>2816</v>
      </c>
      <c r="D669" s="151" t="s">
        <v>2817</v>
      </c>
      <c r="E669" s="150"/>
      <c r="F669" s="150">
        <v>240</v>
      </c>
      <c r="G669" s="152" t="s">
        <v>32</v>
      </c>
      <c r="H669" s="105" t="s">
        <v>33</v>
      </c>
      <c r="I669" s="152"/>
      <c r="J669" s="152" t="s">
        <v>1809</v>
      </c>
      <c r="K669" s="153"/>
      <c r="L669" s="154">
        <v>1796.4601666666699</v>
      </c>
      <c r="M669" s="154">
        <v>431150.44</v>
      </c>
      <c r="N669" s="155" t="s">
        <v>2814</v>
      </c>
      <c r="O669" s="156" t="s">
        <v>1822</v>
      </c>
      <c r="P669" s="152" t="s">
        <v>1812</v>
      </c>
      <c r="Q669" s="152">
        <v>15110423230</v>
      </c>
      <c r="R669" s="106" t="s">
        <v>1813</v>
      </c>
      <c r="S669" s="125" t="s">
        <v>1736</v>
      </c>
      <c r="T669" s="329"/>
    </row>
    <row r="670" spans="1:20" ht="24.95" customHeight="1">
      <c r="A670" s="155" t="s">
        <v>1823</v>
      </c>
      <c r="B670" s="125" t="s">
        <v>2806</v>
      </c>
      <c r="C670" s="160"/>
      <c r="D670" s="414" t="s">
        <v>62</v>
      </c>
      <c r="E670" s="160">
        <v>12.5</v>
      </c>
      <c r="F670" s="160">
        <v>12.5</v>
      </c>
      <c r="G670" s="147" t="s">
        <v>72</v>
      </c>
      <c r="H670" s="102" t="s">
        <v>41</v>
      </c>
      <c r="I670" s="147"/>
      <c r="J670" s="147"/>
      <c r="K670" s="147"/>
      <c r="L670" s="102">
        <v>85000</v>
      </c>
      <c r="M670" s="102">
        <v>25500</v>
      </c>
      <c r="N670" s="102" t="s">
        <v>2818</v>
      </c>
      <c r="O670" s="140" t="s">
        <v>1911</v>
      </c>
      <c r="P670" s="147" t="s">
        <v>1912</v>
      </c>
      <c r="Q670" s="147">
        <v>13509714024</v>
      </c>
      <c r="R670" s="415" t="s">
        <v>1913</v>
      </c>
      <c r="S670" s="125" t="s">
        <v>1736</v>
      </c>
      <c r="T670" s="329"/>
    </row>
    <row r="671" spans="1:20" ht="24.95" customHeight="1">
      <c r="A671" s="155" t="s">
        <v>1825</v>
      </c>
      <c r="B671" s="125" t="s">
        <v>2806</v>
      </c>
      <c r="C671" s="147" t="s">
        <v>2819</v>
      </c>
      <c r="D671" s="147" t="s">
        <v>161</v>
      </c>
      <c r="E671" s="147">
        <v>15.5</v>
      </c>
      <c r="F671" s="147"/>
      <c r="G671" s="147" t="s">
        <v>32</v>
      </c>
      <c r="H671" s="147" t="s">
        <v>33</v>
      </c>
      <c r="I671" s="147"/>
      <c r="J671" s="140"/>
      <c r="K671" s="140" t="s">
        <v>2695</v>
      </c>
      <c r="L671" s="147">
        <v>11315</v>
      </c>
      <c r="M671" s="147">
        <v>1131.5</v>
      </c>
      <c r="N671" s="147">
        <v>2015.12</v>
      </c>
      <c r="O671" s="147" t="s">
        <v>2820</v>
      </c>
      <c r="P671" s="147" t="s">
        <v>2660</v>
      </c>
      <c r="Q671" s="147">
        <v>17809251055</v>
      </c>
      <c r="R671" s="147" t="s">
        <v>2661</v>
      </c>
      <c r="S671" s="125" t="s">
        <v>1736</v>
      </c>
      <c r="T671" s="329"/>
    </row>
    <row r="672" spans="1:20" ht="24.95" customHeight="1">
      <c r="A672" s="155" t="s">
        <v>1829</v>
      </c>
      <c r="B672" s="147" t="s">
        <v>2821</v>
      </c>
      <c r="C672" s="416" t="s">
        <v>2822</v>
      </c>
      <c r="D672" s="416" t="s">
        <v>62</v>
      </c>
      <c r="E672" s="416"/>
      <c r="F672" s="416">
        <v>27.63</v>
      </c>
      <c r="G672" s="147" t="s">
        <v>32</v>
      </c>
      <c r="H672" s="147" t="s">
        <v>33</v>
      </c>
      <c r="I672" s="147"/>
      <c r="J672" s="140"/>
      <c r="K672" s="140" t="s">
        <v>2695</v>
      </c>
      <c r="L672" s="147">
        <v>221040</v>
      </c>
      <c r="M672" s="147">
        <v>66312</v>
      </c>
      <c r="N672" s="147" t="s">
        <v>2823</v>
      </c>
      <c r="O672" s="147" t="s">
        <v>2659</v>
      </c>
      <c r="P672" s="147" t="s">
        <v>2660</v>
      </c>
      <c r="Q672" s="147">
        <v>17809251055</v>
      </c>
      <c r="R672" s="147" t="s">
        <v>2661</v>
      </c>
      <c r="S672" s="125" t="s">
        <v>1736</v>
      </c>
      <c r="T672" s="168"/>
    </row>
    <row r="673" spans="1:20" ht="24.95" customHeight="1">
      <c r="A673" s="155" t="s">
        <v>1833</v>
      </c>
      <c r="B673" s="150" t="s">
        <v>2824</v>
      </c>
      <c r="C673" s="222" t="s">
        <v>2825</v>
      </c>
      <c r="D673" s="123" t="s">
        <v>79</v>
      </c>
      <c r="E673" s="102">
        <v>1</v>
      </c>
      <c r="F673" s="165"/>
      <c r="G673" s="102" t="s">
        <v>32</v>
      </c>
      <c r="H673" s="105" t="s">
        <v>33</v>
      </c>
      <c r="I673" s="123"/>
      <c r="J673" s="106"/>
      <c r="K673" s="1834" t="s">
        <v>2826</v>
      </c>
      <c r="L673" s="405">
        <v>78008.849558000002</v>
      </c>
      <c r="M673" s="265">
        <v>0</v>
      </c>
      <c r="N673" s="102">
        <v>2019.11</v>
      </c>
      <c r="O673" s="1804" t="s">
        <v>2236</v>
      </c>
      <c r="P673" s="1822" t="s">
        <v>2237</v>
      </c>
      <c r="Q673" s="1804">
        <v>13934221581</v>
      </c>
      <c r="R673" s="1810" t="s">
        <v>2238</v>
      </c>
      <c r="S673" s="125" t="s">
        <v>1736</v>
      </c>
      <c r="T673" s="168"/>
    </row>
    <row r="674" spans="1:20" ht="24.95" customHeight="1">
      <c r="A674" s="155" t="s">
        <v>1835</v>
      </c>
      <c r="B674" s="150" t="s">
        <v>2824</v>
      </c>
      <c r="C674" s="222" t="s">
        <v>2827</v>
      </c>
      <c r="D674" s="123" t="s">
        <v>79</v>
      </c>
      <c r="E674" s="102">
        <v>1</v>
      </c>
      <c r="F674" s="165"/>
      <c r="G674" s="102" t="s">
        <v>32</v>
      </c>
      <c r="H674" s="105" t="s">
        <v>33</v>
      </c>
      <c r="I674" s="123"/>
      <c r="J674" s="106"/>
      <c r="K674" s="1835"/>
      <c r="L674" s="405">
        <v>83079.646017999999</v>
      </c>
      <c r="M674" s="265">
        <v>0</v>
      </c>
      <c r="N674" s="102">
        <v>2019.11</v>
      </c>
      <c r="O674" s="1807"/>
      <c r="P674" s="1808"/>
      <c r="Q674" s="1807"/>
      <c r="R674" s="1810"/>
      <c r="S674" s="125" t="s">
        <v>1736</v>
      </c>
      <c r="T674" s="168"/>
    </row>
    <row r="675" spans="1:20" ht="24.95" customHeight="1">
      <c r="A675" s="155" t="s">
        <v>1838</v>
      </c>
      <c r="B675" s="150" t="s">
        <v>2824</v>
      </c>
      <c r="C675" s="222" t="s">
        <v>2828</v>
      </c>
      <c r="D675" s="123" t="s">
        <v>79</v>
      </c>
      <c r="E675" s="102">
        <v>3</v>
      </c>
      <c r="F675" s="165"/>
      <c r="G675" s="102" t="s">
        <v>32</v>
      </c>
      <c r="H675" s="105" t="s">
        <v>33</v>
      </c>
      <c r="I675" s="123"/>
      <c r="J675" s="106"/>
      <c r="K675" s="1836"/>
      <c r="L675" s="405">
        <v>340513.27434</v>
      </c>
      <c r="M675" s="265">
        <v>0</v>
      </c>
      <c r="N675" s="102">
        <v>2019.11</v>
      </c>
      <c r="O675" s="1805"/>
      <c r="P675" s="1809"/>
      <c r="Q675" s="1805"/>
      <c r="R675" s="1811"/>
      <c r="S675" s="125" t="s">
        <v>1736</v>
      </c>
      <c r="T675" s="168"/>
    </row>
    <row r="676" spans="1:20" ht="24.95" customHeight="1">
      <c r="A676" s="155" t="s">
        <v>1840</v>
      </c>
      <c r="B676" s="150" t="s">
        <v>2810</v>
      </c>
      <c r="C676" s="417" t="s">
        <v>2829</v>
      </c>
      <c r="D676" s="123" t="s">
        <v>161</v>
      </c>
      <c r="E676" s="102">
        <v>46</v>
      </c>
      <c r="F676" s="165"/>
      <c r="G676" s="102" t="s">
        <v>32</v>
      </c>
      <c r="H676" s="105" t="s">
        <v>33</v>
      </c>
      <c r="I676" s="123"/>
      <c r="J676" s="106"/>
      <c r="K676" s="279" t="s">
        <v>2830</v>
      </c>
      <c r="L676" s="405">
        <v>46000</v>
      </c>
      <c r="M676" s="265">
        <v>9200</v>
      </c>
      <c r="N676" s="102">
        <v>2020.7</v>
      </c>
      <c r="O676" s="105" t="s">
        <v>2217</v>
      </c>
      <c r="P676" s="185" t="s">
        <v>2207</v>
      </c>
      <c r="Q676" s="105">
        <v>15834149031</v>
      </c>
      <c r="R676" s="186" t="s">
        <v>2208</v>
      </c>
      <c r="S676" s="125" t="s">
        <v>1736</v>
      </c>
      <c r="T676" s="168"/>
    </row>
    <row r="677" spans="1:20" ht="24.95" customHeight="1">
      <c r="A677" s="155" t="s">
        <v>1843</v>
      </c>
      <c r="B677" s="222" t="s">
        <v>1040</v>
      </c>
      <c r="C677" s="313" t="s">
        <v>2831</v>
      </c>
      <c r="D677" s="123" t="s">
        <v>161</v>
      </c>
      <c r="E677" s="102">
        <v>30</v>
      </c>
      <c r="F677" s="165"/>
      <c r="G677" s="102" t="s">
        <v>32</v>
      </c>
      <c r="H677" s="105" t="s">
        <v>33</v>
      </c>
      <c r="I677" s="123"/>
      <c r="J677" s="106"/>
      <c r="K677" s="174" t="s">
        <v>2832</v>
      </c>
      <c r="L677" s="222">
        <v>107100</v>
      </c>
      <c r="M677" s="141">
        <v>32130</v>
      </c>
      <c r="N677" s="222">
        <v>2017.3</v>
      </c>
      <c r="O677" s="418" t="s">
        <v>1755</v>
      </c>
      <c r="P677" s="185" t="s">
        <v>1756</v>
      </c>
      <c r="Q677" s="105">
        <v>18634872802</v>
      </c>
      <c r="R677" s="186" t="s">
        <v>1757</v>
      </c>
      <c r="S677" s="125" t="s">
        <v>1736</v>
      </c>
      <c r="T677" s="168"/>
    </row>
    <row r="678" spans="1:20" ht="24.95" customHeight="1">
      <c r="A678" s="155" t="s">
        <v>1846</v>
      </c>
      <c r="B678" s="222" t="s">
        <v>1040</v>
      </c>
      <c r="C678" s="419" t="s">
        <v>2833</v>
      </c>
      <c r="D678" s="123" t="s">
        <v>161</v>
      </c>
      <c r="E678" s="102">
        <v>12</v>
      </c>
      <c r="F678" s="165"/>
      <c r="G678" s="102" t="s">
        <v>32</v>
      </c>
      <c r="H678" s="105" t="s">
        <v>33</v>
      </c>
      <c r="I678" s="123"/>
      <c r="J678" s="106"/>
      <c r="K678" s="174" t="s">
        <v>2832</v>
      </c>
      <c r="L678" s="150">
        <v>53640</v>
      </c>
      <c r="M678" s="141">
        <v>16092</v>
      </c>
      <c r="N678" s="102">
        <v>2017.9</v>
      </c>
      <c r="O678" s="418" t="s">
        <v>1755</v>
      </c>
      <c r="P678" s="185" t="s">
        <v>1756</v>
      </c>
      <c r="Q678" s="105">
        <v>18634872803</v>
      </c>
      <c r="R678" s="186" t="s">
        <v>1757</v>
      </c>
      <c r="S678" s="125" t="s">
        <v>1736</v>
      </c>
      <c r="T678" s="168"/>
    </row>
    <row r="679" spans="1:20" ht="24.95" customHeight="1">
      <c r="A679" s="155" t="s">
        <v>1847</v>
      </c>
      <c r="B679" s="420" t="s">
        <v>2821</v>
      </c>
      <c r="C679" s="420"/>
      <c r="D679" s="421" t="s">
        <v>2834</v>
      </c>
      <c r="E679" s="420"/>
      <c r="F679" s="421">
        <v>6</v>
      </c>
      <c r="G679" s="422" t="s">
        <v>2085</v>
      </c>
      <c r="H679" s="420" t="s">
        <v>33</v>
      </c>
      <c r="I679" s="420"/>
      <c r="J679" s="420"/>
      <c r="K679" s="420"/>
      <c r="L679" s="423">
        <v>1425.74</v>
      </c>
      <c r="M679" s="424">
        <v>1231.7</v>
      </c>
      <c r="N679" s="420">
        <v>2021.3</v>
      </c>
      <c r="O679" s="425" t="s">
        <v>2835</v>
      </c>
      <c r="P679" s="422" t="s">
        <v>2087</v>
      </c>
      <c r="Q679" s="206">
        <v>18135206600</v>
      </c>
      <c r="R679" s="186" t="s">
        <v>2088</v>
      </c>
      <c r="S679" s="125" t="s">
        <v>1736</v>
      </c>
      <c r="T679" s="168"/>
    </row>
    <row r="680" spans="1:20" ht="24.95" customHeight="1">
      <c r="A680" s="155" t="s">
        <v>1848</v>
      </c>
      <c r="B680" s="426" t="s">
        <v>2836</v>
      </c>
      <c r="C680" s="427"/>
      <c r="D680" s="428" t="s">
        <v>2724</v>
      </c>
      <c r="E680" s="427"/>
      <c r="F680" s="428">
        <v>104</v>
      </c>
      <c r="G680" s="429" t="s">
        <v>2085</v>
      </c>
      <c r="H680" s="427" t="s">
        <v>33</v>
      </c>
      <c r="I680" s="427"/>
      <c r="J680" s="427"/>
      <c r="K680" s="427"/>
      <c r="L680" s="423">
        <v>83752.210000000006</v>
      </c>
      <c r="M680" s="216">
        <v>77238.17</v>
      </c>
      <c r="N680" s="427">
        <v>2021.6</v>
      </c>
      <c r="O680" s="430" t="s">
        <v>2086</v>
      </c>
      <c r="P680" s="429" t="s">
        <v>2087</v>
      </c>
      <c r="Q680" s="206">
        <v>18135206600</v>
      </c>
      <c r="R680" s="186" t="s">
        <v>2088</v>
      </c>
      <c r="S680" s="125" t="s">
        <v>1736</v>
      </c>
      <c r="T680" s="168"/>
    </row>
    <row r="681" spans="1:20" ht="24.95" customHeight="1">
      <c r="A681" s="155" t="s">
        <v>1852</v>
      </c>
      <c r="B681" s="426" t="s">
        <v>2836</v>
      </c>
      <c r="C681" s="427"/>
      <c r="D681" s="428" t="s">
        <v>2724</v>
      </c>
      <c r="E681" s="427"/>
      <c r="F681" s="428">
        <v>104</v>
      </c>
      <c r="G681" s="429" t="s">
        <v>2085</v>
      </c>
      <c r="H681" s="427" t="s">
        <v>33</v>
      </c>
      <c r="I681" s="427"/>
      <c r="J681" s="427"/>
      <c r="K681" s="427"/>
      <c r="L681" s="423">
        <v>83752.210000000006</v>
      </c>
      <c r="M681" s="216">
        <v>77238.17</v>
      </c>
      <c r="N681" s="427">
        <v>2021.6</v>
      </c>
      <c r="O681" s="430" t="s">
        <v>2086</v>
      </c>
      <c r="P681" s="429" t="s">
        <v>2087</v>
      </c>
      <c r="Q681" s="206">
        <v>18135206600</v>
      </c>
      <c r="R681" s="186" t="s">
        <v>2088</v>
      </c>
      <c r="S681" s="125" t="s">
        <v>1736</v>
      </c>
      <c r="T681" s="168"/>
    </row>
    <row r="682" spans="1:20" ht="24.95" customHeight="1">
      <c r="A682" s="155" t="s">
        <v>1855</v>
      </c>
      <c r="B682" s="426" t="s">
        <v>2836</v>
      </c>
      <c r="C682" s="427"/>
      <c r="D682" s="428" t="s">
        <v>2724</v>
      </c>
      <c r="E682" s="427"/>
      <c r="F682" s="428">
        <v>104</v>
      </c>
      <c r="G682" s="429" t="s">
        <v>2085</v>
      </c>
      <c r="H682" s="427" t="s">
        <v>33</v>
      </c>
      <c r="I682" s="427"/>
      <c r="J682" s="427"/>
      <c r="K682" s="427"/>
      <c r="L682" s="423">
        <v>83752.210000000006</v>
      </c>
      <c r="M682" s="216">
        <v>77238.17</v>
      </c>
      <c r="N682" s="427">
        <v>2021.6</v>
      </c>
      <c r="O682" s="430" t="s">
        <v>2086</v>
      </c>
      <c r="P682" s="429" t="s">
        <v>2087</v>
      </c>
      <c r="Q682" s="206">
        <v>18135206600</v>
      </c>
      <c r="R682" s="186" t="s">
        <v>2088</v>
      </c>
      <c r="S682" s="125" t="s">
        <v>1736</v>
      </c>
      <c r="T682" s="168"/>
    </row>
    <row r="683" spans="1:20" ht="24.95" customHeight="1">
      <c r="A683" s="155" t="s">
        <v>1857</v>
      </c>
      <c r="B683" s="426" t="s">
        <v>2815</v>
      </c>
      <c r="C683" s="427" t="s">
        <v>1344</v>
      </c>
      <c r="D683" s="428" t="s">
        <v>161</v>
      </c>
      <c r="E683" s="427">
        <v>1</v>
      </c>
      <c r="F683" s="431">
        <v>120</v>
      </c>
      <c r="G683" s="429" t="s">
        <v>32</v>
      </c>
      <c r="H683" s="427" t="s">
        <v>33</v>
      </c>
      <c r="I683" s="427"/>
      <c r="J683" s="427"/>
      <c r="K683" s="427" t="s">
        <v>1972</v>
      </c>
      <c r="L683" s="432">
        <v>187800</v>
      </c>
      <c r="M683" s="433">
        <v>56340</v>
      </c>
      <c r="N683" s="434">
        <v>44501</v>
      </c>
      <c r="O683" s="430" t="s">
        <v>2837</v>
      </c>
      <c r="P683" s="429" t="s">
        <v>1974</v>
      </c>
      <c r="Q683" s="206">
        <v>15103501536</v>
      </c>
      <c r="R683" s="186" t="s">
        <v>1975</v>
      </c>
      <c r="S683" s="305" t="s">
        <v>1976</v>
      </c>
      <c r="T683" s="406"/>
    </row>
    <row r="684" spans="1:20" ht="24.95" customHeight="1">
      <c r="A684" s="155" t="s">
        <v>1858</v>
      </c>
      <c r="B684" s="426" t="s">
        <v>2815</v>
      </c>
      <c r="C684" s="427" t="s">
        <v>2838</v>
      </c>
      <c r="D684" s="428" t="s">
        <v>161</v>
      </c>
      <c r="E684" s="427">
        <v>1</v>
      </c>
      <c r="F684" s="431">
        <v>436</v>
      </c>
      <c r="G684" s="429" t="s">
        <v>32</v>
      </c>
      <c r="H684" s="427" t="s">
        <v>33</v>
      </c>
      <c r="I684" s="427"/>
      <c r="J684" s="427"/>
      <c r="K684" s="427" t="s">
        <v>1983</v>
      </c>
      <c r="L684" s="432">
        <v>578136</v>
      </c>
      <c r="M684" s="433">
        <v>173440.8</v>
      </c>
      <c r="N684" s="434">
        <v>44531</v>
      </c>
      <c r="O684" s="430" t="s">
        <v>2839</v>
      </c>
      <c r="P684" s="429" t="s">
        <v>1974</v>
      </c>
      <c r="Q684" s="206">
        <v>15103501536</v>
      </c>
      <c r="R684" s="186" t="s">
        <v>1975</v>
      </c>
      <c r="S684" s="305" t="s">
        <v>1976</v>
      </c>
      <c r="T684" s="406"/>
    </row>
    <row r="685" spans="1:20" ht="24.95" customHeight="1">
      <c r="A685" s="155" t="s">
        <v>1859</v>
      </c>
      <c r="B685" s="426" t="s">
        <v>2840</v>
      </c>
      <c r="C685" s="427" t="s">
        <v>2841</v>
      </c>
      <c r="D685" s="428" t="s">
        <v>161</v>
      </c>
      <c r="E685" s="427">
        <v>32</v>
      </c>
      <c r="F685" s="428"/>
      <c r="G685" s="429" t="s">
        <v>32</v>
      </c>
      <c r="H685" s="427" t="s">
        <v>33</v>
      </c>
      <c r="I685" s="427"/>
      <c r="J685" s="427"/>
      <c r="K685" s="427" t="s">
        <v>2826</v>
      </c>
      <c r="L685" s="424">
        <v>73061.95</v>
      </c>
      <c r="M685" s="372">
        <v>58971.43</v>
      </c>
      <c r="N685" s="427">
        <v>2021.7</v>
      </c>
      <c r="O685" s="430" t="s">
        <v>2842</v>
      </c>
      <c r="P685" s="429" t="s">
        <v>2417</v>
      </c>
      <c r="Q685" s="206">
        <v>15003571571</v>
      </c>
      <c r="R685" s="186" t="s">
        <v>2418</v>
      </c>
      <c r="S685" s="305" t="s">
        <v>1736</v>
      </c>
      <c r="T685" s="406"/>
    </row>
    <row r="686" spans="1:20" ht="24.95" customHeight="1">
      <c r="A686" s="155" t="s">
        <v>1861</v>
      </c>
      <c r="B686" s="426" t="s">
        <v>2843</v>
      </c>
      <c r="C686" s="427" t="s">
        <v>2844</v>
      </c>
      <c r="D686" s="428" t="s">
        <v>161</v>
      </c>
      <c r="E686" s="427">
        <v>42</v>
      </c>
      <c r="F686" s="428"/>
      <c r="G686" s="429" t="s">
        <v>32</v>
      </c>
      <c r="H686" s="427" t="s">
        <v>33</v>
      </c>
      <c r="I686" s="427"/>
      <c r="J686" s="427"/>
      <c r="K686" s="427" t="s">
        <v>2826</v>
      </c>
      <c r="L686" s="424">
        <v>31964.6</v>
      </c>
      <c r="M686" s="372">
        <v>25800.02</v>
      </c>
      <c r="N686" s="427">
        <v>2021.7</v>
      </c>
      <c r="O686" s="430" t="s">
        <v>2842</v>
      </c>
      <c r="P686" s="429" t="s">
        <v>2417</v>
      </c>
      <c r="Q686" s="206">
        <v>15003571571</v>
      </c>
      <c r="R686" s="186" t="s">
        <v>2418</v>
      </c>
      <c r="S686" s="305" t="s">
        <v>1736</v>
      </c>
      <c r="T686" s="406"/>
    </row>
    <row r="687" spans="1:20" ht="24.95" customHeight="1">
      <c r="A687" s="155" t="s">
        <v>1862</v>
      </c>
      <c r="B687" s="426" t="s">
        <v>2845</v>
      </c>
      <c r="C687" s="427" t="s">
        <v>2846</v>
      </c>
      <c r="D687" s="428" t="s">
        <v>79</v>
      </c>
      <c r="E687" s="427">
        <v>2</v>
      </c>
      <c r="F687" s="428"/>
      <c r="G687" s="429" t="s">
        <v>32</v>
      </c>
      <c r="H687" s="427" t="s">
        <v>33</v>
      </c>
      <c r="I687" s="427"/>
      <c r="J687" s="427"/>
      <c r="K687" s="427" t="s">
        <v>2826</v>
      </c>
      <c r="L687" s="424">
        <v>20884.95</v>
      </c>
      <c r="M687" s="372">
        <v>16857.150000000001</v>
      </c>
      <c r="N687" s="427">
        <v>2021.7</v>
      </c>
      <c r="O687" s="430" t="s">
        <v>2842</v>
      </c>
      <c r="P687" s="429" t="s">
        <v>2417</v>
      </c>
      <c r="Q687" s="206">
        <v>15003571571</v>
      </c>
      <c r="R687" s="186" t="s">
        <v>2418</v>
      </c>
      <c r="S687" s="305" t="s">
        <v>1736</v>
      </c>
      <c r="T687" s="406"/>
    </row>
    <row r="688" spans="1:20" ht="24.95" customHeight="1">
      <c r="A688" s="155" t="s">
        <v>1863</v>
      </c>
      <c r="B688" s="426" t="s">
        <v>2847</v>
      </c>
      <c r="C688" s="427" t="s">
        <v>2848</v>
      </c>
      <c r="D688" s="428" t="s">
        <v>161</v>
      </c>
      <c r="E688" s="427">
        <v>6</v>
      </c>
      <c r="F688" s="428"/>
      <c r="G688" s="429" t="s">
        <v>32</v>
      </c>
      <c r="H688" s="427" t="s">
        <v>33</v>
      </c>
      <c r="I688" s="427"/>
      <c r="J688" s="427"/>
      <c r="K688" s="427" t="s">
        <v>2826</v>
      </c>
      <c r="L688" s="424">
        <v>6796.45999999998</v>
      </c>
      <c r="M688" s="372">
        <v>5485.6999999999798</v>
      </c>
      <c r="N688" s="427">
        <v>2021.7</v>
      </c>
      <c r="O688" s="430" t="s">
        <v>2842</v>
      </c>
      <c r="P688" s="429" t="s">
        <v>2417</v>
      </c>
      <c r="Q688" s="206">
        <v>15003571571</v>
      </c>
      <c r="R688" s="186" t="s">
        <v>2418</v>
      </c>
      <c r="S688" s="305" t="s">
        <v>1736</v>
      </c>
      <c r="T688" s="406"/>
    </row>
    <row r="689" spans="1:20" ht="24.95" customHeight="1">
      <c r="A689" s="155" t="s">
        <v>1864</v>
      </c>
      <c r="B689" s="426" t="s">
        <v>2840</v>
      </c>
      <c r="C689" s="427" t="s">
        <v>2841</v>
      </c>
      <c r="D689" s="428" t="s">
        <v>161</v>
      </c>
      <c r="E689" s="427">
        <v>32</v>
      </c>
      <c r="F689" s="428"/>
      <c r="G689" s="429" t="s">
        <v>32</v>
      </c>
      <c r="H689" s="427" t="s">
        <v>33</v>
      </c>
      <c r="I689" s="427"/>
      <c r="J689" s="427"/>
      <c r="K689" s="427" t="s">
        <v>2826</v>
      </c>
      <c r="L689" s="424">
        <v>73061.95</v>
      </c>
      <c r="M689" s="372">
        <v>58971.43</v>
      </c>
      <c r="N689" s="427">
        <v>2021.7</v>
      </c>
      <c r="O689" s="430" t="s">
        <v>2849</v>
      </c>
      <c r="P689" s="429" t="s">
        <v>2417</v>
      </c>
      <c r="Q689" s="206">
        <v>15003571571</v>
      </c>
      <c r="R689" s="186" t="s">
        <v>2418</v>
      </c>
      <c r="S689" s="305" t="s">
        <v>1736</v>
      </c>
      <c r="T689" s="406"/>
    </row>
    <row r="690" spans="1:20" ht="24.95" customHeight="1">
      <c r="A690" s="155" t="s">
        <v>1865</v>
      </c>
      <c r="B690" s="426" t="s">
        <v>2843</v>
      </c>
      <c r="C690" s="427" t="s">
        <v>2844</v>
      </c>
      <c r="D690" s="428" t="s">
        <v>161</v>
      </c>
      <c r="E690" s="427">
        <v>42</v>
      </c>
      <c r="F690" s="428"/>
      <c r="G690" s="429" t="s">
        <v>32</v>
      </c>
      <c r="H690" s="427" t="s">
        <v>33</v>
      </c>
      <c r="I690" s="427"/>
      <c r="J690" s="427"/>
      <c r="K690" s="427" t="s">
        <v>2826</v>
      </c>
      <c r="L690" s="424">
        <v>31964.6</v>
      </c>
      <c r="M690" s="372">
        <v>25800.02</v>
      </c>
      <c r="N690" s="427">
        <v>2021.7</v>
      </c>
      <c r="O690" s="430" t="s">
        <v>2849</v>
      </c>
      <c r="P690" s="429" t="s">
        <v>2417</v>
      </c>
      <c r="Q690" s="206">
        <v>15003571571</v>
      </c>
      <c r="R690" s="186" t="s">
        <v>2418</v>
      </c>
      <c r="S690" s="305" t="s">
        <v>1736</v>
      </c>
      <c r="T690" s="406"/>
    </row>
    <row r="691" spans="1:20" ht="24.95" customHeight="1">
      <c r="A691" s="155" t="s">
        <v>1867</v>
      </c>
      <c r="B691" s="426" t="s">
        <v>2845</v>
      </c>
      <c r="C691" s="427" t="s">
        <v>2846</v>
      </c>
      <c r="D691" s="428" t="s">
        <v>79</v>
      </c>
      <c r="E691" s="427">
        <v>2</v>
      </c>
      <c r="F691" s="428"/>
      <c r="G691" s="429" t="s">
        <v>32</v>
      </c>
      <c r="H691" s="427" t="s">
        <v>33</v>
      </c>
      <c r="I691" s="427"/>
      <c r="J691" s="427"/>
      <c r="K691" s="427" t="s">
        <v>2826</v>
      </c>
      <c r="L691" s="424">
        <v>20884.95</v>
      </c>
      <c r="M691" s="372">
        <v>16857.150000000001</v>
      </c>
      <c r="N691" s="427">
        <v>2021.7</v>
      </c>
      <c r="O691" s="430" t="s">
        <v>2849</v>
      </c>
      <c r="P691" s="429" t="s">
        <v>2417</v>
      </c>
      <c r="Q691" s="206">
        <v>15003571571</v>
      </c>
      <c r="R691" s="186" t="s">
        <v>2418</v>
      </c>
      <c r="S691" s="305" t="s">
        <v>1736</v>
      </c>
      <c r="T691" s="406"/>
    </row>
    <row r="692" spans="1:20" ht="24.95" customHeight="1">
      <c r="A692" s="155" t="s">
        <v>1869</v>
      </c>
      <c r="B692" s="426" t="s">
        <v>2847</v>
      </c>
      <c r="C692" s="427" t="s">
        <v>2848</v>
      </c>
      <c r="D692" s="428" t="s">
        <v>161</v>
      </c>
      <c r="E692" s="427">
        <v>6</v>
      </c>
      <c r="F692" s="428"/>
      <c r="G692" s="429" t="s">
        <v>32</v>
      </c>
      <c r="H692" s="427" t="s">
        <v>33</v>
      </c>
      <c r="I692" s="427"/>
      <c r="J692" s="427"/>
      <c r="K692" s="427" t="s">
        <v>2826</v>
      </c>
      <c r="L692" s="424">
        <v>6796.45999999998</v>
      </c>
      <c r="M692" s="372">
        <v>5485.6999999999798</v>
      </c>
      <c r="N692" s="427">
        <v>2021.7</v>
      </c>
      <c r="O692" s="430" t="s">
        <v>2849</v>
      </c>
      <c r="P692" s="429" t="s">
        <v>2417</v>
      </c>
      <c r="Q692" s="206">
        <v>15003571571</v>
      </c>
      <c r="R692" s="186" t="s">
        <v>2418</v>
      </c>
      <c r="S692" s="305" t="s">
        <v>1736</v>
      </c>
      <c r="T692" s="406"/>
    </row>
    <row r="693" spans="1:20" ht="24.95" customHeight="1">
      <c r="A693" s="155" t="s">
        <v>1870</v>
      </c>
      <c r="B693" s="435" t="s">
        <v>1040</v>
      </c>
      <c r="C693" s="435" t="s">
        <v>1344</v>
      </c>
      <c r="D693" s="435" t="s">
        <v>161</v>
      </c>
      <c r="E693" s="436">
        <v>60</v>
      </c>
      <c r="F693" s="168"/>
      <c r="G693" s="168" t="s">
        <v>2513</v>
      </c>
      <c r="H693" s="168" t="s">
        <v>33</v>
      </c>
      <c r="I693" s="168"/>
      <c r="J693" s="168"/>
      <c r="K693" s="174" t="s">
        <v>2151</v>
      </c>
      <c r="L693" s="437">
        <v>93900</v>
      </c>
      <c r="M693" s="438">
        <v>93900</v>
      </c>
      <c r="N693" s="439">
        <v>44531</v>
      </c>
      <c r="O693" s="174" t="s">
        <v>2850</v>
      </c>
      <c r="P693" s="240" t="s">
        <v>2153</v>
      </c>
      <c r="Q693" s="240">
        <v>13546718283</v>
      </c>
      <c r="R693" s="440" t="s">
        <v>2154</v>
      </c>
      <c r="S693" s="305" t="s">
        <v>1736</v>
      </c>
      <c r="T693" s="406"/>
    </row>
    <row r="694" spans="1:20" ht="24.95" customHeight="1">
      <c r="A694" s="155" t="s">
        <v>1871</v>
      </c>
      <c r="B694" s="435" t="s">
        <v>1040</v>
      </c>
      <c r="C694" s="435" t="s">
        <v>1344</v>
      </c>
      <c r="D694" s="435" t="s">
        <v>161</v>
      </c>
      <c r="E694" s="436">
        <v>60</v>
      </c>
      <c r="F694" s="168"/>
      <c r="G694" s="168" t="s">
        <v>2513</v>
      </c>
      <c r="H694" s="168" t="s">
        <v>33</v>
      </c>
      <c r="I694" s="168"/>
      <c r="J694" s="168"/>
      <c r="K694" s="174" t="s">
        <v>2151</v>
      </c>
      <c r="L694" s="437">
        <v>93900</v>
      </c>
      <c r="M694" s="438">
        <v>93900</v>
      </c>
      <c r="N694" s="439">
        <v>44621</v>
      </c>
      <c r="O694" s="174" t="s">
        <v>2850</v>
      </c>
      <c r="P694" s="240" t="s">
        <v>2153</v>
      </c>
      <c r="Q694" s="240">
        <v>13546718283</v>
      </c>
      <c r="R694" s="440" t="s">
        <v>2154</v>
      </c>
      <c r="S694" s="305" t="s">
        <v>1736</v>
      </c>
      <c r="T694" s="406"/>
    </row>
    <row r="695" spans="1:20" ht="24.95" customHeight="1">
      <c r="A695" s="413">
        <v>2</v>
      </c>
      <c r="B695" s="147" t="s">
        <v>1042</v>
      </c>
      <c r="C695" s="147"/>
      <c r="D695" s="147"/>
      <c r="E695" s="147"/>
      <c r="F695" s="147"/>
      <c r="G695" s="147"/>
      <c r="H695" s="147"/>
      <c r="I695" s="147"/>
      <c r="J695" s="147"/>
      <c r="K695" s="147"/>
      <c r="L695" s="147"/>
      <c r="M695" s="147"/>
      <c r="N695" s="147"/>
      <c r="O695" s="279"/>
      <c r="P695" s="147"/>
      <c r="Q695" s="147"/>
      <c r="R695" s="147"/>
      <c r="S695" s="125"/>
      <c r="T695" s="329"/>
    </row>
    <row r="696" spans="1:20" ht="24.95" customHeight="1">
      <c r="A696" s="413">
        <v>3</v>
      </c>
      <c r="B696" s="147" t="s">
        <v>1043</v>
      </c>
      <c r="C696" s="147"/>
      <c r="D696" s="147"/>
      <c r="E696" s="147"/>
      <c r="F696" s="147"/>
      <c r="G696" s="147"/>
      <c r="H696" s="147"/>
      <c r="I696" s="147"/>
      <c r="J696" s="147"/>
      <c r="K696" s="147"/>
      <c r="L696" s="147"/>
      <c r="M696" s="147"/>
      <c r="N696" s="147"/>
      <c r="O696" s="147"/>
      <c r="P696" s="147"/>
      <c r="Q696" s="147"/>
      <c r="R696" s="147"/>
      <c r="S696" s="125"/>
      <c r="T696" s="329"/>
    </row>
    <row r="697" spans="1:20" ht="24.95" customHeight="1">
      <c r="A697" s="351">
        <v>3.1</v>
      </c>
      <c r="B697" s="125" t="s">
        <v>1043</v>
      </c>
      <c r="C697" s="125" t="s">
        <v>2851</v>
      </c>
      <c r="D697" s="125" t="s">
        <v>62</v>
      </c>
      <c r="E697" s="125" t="s">
        <v>2852</v>
      </c>
      <c r="F697" s="147">
        <v>121.5</v>
      </c>
      <c r="G697" s="340" t="s">
        <v>72</v>
      </c>
      <c r="H697" s="147" t="s">
        <v>33</v>
      </c>
      <c r="I697" s="238" t="s">
        <v>179</v>
      </c>
      <c r="J697" s="238" t="s">
        <v>179</v>
      </c>
      <c r="K697" s="238" t="s">
        <v>179</v>
      </c>
      <c r="L697" s="343">
        <v>787500</v>
      </c>
      <c r="M697" s="344">
        <v>3281.25</v>
      </c>
      <c r="N697" s="147"/>
      <c r="O697" s="245" t="s">
        <v>2646</v>
      </c>
      <c r="P697" s="245" t="s">
        <v>2643</v>
      </c>
      <c r="Q697" s="345" t="s">
        <v>2644</v>
      </c>
      <c r="R697" s="147" t="s">
        <v>2646</v>
      </c>
      <c r="S697" s="125" t="s">
        <v>1736</v>
      </c>
      <c r="T697" s="147"/>
    </row>
    <row r="698" spans="1:20" ht="24.95" customHeight="1">
      <c r="A698" s="351">
        <v>3.2</v>
      </c>
      <c r="B698" s="125" t="s">
        <v>1043</v>
      </c>
      <c r="C698" s="125" t="s">
        <v>2851</v>
      </c>
      <c r="D698" s="125" t="s">
        <v>62</v>
      </c>
      <c r="E698" s="125" t="s">
        <v>2853</v>
      </c>
      <c r="F698" s="147">
        <v>89.1</v>
      </c>
      <c r="G698" s="340" t="s">
        <v>72</v>
      </c>
      <c r="H698" s="147" t="s">
        <v>33</v>
      </c>
      <c r="I698" s="238" t="s">
        <v>179</v>
      </c>
      <c r="J698" s="238" t="s">
        <v>179</v>
      </c>
      <c r="K698" s="238" t="s">
        <v>179</v>
      </c>
      <c r="L698" s="343">
        <v>602250</v>
      </c>
      <c r="M698" s="344">
        <v>12128.872499999899</v>
      </c>
      <c r="N698" s="147"/>
      <c r="O698" s="245" t="s">
        <v>2646</v>
      </c>
      <c r="P698" s="245" t="s">
        <v>2643</v>
      </c>
      <c r="Q698" s="345" t="s">
        <v>2644</v>
      </c>
      <c r="R698" s="147" t="s">
        <v>2646</v>
      </c>
      <c r="S698" s="125" t="s">
        <v>1736</v>
      </c>
      <c r="T698" s="147"/>
    </row>
    <row r="699" spans="1:20" ht="24.95" customHeight="1">
      <c r="A699" s="351">
        <v>3.3</v>
      </c>
      <c r="B699" s="125" t="s">
        <v>1043</v>
      </c>
      <c r="C699" s="125" t="s">
        <v>2854</v>
      </c>
      <c r="D699" s="125" t="s">
        <v>62</v>
      </c>
      <c r="E699" s="125" t="s">
        <v>2855</v>
      </c>
      <c r="F699" s="125">
        <v>308.88</v>
      </c>
      <c r="G699" s="340" t="s">
        <v>72</v>
      </c>
      <c r="H699" s="147" t="s">
        <v>33</v>
      </c>
      <c r="I699" s="238" t="s">
        <v>179</v>
      </c>
      <c r="J699" s="238" t="s">
        <v>179</v>
      </c>
      <c r="K699" s="238" t="s">
        <v>179</v>
      </c>
      <c r="L699" s="343">
        <v>1915856.8</v>
      </c>
      <c r="M699" s="344">
        <v>613074.17599999905</v>
      </c>
      <c r="N699" s="147"/>
      <c r="O699" s="245" t="s">
        <v>2646</v>
      </c>
      <c r="P699" s="245" t="s">
        <v>2643</v>
      </c>
      <c r="Q699" s="345" t="s">
        <v>2644</v>
      </c>
      <c r="R699" s="147" t="s">
        <v>2646</v>
      </c>
      <c r="S699" s="125" t="s">
        <v>1736</v>
      </c>
      <c r="T699" s="147"/>
    </row>
    <row r="700" spans="1:20" ht="24.95" customHeight="1">
      <c r="A700" s="351">
        <v>3.4</v>
      </c>
      <c r="B700" s="125" t="s">
        <v>1043</v>
      </c>
      <c r="C700" s="125" t="s">
        <v>2856</v>
      </c>
      <c r="D700" s="125" t="s">
        <v>62</v>
      </c>
      <c r="E700" s="125" t="s">
        <v>2857</v>
      </c>
      <c r="F700" s="147">
        <v>30.96</v>
      </c>
      <c r="G700" s="340" t="s">
        <v>72</v>
      </c>
      <c r="H700" s="147" t="s">
        <v>33</v>
      </c>
      <c r="I700" s="238" t="s">
        <v>179</v>
      </c>
      <c r="J700" s="238" t="s">
        <v>179</v>
      </c>
      <c r="K700" s="238" t="s">
        <v>179</v>
      </c>
      <c r="L700" s="343">
        <v>153807.69</v>
      </c>
      <c r="M700" s="344">
        <v>84793.661912927302</v>
      </c>
      <c r="N700" s="147">
        <v>2017.5</v>
      </c>
      <c r="O700" s="245" t="s">
        <v>2521</v>
      </c>
      <c r="P700" s="245" t="s">
        <v>2643</v>
      </c>
      <c r="Q700" s="345" t="s">
        <v>2644</v>
      </c>
      <c r="R700" s="147" t="s">
        <v>2521</v>
      </c>
      <c r="S700" s="125" t="s">
        <v>1736</v>
      </c>
      <c r="T700" s="147"/>
    </row>
    <row r="701" spans="1:20" ht="24.95" customHeight="1">
      <c r="A701" s="351">
        <v>3.5</v>
      </c>
      <c r="B701" s="123" t="s">
        <v>1043</v>
      </c>
      <c r="C701" s="441" t="s">
        <v>2858</v>
      </c>
      <c r="D701" s="125" t="s">
        <v>62</v>
      </c>
      <c r="E701" s="123" t="s">
        <v>2859</v>
      </c>
      <c r="F701" s="147">
        <v>74.88</v>
      </c>
      <c r="G701" s="340" t="s">
        <v>72</v>
      </c>
      <c r="H701" s="147" t="s">
        <v>33</v>
      </c>
      <c r="I701" s="238" t="s">
        <v>179</v>
      </c>
      <c r="J701" s="238" t="s">
        <v>179</v>
      </c>
      <c r="K701" s="238" t="s">
        <v>179</v>
      </c>
      <c r="L701" s="343">
        <v>459377.78</v>
      </c>
      <c r="M701" s="344">
        <v>253296.35524999999</v>
      </c>
      <c r="N701" s="147">
        <v>2017.6</v>
      </c>
      <c r="O701" s="245" t="s">
        <v>2860</v>
      </c>
      <c r="P701" s="245" t="s">
        <v>2643</v>
      </c>
      <c r="Q701" s="345" t="s">
        <v>2644</v>
      </c>
      <c r="R701" s="147" t="s">
        <v>2860</v>
      </c>
      <c r="S701" s="125" t="s">
        <v>1736</v>
      </c>
      <c r="T701" s="147"/>
    </row>
    <row r="702" spans="1:20" ht="24.95" customHeight="1">
      <c r="A702" s="351">
        <v>3.6</v>
      </c>
      <c r="B702" s="125" t="s">
        <v>1043</v>
      </c>
      <c r="C702" s="125" t="s">
        <v>2851</v>
      </c>
      <c r="D702" s="125" t="s">
        <v>62</v>
      </c>
      <c r="E702" s="125" t="s">
        <v>2861</v>
      </c>
      <c r="F702" s="147">
        <v>35.369999999999997</v>
      </c>
      <c r="G702" s="340" t="s">
        <v>72</v>
      </c>
      <c r="H702" s="147" t="s">
        <v>33</v>
      </c>
      <c r="I702" s="238" t="s">
        <v>179</v>
      </c>
      <c r="J702" s="238" t="s">
        <v>179</v>
      </c>
      <c r="K702" s="238" t="s">
        <v>179</v>
      </c>
      <c r="L702" s="343">
        <v>239075</v>
      </c>
      <c r="M702" s="344">
        <v>5416.65443538617</v>
      </c>
      <c r="N702" s="147"/>
      <c r="O702" s="245" t="s">
        <v>2521</v>
      </c>
      <c r="P702" s="245" t="s">
        <v>2643</v>
      </c>
      <c r="Q702" s="345" t="s">
        <v>2644</v>
      </c>
      <c r="R702" s="147" t="str">
        <f t="shared" ref="R702:R707" si="1">O702</f>
        <v>西南环项目部</v>
      </c>
      <c r="S702" s="125" t="s">
        <v>1736</v>
      </c>
      <c r="T702" s="147"/>
    </row>
    <row r="703" spans="1:20" ht="24.95" customHeight="1">
      <c r="A703" s="351">
        <v>3.7</v>
      </c>
      <c r="B703" s="125" t="s">
        <v>2862</v>
      </c>
      <c r="C703" s="125"/>
      <c r="D703" s="125" t="s">
        <v>62</v>
      </c>
      <c r="E703" s="125" t="s">
        <v>2863</v>
      </c>
      <c r="F703" s="136">
        <v>0.114</v>
      </c>
      <c r="G703" s="340" t="s">
        <v>72</v>
      </c>
      <c r="H703" s="147" t="s">
        <v>33</v>
      </c>
      <c r="I703" s="147" t="s">
        <v>179</v>
      </c>
      <c r="J703" s="147" t="s">
        <v>179</v>
      </c>
      <c r="K703" s="147" t="s">
        <v>179</v>
      </c>
      <c r="L703" s="343">
        <v>1596</v>
      </c>
      <c r="M703" s="344">
        <v>22.242905660377801</v>
      </c>
      <c r="N703" s="147"/>
      <c r="O703" s="245" t="s">
        <v>2521</v>
      </c>
      <c r="P703" s="245" t="s">
        <v>2643</v>
      </c>
      <c r="Q703" s="345" t="s">
        <v>2644</v>
      </c>
      <c r="R703" s="147" t="str">
        <f t="shared" si="1"/>
        <v>西南环项目部</v>
      </c>
      <c r="S703" s="125" t="s">
        <v>1736</v>
      </c>
      <c r="T703" s="147"/>
    </row>
    <row r="704" spans="1:20" ht="24.95" customHeight="1">
      <c r="A704" s="351">
        <v>3.8</v>
      </c>
      <c r="B704" s="125" t="s">
        <v>2862</v>
      </c>
      <c r="C704" s="125"/>
      <c r="D704" s="125" t="s">
        <v>62</v>
      </c>
      <c r="E704" s="125" t="s">
        <v>2864</v>
      </c>
      <c r="F704" s="136">
        <v>0.84899999999999998</v>
      </c>
      <c r="G704" s="340" t="s">
        <v>72</v>
      </c>
      <c r="H704" s="147" t="s">
        <v>41</v>
      </c>
      <c r="I704" s="147" t="s">
        <v>179</v>
      </c>
      <c r="J704" s="147" t="s">
        <v>179</v>
      </c>
      <c r="K704" s="147" t="s">
        <v>179</v>
      </c>
      <c r="L704" s="343">
        <v>12735</v>
      </c>
      <c r="M704" s="344">
        <v>53.162500000000399</v>
      </c>
      <c r="N704" s="147"/>
      <c r="O704" s="245" t="s">
        <v>2646</v>
      </c>
      <c r="P704" s="245" t="s">
        <v>2643</v>
      </c>
      <c r="Q704" s="345" t="s">
        <v>2644</v>
      </c>
      <c r="R704" s="147" t="str">
        <f t="shared" si="1"/>
        <v>机械分公司</v>
      </c>
      <c r="S704" s="125" t="s">
        <v>1736</v>
      </c>
      <c r="T704" s="147"/>
    </row>
    <row r="705" spans="1:20" ht="24.95" customHeight="1">
      <c r="A705" s="351">
        <v>3.9</v>
      </c>
      <c r="B705" s="125" t="s">
        <v>2862</v>
      </c>
      <c r="C705" s="125"/>
      <c r="D705" s="125" t="s">
        <v>62</v>
      </c>
      <c r="E705" s="125" t="s">
        <v>2865</v>
      </c>
      <c r="F705" s="136">
        <v>4.3949999999999996</v>
      </c>
      <c r="G705" s="340" t="s">
        <v>72</v>
      </c>
      <c r="H705" s="147" t="s">
        <v>41</v>
      </c>
      <c r="I705" s="147" t="s">
        <v>179</v>
      </c>
      <c r="J705" s="147" t="s">
        <v>179</v>
      </c>
      <c r="K705" s="147" t="s">
        <v>179</v>
      </c>
      <c r="L705" s="343">
        <v>39555</v>
      </c>
      <c r="M705" s="344">
        <v>12657.6</v>
      </c>
      <c r="N705" s="147"/>
      <c r="O705" s="245" t="s">
        <v>2646</v>
      </c>
      <c r="P705" s="245" t="s">
        <v>2643</v>
      </c>
      <c r="Q705" s="345" t="s">
        <v>2644</v>
      </c>
      <c r="R705" s="147" t="str">
        <f t="shared" si="1"/>
        <v>机械分公司</v>
      </c>
      <c r="S705" s="125" t="s">
        <v>1736</v>
      </c>
      <c r="T705" s="147"/>
    </row>
    <row r="706" spans="1:20" ht="24.95" customHeight="1">
      <c r="A706" s="442" t="s">
        <v>2300</v>
      </c>
      <c r="B706" s="123" t="s">
        <v>2862</v>
      </c>
      <c r="C706" s="443" t="s">
        <v>2866</v>
      </c>
      <c r="D706" s="125" t="s">
        <v>62</v>
      </c>
      <c r="E706" s="123" t="s">
        <v>2867</v>
      </c>
      <c r="F706" s="136">
        <v>9.6</v>
      </c>
      <c r="G706" s="340" t="s">
        <v>72</v>
      </c>
      <c r="H706" s="147" t="s">
        <v>33</v>
      </c>
      <c r="I706" s="147" t="s">
        <v>179</v>
      </c>
      <c r="J706" s="147" t="s">
        <v>179</v>
      </c>
      <c r="K706" s="147" t="s">
        <v>179</v>
      </c>
      <c r="L706" s="343">
        <v>79316.240000000005</v>
      </c>
      <c r="M706" s="344">
        <v>43729.650777777802</v>
      </c>
      <c r="N706" s="147">
        <v>2017.6</v>
      </c>
      <c r="O706" s="245" t="s">
        <v>2860</v>
      </c>
      <c r="P706" s="245" t="s">
        <v>2643</v>
      </c>
      <c r="Q706" s="345" t="s">
        <v>2644</v>
      </c>
      <c r="R706" s="147" t="str">
        <f t="shared" si="1"/>
        <v>京张项目部</v>
      </c>
      <c r="S706" s="125" t="s">
        <v>1736</v>
      </c>
      <c r="T706" s="329"/>
    </row>
    <row r="707" spans="1:20" ht="24.95" customHeight="1">
      <c r="A707" s="351">
        <v>3.11</v>
      </c>
      <c r="B707" s="123" t="s">
        <v>2862</v>
      </c>
      <c r="C707" s="147" t="s">
        <v>2866</v>
      </c>
      <c r="D707" s="125" t="s">
        <v>62</v>
      </c>
      <c r="E707" s="147" t="s">
        <v>2868</v>
      </c>
      <c r="F707" s="136">
        <v>0.68100000000000005</v>
      </c>
      <c r="G707" s="147" t="s">
        <v>72</v>
      </c>
      <c r="H707" s="147" t="s">
        <v>33</v>
      </c>
      <c r="I707" s="238" t="s">
        <v>179</v>
      </c>
      <c r="J707" s="238" t="s">
        <v>179</v>
      </c>
      <c r="K707" s="238" t="s">
        <v>179</v>
      </c>
      <c r="L707" s="343">
        <v>5626.5</v>
      </c>
      <c r="M707" s="344">
        <v>3500.62</v>
      </c>
      <c r="N707" s="147">
        <v>2017.12</v>
      </c>
      <c r="O707" s="245" t="s">
        <v>2646</v>
      </c>
      <c r="P707" s="245" t="s">
        <v>2643</v>
      </c>
      <c r="Q707" s="345" t="s">
        <v>2644</v>
      </c>
      <c r="R707" s="147" t="str">
        <f t="shared" si="1"/>
        <v>机械分公司</v>
      </c>
      <c r="S707" s="125" t="s">
        <v>1736</v>
      </c>
      <c r="T707" s="329"/>
    </row>
    <row r="708" spans="1:20" ht="24.95" customHeight="1">
      <c r="A708" s="413">
        <v>4</v>
      </c>
      <c r="B708" s="147" t="s">
        <v>1044</v>
      </c>
      <c r="C708" s="147"/>
      <c r="D708" s="147"/>
      <c r="E708" s="147"/>
      <c r="F708" s="147"/>
      <c r="G708" s="147"/>
      <c r="H708" s="147"/>
      <c r="I708" s="147"/>
      <c r="J708" s="147"/>
      <c r="K708" s="147"/>
      <c r="L708" s="147"/>
      <c r="M708" s="147"/>
      <c r="N708" s="147"/>
      <c r="O708" s="147"/>
      <c r="P708" s="147"/>
      <c r="Q708" s="147"/>
      <c r="R708" s="147"/>
      <c r="S708" s="125" t="s">
        <v>1736</v>
      </c>
      <c r="T708" s="329"/>
    </row>
    <row r="709" spans="1:20" ht="24.95" customHeight="1">
      <c r="A709" s="351">
        <v>4.0999999999999996</v>
      </c>
      <c r="B709" s="125" t="s">
        <v>2869</v>
      </c>
      <c r="C709" s="125">
        <v>900</v>
      </c>
      <c r="D709" s="125" t="s">
        <v>62</v>
      </c>
      <c r="E709" s="125" t="s">
        <v>2870</v>
      </c>
      <c r="F709" s="147">
        <v>6.14</v>
      </c>
      <c r="G709" s="340" t="s">
        <v>72</v>
      </c>
      <c r="H709" s="147" t="s">
        <v>33</v>
      </c>
      <c r="I709" s="238" t="s">
        <v>179</v>
      </c>
      <c r="J709" s="238" t="s">
        <v>179</v>
      </c>
      <c r="K709" s="238" t="s">
        <v>179</v>
      </c>
      <c r="L709" s="343">
        <v>79200</v>
      </c>
      <c r="M709" s="343">
        <v>330</v>
      </c>
      <c r="N709" s="147"/>
      <c r="O709" s="245" t="s">
        <v>2646</v>
      </c>
      <c r="P709" s="245" t="s">
        <v>2643</v>
      </c>
      <c r="Q709" s="345" t="s">
        <v>2644</v>
      </c>
      <c r="R709" s="147" t="s">
        <v>2646</v>
      </c>
      <c r="S709" s="125" t="s">
        <v>1736</v>
      </c>
      <c r="T709" s="147"/>
    </row>
    <row r="710" spans="1:20" ht="24.95" customHeight="1">
      <c r="A710" s="351">
        <v>4.2</v>
      </c>
      <c r="B710" s="125" t="s">
        <v>2869</v>
      </c>
      <c r="C710" s="125">
        <v>450</v>
      </c>
      <c r="D710" s="125" t="s">
        <v>62</v>
      </c>
      <c r="E710" s="125" t="s">
        <v>2871</v>
      </c>
      <c r="F710" s="147">
        <v>7.39</v>
      </c>
      <c r="G710" s="340" t="s">
        <v>72</v>
      </c>
      <c r="H710" s="147" t="s">
        <v>33</v>
      </c>
      <c r="I710" s="238" t="s">
        <v>179</v>
      </c>
      <c r="J710" s="238" t="s">
        <v>179</v>
      </c>
      <c r="K710" s="238" t="s">
        <v>179</v>
      </c>
      <c r="L710" s="343">
        <v>58080</v>
      </c>
      <c r="M710" s="343">
        <v>0</v>
      </c>
      <c r="N710" s="147"/>
      <c r="O710" s="245" t="s">
        <v>2646</v>
      </c>
      <c r="P710" s="245" t="s">
        <v>2643</v>
      </c>
      <c r="Q710" s="345" t="s">
        <v>2644</v>
      </c>
      <c r="R710" s="147" t="s">
        <v>2646</v>
      </c>
      <c r="S710" s="125" t="s">
        <v>1736</v>
      </c>
      <c r="T710" s="147"/>
    </row>
    <row r="711" spans="1:20" ht="24.95" customHeight="1">
      <c r="A711" s="351">
        <v>4.4000000000000004</v>
      </c>
      <c r="B711" s="125" t="s">
        <v>2869</v>
      </c>
      <c r="C711" s="125">
        <v>900</v>
      </c>
      <c r="D711" s="125" t="s">
        <v>62</v>
      </c>
      <c r="E711" s="125" t="s">
        <v>2872</v>
      </c>
      <c r="F711" s="147">
        <v>2.64</v>
      </c>
      <c r="G711" s="340" t="s">
        <v>72</v>
      </c>
      <c r="H711" s="147" t="s">
        <v>33</v>
      </c>
      <c r="I711" s="238" t="s">
        <v>179</v>
      </c>
      <c r="J711" s="238" t="s">
        <v>179</v>
      </c>
      <c r="K711" s="238" t="s">
        <v>179</v>
      </c>
      <c r="L711" s="343">
        <v>23614.81</v>
      </c>
      <c r="M711" s="343">
        <v>4528.5355069444404</v>
      </c>
      <c r="N711" s="147"/>
      <c r="O711" s="147" t="s">
        <v>2646</v>
      </c>
      <c r="P711" s="245" t="s">
        <v>2643</v>
      </c>
      <c r="Q711" s="345" t="s">
        <v>2644</v>
      </c>
      <c r="R711" s="147" t="s">
        <v>2646</v>
      </c>
      <c r="S711" s="125" t="s">
        <v>1736</v>
      </c>
      <c r="T711" s="147"/>
    </row>
    <row r="712" spans="1:20" ht="24.95" customHeight="1">
      <c r="A712" s="351">
        <v>4.5</v>
      </c>
      <c r="B712" s="125" t="s">
        <v>2869</v>
      </c>
      <c r="C712" s="125" t="s">
        <v>2873</v>
      </c>
      <c r="D712" s="125" t="s">
        <v>62</v>
      </c>
      <c r="E712" s="125" t="s">
        <v>2872</v>
      </c>
      <c r="F712" s="125">
        <v>2.64</v>
      </c>
      <c r="G712" s="340" t="s">
        <v>72</v>
      </c>
      <c r="H712" s="147" t="s">
        <v>33</v>
      </c>
      <c r="I712" s="238" t="s">
        <v>179</v>
      </c>
      <c r="J712" s="238" t="s">
        <v>179</v>
      </c>
      <c r="K712" s="238" t="s">
        <v>179</v>
      </c>
      <c r="L712" s="343">
        <v>18360</v>
      </c>
      <c r="M712" s="343">
        <v>0</v>
      </c>
      <c r="N712" s="147"/>
      <c r="O712" s="147" t="s">
        <v>2646</v>
      </c>
      <c r="P712" s="245" t="s">
        <v>2643</v>
      </c>
      <c r="Q712" s="345" t="s">
        <v>2644</v>
      </c>
      <c r="R712" s="147" t="s">
        <v>2646</v>
      </c>
      <c r="S712" s="125" t="s">
        <v>1736</v>
      </c>
      <c r="T712" s="147"/>
    </row>
    <row r="713" spans="1:20" ht="24.95" customHeight="1">
      <c r="A713" s="351">
        <v>4.5999999999999996</v>
      </c>
      <c r="B713" s="125" t="s">
        <v>2869</v>
      </c>
      <c r="C713" s="125" t="s">
        <v>2874</v>
      </c>
      <c r="D713" s="125" t="s">
        <v>62</v>
      </c>
      <c r="E713" s="125" t="s">
        <v>2875</v>
      </c>
      <c r="F713" s="125">
        <v>22.29</v>
      </c>
      <c r="G713" s="340" t="s">
        <v>72</v>
      </c>
      <c r="H713" s="147" t="s">
        <v>33</v>
      </c>
      <c r="I713" s="238" t="s">
        <v>179</v>
      </c>
      <c r="J713" s="238" t="s">
        <v>179</v>
      </c>
      <c r="K713" s="238" t="s">
        <v>179</v>
      </c>
      <c r="L713" s="343">
        <v>122230</v>
      </c>
      <c r="M713" s="344">
        <v>38945.011666666796</v>
      </c>
      <c r="N713" s="147"/>
      <c r="O713" s="245" t="s">
        <v>2646</v>
      </c>
      <c r="P713" s="245" t="s">
        <v>2643</v>
      </c>
      <c r="Q713" s="345" t="s">
        <v>2644</v>
      </c>
      <c r="R713" s="147" t="s">
        <v>2646</v>
      </c>
      <c r="S713" s="125" t="s">
        <v>1736</v>
      </c>
      <c r="T713" s="147"/>
    </row>
    <row r="714" spans="1:20" ht="24.95" customHeight="1">
      <c r="A714" s="351">
        <v>4.7</v>
      </c>
      <c r="B714" s="305" t="s">
        <v>2869</v>
      </c>
      <c r="C714" s="305" t="s">
        <v>2876</v>
      </c>
      <c r="D714" s="125" t="s">
        <v>62</v>
      </c>
      <c r="E714" s="305" t="s">
        <v>2877</v>
      </c>
      <c r="F714" s="344">
        <v>15.2</v>
      </c>
      <c r="G714" s="444" t="s">
        <v>72</v>
      </c>
      <c r="H714" s="356" t="s">
        <v>33</v>
      </c>
      <c r="I714" s="445" t="s">
        <v>179</v>
      </c>
      <c r="J714" s="445" t="s">
        <v>179</v>
      </c>
      <c r="K714" s="445" t="s">
        <v>179</v>
      </c>
      <c r="L714" s="343">
        <v>88307.69</v>
      </c>
      <c r="M714" s="344">
        <v>48691.353958333297</v>
      </c>
      <c r="N714" s="356">
        <v>2017.6</v>
      </c>
      <c r="O714" s="245" t="s">
        <v>2860</v>
      </c>
      <c r="P714" s="245" t="s">
        <v>2643</v>
      </c>
      <c r="Q714" s="345" t="s">
        <v>2644</v>
      </c>
      <c r="R714" s="356" t="s">
        <v>2860</v>
      </c>
      <c r="S714" s="305" t="s">
        <v>2878</v>
      </c>
      <c r="T714" s="356"/>
    </row>
    <row r="715" spans="1:20" ht="24.95" customHeight="1">
      <c r="A715" s="351">
        <v>4.8</v>
      </c>
      <c r="B715" s="125" t="s">
        <v>2879</v>
      </c>
      <c r="C715" s="125" t="s">
        <v>2880</v>
      </c>
      <c r="D715" s="125" t="s">
        <v>62</v>
      </c>
      <c r="E715" s="147" t="s">
        <v>2881</v>
      </c>
      <c r="F715" s="125">
        <v>166.44</v>
      </c>
      <c r="G715" s="340" t="s">
        <v>72</v>
      </c>
      <c r="H715" s="147" t="s">
        <v>33</v>
      </c>
      <c r="I715" s="238" t="s">
        <v>179</v>
      </c>
      <c r="J715" s="238" t="s">
        <v>179</v>
      </c>
      <c r="K715" s="238" t="s">
        <v>179</v>
      </c>
      <c r="L715" s="343">
        <v>1009996.4017956</v>
      </c>
      <c r="M715" s="343">
        <v>103699.390803997</v>
      </c>
      <c r="N715" s="147"/>
      <c r="O715" s="245" t="s">
        <v>2646</v>
      </c>
      <c r="P715" s="245" t="s">
        <v>2643</v>
      </c>
      <c r="Q715" s="345" t="s">
        <v>2644</v>
      </c>
      <c r="R715" s="147" t="str">
        <f t="shared" ref="R715:R726" si="2">O715</f>
        <v>机械分公司</v>
      </c>
      <c r="S715" s="125" t="s">
        <v>1736</v>
      </c>
      <c r="T715" s="147"/>
    </row>
    <row r="716" spans="1:20" ht="24.95" customHeight="1">
      <c r="A716" s="351">
        <v>4.9000000000000004</v>
      </c>
      <c r="B716" s="125" t="s">
        <v>2882</v>
      </c>
      <c r="C716" s="125" t="s">
        <v>2883</v>
      </c>
      <c r="D716" s="125" t="s">
        <v>62</v>
      </c>
      <c r="E716" s="147" t="s">
        <v>2884</v>
      </c>
      <c r="F716" s="125">
        <v>16.27</v>
      </c>
      <c r="G716" s="340" t="s">
        <v>72</v>
      </c>
      <c r="H716" s="147" t="s">
        <v>33</v>
      </c>
      <c r="I716" s="238" t="s">
        <v>179</v>
      </c>
      <c r="J716" s="238" t="s">
        <v>179</v>
      </c>
      <c r="K716" s="238" t="s">
        <v>179</v>
      </c>
      <c r="L716" s="343">
        <v>98732.542600000001</v>
      </c>
      <c r="M716" s="343">
        <v>27505.876826944499</v>
      </c>
      <c r="N716" s="147">
        <v>2017.5</v>
      </c>
      <c r="O716" s="245" t="s">
        <v>2646</v>
      </c>
      <c r="P716" s="245" t="s">
        <v>2643</v>
      </c>
      <c r="Q716" s="345" t="s">
        <v>2644</v>
      </c>
      <c r="R716" s="147" t="str">
        <f t="shared" si="2"/>
        <v>机械分公司</v>
      </c>
      <c r="S716" s="125" t="s">
        <v>1736</v>
      </c>
      <c r="T716" s="147"/>
    </row>
    <row r="717" spans="1:20" ht="24.95" customHeight="1">
      <c r="A717" s="442" t="s">
        <v>2497</v>
      </c>
      <c r="B717" s="125" t="s">
        <v>2885</v>
      </c>
      <c r="C717" s="125" t="s">
        <v>2886</v>
      </c>
      <c r="D717" s="125" t="s">
        <v>62</v>
      </c>
      <c r="E717" s="147" t="s">
        <v>2887</v>
      </c>
      <c r="F717" s="125">
        <v>13.696</v>
      </c>
      <c r="G717" s="340" t="s">
        <v>72</v>
      </c>
      <c r="H717" s="147" t="s">
        <v>33</v>
      </c>
      <c r="I717" s="238" t="s">
        <v>179</v>
      </c>
      <c r="J717" s="238" t="s">
        <v>179</v>
      </c>
      <c r="K717" s="238" t="s">
        <v>179</v>
      </c>
      <c r="L717" s="343">
        <v>83116.701679999998</v>
      </c>
      <c r="M717" s="343">
        <v>8135.7340893333303</v>
      </c>
      <c r="N717" s="147">
        <v>2017.5</v>
      </c>
      <c r="O717" s="245" t="s">
        <v>2646</v>
      </c>
      <c r="P717" s="245" t="s">
        <v>2643</v>
      </c>
      <c r="Q717" s="345" t="s">
        <v>2644</v>
      </c>
      <c r="R717" s="147" t="str">
        <f t="shared" si="2"/>
        <v>机械分公司</v>
      </c>
      <c r="S717" s="125" t="s">
        <v>1736</v>
      </c>
      <c r="T717" s="147"/>
    </row>
    <row r="718" spans="1:20" ht="24.95" customHeight="1">
      <c r="A718" s="446">
        <v>4.1100000000000003</v>
      </c>
      <c r="B718" s="125" t="s">
        <v>2888</v>
      </c>
      <c r="C718" s="125" t="s">
        <v>2889</v>
      </c>
      <c r="D718" s="125" t="s">
        <v>62</v>
      </c>
      <c r="E718" s="147" t="s">
        <v>2890</v>
      </c>
      <c r="F718" s="125">
        <v>11.254</v>
      </c>
      <c r="G718" s="340" t="s">
        <v>72</v>
      </c>
      <c r="H718" s="147" t="s">
        <v>33</v>
      </c>
      <c r="I718" s="238" t="s">
        <v>179</v>
      </c>
      <c r="J718" s="238" t="s">
        <v>179</v>
      </c>
      <c r="K718" s="238" t="s">
        <v>179</v>
      </c>
      <c r="L718" s="343">
        <v>68292.166920000003</v>
      </c>
      <c r="M718" s="343">
        <v>6921.4514890000501</v>
      </c>
      <c r="N718" s="147">
        <v>2017.5</v>
      </c>
      <c r="O718" s="245" t="s">
        <v>2646</v>
      </c>
      <c r="P718" s="245" t="s">
        <v>2643</v>
      </c>
      <c r="Q718" s="345" t="s">
        <v>2644</v>
      </c>
      <c r="R718" s="147" t="str">
        <f t="shared" si="2"/>
        <v>机械分公司</v>
      </c>
      <c r="S718" s="125" t="s">
        <v>1736</v>
      </c>
      <c r="T718" s="147"/>
    </row>
    <row r="719" spans="1:20" ht="24.95" customHeight="1">
      <c r="A719" s="446">
        <v>4.12</v>
      </c>
      <c r="B719" s="125" t="s">
        <v>2891</v>
      </c>
      <c r="C719" s="125" t="s">
        <v>2892</v>
      </c>
      <c r="D719" s="125" t="s">
        <v>62</v>
      </c>
      <c r="E719" s="147" t="s">
        <v>2893</v>
      </c>
      <c r="F719" s="125">
        <v>3.59</v>
      </c>
      <c r="G719" s="340" t="s">
        <v>72</v>
      </c>
      <c r="H719" s="147" t="s">
        <v>33</v>
      </c>
      <c r="I719" s="238" t="s">
        <v>179</v>
      </c>
      <c r="J719" s="238" t="s">
        <v>179</v>
      </c>
      <c r="K719" s="238" t="s">
        <v>179</v>
      </c>
      <c r="L719" s="343">
        <v>21785.484199999999</v>
      </c>
      <c r="M719" s="343">
        <v>2231.9040269444499</v>
      </c>
      <c r="N719" s="147">
        <v>2017.5</v>
      </c>
      <c r="O719" s="245" t="s">
        <v>2646</v>
      </c>
      <c r="P719" s="245" t="s">
        <v>2643</v>
      </c>
      <c r="Q719" s="345" t="s">
        <v>2644</v>
      </c>
      <c r="R719" s="147" t="str">
        <f t="shared" si="2"/>
        <v>机械分公司</v>
      </c>
      <c r="S719" s="125" t="s">
        <v>1736</v>
      </c>
      <c r="T719" s="147"/>
    </row>
    <row r="720" spans="1:20" ht="24.95" customHeight="1">
      <c r="A720" s="446">
        <v>4.13</v>
      </c>
      <c r="B720" s="125" t="s">
        <v>2894</v>
      </c>
      <c r="C720" s="125">
        <v>200</v>
      </c>
      <c r="D720" s="125" t="s">
        <v>62</v>
      </c>
      <c r="E720" s="147" t="s">
        <v>2895</v>
      </c>
      <c r="F720" s="125">
        <v>11.85</v>
      </c>
      <c r="G720" s="340" t="s">
        <v>72</v>
      </c>
      <c r="H720" s="147" t="s">
        <v>33</v>
      </c>
      <c r="I720" s="238" t="s">
        <v>179</v>
      </c>
      <c r="J720" s="238" t="s">
        <v>179</v>
      </c>
      <c r="K720" s="238" t="s">
        <v>179</v>
      </c>
      <c r="L720" s="343">
        <v>71910.305600000007</v>
      </c>
      <c r="M720" s="343">
        <v>3146.0777149999999</v>
      </c>
      <c r="N720" s="147">
        <v>2017.5</v>
      </c>
      <c r="O720" s="245" t="s">
        <v>2646</v>
      </c>
      <c r="P720" s="245" t="s">
        <v>2643</v>
      </c>
      <c r="Q720" s="345" t="s">
        <v>2644</v>
      </c>
      <c r="R720" s="147" t="str">
        <f t="shared" si="2"/>
        <v>机械分公司</v>
      </c>
      <c r="S720" s="125" t="s">
        <v>1736</v>
      </c>
      <c r="T720" s="147"/>
    </row>
    <row r="721" spans="1:20" ht="24.95" customHeight="1">
      <c r="A721" s="446">
        <v>4.1399999999999997</v>
      </c>
      <c r="B721" s="125" t="s">
        <v>2896</v>
      </c>
      <c r="C721" s="125" t="s">
        <v>2897</v>
      </c>
      <c r="D721" s="125" t="s">
        <v>62</v>
      </c>
      <c r="E721" s="147" t="s">
        <v>2898</v>
      </c>
      <c r="F721" s="344">
        <v>59.571489999999997</v>
      </c>
      <c r="G721" s="340" t="s">
        <v>72</v>
      </c>
      <c r="H721" s="147" t="s">
        <v>33</v>
      </c>
      <c r="I721" s="238" t="s">
        <v>179</v>
      </c>
      <c r="J721" s="238" t="s">
        <v>179</v>
      </c>
      <c r="K721" s="238" t="s">
        <v>179</v>
      </c>
      <c r="L721" s="343">
        <v>361502.11588619999</v>
      </c>
      <c r="M721" s="343">
        <v>106011.790857121</v>
      </c>
      <c r="N721" s="147">
        <v>2017.5</v>
      </c>
      <c r="O721" s="245" t="s">
        <v>2646</v>
      </c>
      <c r="P721" s="245" t="s">
        <v>2643</v>
      </c>
      <c r="Q721" s="345" t="s">
        <v>2644</v>
      </c>
      <c r="R721" s="147" t="str">
        <f t="shared" si="2"/>
        <v>机械分公司</v>
      </c>
      <c r="S721" s="125" t="s">
        <v>1736</v>
      </c>
      <c r="T721" s="147"/>
    </row>
    <row r="722" spans="1:20" ht="24.95" customHeight="1">
      <c r="A722" s="446">
        <v>4.1500000000000004</v>
      </c>
      <c r="B722" s="125" t="s">
        <v>2899</v>
      </c>
      <c r="C722" s="125" t="s">
        <v>2900</v>
      </c>
      <c r="D722" s="125" t="s">
        <v>62</v>
      </c>
      <c r="E722" s="147" t="s">
        <v>2901</v>
      </c>
      <c r="F722" s="344">
        <v>2.4660000000000002</v>
      </c>
      <c r="G722" s="340" t="s">
        <v>72</v>
      </c>
      <c r="H722" s="147" t="s">
        <v>33</v>
      </c>
      <c r="I722" s="238" t="s">
        <v>179</v>
      </c>
      <c r="J722" s="238" t="s">
        <v>179</v>
      </c>
      <c r="K722" s="238" t="s">
        <v>179</v>
      </c>
      <c r="L722" s="343">
        <v>14964.70888</v>
      </c>
      <c r="M722" s="343">
        <v>1877.23284066668</v>
      </c>
      <c r="N722" s="147">
        <v>2017.5</v>
      </c>
      <c r="O722" s="245" t="s">
        <v>2646</v>
      </c>
      <c r="P722" s="245" t="s">
        <v>2643</v>
      </c>
      <c r="Q722" s="345" t="s">
        <v>2644</v>
      </c>
      <c r="R722" s="147" t="str">
        <f t="shared" si="2"/>
        <v>机械分公司</v>
      </c>
      <c r="S722" s="125" t="s">
        <v>1736</v>
      </c>
      <c r="T722" s="147"/>
    </row>
    <row r="723" spans="1:20" ht="24.95" customHeight="1">
      <c r="A723" s="446">
        <v>4.16</v>
      </c>
      <c r="B723" s="125" t="s">
        <v>2902</v>
      </c>
      <c r="C723" s="125" t="s">
        <v>2903</v>
      </c>
      <c r="D723" s="125" t="s">
        <v>62</v>
      </c>
      <c r="E723" s="147" t="s">
        <v>2904</v>
      </c>
      <c r="F723" s="344">
        <v>53.029649999999997</v>
      </c>
      <c r="G723" s="340" t="s">
        <v>72</v>
      </c>
      <c r="H723" s="147" t="s">
        <v>33</v>
      </c>
      <c r="I723" s="238" t="s">
        <v>179</v>
      </c>
      <c r="J723" s="238" t="s">
        <v>179</v>
      </c>
      <c r="K723" s="238" t="s">
        <v>179</v>
      </c>
      <c r="L723" s="343">
        <v>321804.06746699999</v>
      </c>
      <c r="M723" s="343">
        <v>39854.143366252603</v>
      </c>
      <c r="N723" s="147">
        <v>2017.5</v>
      </c>
      <c r="O723" s="245" t="s">
        <v>2646</v>
      </c>
      <c r="P723" s="245" t="s">
        <v>2643</v>
      </c>
      <c r="Q723" s="345" t="s">
        <v>2644</v>
      </c>
      <c r="R723" s="147" t="str">
        <f t="shared" si="2"/>
        <v>机械分公司</v>
      </c>
      <c r="S723" s="125" t="s">
        <v>1736</v>
      </c>
      <c r="T723" s="147"/>
    </row>
    <row r="724" spans="1:20" ht="24.95" customHeight="1">
      <c r="A724" s="446">
        <v>4.17</v>
      </c>
      <c r="B724" s="447" t="s">
        <v>2902</v>
      </c>
      <c r="C724" s="117" t="s">
        <v>2905</v>
      </c>
      <c r="D724" s="123" t="s">
        <v>464</v>
      </c>
      <c r="E724" s="147" t="s">
        <v>2906</v>
      </c>
      <c r="F724" s="448">
        <v>136.94999999999999</v>
      </c>
      <c r="G724" s="340" t="s">
        <v>72</v>
      </c>
      <c r="H724" s="147" t="s">
        <v>33</v>
      </c>
      <c r="I724" s="238" t="s">
        <v>179</v>
      </c>
      <c r="J724" s="238" t="s">
        <v>179</v>
      </c>
      <c r="K724" s="238" t="s">
        <v>179</v>
      </c>
      <c r="L724" s="343">
        <v>831064.64099999995</v>
      </c>
      <c r="M724" s="343">
        <v>144282.05572916701</v>
      </c>
      <c r="N724" s="147">
        <v>2017.8</v>
      </c>
      <c r="O724" s="245" t="s">
        <v>2646</v>
      </c>
      <c r="P724" s="245" t="s">
        <v>2643</v>
      </c>
      <c r="Q724" s="345" t="s">
        <v>2644</v>
      </c>
      <c r="R724" s="147" t="str">
        <f t="shared" si="2"/>
        <v>机械分公司</v>
      </c>
      <c r="S724" s="125" t="s">
        <v>1736</v>
      </c>
      <c r="T724" s="147"/>
    </row>
    <row r="725" spans="1:20" ht="24.95" customHeight="1">
      <c r="A725" s="446">
        <v>4.18</v>
      </c>
      <c r="B725" s="125" t="s">
        <v>2907</v>
      </c>
      <c r="C725" s="125" t="s">
        <v>2908</v>
      </c>
      <c r="D725" s="125" t="s">
        <v>62</v>
      </c>
      <c r="E725" s="147" t="s">
        <v>2909</v>
      </c>
      <c r="F725" s="344">
        <v>10.63472</v>
      </c>
      <c r="G725" s="340" t="s">
        <v>72</v>
      </c>
      <c r="H725" s="147" t="s">
        <v>33</v>
      </c>
      <c r="I725" s="238" t="s">
        <v>179</v>
      </c>
      <c r="J725" s="238" t="s">
        <v>179</v>
      </c>
      <c r="K725" s="238" t="s">
        <v>179</v>
      </c>
      <c r="L725" s="343">
        <v>64535.522153600003</v>
      </c>
      <c r="M725" s="343">
        <v>8118.0054055594801</v>
      </c>
      <c r="N725" s="147">
        <v>2017.5</v>
      </c>
      <c r="O725" s="245" t="s">
        <v>2646</v>
      </c>
      <c r="P725" s="245" t="s">
        <v>2643</v>
      </c>
      <c r="Q725" s="345" t="s">
        <v>2644</v>
      </c>
      <c r="R725" s="147" t="str">
        <f t="shared" si="2"/>
        <v>机械分公司</v>
      </c>
      <c r="S725" s="125" t="s">
        <v>1736</v>
      </c>
      <c r="T725" s="147"/>
    </row>
    <row r="726" spans="1:20" ht="24.95" customHeight="1">
      <c r="A726" s="446">
        <v>4.1900000000000004</v>
      </c>
      <c r="B726" s="125" t="s">
        <v>2910</v>
      </c>
      <c r="C726" s="125" t="s">
        <v>2911</v>
      </c>
      <c r="D726" s="125" t="s">
        <v>62</v>
      </c>
      <c r="E726" s="147" t="s">
        <v>2912</v>
      </c>
      <c r="F726" s="344">
        <v>7.04542</v>
      </c>
      <c r="G726" s="340" t="s">
        <v>72</v>
      </c>
      <c r="H726" s="147" t="s">
        <v>33</v>
      </c>
      <c r="I726" s="238" t="s">
        <v>179</v>
      </c>
      <c r="J726" s="238" t="s">
        <v>179</v>
      </c>
      <c r="K726" s="238" t="s">
        <v>179</v>
      </c>
      <c r="L726" s="343">
        <v>42756.7680196</v>
      </c>
      <c r="M726" s="343">
        <v>1728.09393050216</v>
      </c>
      <c r="N726" s="147">
        <v>2017.5</v>
      </c>
      <c r="O726" s="245" t="s">
        <v>2646</v>
      </c>
      <c r="P726" s="245" t="s">
        <v>2643</v>
      </c>
      <c r="Q726" s="345" t="s">
        <v>2644</v>
      </c>
      <c r="R726" s="147" t="str">
        <f t="shared" si="2"/>
        <v>机械分公司</v>
      </c>
      <c r="S726" s="125" t="s">
        <v>1736</v>
      </c>
      <c r="T726" s="329"/>
    </row>
    <row r="727" spans="1:20" ht="24.95" customHeight="1">
      <c r="A727" s="446">
        <v>4.2</v>
      </c>
      <c r="B727" s="420" t="s">
        <v>2821</v>
      </c>
      <c r="C727" s="203"/>
      <c r="D727" s="421" t="s">
        <v>2834</v>
      </c>
      <c r="E727" s="420"/>
      <c r="F727" s="421">
        <v>6</v>
      </c>
      <c r="G727" s="422" t="s">
        <v>2085</v>
      </c>
      <c r="H727" s="420" t="s">
        <v>33</v>
      </c>
      <c r="I727" s="420"/>
      <c r="J727" s="420"/>
      <c r="K727" s="420"/>
      <c r="L727" s="449">
        <v>1425.74</v>
      </c>
      <c r="M727" s="423">
        <v>1398.02</v>
      </c>
      <c r="N727" s="420">
        <v>2021.3</v>
      </c>
      <c r="O727" s="425" t="s">
        <v>2835</v>
      </c>
      <c r="P727" s="422" t="s">
        <v>2087</v>
      </c>
      <c r="Q727" s="427">
        <v>18135206600</v>
      </c>
      <c r="R727" s="147" t="s">
        <v>2088</v>
      </c>
      <c r="S727" s="125" t="s">
        <v>1736</v>
      </c>
      <c r="T727" s="329"/>
    </row>
    <row r="728" spans="1:20" ht="24.95" customHeight="1">
      <c r="A728" s="413">
        <v>5</v>
      </c>
      <c r="B728" s="125" t="s">
        <v>1097</v>
      </c>
      <c r="C728" s="125"/>
      <c r="D728" s="125"/>
      <c r="E728" s="147"/>
      <c r="F728" s="125"/>
      <c r="G728" s="340"/>
      <c r="H728" s="147"/>
      <c r="I728" s="238"/>
      <c r="J728" s="238"/>
      <c r="K728" s="238"/>
      <c r="L728" s="343"/>
      <c r="M728" s="343"/>
      <c r="N728" s="147"/>
      <c r="O728" s="245"/>
      <c r="P728" s="245"/>
      <c r="Q728" s="345"/>
      <c r="R728" s="147"/>
      <c r="S728" s="147"/>
      <c r="T728" s="329"/>
    </row>
    <row r="729" spans="1:20" ht="24.95" customHeight="1">
      <c r="A729" s="413">
        <v>5.0999999999999996</v>
      </c>
      <c r="B729" s="450" t="s">
        <v>1097</v>
      </c>
      <c r="C729" s="363" t="s">
        <v>2913</v>
      </c>
      <c r="D729" s="450" t="s">
        <v>62</v>
      </c>
      <c r="E729" s="329"/>
      <c r="F729" s="450">
        <v>88.5</v>
      </c>
      <c r="G729" s="238" t="s">
        <v>2513</v>
      </c>
      <c r="H729" s="238" t="s">
        <v>33</v>
      </c>
      <c r="I729" s="329"/>
      <c r="J729" s="329"/>
      <c r="K729" s="174" t="s">
        <v>2914</v>
      </c>
      <c r="L729" s="450">
        <v>527037.1</v>
      </c>
      <c r="M729" s="450">
        <v>527037.1</v>
      </c>
      <c r="N729" s="439">
        <v>44409</v>
      </c>
      <c r="O729" s="168" t="s">
        <v>2154</v>
      </c>
      <c r="P729" s="240" t="s">
        <v>2153</v>
      </c>
      <c r="Q729" s="240">
        <v>13546718283</v>
      </c>
      <c r="R729" s="106" t="s">
        <v>2154</v>
      </c>
      <c r="S729" s="103" t="s">
        <v>2155</v>
      </c>
      <c r="T729" s="329"/>
    </row>
    <row r="730" spans="1:20" ht="24.95" customHeight="1">
      <c r="A730" s="413">
        <v>6</v>
      </c>
      <c r="B730" s="147" t="s">
        <v>1107</v>
      </c>
      <c r="C730" s="147"/>
      <c r="D730" s="147"/>
      <c r="E730" s="147"/>
      <c r="F730" s="147"/>
      <c r="G730" s="147"/>
      <c r="H730" s="147"/>
      <c r="I730" s="147"/>
      <c r="J730" s="147"/>
      <c r="K730" s="147"/>
      <c r="L730" s="147"/>
      <c r="M730" s="147"/>
      <c r="N730" s="147"/>
      <c r="O730" s="147"/>
      <c r="P730" s="147"/>
      <c r="Q730" s="147"/>
      <c r="R730" s="147"/>
      <c r="S730" s="125" t="s">
        <v>1736</v>
      </c>
      <c r="T730" s="329"/>
    </row>
    <row r="731" spans="1:20" ht="24.95" customHeight="1">
      <c r="A731" s="351">
        <v>6.1</v>
      </c>
      <c r="B731" s="125" t="s">
        <v>1107</v>
      </c>
      <c r="C731" s="125" t="s">
        <v>2915</v>
      </c>
      <c r="D731" s="125" t="s">
        <v>62</v>
      </c>
      <c r="E731" s="125" t="s">
        <v>2916</v>
      </c>
      <c r="F731" s="125"/>
      <c r="G731" s="340" t="s">
        <v>72</v>
      </c>
      <c r="H731" s="147" t="s">
        <v>41</v>
      </c>
      <c r="I731" s="147" t="s">
        <v>179</v>
      </c>
      <c r="J731" s="147" t="s">
        <v>179</v>
      </c>
      <c r="K731" s="147" t="s">
        <v>179</v>
      </c>
      <c r="L731" s="343">
        <v>108000</v>
      </c>
      <c r="M731" s="451">
        <v>59040</v>
      </c>
      <c r="N731" s="147"/>
      <c r="O731" s="245" t="s">
        <v>2646</v>
      </c>
      <c r="P731" s="245" t="s">
        <v>2643</v>
      </c>
      <c r="Q731" s="345" t="s">
        <v>2644</v>
      </c>
      <c r="R731" s="147" t="str">
        <f t="shared" ref="R731:R734" si="3">O731</f>
        <v>机械分公司</v>
      </c>
      <c r="S731" s="125" t="s">
        <v>1736</v>
      </c>
      <c r="T731" s="329"/>
    </row>
    <row r="732" spans="1:20" ht="24.95" customHeight="1">
      <c r="A732" s="351">
        <v>6.2</v>
      </c>
      <c r="B732" s="125" t="s">
        <v>1107</v>
      </c>
      <c r="C732" s="125" t="s">
        <v>2917</v>
      </c>
      <c r="D732" s="125" t="s">
        <v>62</v>
      </c>
      <c r="E732" s="125" t="s">
        <v>2918</v>
      </c>
      <c r="F732" s="125">
        <v>52.83</v>
      </c>
      <c r="G732" s="340" t="s">
        <v>72</v>
      </c>
      <c r="H732" s="147" t="s">
        <v>41</v>
      </c>
      <c r="I732" s="147" t="s">
        <v>179</v>
      </c>
      <c r="J732" s="147" t="s">
        <v>179</v>
      </c>
      <c r="K732" s="147" t="s">
        <v>179</v>
      </c>
      <c r="L732" s="343">
        <v>525000</v>
      </c>
      <c r="M732" s="451">
        <v>287000</v>
      </c>
      <c r="N732" s="147"/>
      <c r="O732" s="245" t="s">
        <v>2646</v>
      </c>
      <c r="P732" s="245" t="s">
        <v>2643</v>
      </c>
      <c r="Q732" s="345" t="s">
        <v>2644</v>
      </c>
      <c r="R732" s="147" t="str">
        <f t="shared" si="3"/>
        <v>机械分公司</v>
      </c>
      <c r="S732" s="125" t="s">
        <v>1736</v>
      </c>
      <c r="T732" s="329"/>
    </row>
    <row r="733" spans="1:20" ht="24.95" customHeight="1">
      <c r="A733" s="351">
        <v>6.3</v>
      </c>
      <c r="B733" s="125" t="s">
        <v>1107</v>
      </c>
      <c r="C733" s="125" t="s">
        <v>2917</v>
      </c>
      <c r="D733" s="125" t="s">
        <v>62</v>
      </c>
      <c r="E733" s="125" t="s">
        <v>2916</v>
      </c>
      <c r="F733" s="125">
        <v>17.61</v>
      </c>
      <c r="G733" s="340" t="s">
        <v>72</v>
      </c>
      <c r="H733" s="147" t="s">
        <v>41</v>
      </c>
      <c r="I733" s="147" t="s">
        <v>179</v>
      </c>
      <c r="J733" s="147" t="s">
        <v>179</v>
      </c>
      <c r="K733" s="147" t="s">
        <v>179</v>
      </c>
      <c r="L733" s="343">
        <v>161500</v>
      </c>
      <c r="M733" s="451">
        <v>88286.666666666701</v>
      </c>
      <c r="N733" s="147"/>
      <c r="O733" s="245" t="s">
        <v>2646</v>
      </c>
      <c r="P733" s="245" t="s">
        <v>2643</v>
      </c>
      <c r="Q733" s="345" t="s">
        <v>2644</v>
      </c>
      <c r="R733" s="147" t="str">
        <f t="shared" si="3"/>
        <v>机械分公司</v>
      </c>
      <c r="S733" s="125" t="s">
        <v>1736</v>
      </c>
      <c r="T733" s="329"/>
    </row>
    <row r="734" spans="1:20" ht="24.95" customHeight="1">
      <c r="A734" s="351">
        <v>6.4</v>
      </c>
      <c r="B734" s="125" t="s">
        <v>1107</v>
      </c>
      <c r="C734" s="125" t="s">
        <v>2919</v>
      </c>
      <c r="D734" s="125" t="s">
        <v>62</v>
      </c>
      <c r="E734" s="125" t="s">
        <v>2920</v>
      </c>
      <c r="F734" s="125">
        <v>406.8</v>
      </c>
      <c r="G734" s="340" t="s">
        <v>72</v>
      </c>
      <c r="H734" s="147" t="s">
        <v>41</v>
      </c>
      <c r="I734" s="147" t="s">
        <v>179</v>
      </c>
      <c r="J734" s="147" t="s">
        <v>179</v>
      </c>
      <c r="K734" s="147" t="s">
        <v>179</v>
      </c>
      <c r="L734" s="343">
        <v>3900800</v>
      </c>
      <c r="M734" s="451">
        <v>1745607.94</v>
      </c>
      <c r="N734" s="147"/>
      <c r="O734" s="147" t="s">
        <v>2646</v>
      </c>
      <c r="P734" s="245" t="s">
        <v>2643</v>
      </c>
      <c r="Q734" s="345" t="s">
        <v>2644</v>
      </c>
      <c r="R734" s="147" t="str">
        <f t="shared" si="3"/>
        <v>机械分公司</v>
      </c>
      <c r="S734" s="125" t="s">
        <v>1736</v>
      </c>
      <c r="T734" s="329"/>
    </row>
    <row r="735" spans="1:20" ht="24.95" customHeight="1">
      <c r="A735" s="330" t="s">
        <v>1108</v>
      </c>
      <c r="B735" s="328" t="s">
        <v>1109</v>
      </c>
      <c r="C735" s="147"/>
      <c r="D735" s="147"/>
      <c r="E735" s="147"/>
      <c r="F735" s="147"/>
      <c r="G735" s="147"/>
      <c r="H735" s="147"/>
      <c r="I735" s="147"/>
      <c r="J735" s="147"/>
      <c r="K735" s="147"/>
      <c r="L735" s="147"/>
      <c r="M735" s="147"/>
      <c r="N735" s="147"/>
      <c r="O735" s="147"/>
      <c r="P735" s="147"/>
      <c r="Q735" s="147"/>
      <c r="R735" s="147"/>
      <c r="S735" s="125" t="s">
        <v>1736</v>
      </c>
      <c r="T735" s="329"/>
    </row>
    <row r="736" spans="1:20" ht="24.95" customHeight="1">
      <c r="A736" s="413">
        <v>1</v>
      </c>
      <c r="B736" s="147" t="s">
        <v>1110</v>
      </c>
      <c r="C736" s="147"/>
      <c r="D736" s="147"/>
      <c r="E736" s="147"/>
      <c r="F736" s="147"/>
      <c r="G736" s="147"/>
      <c r="H736" s="147"/>
      <c r="I736" s="147"/>
      <c r="J736" s="147"/>
      <c r="K736" s="147"/>
      <c r="L736" s="147"/>
      <c r="M736" s="147"/>
      <c r="N736" s="147"/>
      <c r="O736" s="147"/>
      <c r="P736" s="147"/>
      <c r="Q736" s="147"/>
      <c r="R736" s="147"/>
      <c r="S736" s="125" t="s">
        <v>1736</v>
      </c>
      <c r="T736" s="329"/>
    </row>
    <row r="737" spans="1:21" ht="24.95" customHeight="1">
      <c r="A737" s="155" t="s">
        <v>1731</v>
      </c>
      <c r="B737" s="150" t="s">
        <v>2921</v>
      </c>
      <c r="C737" s="150"/>
      <c r="D737" s="151" t="s">
        <v>62</v>
      </c>
      <c r="E737" s="150">
        <v>108.96</v>
      </c>
      <c r="F737" s="150">
        <v>108.96</v>
      </c>
      <c r="G737" s="152" t="s">
        <v>32</v>
      </c>
      <c r="H737" s="105" t="s">
        <v>33</v>
      </c>
      <c r="I737" s="152"/>
      <c r="J737" s="152" t="s">
        <v>1809</v>
      </c>
      <c r="K737" s="153"/>
      <c r="L737" s="154">
        <v>558769.26</v>
      </c>
      <c r="M737" s="154">
        <v>391138.48200000002</v>
      </c>
      <c r="N737" s="155">
        <v>2017.9</v>
      </c>
      <c r="O737" s="156" t="s">
        <v>2922</v>
      </c>
      <c r="P737" s="152" t="s">
        <v>1812</v>
      </c>
      <c r="Q737" s="152">
        <v>15110423230</v>
      </c>
      <c r="R737" s="106" t="s">
        <v>1813</v>
      </c>
      <c r="S737" s="125" t="s">
        <v>1736</v>
      </c>
      <c r="T737" s="103"/>
      <c r="U737" s="317"/>
    </row>
    <row r="738" spans="1:21" ht="24.95" customHeight="1">
      <c r="A738" s="155" t="s">
        <v>1737</v>
      </c>
      <c r="B738" s="150" t="s">
        <v>2923</v>
      </c>
      <c r="C738" s="150"/>
      <c r="D738" s="151" t="s">
        <v>79</v>
      </c>
      <c r="E738" s="150">
        <v>1</v>
      </c>
      <c r="F738" s="150">
        <v>1</v>
      </c>
      <c r="G738" s="152" t="s">
        <v>32</v>
      </c>
      <c r="H738" s="105" t="s">
        <v>33</v>
      </c>
      <c r="I738" s="152"/>
      <c r="J738" s="152" t="s">
        <v>1809</v>
      </c>
      <c r="K738" s="153"/>
      <c r="L738" s="154">
        <v>32478.63</v>
      </c>
      <c r="M738" s="154">
        <v>22735.041000000001</v>
      </c>
      <c r="N738" s="155" t="s">
        <v>2924</v>
      </c>
      <c r="O738" s="156" t="s">
        <v>2922</v>
      </c>
      <c r="P738" s="152" t="s">
        <v>1812</v>
      </c>
      <c r="Q738" s="152">
        <v>15110423230</v>
      </c>
      <c r="R738" s="106" t="s">
        <v>1813</v>
      </c>
      <c r="S738" s="125" t="s">
        <v>1736</v>
      </c>
      <c r="T738" s="103"/>
      <c r="U738" s="317"/>
    </row>
    <row r="739" spans="1:21" ht="24.95" customHeight="1">
      <c r="A739" s="155" t="s">
        <v>1740</v>
      </c>
      <c r="B739" s="150" t="s">
        <v>266</v>
      </c>
      <c r="C739" s="150"/>
      <c r="D739" s="151" t="s">
        <v>79</v>
      </c>
      <c r="E739" s="150">
        <v>1</v>
      </c>
      <c r="F739" s="150">
        <v>1</v>
      </c>
      <c r="G739" s="152" t="s">
        <v>32</v>
      </c>
      <c r="H739" s="105" t="s">
        <v>33</v>
      </c>
      <c r="I739" s="152"/>
      <c r="J739" s="152" t="s">
        <v>1809</v>
      </c>
      <c r="K739" s="153"/>
      <c r="L739" s="154">
        <v>34188.03</v>
      </c>
      <c r="M739" s="154">
        <v>23931.620999999999</v>
      </c>
      <c r="N739" s="155">
        <v>2018.1</v>
      </c>
      <c r="O739" s="156" t="s">
        <v>2593</v>
      </c>
      <c r="P739" s="152" t="s">
        <v>1812</v>
      </c>
      <c r="Q739" s="152">
        <v>15110423230</v>
      </c>
      <c r="R739" s="106" t="s">
        <v>1813</v>
      </c>
      <c r="S739" s="125" t="s">
        <v>1736</v>
      </c>
      <c r="T739" s="103"/>
      <c r="U739" s="317"/>
    </row>
    <row r="740" spans="1:21" ht="24.95" customHeight="1">
      <c r="A740" s="155" t="s">
        <v>1742</v>
      </c>
      <c r="B740" s="150" t="s">
        <v>2921</v>
      </c>
      <c r="C740" s="150" t="s">
        <v>2925</v>
      </c>
      <c r="D740" s="151" t="s">
        <v>62</v>
      </c>
      <c r="E740" s="150">
        <v>67.66</v>
      </c>
      <c r="F740" s="150">
        <v>67.66</v>
      </c>
      <c r="G740" s="152" t="s">
        <v>32</v>
      </c>
      <c r="H740" s="105" t="s">
        <v>33</v>
      </c>
      <c r="I740" s="152"/>
      <c r="J740" s="152" t="s">
        <v>1809</v>
      </c>
      <c r="K740" s="153"/>
      <c r="L740" s="154">
        <v>173487.18</v>
      </c>
      <c r="M740" s="154">
        <v>121441.026</v>
      </c>
      <c r="N740" s="155">
        <v>2018.3</v>
      </c>
      <c r="O740" s="156" t="s">
        <v>2593</v>
      </c>
      <c r="P740" s="152" t="s">
        <v>1812</v>
      </c>
      <c r="Q740" s="152">
        <v>15110423230</v>
      </c>
      <c r="R740" s="106" t="s">
        <v>1813</v>
      </c>
      <c r="S740" s="125" t="s">
        <v>1736</v>
      </c>
      <c r="T740" s="103"/>
      <c r="U740" s="317"/>
    </row>
    <row r="741" spans="1:21" ht="24.95" customHeight="1">
      <c r="A741" s="155" t="s">
        <v>1745</v>
      </c>
      <c r="B741" s="150" t="s">
        <v>2921</v>
      </c>
      <c r="C741" s="150"/>
      <c r="D741" s="151" t="s">
        <v>62</v>
      </c>
      <c r="E741" s="150">
        <v>39.64</v>
      </c>
      <c r="F741" s="150">
        <v>39.64</v>
      </c>
      <c r="G741" s="152" t="s">
        <v>32</v>
      </c>
      <c r="H741" s="105" t="s">
        <v>33</v>
      </c>
      <c r="I741" s="152"/>
      <c r="J741" s="152" t="s">
        <v>1809</v>
      </c>
      <c r="K741" s="153"/>
      <c r="L741" s="154">
        <v>230386.33</v>
      </c>
      <c r="M741" s="154">
        <v>161270.43100000001</v>
      </c>
      <c r="N741" s="155">
        <v>2018.3</v>
      </c>
      <c r="O741" s="156" t="s">
        <v>2593</v>
      </c>
      <c r="P741" s="152" t="s">
        <v>1812</v>
      </c>
      <c r="Q741" s="152">
        <v>15110423230</v>
      </c>
      <c r="R741" s="106" t="s">
        <v>1813</v>
      </c>
      <c r="S741" s="125" t="s">
        <v>1736</v>
      </c>
      <c r="T741" s="103"/>
      <c r="U741" s="317"/>
    </row>
    <row r="742" spans="1:21" ht="24.95" customHeight="1">
      <c r="A742" s="155" t="s">
        <v>1747</v>
      </c>
      <c r="B742" s="150" t="s">
        <v>2926</v>
      </c>
      <c r="C742" s="150"/>
      <c r="D742" s="151" t="s">
        <v>79</v>
      </c>
      <c r="E742" s="150">
        <v>1</v>
      </c>
      <c r="F742" s="150">
        <v>1</v>
      </c>
      <c r="G742" s="152" t="s">
        <v>32</v>
      </c>
      <c r="H742" s="105" t="s">
        <v>33</v>
      </c>
      <c r="I742" s="152"/>
      <c r="J742" s="152" t="s">
        <v>1809</v>
      </c>
      <c r="K742" s="153"/>
      <c r="L742" s="154">
        <v>66666.67</v>
      </c>
      <c r="M742" s="154">
        <v>46666.669000000002</v>
      </c>
      <c r="N742" s="155">
        <v>2018.3</v>
      </c>
      <c r="O742" s="156" t="s">
        <v>2593</v>
      </c>
      <c r="P742" s="152" t="s">
        <v>1812</v>
      </c>
      <c r="Q742" s="152">
        <v>15110423230</v>
      </c>
      <c r="R742" s="106" t="s">
        <v>1813</v>
      </c>
      <c r="S742" s="125" t="s">
        <v>1736</v>
      </c>
      <c r="T742" s="103"/>
      <c r="U742" s="317"/>
    </row>
    <row r="743" spans="1:21" ht="24.95" customHeight="1">
      <c r="A743" s="155" t="s">
        <v>1748</v>
      </c>
      <c r="B743" s="150" t="s">
        <v>2921</v>
      </c>
      <c r="C743" s="150"/>
      <c r="D743" s="151" t="s">
        <v>62</v>
      </c>
      <c r="E743" s="150">
        <v>90</v>
      </c>
      <c r="F743" s="150">
        <v>90.3</v>
      </c>
      <c r="G743" s="152" t="s">
        <v>32</v>
      </c>
      <c r="H743" s="105" t="s">
        <v>33</v>
      </c>
      <c r="I743" s="152"/>
      <c r="J743" s="152" t="s">
        <v>1809</v>
      </c>
      <c r="K743" s="153"/>
      <c r="L743" s="154">
        <v>571128.21</v>
      </c>
      <c r="M743" s="154">
        <v>399789.74699999997</v>
      </c>
      <c r="N743" s="155">
        <v>2018.6</v>
      </c>
      <c r="O743" s="156" t="s">
        <v>2927</v>
      </c>
      <c r="P743" s="152" t="s">
        <v>1812</v>
      </c>
      <c r="Q743" s="152">
        <v>15110423230</v>
      </c>
      <c r="R743" s="106" t="s">
        <v>1813</v>
      </c>
      <c r="S743" s="125" t="s">
        <v>1736</v>
      </c>
      <c r="T743" s="103"/>
      <c r="U743" s="317"/>
    </row>
    <row r="744" spans="1:21" ht="24.95" customHeight="1">
      <c r="A744" s="155" t="s">
        <v>1751</v>
      </c>
      <c r="B744" s="150" t="s">
        <v>2928</v>
      </c>
      <c r="C744" s="150"/>
      <c r="D744" s="151" t="s">
        <v>62</v>
      </c>
      <c r="E744" s="150">
        <v>96</v>
      </c>
      <c r="F744" s="150">
        <v>96</v>
      </c>
      <c r="G744" s="152" t="s">
        <v>32</v>
      </c>
      <c r="H744" s="105" t="s">
        <v>33</v>
      </c>
      <c r="I744" s="152"/>
      <c r="J744" s="152" t="s">
        <v>1809</v>
      </c>
      <c r="K744" s="153"/>
      <c r="L744" s="154">
        <v>643862.07785234903</v>
      </c>
      <c r="M744" s="154">
        <v>450703.45449664397</v>
      </c>
      <c r="N744" s="155">
        <v>2018.9</v>
      </c>
      <c r="O744" s="156" t="s">
        <v>1817</v>
      </c>
      <c r="P744" s="152" t="s">
        <v>1812</v>
      </c>
      <c r="Q744" s="152">
        <v>15110423230</v>
      </c>
      <c r="R744" s="106" t="s">
        <v>1813</v>
      </c>
      <c r="S744" s="125" t="s">
        <v>1736</v>
      </c>
      <c r="T744" s="103"/>
      <c r="U744" s="317"/>
    </row>
    <row r="745" spans="1:21" ht="24.95" customHeight="1">
      <c r="A745" s="155" t="s">
        <v>1752</v>
      </c>
      <c r="B745" s="150" t="s">
        <v>2929</v>
      </c>
      <c r="C745" s="150"/>
      <c r="D745" s="151" t="s">
        <v>62</v>
      </c>
      <c r="E745" s="150">
        <v>4.08</v>
      </c>
      <c r="F745" s="150">
        <v>4.08</v>
      </c>
      <c r="G745" s="152" t="s">
        <v>32</v>
      </c>
      <c r="H745" s="105" t="s">
        <v>33</v>
      </c>
      <c r="I745" s="152"/>
      <c r="J745" s="152" t="s">
        <v>1809</v>
      </c>
      <c r="K745" s="153"/>
      <c r="L745" s="154">
        <v>25324.14</v>
      </c>
      <c r="M745" s="154">
        <v>17726.898000000001</v>
      </c>
      <c r="N745" s="155">
        <v>2018.9</v>
      </c>
      <c r="O745" s="156" t="s">
        <v>1817</v>
      </c>
      <c r="P745" s="152" t="s">
        <v>1812</v>
      </c>
      <c r="Q745" s="152">
        <v>15110423230</v>
      </c>
      <c r="R745" s="106" t="s">
        <v>1813</v>
      </c>
      <c r="S745" s="125" t="s">
        <v>1736</v>
      </c>
      <c r="T745" s="103"/>
      <c r="U745" s="317"/>
    </row>
    <row r="746" spans="1:21" ht="24.95" customHeight="1">
      <c r="A746" s="155" t="s">
        <v>1753</v>
      </c>
      <c r="B746" s="150" t="s">
        <v>2930</v>
      </c>
      <c r="C746" s="150"/>
      <c r="D746" s="151" t="s">
        <v>62</v>
      </c>
      <c r="E746" s="150">
        <v>8.94</v>
      </c>
      <c r="F746" s="150">
        <v>66</v>
      </c>
      <c r="G746" s="152" t="s">
        <v>32</v>
      </c>
      <c r="H746" s="105" t="s">
        <v>33</v>
      </c>
      <c r="I746" s="152"/>
      <c r="J746" s="152" t="s">
        <v>1809</v>
      </c>
      <c r="K746" s="153"/>
      <c r="L746" s="154">
        <v>53948.28</v>
      </c>
      <c r="M746" s="154">
        <v>37763.796000000002</v>
      </c>
      <c r="N746" s="155" t="s">
        <v>2205</v>
      </c>
      <c r="O746" s="156" t="s">
        <v>1817</v>
      </c>
      <c r="P746" s="152" t="s">
        <v>1812</v>
      </c>
      <c r="Q746" s="152">
        <v>15110423230</v>
      </c>
      <c r="R746" s="106" t="s">
        <v>1813</v>
      </c>
      <c r="S746" s="125" t="s">
        <v>1736</v>
      </c>
      <c r="T746" s="103"/>
      <c r="U746" s="317"/>
    </row>
    <row r="747" spans="1:21" ht="24.95" customHeight="1">
      <c r="A747" s="155" t="s">
        <v>1758</v>
      </c>
      <c r="B747" s="150" t="s">
        <v>2921</v>
      </c>
      <c r="C747" s="150"/>
      <c r="D747" s="151" t="s">
        <v>62</v>
      </c>
      <c r="E747" s="150">
        <v>66</v>
      </c>
      <c r="F747" s="150">
        <v>4.9800000000000004</v>
      </c>
      <c r="G747" s="152" t="s">
        <v>32</v>
      </c>
      <c r="H747" s="105" t="s">
        <v>33</v>
      </c>
      <c r="I747" s="152"/>
      <c r="J747" s="152" t="s">
        <v>1809</v>
      </c>
      <c r="K747" s="153"/>
      <c r="L747" s="154">
        <v>389741.36</v>
      </c>
      <c r="M747" s="154">
        <v>272818.95199999999</v>
      </c>
      <c r="N747" s="155" t="s">
        <v>2205</v>
      </c>
      <c r="O747" s="156" t="s">
        <v>1817</v>
      </c>
      <c r="P747" s="152" t="s">
        <v>1812</v>
      </c>
      <c r="Q747" s="152">
        <v>15110423230</v>
      </c>
      <c r="R747" s="106" t="s">
        <v>1813</v>
      </c>
      <c r="S747" s="125" t="s">
        <v>1736</v>
      </c>
      <c r="T747" s="103"/>
      <c r="U747" s="317"/>
    </row>
    <row r="748" spans="1:21" ht="24.95" customHeight="1">
      <c r="A748" s="155" t="s">
        <v>1767</v>
      </c>
      <c r="B748" s="150" t="s">
        <v>2921</v>
      </c>
      <c r="C748" s="150"/>
      <c r="D748" s="151" t="s">
        <v>62</v>
      </c>
      <c r="E748" s="150">
        <v>4.9800000000000004</v>
      </c>
      <c r="F748" s="150">
        <v>120</v>
      </c>
      <c r="G748" s="152" t="s">
        <v>32</v>
      </c>
      <c r="H748" s="105" t="s">
        <v>33</v>
      </c>
      <c r="I748" s="152"/>
      <c r="J748" s="152" t="s">
        <v>1809</v>
      </c>
      <c r="K748" s="153"/>
      <c r="L748" s="154">
        <v>29407.759999999998</v>
      </c>
      <c r="M748" s="154">
        <v>20585.432000000001</v>
      </c>
      <c r="N748" s="155" t="s">
        <v>2205</v>
      </c>
      <c r="O748" s="156" t="s">
        <v>1817</v>
      </c>
      <c r="P748" s="152" t="s">
        <v>1812</v>
      </c>
      <c r="Q748" s="152">
        <v>15110423230</v>
      </c>
      <c r="R748" s="106" t="s">
        <v>1813</v>
      </c>
      <c r="S748" s="125" t="s">
        <v>1736</v>
      </c>
      <c r="T748" s="103"/>
      <c r="U748" s="317"/>
    </row>
    <row r="749" spans="1:21" ht="24.95" customHeight="1">
      <c r="A749" s="155" t="s">
        <v>1769</v>
      </c>
      <c r="B749" s="150" t="s">
        <v>2921</v>
      </c>
      <c r="C749" s="150"/>
      <c r="D749" s="151" t="s">
        <v>62</v>
      </c>
      <c r="E749" s="150">
        <v>120</v>
      </c>
      <c r="F749" s="150">
        <v>5.71</v>
      </c>
      <c r="G749" s="152" t="s">
        <v>32</v>
      </c>
      <c r="H749" s="105" t="s">
        <v>33</v>
      </c>
      <c r="I749" s="152"/>
      <c r="J749" s="152" t="s">
        <v>1809</v>
      </c>
      <c r="K749" s="153"/>
      <c r="L749" s="154">
        <v>767586.24</v>
      </c>
      <c r="M749" s="154">
        <v>537310.36800000002</v>
      </c>
      <c r="N749" s="155" t="s">
        <v>2205</v>
      </c>
      <c r="O749" s="156" t="s">
        <v>1817</v>
      </c>
      <c r="P749" s="152" t="s">
        <v>1812</v>
      </c>
      <c r="Q749" s="152">
        <v>15110423230</v>
      </c>
      <c r="R749" s="106" t="s">
        <v>1813</v>
      </c>
      <c r="S749" s="125" t="s">
        <v>1736</v>
      </c>
      <c r="T749" s="103"/>
      <c r="U749" s="317"/>
    </row>
    <row r="750" spans="1:21" ht="24.95" customHeight="1">
      <c r="A750" s="155" t="s">
        <v>1771</v>
      </c>
      <c r="B750" s="150" t="s">
        <v>2921</v>
      </c>
      <c r="C750" s="150"/>
      <c r="D750" s="151" t="s">
        <v>62</v>
      </c>
      <c r="E750" s="150">
        <v>5.71</v>
      </c>
      <c r="F750" s="150">
        <v>8.94</v>
      </c>
      <c r="G750" s="152" t="s">
        <v>32</v>
      </c>
      <c r="H750" s="105" t="s">
        <v>33</v>
      </c>
      <c r="I750" s="152"/>
      <c r="J750" s="152" t="s">
        <v>1809</v>
      </c>
      <c r="K750" s="153"/>
      <c r="L750" s="154">
        <v>36524.31</v>
      </c>
      <c r="M750" s="154">
        <v>25567.017</v>
      </c>
      <c r="N750" s="155">
        <v>2018.9</v>
      </c>
      <c r="O750" s="156" t="s">
        <v>1817</v>
      </c>
      <c r="P750" s="152" t="s">
        <v>1812</v>
      </c>
      <c r="Q750" s="152">
        <v>15110423230</v>
      </c>
      <c r="R750" s="106" t="s">
        <v>1813</v>
      </c>
      <c r="S750" s="125" t="s">
        <v>1736</v>
      </c>
      <c r="T750" s="103"/>
      <c r="U750" s="317"/>
    </row>
    <row r="751" spans="1:21" ht="24.95" customHeight="1">
      <c r="A751" s="155" t="s">
        <v>1773</v>
      </c>
      <c r="B751" s="150" t="s">
        <v>2928</v>
      </c>
      <c r="C751" s="150" t="s">
        <v>2931</v>
      </c>
      <c r="D751" s="151" t="s">
        <v>62</v>
      </c>
      <c r="E751" s="150">
        <v>54.52</v>
      </c>
      <c r="F751" s="150">
        <v>54.52</v>
      </c>
      <c r="G751" s="152" t="s">
        <v>32</v>
      </c>
      <c r="H751" s="105" t="s">
        <v>33</v>
      </c>
      <c r="I751" s="152"/>
      <c r="J751" s="152" t="s">
        <v>1809</v>
      </c>
      <c r="K751" s="153"/>
      <c r="L751" s="154">
        <v>348740</v>
      </c>
      <c r="M751" s="154">
        <v>244118</v>
      </c>
      <c r="N751" s="155" t="s">
        <v>1876</v>
      </c>
      <c r="O751" s="156" t="s">
        <v>1817</v>
      </c>
      <c r="P751" s="152" t="s">
        <v>1812</v>
      </c>
      <c r="Q751" s="152">
        <v>15110423230</v>
      </c>
      <c r="R751" s="106" t="s">
        <v>1813</v>
      </c>
      <c r="S751" s="125" t="s">
        <v>1736</v>
      </c>
      <c r="T751" s="103"/>
      <c r="U751" s="317"/>
    </row>
    <row r="752" spans="1:21" ht="24.95" customHeight="1">
      <c r="A752" s="155" t="s">
        <v>1780</v>
      </c>
      <c r="B752" s="150" t="s">
        <v>2932</v>
      </c>
      <c r="C752" s="150"/>
      <c r="D752" s="151" t="s">
        <v>62</v>
      </c>
      <c r="E752" s="150">
        <v>29.74</v>
      </c>
      <c r="F752" s="150">
        <v>2</v>
      </c>
      <c r="G752" s="152" t="s">
        <v>32</v>
      </c>
      <c r="H752" s="105" t="s">
        <v>33</v>
      </c>
      <c r="I752" s="152"/>
      <c r="J752" s="152" t="s">
        <v>1809</v>
      </c>
      <c r="K752" s="153"/>
      <c r="L752" s="154">
        <v>184230.08</v>
      </c>
      <c r="M752" s="154">
        <v>128961.056</v>
      </c>
      <c r="N752" s="155" t="s">
        <v>1819</v>
      </c>
      <c r="O752" s="156" t="s">
        <v>1817</v>
      </c>
      <c r="P752" s="152" t="s">
        <v>1812</v>
      </c>
      <c r="Q752" s="152">
        <v>15110423230</v>
      </c>
      <c r="R752" s="106" t="s">
        <v>1813</v>
      </c>
      <c r="S752" s="125" t="s">
        <v>1736</v>
      </c>
      <c r="T752" s="103"/>
      <c r="U752" s="317"/>
    </row>
    <row r="753" spans="1:21" ht="24.95" customHeight="1">
      <c r="A753" s="155" t="s">
        <v>1783</v>
      </c>
      <c r="B753" s="150" t="s">
        <v>2933</v>
      </c>
      <c r="C753" s="150"/>
      <c r="D753" s="151" t="s">
        <v>62</v>
      </c>
      <c r="E753" s="150">
        <v>21.4</v>
      </c>
      <c r="F753" s="150">
        <v>2</v>
      </c>
      <c r="G753" s="152" t="s">
        <v>32</v>
      </c>
      <c r="H753" s="105" t="s">
        <v>33</v>
      </c>
      <c r="I753" s="152"/>
      <c r="J753" s="152" t="s">
        <v>1809</v>
      </c>
      <c r="K753" s="153"/>
      <c r="L753" s="154">
        <v>132566.37</v>
      </c>
      <c r="M753" s="154">
        <v>92796.459000000003</v>
      </c>
      <c r="N753" s="155" t="s">
        <v>1819</v>
      </c>
      <c r="O753" s="156" t="s">
        <v>1817</v>
      </c>
      <c r="P753" s="152" t="s">
        <v>1812</v>
      </c>
      <c r="Q753" s="152">
        <v>15110423230</v>
      </c>
      <c r="R753" s="106" t="s">
        <v>1813</v>
      </c>
      <c r="S753" s="125" t="s">
        <v>1736</v>
      </c>
      <c r="T753" s="103"/>
      <c r="U753" s="317"/>
    </row>
    <row r="754" spans="1:21" ht="24.95" customHeight="1">
      <c r="A754" s="155" t="s">
        <v>1786</v>
      </c>
      <c r="B754" s="150" t="s">
        <v>2923</v>
      </c>
      <c r="C754" s="150"/>
      <c r="D754" s="151" t="s">
        <v>62</v>
      </c>
      <c r="E754" s="150" t="s">
        <v>2391</v>
      </c>
      <c r="F754" s="150">
        <v>4.66</v>
      </c>
      <c r="G754" s="152" t="s">
        <v>32</v>
      </c>
      <c r="H754" s="105" t="s">
        <v>33</v>
      </c>
      <c r="I754" s="152"/>
      <c r="J754" s="152" t="s">
        <v>1809</v>
      </c>
      <c r="K754" s="153"/>
      <c r="L754" s="154">
        <v>26548.67</v>
      </c>
      <c r="M754" s="154">
        <v>18584.069</v>
      </c>
      <c r="N754" s="155" t="s">
        <v>2601</v>
      </c>
      <c r="O754" s="156" t="s">
        <v>1817</v>
      </c>
      <c r="P754" s="152" t="s">
        <v>1812</v>
      </c>
      <c r="Q754" s="152">
        <v>15110423230</v>
      </c>
      <c r="R754" s="106" t="s">
        <v>1813</v>
      </c>
      <c r="S754" s="125" t="s">
        <v>1736</v>
      </c>
      <c r="T754" s="103"/>
      <c r="U754" s="317"/>
    </row>
    <row r="755" spans="1:21" ht="24.95" customHeight="1">
      <c r="A755" s="155" t="s">
        <v>1789</v>
      </c>
      <c r="B755" s="150" t="s">
        <v>266</v>
      </c>
      <c r="C755" s="150"/>
      <c r="D755" s="151" t="s">
        <v>62</v>
      </c>
      <c r="E755" s="150" t="s">
        <v>2934</v>
      </c>
      <c r="F755" s="150">
        <v>16.100000000000001</v>
      </c>
      <c r="G755" s="152" t="s">
        <v>32</v>
      </c>
      <c r="H755" s="105" t="s">
        <v>33</v>
      </c>
      <c r="I755" s="152"/>
      <c r="J755" s="152" t="s">
        <v>1809</v>
      </c>
      <c r="K755" s="153"/>
      <c r="L755" s="154">
        <v>92920.35</v>
      </c>
      <c r="M755" s="154">
        <v>65044.245000000003</v>
      </c>
      <c r="N755" s="155" t="s">
        <v>2601</v>
      </c>
      <c r="O755" s="156" t="s">
        <v>1817</v>
      </c>
      <c r="P755" s="152" t="s">
        <v>1812</v>
      </c>
      <c r="Q755" s="152">
        <v>15110423230</v>
      </c>
      <c r="R755" s="106" t="s">
        <v>1813</v>
      </c>
      <c r="S755" s="125" t="s">
        <v>1736</v>
      </c>
      <c r="T755" s="103"/>
      <c r="U755" s="317"/>
    </row>
    <row r="756" spans="1:21" ht="24.95" customHeight="1">
      <c r="A756" s="155" t="s">
        <v>1796</v>
      </c>
      <c r="B756" s="150" t="s">
        <v>2935</v>
      </c>
      <c r="C756" s="150"/>
      <c r="D756" s="151" t="s">
        <v>62</v>
      </c>
      <c r="E756" s="150">
        <v>0.6</v>
      </c>
      <c r="F756" s="150">
        <v>3.92</v>
      </c>
      <c r="G756" s="152" t="s">
        <v>32</v>
      </c>
      <c r="H756" s="105" t="s">
        <v>33</v>
      </c>
      <c r="I756" s="152"/>
      <c r="J756" s="152" t="s">
        <v>1809</v>
      </c>
      <c r="K756" s="153"/>
      <c r="L756" s="154">
        <v>3716.81</v>
      </c>
      <c r="M756" s="154">
        <v>2601.7669999999998</v>
      </c>
      <c r="N756" s="155" t="s">
        <v>2601</v>
      </c>
      <c r="O756" s="156" t="s">
        <v>1817</v>
      </c>
      <c r="P756" s="152" t="s">
        <v>1812</v>
      </c>
      <c r="Q756" s="152">
        <v>15110423230</v>
      </c>
      <c r="R756" s="106" t="s">
        <v>1813</v>
      </c>
      <c r="S756" s="125" t="s">
        <v>1736</v>
      </c>
      <c r="T756" s="103"/>
      <c r="U756" s="317"/>
    </row>
    <row r="757" spans="1:21" ht="24.95" customHeight="1">
      <c r="A757" s="155" t="s">
        <v>1799</v>
      </c>
      <c r="B757" s="150" t="s">
        <v>2936</v>
      </c>
      <c r="C757" s="150"/>
      <c r="D757" s="151" t="s">
        <v>62</v>
      </c>
      <c r="E757" s="150">
        <v>4.66</v>
      </c>
      <c r="F757" s="150">
        <v>1</v>
      </c>
      <c r="G757" s="152" t="s">
        <v>32</v>
      </c>
      <c r="H757" s="105" t="s">
        <v>33</v>
      </c>
      <c r="I757" s="152"/>
      <c r="J757" s="152" t="s">
        <v>1809</v>
      </c>
      <c r="K757" s="153"/>
      <c r="L757" s="154">
        <v>28867.26</v>
      </c>
      <c r="M757" s="154">
        <v>20207.081999999999</v>
      </c>
      <c r="N757" s="155" t="s">
        <v>2601</v>
      </c>
      <c r="O757" s="156" t="s">
        <v>1817</v>
      </c>
      <c r="P757" s="152" t="s">
        <v>1812</v>
      </c>
      <c r="Q757" s="152">
        <v>15110423230</v>
      </c>
      <c r="R757" s="106" t="s">
        <v>1813</v>
      </c>
      <c r="S757" s="125" t="s">
        <v>1736</v>
      </c>
      <c r="T757" s="103"/>
      <c r="U757" s="317"/>
    </row>
    <row r="758" spans="1:21" ht="24.95" customHeight="1">
      <c r="A758" s="155" t="s">
        <v>1801</v>
      </c>
      <c r="B758" s="150" t="s">
        <v>2937</v>
      </c>
      <c r="C758" s="150"/>
      <c r="D758" s="151" t="s">
        <v>62</v>
      </c>
      <c r="E758" s="150">
        <v>16.100000000000001</v>
      </c>
      <c r="F758" s="150">
        <v>2</v>
      </c>
      <c r="G758" s="152" t="s">
        <v>32</v>
      </c>
      <c r="H758" s="105" t="s">
        <v>33</v>
      </c>
      <c r="I758" s="152"/>
      <c r="J758" s="152" t="s">
        <v>1809</v>
      </c>
      <c r="K758" s="153"/>
      <c r="L758" s="154">
        <v>99734.51</v>
      </c>
      <c r="M758" s="154">
        <v>69814.157000000007</v>
      </c>
      <c r="N758" s="155" t="s">
        <v>2601</v>
      </c>
      <c r="O758" s="156" t="s">
        <v>1817</v>
      </c>
      <c r="P758" s="152" t="s">
        <v>1812</v>
      </c>
      <c r="Q758" s="152">
        <v>15110423230</v>
      </c>
      <c r="R758" s="106" t="s">
        <v>1813</v>
      </c>
      <c r="S758" s="125" t="s">
        <v>1736</v>
      </c>
      <c r="T758" s="103"/>
      <c r="U758" s="317"/>
    </row>
    <row r="759" spans="1:21" ht="24.95" customHeight="1">
      <c r="A759" s="155" t="s">
        <v>1802</v>
      </c>
      <c r="B759" s="150" t="s">
        <v>2937</v>
      </c>
      <c r="C759" s="150"/>
      <c r="D759" s="151" t="s">
        <v>62</v>
      </c>
      <c r="E759" s="150">
        <v>3.92</v>
      </c>
      <c r="F759" s="150">
        <v>98</v>
      </c>
      <c r="G759" s="152" t="s">
        <v>32</v>
      </c>
      <c r="H759" s="105" t="s">
        <v>33</v>
      </c>
      <c r="I759" s="152"/>
      <c r="J759" s="152" t="s">
        <v>1809</v>
      </c>
      <c r="K759" s="153"/>
      <c r="L759" s="154">
        <v>24283.19</v>
      </c>
      <c r="M759" s="154">
        <v>16998.233</v>
      </c>
      <c r="N759" s="155" t="s">
        <v>2601</v>
      </c>
      <c r="O759" s="156" t="s">
        <v>1817</v>
      </c>
      <c r="P759" s="152" t="s">
        <v>1812</v>
      </c>
      <c r="Q759" s="152">
        <v>15110423230</v>
      </c>
      <c r="R759" s="106" t="s">
        <v>1813</v>
      </c>
      <c r="S759" s="125" t="s">
        <v>1736</v>
      </c>
      <c r="T759" s="103"/>
      <c r="U759" s="317"/>
    </row>
    <row r="760" spans="1:21" ht="24.95" customHeight="1">
      <c r="A760" s="155" t="s">
        <v>1807</v>
      </c>
      <c r="B760" s="150" t="s">
        <v>2938</v>
      </c>
      <c r="C760" s="150"/>
      <c r="D760" s="151" t="s">
        <v>79</v>
      </c>
      <c r="E760" s="150">
        <v>1</v>
      </c>
      <c r="F760" s="150">
        <v>200</v>
      </c>
      <c r="G760" s="152" t="s">
        <v>32</v>
      </c>
      <c r="H760" s="105" t="s">
        <v>33</v>
      </c>
      <c r="I760" s="152"/>
      <c r="J760" s="152" t="s">
        <v>1809</v>
      </c>
      <c r="K760" s="153"/>
      <c r="L760" s="154">
        <v>13274.34</v>
      </c>
      <c r="M760" s="154">
        <v>9292.0380000000005</v>
      </c>
      <c r="N760" s="155" t="s">
        <v>2601</v>
      </c>
      <c r="O760" s="156" t="s">
        <v>1817</v>
      </c>
      <c r="P760" s="152" t="s">
        <v>1812</v>
      </c>
      <c r="Q760" s="152">
        <v>15110423230</v>
      </c>
      <c r="R760" s="106" t="s">
        <v>1813</v>
      </c>
      <c r="S760" s="125" t="s">
        <v>1736</v>
      </c>
      <c r="T760" s="103"/>
      <c r="U760" s="317"/>
    </row>
    <row r="761" spans="1:21" ht="24.95" customHeight="1">
      <c r="A761" s="155" t="s">
        <v>2624</v>
      </c>
      <c r="B761" s="150" t="s">
        <v>2939</v>
      </c>
      <c r="C761" s="150"/>
      <c r="D761" s="151" t="s">
        <v>79</v>
      </c>
      <c r="E761" s="150">
        <v>2</v>
      </c>
      <c r="F761" s="150">
        <v>0.6</v>
      </c>
      <c r="G761" s="152" t="s">
        <v>32</v>
      </c>
      <c r="H761" s="105" t="s">
        <v>33</v>
      </c>
      <c r="I761" s="152"/>
      <c r="J761" s="152" t="s">
        <v>1809</v>
      </c>
      <c r="K761" s="153"/>
      <c r="L761" s="154">
        <v>61946.9</v>
      </c>
      <c r="M761" s="154">
        <v>43362.83</v>
      </c>
      <c r="N761" s="155" t="s">
        <v>2601</v>
      </c>
      <c r="O761" s="156" t="s">
        <v>1817</v>
      </c>
      <c r="P761" s="152" t="s">
        <v>1812</v>
      </c>
      <c r="Q761" s="152">
        <v>15110423230</v>
      </c>
      <c r="R761" s="106" t="s">
        <v>1813</v>
      </c>
      <c r="S761" s="125" t="s">
        <v>1736</v>
      </c>
      <c r="T761" s="103"/>
      <c r="U761" s="317"/>
    </row>
    <row r="762" spans="1:21" ht="24.95" customHeight="1">
      <c r="A762" s="155" t="s">
        <v>1808</v>
      </c>
      <c r="B762" s="150" t="s">
        <v>2940</v>
      </c>
      <c r="C762" s="150"/>
      <c r="D762" s="151" t="s">
        <v>79</v>
      </c>
      <c r="E762" s="150">
        <v>98</v>
      </c>
      <c r="F762" s="150">
        <v>3</v>
      </c>
      <c r="G762" s="152" t="s">
        <v>32</v>
      </c>
      <c r="H762" s="105" t="s">
        <v>33</v>
      </c>
      <c r="I762" s="152"/>
      <c r="J762" s="152" t="s">
        <v>1809</v>
      </c>
      <c r="K762" s="153"/>
      <c r="L762" s="154">
        <v>34690.269999999902</v>
      </c>
      <c r="M762" s="154">
        <v>24283.1889999999</v>
      </c>
      <c r="N762" s="155" t="s">
        <v>2941</v>
      </c>
      <c r="O762" s="156" t="s">
        <v>1817</v>
      </c>
      <c r="P762" s="152" t="s">
        <v>1812</v>
      </c>
      <c r="Q762" s="152">
        <v>15110423230</v>
      </c>
      <c r="R762" s="106" t="s">
        <v>1813</v>
      </c>
      <c r="S762" s="125" t="s">
        <v>1736</v>
      </c>
      <c r="T762" s="103"/>
      <c r="U762" s="317"/>
    </row>
    <row r="763" spans="1:21" ht="24.95" customHeight="1">
      <c r="A763" s="155" t="s">
        <v>1814</v>
      </c>
      <c r="B763" s="150" t="s">
        <v>2942</v>
      </c>
      <c r="C763" s="150"/>
      <c r="D763" s="151" t="s">
        <v>79</v>
      </c>
      <c r="E763" s="150">
        <v>200</v>
      </c>
      <c r="F763" s="150">
        <v>29.74</v>
      </c>
      <c r="G763" s="152" t="s">
        <v>32</v>
      </c>
      <c r="H763" s="105" t="s">
        <v>33</v>
      </c>
      <c r="I763" s="152"/>
      <c r="J763" s="152" t="s">
        <v>1809</v>
      </c>
      <c r="K763" s="153"/>
      <c r="L763" s="154">
        <v>2654.87</v>
      </c>
      <c r="M763" s="154">
        <v>1858.4090000000001</v>
      </c>
      <c r="N763" s="155" t="s">
        <v>2941</v>
      </c>
      <c r="O763" s="156" t="s">
        <v>1817</v>
      </c>
      <c r="P763" s="152" t="s">
        <v>1812</v>
      </c>
      <c r="Q763" s="152">
        <v>15110423230</v>
      </c>
      <c r="R763" s="106" t="s">
        <v>1813</v>
      </c>
      <c r="S763" s="125" t="s">
        <v>1736</v>
      </c>
      <c r="T763" s="103"/>
      <c r="U763" s="317"/>
    </row>
    <row r="764" spans="1:21" ht="24.95" customHeight="1">
      <c r="A764" s="155" t="s">
        <v>1818</v>
      </c>
      <c r="B764" s="150" t="s">
        <v>2943</v>
      </c>
      <c r="C764" s="150" t="s">
        <v>2944</v>
      </c>
      <c r="D764" s="151" t="s">
        <v>79</v>
      </c>
      <c r="E764" s="150">
        <v>2</v>
      </c>
      <c r="F764" s="150">
        <v>21.4</v>
      </c>
      <c r="G764" s="152" t="s">
        <v>32</v>
      </c>
      <c r="H764" s="105" t="s">
        <v>33</v>
      </c>
      <c r="I764" s="152"/>
      <c r="J764" s="152" t="s">
        <v>1809</v>
      </c>
      <c r="K764" s="153"/>
      <c r="L764" s="154">
        <v>8400</v>
      </c>
      <c r="M764" s="154">
        <v>5880</v>
      </c>
      <c r="N764" s="155" t="s">
        <v>2941</v>
      </c>
      <c r="O764" s="156" t="s">
        <v>1817</v>
      </c>
      <c r="P764" s="152" t="s">
        <v>1812</v>
      </c>
      <c r="Q764" s="152">
        <v>15110423230</v>
      </c>
      <c r="R764" s="106" t="s">
        <v>1813</v>
      </c>
      <c r="S764" s="125" t="s">
        <v>1736</v>
      </c>
      <c r="T764" s="103"/>
      <c r="U764" s="317"/>
    </row>
    <row r="765" spans="1:21" ht="24.95" customHeight="1">
      <c r="A765" s="155" t="s">
        <v>1820</v>
      </c>
      <c r="B765" s="150" t="s">
        <v>2945</v>
      </c>
      <c r="C765" s="150" t="s">
        <v>2946</v>
      </c>
      <c r="D765" s="151" t="s">
        <v>79</v>
      </c>
      <c r="E765" s="150">
        <v>2</v>
      </c>
      <c r="F765" s="150">
        <v>2</v>
      </c>
      <c r="G765" s="152" t="s">
        <v>32</v>
      </c>
      <c r="H765" s="105" t="s">
        <v>33</v>
      </c>
      <c r="I765" s="152"/>
      <c r="J765" s="152" t="s">
        <v>1809</v>
      </c>
      <c r="K765" s="153"/>
      <c r="L765" s="154">
        <v>24000</v>
      </c>
      <c r="M765" s="154">
        <v>16800</v>
      </c>
      <c r="N765" s="155" t="s">
        <v>2941</v>
      </c>
      <c r="O765" s="156" t="s">
        <v>1817</v>
      </c>
      <c r="P765" s="152" t="s">
        <v>1812</v>
      </c>
      <c r="Q765" s="152">
        <v>15110423230</v>
      </c>
      <c r="R765" s="106" t="s">
        <v>1813</v>
      </c>
      <c r="S765" s="125" t="s">
        <v>1736</v>
      </c>
      <c r="T765" s="103"/>
      <c r="U765" s="317"/>
    </row>
    <row r="766" spans="1:21" ht="24.95" customHeight="1">
      <c r="A766" s="155" t="s">
        <v>1823</v>
      </c>
      <c r="B766" s="150" t="s">
        <v>2947</v>
      </c>
      <c r="C766" s="150"/>
      <c r="D766" s="151" t="s">
        <v>2544</v>
      </c>
      <c r="E766" s="150">
        <v>1</v>
      </c>
      <c r="F766" s="150">
        <v>1</v>
      </c>
      <c r="G766" s="152" t="s">
        <v>32</v>
      </c>
      <c r="H766" s="105" t="s">
        <v>33</v>
      </c>
      <c r="I766" s="152"/>
      <c r="J766" s="152" t="s">
        <v>1809</v>
      </c>
      <c r="K766" s="153"/>
      <c r="L766" s="154">
        <v>37168.14</v>
      </c>
      <c r="M766" s="154">
        <v>26017.698</v>
      </c>
      <c r="N766" s="155" t="s">
        <v>1831</v>
      </c>
      <c r="O766" s="156" t="s">
        <v>1817</v>
      </c>
      <c r="P766" s="152" t="s">
        <v>1812</v>
      </c>
      <c r="Q766" s="152">
        <v>15110423230</v>
      </c>
      <c r="R766" s="106" t="s">
        <v>1813</v>
      </c>
      <c r="S766" s="125" t="s">
        <v>1736</v>
      </c>
      <c r="T766" s="103"/>
      <c r="U766" s="317"/>
    </row>
    <row r="767" spans="1:21" ht="24.95" customHeight="1">
      <c r="A767" s="155" t="s">
        <v>1825</v>
      </c>
      <c r="B767" s="150" t="s">
        <v>2948</v>
      </c>
      <c r="C767" s="150"/>
      <c r="D767" s="151" t="s">
        <v>1828</v>
      </c>
      <c r="E767" s="150">
        <v>1</v>
      </c>
      <c r="F767" s="150">
        <v>1</v>
      </c>
      <c r="G767" s="152" t="s">
        <v>32</v>
      </c>
      <c r="H767" s="105" t="s">
        <v>33</v>
      </c>
      <c r="I767" s="152"/>
      <c r="J767" s="152" t="s">
        <v>1809</v>
      </c>
      <c r="K767" s="153"/>
      <c r="L767" s="154">
        <v>33628.32</v>
      </c>
      <c r="M767" s="154">
        <v>23539.824000000001</v>
      </c>
      <c r="N767" s="155" t="s">
        <v>1831</v>
      </c>
      <c r="O767" s="156" t="s">
        <v>1817</v>
      </c>
      <c r="P767" s="152" t="s">
        <v>1812</v>
      </c>
      <c r="Q767" s="152">
        <v>15110423230</v>
      </c>
      <c r="R767" s="106" t="s">
        <v>1813</v>
      </c>
      <c r="S767" s="125" t="s">
        <v>1736</v>
      </c>
      <c r="T767" s="103"/>
      <c r="U767" s="317"/>
    </row>
    <row r="768" spans="1:21" ht="24.95" customHeight="1">
      <c r="A768" s="155" t="s">
        <v>1829</v>
      </c>
      <c r="B768" s="150" t="s">
        <v>2949</v>
      </c>
      <c r="C768" s="150"/>
      <c r="D768" s="151" t="s">
        <v>62</v>
      </c>
      <c r="E768" s="150">
        <v>91.36</v>
      </c>
      <c r="F768" s="150">
        <v>91.36</v>
      </c>
      <c r="G768" s="152" t="s">
        <v>32</v>
      </c>
      <c r="H768" s="105" t="s">
        <v>33</v>
      </c>
      <c r="I768" s="152"/>
      <c r="J768" s="152" t="s">
        <v>1809</v>
      </c>
      <c r="K768" s="153"/>
      <c r="L768" s="154">
        <v>582116.81415929203</v>
      </c>
      <c r="M768" s="154">
        <v>407481.769911504</v>
      </c>
      <c r="N768" s="155" t="s">
        <v>1831</v>
      </c>
      <c r="O768" s="156" t="s">
        <v>1817</v>
      </c>
      <c r="P768" s="152" t="s">
        <v>1812</v>
      </c>
      <c r="Q768" s="152">
        <v>15110423230</v>
      </c>
      <c r="R768" s="106" t="s">
        <v>1813</v>
      </c>
      <c r="S768" s="125" t="s">
        <v>1736</v>
      </c>
      <c r="T768" s="103"/>
      <c r="U768" s="317"/>
    </row>
    <row r="769" spans="1:21" ht="24.95" customHeight="1">
      <c r="A769" s="155" t="s">
        <v>1833</v>
      </c>
      <c r="B769" s="150" t="s">
        <v>2939</v>
      </c>
      <c r="C769" s="150"/>
      <c r="D769" s="151" t="s">
        <v>79</v>
      </c>
      <c r="E769" s="150">
        <v>2</v>
      </c>
      <c r="F769" s="150">
        <v>2</v>
      </c>
      <c r="G769" s="152" t="s">
        <v>32</v>
      </c>
      <c r="H769" s="105" t="s">
        <v>33</v>
      </c>
      <c r="I769" s="152"/>
      <c r="J769" s="152" t="s">
        <v>1809</v>
      </c>
      <c r="K769" s="153"/>
      <c r="L769" s="154">
        <v>42477.876106194599</v>
      </c>
      <c r="M769" s="154">
        <v>29734.513274336201</v>
      </c>
      <c r="N769" s="155" t="s">
        <v>1831</v>
      </c>
      <c r="O769" s="156" t="s">
        <v>1817</v>
      </c>
      <c r="P769" s="152" t="s">
        <v>1812</v>
      </c>
      <c r="Q769" s="152">
        <v>15110423230</v>
      </c>
      <c r="R769" s="106" t="s">
        <v>1813</v>
      </c>
      <c r="S769" s="125" t="s">
        <v>1736</v>
      </c>
      <c r="T769" s="103"/>
      <c r="U769" s="317"/>
    </row>
    <row r="770" spans="1:21" ht="24.95" customHeight="1">
      <c r="A770" s="155" t="s">
        <v>1835</v>
      </c>
      <c r="B770" s="150" t="s">
        <v>2950</v>
      </c>
      <c r="C770" s="150"/>
      <c r="D770" s="151" t="s">
        <v>62</v>
      </c>
      <c r="E770" s="150">
        <v>3.2</v>
      </c>
      <c r="F770" s="150">
        <v>3.2</v>
      </c>
      <c r="G770" s="152" t="s">
        <v>32</v>
      </c>
      <c r="H770" s="105" t="s">
        <v>33</v>
      </c>
      <c r="I770" s="152"/>
      <c r="J770" s="152" t="s">
        <v>1809</v>
      </c>
      <c r="K770" s="153"/>
      <c r="L770" s="154">
        <v>73628.318584070701</v>
      </c>
      <c r="M770" s="154">
        <v>51539.823008849497</v>
      </c>
      <c r="N770" s="155" t="s">
        <v>1831</v>
      </c>
      <c r="O770" s="156" t="s">
        <v>1817</v>
      </c>
      <c r="P770" s="152" t="s">
        <v>1812</v>
      </c>
      <c r="Q770" s="152">
        <v>15110423230</v>
      </c>
      <c r="R770" s="106" t="s">
        <v>1813</v>
      </c>
      <c r="S770" s="125" t="s">
        <v>1736</v>
      </c>
      <c r="T770" s="103"/>
      <c r="U770" s="317"/>
    </row>
    <row r="771" spans="1:21" ht="24.95" customHeight="1">
      <c r="A771" s="155" t="s">
        <v>1838</v>
      </c>
      <c r="B771" s="143" t="s">
        <v>1140</v>
      </c>
      <c r="C771" s="143" t="s">
        <v>2951</v>
      </c>
      <c r="D771" s="143" t="s">
        <v>62</v>
      </c>
      <c r="E771" s="143" t="s">
        <v>2952</v>
      </c>
      <c r="F771" s="140">
        <v>106.9</v>
      </c>
      <c r="G771" s="140" t="s">
        <v>32</v>
      </c>
      <c r="H771" s="140" t="s">
        <v>33</v>
      </c>
      <c r="I771" s="140" t="s">
        <v>1762</v>
      </c>
      <c r="J771" s="140"/>
      <c r="K771" s="140" t="s">
        <v>2953</v>
      </c>
      <c r="L771" s="141">
        <v>690592.92035398202</v>
      </c>
      <c r="M771" s="277">
        <v>207177.87839999999</v>
      </c>
      <c r="N771" s="146">
        <v>43709</v>
      </c>
      <c r="O771" s="140" t="s">
        <v>2954</v>
      </c>
      <c r="P771" s="140" t="s">
        <v>1765</v>
      </c>
      <c r="Q771" s="140">
        <v>18235436200</v>
      </c>
      <c r="R771" s="174" t="s">
        <v>1766</v>
      </c>
      <c r="S771" s="125" t="s">
        <v>1736</v>
      </c>
      <c r="T771" s="295"/>
    </row>
    <row r="772" spans="1:21" ht="24.95" customHeight="1">
      <c r="A772" s="155" t="s">
        <v>1840</v>
      </c>
      <c r="B772" s="144" t="s">
        <v>1140</v>
      </c>
      <c r="C772" s="144" t="s">
        <v>2951</v>
      </c>
      <c r="D772" s="143" t="s">
        <v>62</v>
      </c>
      <c r="E772" s="143" t="s">
        <v>2952</v>
      </c>
      <c r="F772" s="452">
        <v>96.05</v>
      </c>
      <c r="G772" s="364" t="s">
        <v>32</v>
      </c>
      <c r="H772" s="140" t="s">
        <v>33</v>
      </c>
      <c r="I772" s="364" t="s">
        <v>1762</v>
      </c>
      <c r="J772" s="452"/>
      <c r="K772" s="364" t="s">
        <v>2953</v>
      </c>
      <c r="L772" s="141">
        <v>620500</v>
      </c>
      <c r="M772" s="277">
        <v>186150</v>
      </c>
      <c r="N772" s="146">
        <v>43770</v>
      </c>
      <c r="O772" s="174" t="s">
        <v>2955</v>
      </c>
      <c r="P772" s="174" t="s">
        <v>1765</v>
      </c>
      <c r="Q772" s="295">
        <v>18235436200</v>
      </c>
      <c r="R772" s="174" t="s">
        <v>1766</v>
      </c>
      <c r="S772" s="147" t="s">
        <v>1736</v>
      </c>
      <c r="T772" s="295"/>
    </row>
    <row r="773" spans="1:21" ht="24.95" customHeight="1">
      <c r="A773" s="155" t="s">
        <v>1843</v>
      </c>
      <c r="B773" s="144" t="s">
        <v>1140</v>
      </c>
      <c r="C773" s="144" t="s">
        <v>2951</v>
      </c>
      <c r="D773" s="143" t="s">
        <v>62</v>
      </c>
      <c r="E773" s="143" t="s">
        <v>2952</v>
      </c>
      <c r="F773" s="452">
        <v>95.94</v>
      </c>
      <c r="G773" s="364" t="s">
        <v>32</v>
      </c>
      <c r="H773" s="140" t="s">
        <v>33</v>
      </c>
      <c r="I773" s="364" t="s">
        <v>1762</v>
      </c>
      <c r="J773" s="452"/>
      <c r="K773" s="364" t="s">
        <v>2953</v>
      </c>
      <c r="L773" s="141">
        <v>619789.38053097401</v>
      </c>
      <c r="M773" s="277">
        <v>185936.814159292</v>
      </c>
      <c r="N773" s="146">
        <v>43770</v>
      </c>
      <c r="O773" s="174" t="s">
        <v>1768</v>
      </c>
      <c r="P773" s="174" t="s">
        <v>1765</v>
      </c>
      <c r="Q773" s="295">
        <v>18235436200</v>
      </c>
      <c r="R773" s="174" t="s">
        <v>1766</v>
      </c>
      <c r="S773" s="147" t="s">
        <v>1736</v>
      </c>
      <c r="T773" s="295"/>
    </row>
    <row r="774" spans="1:21" ht="24.95" customHeight="1">
      <c r="A774" s="155" t="s">
        <v>1846</v>
      </c>
      <c r="B774" s="144" t="s">
        <v>1140</v>
      </c>
      <c r="C774" s="144" t="s">
        <v>2951</v>
      </c>
      <c r="D774" s="143" t="s">
        <v>62</v>
      </c>
      <c r="E774" s="143" t="s">
        <v>2952</v>
      </c>
      <c r="F774" s="295">
        <v>96.83</v>
      </c>
      <c r="G774" s="364" t="s">
        <v>32</v>
      </c>
      <c r="H774" s="140" t="s">
        <v>33</v>
      </c>
      <c r="I774" s="364" t="s">
        <v>1762</v>
      </c>
      <c r="J774" s="452"/>
      <c r="K774" s="364" t="s">
        <v>2953</v>
      </c>
      <c r="L774" s="141">
        <v>625538.93805309699</v>
      </c>
      <c r="M774" s="277">
        <v>187661.68141592899</v>
      </c>
      <c r="N774" s="146">
        <v>43891</v>
      </c>
      <c r="O774" s="296" t="s">
        <v>1770</v>
      </c>
      <c r="P774" s="296" t="s">
        <v>1765</v>
      </c>
      <c r="Q774" s="297">
        <v>18235436200</v>
      </c>
      <c r="R774" s="174" t="s">
        <v>1766</v>
      </c>
      <c r="S774" s="147" t="s">
        <v>1736</v>
      </c>
      <c r="T774" s="295"/>
    </row>
    <row r="775" spans="1:21" ht="24.95" customHeight="1">
      <c r="A775" s="155" t="s">
        <v>1847</v>
      </c>
      <c r="B775" s="144" t="s">
        <v>2956</v>
      </c>
      <c r="C775" s="144" t="s">
        <v>2951</v>
      </c>
      <c r="D775" s="143" t="s">
        <v>62</v>
      </c>
      <c r="E775" s="143" t="s">
        <v>2952</v>
      </c>
      <c r="F775" s="453">
        <v>14</v>
      </c>
      <c r="G775" s="390" t="s">
        <v>32</v>
      </c>
      <c r="H775" s="290" t="s">
        <v>32</v>
      </c>
      <c r="I775" s="390" t="s">
        <v>1762</v>
      </c>
      <c r="J775" s="454"/>
      <c r="K775" s="390" t="s">
        <v>2957</v>
      </c>
      <c r="L775" s="145">
        <v>221946.90265486701</v>
      </c>
      <c r="M775" s="145">
        <v>66584.070796460102</v>
      </c>
      <c r="N775" s="146">
        <v>44013</v>
      </c>
      <c r="O775" s="296" t="s">
        <v>2958</v>
      </c>
      <c r="P775" s="296" t="s">
        <v>1765</v>
      </c>
      <c r="Q775" s="297">
        <v>18235436200</v>
      </c>
      <c r="R775" s="174" t="s">
        <v>1766</v>
      </c>
      <c r="S775" s="147" t="s">
        <v>1736</v>
      </c>
      <c r="T775" s="297"/>
    </row>
    <row r="776" spans="1:21" ht="24.95" customHeight="1">
      <c r="A776" s="155" t="s">
        <v>1848</v>
      </c>
      <c r="B776" s="144" t="s">
        <v>2956</v>
      </c>
      <c r="C776" s="144" t="s">
        <v>2951</v>
      </c>
      <c r="D776" s="143" t="s">
        <v>62</v>
      </c>
      <c r="E776" s="143" t="s">
        <v>2952</v>
      </c>
      <c r="F776" s="455">
        <v>14</v>
      </c>
      <c r="G776" s="299"/>
      <c r="H776" s="299"/>
      <c r="I776" s="299"/>
      <c r="J776" s="455"/>
      <c r="K776" s="299" t="s">
        <v>2480</v>
      </c>
      <c r="L776" s="145">
        <v>119700</v>
      </c>
      <c r="M776" s="277">
        <v>35910</v>
      </c>
      <c r="N776" s="146">
        <v>43983</v>
      </c>
      <c r="O776" s="174" t="s">
        <v>2958</v>
      </c>
      <c r="P776" s="174" t="s">
        <v>1765</v>
      </c>
      <c r="Q776" s="295">
        <v>18235436200</v>
      </c>
      <c r="R776" s="174" t="s">
        <v>1766</v>
      </c>
      <c r="S776" s="147" t="s">
        <v>1736</v>
      </c>
      <c r="T776" s="455">
        <v>1</v>
      </c>
    </row>
    <row r="777" spans="1:21" ht="24.95" customHeight="1">
      <c r="A777" s="155" t="s">
        <v>1852</v>
      </c>
      <c r="B777" s="174" t="s">
        <v>2959</v>
      </c>
      <c r="C777" s="174"/>
      <c r="D777" s="174" t="s">
        <v>62</v>
      </c>
      <c r="E777" s="143" t="s">
        <v>2952</v>
      </c>
      <c r="F777" s="295">
        <v>90.92</v>
      </c>
      <c r="G777" s="174" t="s">
        <v>32</v>
      </c>
      <c r="H777" s="174" t="s">
        <v>32</v>
      </c>
      <c r="I777" s="174" t="s">
        <v>1762</v>
      </c>
      <c r="J777" s="295"/>
      <c r="K777" s="174" t="s">
        <v>2960</v>
      </c>
      <c r="L777" s="277">
        <v>467473.628318584</v>
      </c>
      <c r="M777" s="277">
        <v>140242.08849557501</v>
      </c>
      <c r="N777" s="456">
        <v>44501</v>
      </c>
      <c r="O777" s="174" t="s">
        <v>2958</v>
      </c>
      <c r="P777" s="174" t="s">
        <v>1765</v>
      </c>
      <c r="Q777" s="295">
        <v>18235436200</v>
      </c>
      <c r="R777" s="174" t="s">
        <v>2404</v>
      </c>
      <c r="S777" s="174" t="s">
        <v>2405</v>
      </c>
      <c r="T777" s="295">
        <v>1</v>
      </c>
    </row>
    <row r="778" spans="1:21" ht="24.95" customHeight="1">
      <c r="A778" s="155" t="s">
        <v>1855</v>
      </c>
      <c r="B778" s="174" t="s">
        <v>2961</v>
      </c>
      <c r="C778" s="174"/>
      <c r="D778" s="174" t="s">
        <v>62</v>
      </c>
      <c r="E778" s="143" t="s">
        <v>2952</v>
      </c>
      <c r="F778" s="295">
        <v>8.73</v>
      </c>
      <c r="G778" s="174" t="s">
        <v>32</v>
      </c>
      <c r="H778" s="174" t="s">
        <v>32</v>
      </c>
      <c r="I778" s="174" t="s">
        <v>1762</v>
      </c>
      <c r="J778" s="295"/>
      <c r="K778" s="174" t="s">
        <v>2960</v>
      </c>
      <c r="L778" s="277">
        <v>45832.5</v>
      </c>
      <c r="M778" s="277">
        <v>13749.75</v>
      </c>
      <c r="N778" s="456">
        <v>44501</v>
      </c>
      <c r="O778" s="174" t="s">
        <v>2958</v>
      </c>
      <c r="P778" s="174" t="s">
        <v>1765</v>
      </c>
      <c r="Q778" s="295">
        <v>18235436200</v>
      </c>
      <c r="R778" s="174" t="s">
        <v>2404</v>
      </c>
      <c r="S778" s="174" t="s">
        <v>2405</v>
      </c>
      <c r="T778" s="295">
        <v>1</v>
      </c>
    </row>
    <row r="779" spans="1:21" ht="24.95" customHeight="1">
      <c r="A779" s="155" t="s">
        <v>1857</v>
      </c>
      <c r="B779" s="147" t="s">
        <v>2962</v>
      </c>
      <c r="C779" s="147"/>
      <c r="D779" s="147" t="s">
        <v>62</v>
      </c>
      <c r="E779" s="147">
        <v>61.92</v>
      </c>
      <c r="F779" s="147">
        <v>61.92</v>
      </c>
      <c r="G779" s="147"/>
      <c r="H779" s="147"/>
      <c r="I779" s="147"/>
      <c r="J779" s="147"/>
      <c r="K779" s="147"/>
      <c r="L779" s="147">
        <v>520128</v>
      </c>
      <c r="M779" s="147">
        <v>123840</v>
      </c>
      <c r="N779" s="147" t="s">
        <v>2229</v>
      </c>
      <c r="O779" s="140" t="s">
        <v>1911</v>
      </c>
      <c r="P779" s="147" t="s">
        <v>1912</v>
      </c>
      <c r="Q779" s="147">
        <v>13509714024</v>
      </c>
      <c r="R779" s="147" t="s">
        <v>1913</v>
      </c>
      <c r="S779" s="147" t="s">
        <v>1736</v>
      </c>
      <c r="T779" s="351"/>
    </row>
    <row r="780" spans="1:21" ht="24.95" customHeight="1">
      <c r="A780" s="155" t="s">
        <v>1858</v>
      </c>
      <c r="B780" s="457" t="s">
        <v>2928</v>
      </c>
      <c r="C780" s="458" t="s">
        <v>2963</v>
      </c>
      <c r="D780" s="458" t="s">
        <v>2084</v>
      </c>
      <c r="E780" s="458">
        <v>1</v>
      </c>
      <c r="F780" s="458">
        <v>145.12</v>
      </c>
      <c r="G780" s="457" t="s">
        <v>2085</v>
      </c>
      <c r="H780" s="457" t="s">
        <v>33</v>
      </c>
      <c r="I780" s="458"/>
      <c r="J780" s="458"/>
      <c r="K780" s="459" t="s">
        <v>2964</v>
      </c>
      <c r="L780" s="144">
        <v>1029059.36</v>
      </c>
      <c r="M780" s="392">
        <v>932359.4</v>
      </c>
      <c r="N780" s="458">
        <v>2020.9</v>
      </c>
      <c r="O780" s="459" t="s">
        <v>2965</v>
      </c>
      <c r="P780" s="457" t="s">
        <v>2087</v>
      </c>
      <c r="Q780" s="460">
        <v>18135206600</v>
      </c>
      <c r="R780" s="461" t="s">
        <v>2088</v>
      </c>
      <c r="S780" s="365" t="s">
        <v>1736</v>
      </c>
      <c r="T780" s="351"/>
    </row>
    <row r="781" spans="1:21" ht="24.95" customHeight="1">
      <c r="A781" s="155" t="s">
        <v>1859</v>
      </c>
      <c r="B781" s="462" t="s">
        <v>2962</v>
      </c>
      <c r="C781" s="458"/>
      <c r="D781" s="458" t="s">
        <v>2084</v>
      </c>
      <c r="E781" s="458">
        <v>2</v>
      </c>
      <c r="F781" s="458">
        <v>235.34</v>
      </c>
      <c r="G781" s="457" t="s">
        <v>2085</v>
      </c>
      <c r="H781" s="457" t="s">
        <v>33</v>
      </c>
      <c r="I781" s="458"/>
      <c r="J781" s="458"/>
      <c r="K781" s="459" t="s">
        <v>2964</v>
      </c>
      <c r="L781" s="462">
        <v>1653119.49</v>
      </c>
      <c r="M781" s="392">
        <v>716284.96</v>
      </c>
      <c r="N781" s="457">
        <v>2020.1</v>
      </c>
      <c r="O781" s="459" t="s">
        <v>2965</v>
      </c>
      <c r="P781" s="457" t="s">
        <v>2087</v>
      </c>
      <c r="Q781" s="460">
        <v>18135206600</v>
      </c>
      <c r="R781" s="461" t="s">
        <v>2088</v>
      </c>
      <c r="S781" s="365" t="s">
        <v>1736</v>
      </c>
      <c r="T781" s="351"/>
    </row>
    <row r="782" spans="1:21" ht="24.95" customHeight="1">
      <c r="A782" s="155" t="s">
        <v>1861</v>
      </c>
      <c r="B782" s="463" t="s">
        <v>2962</v>
      </c>
      <c r="C782" s="464" t="s">
        <v>2966</v>
      </c>
      <c r="D782" s="464" t="s">
        <v>1477</v>
      </c>
      <c r="E782" s="464"/>
      <c r="F782" s="464">
        <v>1</v>
      </c>
      <c r="G782" s="465" t="s">
        <v>2085</v>
      </c>
      <c r="H782" s="465" t="s">
        <v>33</v>
      </c>
      <c r="I782" s="464"/>
      <c r="J782" s="464"/>
      <c r="K782" s="466"/>
      <c r="L782" s="467">
        <v>837505.75</v>
      </c>
      <c r="M782" s="392">
        <v>617611.81000000006</v>
      </c>
      <c r="N782" s="464">
        <v>2020.11</v>
      </c>
      <c r="O782" s="466" t="s">
        <v>2965</v>
      </c>
      <c r="P782" s="465" t="s">
        <v>2087</v>
      </c>
      <c r="Q782" s="460">
        <v>18135206600</v>
      </c>
      <c r="R782" s="461" t="s">
        <v>2088</v>
      </c>
      <c r="S782" s="365" t="s">
        <v>1736</v>
      </c>
      <c r="T782" s="351"/>
    </row>
    <row r="783" spans="1:21" ht="24.95" customHeight="1">
      <c r="A783" s="155" t="s">
        <v>1862</v>
      </c>
      <c r="B783" s="463" t="s">
        <v>2962</v>
      </c>
      <c r="C783" s="464" t="s">
        <v>2967</v>
      </c>
      <c r="D783" s="464" t="s">
        <v>1477</v>
      </c>
      <c r="E783" s="464"/>
      <c r="F783" s="464">
        <v>1</v>
      </c>
      <c r="G783" s="465" t="s">
        <v>2085</v>
      </c>
      <c r="H783" s="465" t="s">
        <v>33</v>
      </c>
      <c r="I783" s="464"/>
      <c r="J783" s="464"/>
      <c r="K783" s="466"/>
      <c r="L783" s="467">
        <v>833370.85</v>
      </c>
      <c r="M783" s="392">
        <v>545169.13</v>
      </c>
      <c r="N783" s="464">
        <v>2020.11</v>
      </c>
      <c r="O783" s="466" t="s">
        <v>2968</v>
      </c>
      <c r="P783" s="465" t="s">
        <v>2087</v>
      </c>
      <c r="Q783" s="460">
        <v>18135206600</v>
      </c>
      <c r="R783" s="461" t="s">
        <v>2088</v>
      </c>
      <c r="S783" s="365" t="s">
        <v>1736</v>
      </c>
      <c r="T783" s="351"/>
    </row>
    <row r="784" spans="1:21" ht="24.95" customHeight="1">
      <c r="A784" s="155" t="s">
        <v>1863</v>
      </c>
      <c r="B784" s="463" t="s">
        <v>2962</v>
      </c>
      <c r="C784" s="464" t="s">
        <v>2969</v>
      </c>
      <c r="D784" s="464" t="s">
        <v>1477</v>
      </c>
      <c r="E784" s="464"/>
      <c r="F784" s="464">
        <v>1</v>
      </c>
      <c r="G784" s="465" t="s">
        <v>2085</v>
      </c>
      <c r="H784" s="465" t="s">
        <v>33</v>
      </c>
      <c r="I784" s="464"/>
      <c r="J784" s="464"/>
      <c r="K784" s="466"/>
      <c r="L784" s="467">
        <v>833370.86</v>
      </c>
      <c r="M784" s="392">
        <v>599650.31999999995</v>
      </c>
      <c r="N784" s="464">
        <v>2020.11</v>
      </c>
      <c r="O784" s="466" t="s">
        <v>2968</v>
      </c>
      <c r="P784" s="465" t="s">
        <v>2087</v>
      </c>
      <c r="Q784" s="460">
        <v>18135206600</v>
      </c>
      <c r="R784" s="461" t="s">
        <v>2088</v>
      </c>
      <c r="S784" s="365" t="s">
        <v>1736</v>
      </c>
      <c r="T784" s="351"/>
    </row>
    <row r="785" spans="1:24" ht="24.95" customHeight="1">
      <c r="A785" s="155" t="s">
        <v>1864</v>
      </c>
      <c r="B785" s="468" t="s">
        <v>2970</v>
      </c>
      <c r="C785" s="1848" t="s">
        <v>2971</v>
      </c>
      <c r="D785" s="363" t="s">
        <v>62</v>
      </c>
      <c r="E785" s="329"/>
      <c r="F785" s="469">
        <v>288.17</v>
      </c>
      <c r="G785" s="214" t="s">
        <v>32</v>
      </c>
      <c r="H785" s="214" t="s">
        <v>33</v>
      </c>
      <c r="I785" s="329"/>
      <c r="J785" s="329"/>
      <c r="K785" s="364" t="s">
        <v>2972</v>
      </c>
      <c r="L785" s="469">
        <v>1762172.3</v>
      </c>
      <c r="M785" s="400">
        <v>1068316.95</v>
      </c>
      <c r="N785" s="214">
        <v>2020.9</v>
      </c>
      <c r="O785" s="364" t="s">
        <v>2973</v>
      </c>
      <c r="P785" s="214" t="s">
        <v>1933</v>
      </c>
      <c r="Q785" s="470">
        <v>15034441008</v>
      </c>
      <c r="R785" s="214" t="s">
        <v>2974</v>
      </c>
      <c r="S785" s="214" t="s">
        <v>1736</v>
      </c>
      <c r="T785" s="329"/>
    </row>
    <row r="786" spans="1:24" ht="24.95" customHeight="1">
      <c r="A786" s="155" t="s">
        <v>1865</v>
      </c>
      <c r="B786" s="468" t="s">
        <v>2923</v>
      </c>
      <c r="C786" s="1849"/>
      <c r="D786" s="363" t="s">
        <v>79</v>
      </c>
      <c r="E786" s="329"/>
      <c r="F786" s="469">
        <v>2</v>
      </c>
      <c r="G786" s="214" t="s">
        <v>32</v>
      </c>
      <c r="H786" s="214" t="s">
        <v>33</v>
      </c>
      <c r="I786" s="329"/>
      <c r="J786" s="329"/>
      <c r="K786" s="364" t="s">
        <v>2972</v>
      </c>
      <c r="L786" s="469">
        <v>70796.460000000006</v>
      </c>
      <c r="M786" s="400">
        <v>42920.33</v>
      </c>
      <c r="N786" s="214">
        <v>2020.9</v>
      </c>
      <c r="O786" s="364" t="s">
        <v>2973</v>
      </c>
      <c r="P786" s="214" t="s">
        <v>1933</v>
      </c>
      <c r="Q786" s="470">
        <v>15034441008</v>
      </c>
      <c r="R786" s="214" t="s">
        <v>2974</v>
      </c>
      <c r="S786" s="214" t="s">
        <v>1736</v>
      </c>
      <c r="T786" s="329"/>
    </row>
    <row r="787" spans="1:24" ht="24.95" customHeight="1">
      <c r="A787" s="155" t="s">
        <v>1867</v>
      </c>
      <c r="B787" s="468" t="s">
        <v>2975</v>
      </c>
      <c r="C787" s="1850"/>
      <c r="D787" s="363" t="s">
        <v>79</v>
      </c>
      <c r="E787" s="329"/>
      <c r="F787" s="469">
        <v>2</v>
      </c>
      <c r="G787" s="214" t="s">
        <v>32</v>
      </c>
      <c r="H787" s="214" t="s">
        <v>33</v>
      </c>
      <c r="I787" s="329"/>
      <c r="J787" s="329"/>
      <c r="K787" s="364" t="s">
        <v>2972</v>
      </c>
      <c r="L787" s="469">
        <v>601769.91</v>
      </c>
      <c r="M787" s="400">
        <v>364823</v>
      </c>
      <c r="N787" s="214">
        <v>2020.9</v>
      </c>
      <c r="O787" s="364" t="s">
        <v>2973</v>
      </c>
      <c r="P787" s="214" t="s">
        <v>1933</v>
      </c>
      <c r="Q787" s="470">
        <v>15034441008</v>
      </c>
      <c r="R787" s="214" t="s">
        <v>2974</v>
      </c>
      <c r="S787" s="214" t="s">
        <v>1736</v>
      </c>
      <c r="T787" s="329"/>
    </row>
    <row r="788" spans="1:24" ht="24.95" customHeight="1">
      <c r="A788" s="155" t="s">
        <v>1869</v>
      </c>
      <c r="B788" s="468" t="s">
        <v>2970</v>
      </c>
      <c r="C788" s="471" t="s">
        <v>2971</v>
      </c>
      <c r="D788" s="363" t="s">
        <v>62</v>
      </c>
      <c r="E788" s="329"/>
      <c r="F788" s="469">
        <v>236.68</v>
      </c>
      <c r="G788" s="214" t="s">
        <v>32</v>
      </c>
      <c r="H788" s="214" t="s">
        <v>33</v>
      </c>
      <c r="I788" s="329"/>
      <c r="J788" s="329"/>
      <c r="K788" s="364" t="s">
        <v>2972</v>
      </c>
      <c r="L788" s="469">
        <v>1455686.73</v>
      </c>
      <c r="M788" s="400">
        <v>636936.9</v>
      </c>
      <c r="N788" s="214">
        <v>2020.9</v>
      </c>
      <c r="O788" s="364" t="s">
        <v>2973</v>
      </c>
      <c r="P788" s="214" t="s">
        <v>1933</v>
      </c>
      <c r="Q788" s="470">
        <v>15034441008</v>
      </c>
      <c r="R788" s="214" t="s">
        <v>2974</v>
      </c>
      <c r="S788" s="214" t="s">
        <v>1736</v>
      </c>
      <c r="T788" s="329"/>
    </row>
    <row r="789" spans="1:24" ht="24.95" customHeight="1">
      <c r="A789" s="155" t="s">
        <v>1870</v>
      </c>
      <c r="B789" s="468" t="s">
        <v>2976</v>
      </c>
      <c r="C789" s="471" t="s">
        <v>1103</v>
      </c>
      <c r="D789" s="222" t="s">
        <v>62</v>
      </c>
      <c r="E789" s="329"/>
      <c r="F789" s="472">
        <v>107.944</v>
      </c>
      <c r="G789" s="214" t="s">
        <v>32</v>
      </c>
      <c r="H789" s="214" t="s">
        <v>33</v>
      </c>
      <c r="I789" s="329"/>
      <c r="J789" s="329"/>
      <c r="K789" s="364" t="s">
        <v>2972</v>
      </c>
      <c r="L789" s="473">
        <v>334339.82</v>
      </c>
      <c r="M789" s="154">
        <v>202693.49</v>
      </c>
      <c r="N789" s="214">
        <v>2020.9</v>
      </c>
      <c r="O789" s="364" t="s">
        <v>2973</v>
      </c>
      <c r="P789" s="214" t="s">
        <v>1933</v>
      </c>
      <c r="Q789" s="470">
        <v>15034441008</v>
      </c>
      <c r="R789" s="214" t="s">
        <v>2974</v>
      </c>
      <c r="S789" s="214" t="s">
        <v>1736</v>
      </c>
      <c r="T789" s="329"/>
    </row>
    <row r="790" spans="1:24" ht="24.95" customHeight="1">
      <c r="A790" s="155" t="s">
        <v>1871</v>
      </c>
      <c r="B790" s="474" t="s">
        <v>2977</v>
      </c>
      <c r="C790" s="475" t="s">
        <v>2951</v>
      </c>
      <c r="D790" s="242" t="s">
        <v>79</v>
      </c>
      <c r="E790" s="358">
        <v>1</v>
      </c>
      <c r="F790" s="472">
        <v>130.16999999999999</v>
      </c>
      <c r="G790" s="218" t="s">
        <v>32</v>
      </c>
      <c r="H790" s="218" t="s">
        <v>33</v>
      </c>
      <c r="I790" s="358"/>
      <c r="J790" s="159" t="s">
        <v>2413</v>
      </c>
      <c r="K790" s="476" t="s">
        <v>2414</v>
      </c>
      <c r="L790" s="473">
        <v>896214.69</v>
      </c>
      <c r="M790" s="477">
        <v>716971.75</v>
      </c>
      <c r="N790" s="214">
        <v>2021.3</v>
      </c>
      <c r="O790" s="364" t="s">
        <v>2418</v>
      </c>
      <c r="P790" s="152" t="s">
        <v>2417</v>
      </c>
      <c r="Q790" s="152">
        <v>15003571571</v>
      </c>
      <c r="R790" s="106" t="s">
        <v>2418</v>
      </c>
      <c r="S790" s="125" t="s">
        <v>1736</v>
      </c>
      <c r="T790" s="329"/>
    </row>
    <row r="791" spans="1:24" ht="24.95" customHeight="1">
      <c r="A791" s="155" t="s">
        <v>1872</v>
      </c>
      <c r="B791" s="474" t="s">
        <v>2977</v>
      </c>
      <c r="C791" s="475" t="s">
        <v>2951</v>
      </c>
      <c r="D791" s="242" t="s">
        <v>79</v>
      </c>
      <c r="E791" s="358">
        <v>9</v>
      </c>
      <c r="F791" s="472">
        <v>1034.69</v>
      </c>
      <c r="G791" s="218" t="s">
        <v>32</v>
      </c>
      <c r="H791" s="218" t="s">
        <v>33</v>
      </c>
      <c r="I791" s="358"/>
      <c r="J791" s="159" t="s">
        <v>2413</v>
      </c>
      <c r="K791" s="476" t="s">
        <v>2978</v>
      </c>
      <c r="L791" s="473">
        <v>8289634</v>
      </c>
      <c r="M791" s="477">
        <v>7022708.3300000001</v>
      </c>
      <c r="N791" s="214">
        <v>2021.4</v>
      </c>
      <c r="O791" s="364" t="s">
        <v>2418</v>
      </c>
      <c r="P791" s="152" t="s">
        <v>2417</v>
      </c>
      <c r="Q791" s="152">
        <v>15003571571</v>
      </c>
      <c r="R791" s="106" t="s">
        <v>2418</v>
      </c>
      <c r="S791" s="125" t="s">
        <v>1736</v>
      </c>
      <c r="T791" s="329"/>
    </row>
    <row r="792" spans="1:24" ht="24.95" customHeight="1">
      <c r="A792" s="155" t="s">
        <v>1873</v>
      </c>
      <c r="B792" s="201" t="s">
        <v>2977</v>
      </c>
      <c r="C792" s="150" t="s">
        <v>2951</v>
      </c>
      <c r="D792" s="151" t="s">
        <v>79</v>
      </c>
      <c r="E792" s="150">
        <v>1</v>
      </c>
      <c r="F792" s="343">
        <v>103.21</v>
      </c>
      <c r="G792" s="152" t="s">
        <v>32</v>
      </c>
      <c r="H792" s="152" t="s">
        <v>33</v>
      </c>
      <c r="I792" s="152"/>
      <c r="J792" s="152" t="s">
        <v>2413</v>
      </c>
      <c r="K792" s="143" t="s">
        <v>2979</v>
      </c>
      <c r="L792" s="136">
        <v>710596.28</v>
      </c>
      <c r="M792" s="478">
        <v>670464.56000000006</v>
      </c>
      <c r="N792" s="479">
        <v>2021.4</v>
      </c>
      <c r="O792" s="152" t="s">
        <v>2980</v>
      </c>
      <c r="P792" s="152" t="s">
        <v>2417</v>
      </c>
      <c r="Q792" s="152">
        <v>15003571571</v>
      </c>
      <c r="R792" s="102" t="s">
        <v>2418</v>
      </c>
      <c r="S792" s="480" t="s">
        <v>1736</v>
      </c>
      <c r="T792" s="329"/>
    </row>
    <row r="793" spans="1:24" ht="24.95" customHeight="1">
      <c r="A793" s="155" t="s">
        <v>1874</v>
      </c>
      <c r="B793" s="201" t="s">
        <v>2977</v>
      </c>
      <c r="C793" s="150" t="s">
        <v>2951</v>
      </c>
      <c r="D793" s="151" t="s">
        <v>79</v>
      </c>
      <c r="E793" s="150">
        <v>2</v>
      </c>
      <c r="F793" s="343">
        <v>228.69</v>
      </c>
      <c r="G793" s="152" t="s">
        <v>32</v>
      </c>
      <c r="H793" s="152" t="s">
        <v>33</v>
      </c>
      <c r="I793" s="152"/>
      <c r="J793" s="152" t="s">
        <v>2413</v>
      </c>
      <c r="K793" s="143" t="s">
        <v>2978</v>
      </c>
      <c r="L793" s="136">
        <v>2044043.28</v>
      </c>
      <c r="M793" s="478">
        <v>1867721.98</v>
      </c>
      <c r="N793" s="479">
        <v>2021.9</v>
      </c>
      <c r="O793" s="152" t="s">
        <v>2980</v>
      </c>
      <c r="P793" s="152" t="s">
        <v>2417</v>
      </c>
      <c r="Q793" s="152">
        <v>15003571571</v>
      </c>
      <c r="R793" s="102" t="s">
        <v>2418</v>
      </c>
      <c r="S793" s="480" t="s">
        <v>1736</v>
      </c>
      <c r="T793" s="329"/>
    </row>
    <row r="794" spans="1:24" ht="24.95" customHeight="1">
      <c r="A794" s="155" t="s">
        <v>1875</v>
      </c>
      <c r="B794" s="201" t="s">
        <v>2977</v>
      </c>
      <c r="C794" s="150" t="s">
        <v>2951</v>
      </c>
      <c r="D794" s="151" t="s">
        <v>79</v>
      </c>
      <c r="E794" s="150">
        <v>3</v>
      </c>
      <c r="F794" s="343">
        <v>381.36</v>
      </c>
      <c r="G794" s="152" t="s">
        <v>32</v>
      </c>
      <c r="H794" s="152" t="s">
        <v>33</v>
      </c>
      <c r="I794" s="152"/>
      <c r="J794" s="152" t="s">
        <v>2413</v>
      </c>
      <c r="K794" s="143" t="s">
        <v>2978</v>
      </c>
      <c r="L794" s="136">
        <v>3408615.79</v>
      </c>
      <c r="M794" s="478">
        <v>3216110.44</v>
      </c>
      <c r="N794" s="479">
        <v>2021.9</v>
      </c>
      <c r="O794" s="152" t="s">
        <v>2980</v>
      </c>
      <c r="P794" s="152" t="s">
        <v>2417</v>
      </c>
      <c r="Q794" s="152">
        <v>15003571571</v>
      </c>
      <c r="R794" s="102" t="s">
        <v>2418</v>
      </c>
      <c r="S794" s="480" t="s">
        <v>1736</v>
      </c>
      <c r="T794" s="329"/>
    </row>
    <row r="795" spans="1:24" ht="24.95" customHeight="1">
      <c r="A795" s="155" t="s">
        <v>1873</v>
      </c>
      <c r="B795" s="168" t="s">
        <v>2981</v>
      </c>
      <c r="C795" s="168" t="s">
        <v>2951</v>
      </c>
      <c r="D795" s="168" t="s">
        <v>62</v>
      </c>
      <c r="E795" s="168">
        <v>1</v>
      </c>
      <c r="F795" s="168">
        <v>95.58</v>
      </c>
      <c r="G795" s="168" t="s">
        <v>32</v>
      </c>
      <c r="H795" s="168" t="s">
        <v>33</v>
      </c>
      <c r="I795" s="168"/>
      <c r="J795" s="168"/>
      <c r="K795" s="168" t="s">
        <v>1983</v>
      </c>
      <c r="L795" s="481">
        <v>453527.1</v>
      </c>
      <c r="M795" s="396">
        <v>136058.13</v>
      </c>
      <c r="N795" s="482">
        <v>44397</v>
      </c>
      <c r="O795" s="168" t="s">
        <v>2982</v>
      </c>
      <c r="P795" s="168" t="s">
        <v>1974</v>
      </c>
      <c r="Q795" s="168">
        <v>15103501536</v>
      </c>
      <c r="R795" s="168" t="s">
        <v>1975</v>
      </c>
      <c r="S795" s="125" t="s">
        <v>1736</v>
      </c>
      <c r="T795" s="168"/>
      <c r="U795" s="483"/>
      <c r="V795" s="483"/>
      <c r="W795" s="483"/>
      <c r="X795" s="483"/>
    </row>
    <row r="796" spans="1:24" ht="24.95" customHeight="1">
      <c r="A796" s="155" t="s">
        <v>1874</v>
      </c>
      <c r="B796" s="168" t="s">
        <v>2928</v>
      </c>
      <c r="C796" s="174" t="s">
        <v>2983</v>
      </c>
      <c r="D796" s="168" t="s">
        <v>62</v>
      </c>
      <c r="E796" s="168">
        <v>1</v>
      </c>
      <c r="F796" s="168">
        <v>93.027000000000001</v>
      </c>
      <c r="G796" s="168" t="s">
        <v>32</v>
      </c>
      <c r="H796" s="168" t="s">
        <v>33</v>
      </c>
      <c r="I796" s="168"/>
      <c r="J796" s="168"/>
      <c r="K796" s="222" t="s">
        <v>2067</v>
      </c>
      <c r="L796" s="396">
        <v>815015.30973451398</v>
      </c>
      <c r="M796" s="396">
        <v>244504.59292035401</v>
      </c>
      <c r="N796" s="482">
        <v>44494</v>
      </c>
      <c r="O796" s="168" t="s">
        <v>2982</v>
      </c>
      <c r="P796" s="168" t="s">
        <v>1974</v>
      </c>
      <c r="Q796" s="168">
        <v>15103501536</v>
      </c>
      <c r="R796" s="168" t="s">
        <v>1975</v>
      </c>
      <c r="S796" s="125" t="s">
        <v>1736</v>
      </c>
      <c r="T796" s="168"/>
      <c r="U796" s="483"/>
      <c r="V796" s="483"/>
      <c r="W796" s="483"/>
      <c r="X796" s="483"/>
    </row>
    <row r="797" spans="1:24" ht="24.95" customHeight="1">
      <c r="A797" s="155" t="s">
        <v>1875</v>
      </c>
      <c r="B797" s="168" t="s">
        <v>2984</v>
      </c>
      <c r="C797" s="168" t="s">
        <v>34</v>
      </c>
      <c r="D797" s="168" t="s">
        <v>79</v>
      </c>
      <c r="E797" s="168">
        <v>1</v>
      </c>
      <c r="F797" s="168">
        <v>1</v>
      </c>
      <c r="G797" s="168" t="s">
        <v>32</v>
      </c>
      <c r="H797" s="168" t="s">
        <v>33</v>
      </c>
      <c r="I797" s="168"/>
      <c r="J797" s="168"/>
      <c r="K797" s="222" t="s">
        <v>2067</v>
      </c>
      <c r="L797" s="396">
        <v>92920.353982300905</v>
      </c>
      <c r="M797" s="396">
        <v>27876.106194690299</v>
      </c>
      <c r="N797" s="482">
        <v>44494</v>
      </c>
      <c r="O797" s="168" t="s">
        <v>2982</v>
      </c>
      <c r="P797" s="168" t="s">
        <v>1974</v>
      </c>
      <c r="Q797" s="168">
        <v>15103501536</v>
      </c>
      <c r="R797" s="168" t="s">
        <v>1975</v>
      </c>
      <c r="S797" s="125" t="s">
        <v>1736</v>
      </c>
      <c r="T797" s="168"/>
      <c r="U797" s="483"/>
      <c r="V797" s="483"/>
      <c r="W797" s="483"/>
      <c r="X797" s="483"/>
    </row>
    <row r="798" spans="1:24" ht="24.95" customHeight="1">
      <c r="A798" s="155" t="s">
        <v>1878</v>
      </c>
      <c r="B798" s="168" t="s">
        <v>2928</v>
      </c>
      <c r="C798" s="168" t="s">
        <v>2985</v>
      </c>
      <c r="D798" s="168" t="s">
        <v>62</v>
      </c>
      <c r="E798" s="168">
        <v>1</v>
      </c>
      <c r="F798" s="168">
        <v>101.422</v>
      </c>
      <c r="G798" s="168" t="s">
        <v>32</v>
      </c>
      <c r="H798" s="168" t="s">
        <v>33</v>
      </c>
      <c r="I798" s="168"/>
      <c r="J798" s="168"/>
      <c r="K798" s="222" t="s">
        <v>2067</v>
      </c>
      <c r="L798" s="396">
        <v>843687.43362831802</v>
      </c>
      <c r="M798" s="484">
        <v>253106.230088496</v>
      </c>
      <c r="N798" s="482">
        <v>44494</v>
      </c>
      <c r="O798" s="168" t="s">
        <v>2982</v>
      </c>
      <c r="P798" s="168" t="s">
        <v>1974</v>
      </c>
      <c r="Q798" s="168">
        <v>15103501536</v>
      </c>
      <c r="R798" s="168" t="s">
        <v>1975</v>
      </c>
      <c r="S798" s="125" t="s">
        <v>1736</v>
      </c>
      <c r="T798" s="168"/>
      <c r="U798" s="483"/>
      <c r="V798" s="483"/>
      <c r="W798" s="483"/>
      <c r="X798" s="483"/>
    </row>
    <row r="799" spans="1:24" ht="24.95" customHeight="1">
      <c r="A799" s="155" t="s">
        <v>1882</v>
      </c>
      <c r="B799" s="168" t="s">
        <v>2986</v>
      </c>
      <c r="C799" s="168" t="s">
        <v>2987</v>
      </c>
      <c r="D799" s="168" t="s">
        <v>79</v>
      </c>
      <c r="E799" s="168">
        <v>1</v>
      </c>
      <c r="F799" s="168">
        <v>2</v>
      </c>
      <c r="G799" s="168" t="s">
        <v>32</v>
      </c>
      <c r="H799" s="168" t="s">
        <v>33</v>
      </c>
      <c r="I799" s="168"/>
      <c r="J799" s="168"/>
      <c r="K799" s="222" t="s">
        <v>2067</v>
      </c>
      <c r="L799" s="396">
        <v>53097.345132743401</v>
      </c>
      <c r="M799" s="396">
        <v>15929.203539823</v>
      </c>
      <c r="N799" s="482">
        <v>44494</v>
      </c>
      <c r="O799" s="168" t="s">
        <v>2982</v>
      </c>
      <c r="P799" s="168" t="s">
        <v>1974</v>
      </c>
      <c r="Q799" s="168">
        <v>15103501536</v>
      </c>
      <c r="R799" s="168" t="s">
        <v>1975</v>
      </c>
      <c r="S799" s="125" t="s">
        <v>1736</v>
      </c>
      <c r="T799" s="168"/>
      <c r="U799" s="483"/>
      <c r="V799" s="483"/>
      <c r="W799" s="483"/>
      <c r="X799" s="483"/>
    </row>
    <row r="800" spans="1:24" ht="24.95" customHeight="1">
      <c r="A800" s="155" t="s">
        <v>1885</v>
      </c>
      <c r="B800" s="168" t="s">
        <v>2988</v>
      </c>
      <c r="C800" s="168" t="s">
        <v>2989</v>
      </c>
      <c r="D800" s="168" t="s">
        <v>79</v>
      </c>
      <c r="E800" s="168">
        <v>1</v>
      </c>
      <c r="F800" s="168">
        <v>1</v>
      </c>
      <c r="G800" s="168" t="s">
        <v>32</v>
      </c>
      <c r="H800" s="168" t="s">
        <v>33</v>
      </c>
      <c r="I800" s="168"/>
      <c r="J800" s="168"/>
      <c r="K800" s="222" t="s">
        <v>2067</v>
      </c>
      <c r="L800" s="396">
        <v>15929.203539823</v>
      </c>
      <c r="M800" s="396">
        <v>4778.7610619468996</v>
      </c>
      <c r="N800" s="482">
        <v>44494</v>
      </c>
      <c r="O800" s="168" t="s">
        <v>2982</v>
      </c>
      <c r="P800" s="168" t="s">
        <v>1974</v>
      </c>
      <c r="Q800" s="168">
        <v>15103501536</v>
      </c>
      <c r="R800" s="168" t="s">
        <v>1975</v>
      </c>
      <c r="S800" s="125" t="s">
        <v>1736</v>
      </c>
      <c r="T800" s="168"/>
      <c r="U800" s="483"/>
      <c r="V800" s="483"/>
      <c r="W800" s="483"/>
      <c r="X800" s="483"/>
    </row>
    <row r="801" spans="1:24" ht="24.95" customHeight="1">
      <c r="A801" s="155" t="s">
        <v>1887</v>
      </c>
      <c r="B801" s="168" t="s">
        <v>2990</v>
      </c>
      <c r="C801" s="168" t="s">
        <v>2991</v>
      </c>
      <c r="D801" s="168" t="s">
        <v>2544</v>
      </c>
      <c r="E801" s="168">
        <v>1</v>
      </c>
      <c r="F801" s="168">
        <v>2</v>
      </c>
      <c r="G801" s="168" t="s">
        <v>32</v>
      </c>
      <c r="H801" s="168" t="s">
        <v>33</v>
      </c>
      <c r="I801" s="168"/>
      <c r="J801" s="168"/>
      <c r="K801" s="222" t="s">
        <v>2067</v>
      </c>
      <c r="L801" s="396">
        <v>52212.389380531</v>
      </c>
      <c r="M801" s="396">
        <v>15663.716814159299</v>
      </c>
      <c r="N801" s="482">
        <v>44494</v>
      </c>
      <c r="O801" s="168" t="s">
        <v>2982</v>
      </c>
      <c r="P801" s="168" t="s">
        <v>1974</v>
      </c>
      <c r="Q801" s="168">
        <v>15103501536</v>
      </c>
      <c r="R801" s="168" t="s">
        <v>1975</v>
      </c>
      <c r="S801" s="125" t="s">
        <v>1736</v>
      </c>
      <c r="T801" s="168"/>
      <c r="U801" s="483"/>
      <c r="V801" s="483"/>
      <c r="W801" s="483"/>
      <c r="X801" s="483"/>
    </row>
    <row r="802" spans="1:24" ht="24.95" customHeight="1">
      <c r="A802" s="155" t="s">
        <v>1889</v>
      </c>
      <c r="B802" s="168" t="s">
        <v>2992</v>
      </c>
      <c r="C802" s="168" t="s">
        <v>2993</v>
      </c>
      <c r="D802" s="168" t="s">
        <v>2544</v>
      </c>
      <c r="E802" s="168">
        <v>1</v>
      </c>
      <c r="F802" s="168">
        <v>64</v>
      </c>
      <c r="G802" s="168" t="s">
        <v>32</v>
      </c>
      <c r="H802" s="168" t="s">
        <v>33</v>
      </c>
      <c r="I802" s="168"/>
      <c r="J802" s="168"/>
      <c r="K802" s="222" t="s">
        <v>2067</v>
      </c>
      <c r="L802" s="396">
        <v>198230.08849557501</v>
      </c>
      <c r="M802" s="396">
        <v>59469.026548672002</v>
      </c>
      <c r="N802" s="482">
        <v>44494</v>
      </c>
      <c r="O802" s="168" t="s">
        <v>2982</v>
      </c>
      <c r="P802" s="168" t="s">
        <v>1974</v>
      </c>
      <c r="Q802" s="168">
        <v>15103501536</v>
      </c>
      <c r="R802" s="168" t="s">
        <v>1975</v>
      </c>
      <c r="S802" s="125" t="s">
        <v>1736</v>
      </c>
      <c r="T802" s="168"/>
      <c r="U802" s="483"/>
      <c r="V802" s="483"/>
      <c r="W802" s="483"/>
      <c r="X802" s="483"/>
    </row>
    <row r="803" spans="1:24" ht="24.95" customHeight="1">
      <c r="A803" s="155" t="s">
        <v>1892</v>
      </c>
      <c r="B803" s="168" t="s">
        <v>2988</v>
      </c>
      <c r="C803" s="168" t="s">
        <v>2951</v>
      </c>
      <c r="D803" s="168" t="s">
        <v>79</v>
      </c>
      <c r="E803" s="168">
        <v>1</v>
      </c>
      <c r="F803" s="168">
        <v>1</v>
      </c>
      <c r="G803" s="168" t="s">
        <v>32</v>
      </c>
      <c r="H803" s="168" t="s">
        <v>33</v>
      </c>
      <c r="I803" s="168"/>
      <c r="J803" s="168"/>
      <c r="K803" s="222" t="s">
        <v>2067</v>
      </c>
      <c r="L803" s="396">
        <v>21238.938053097299</v>
      </c>
      <c r="M803" s="396">
        <v>6371.6814159292298</v>
      </c>
      <c r="N803" s="482">
        <v>44494</v>
      </c>
      <c r="O803" s="168" t="s">
        <v>2982</v>
      </c>
      <c r="P803" s="168" t="s">
        <v>1974</v>
      </c>
      <c r="Q803" s="168">
        <v>15103501536</v>
      </c>
      <c r="R803" s="168" t="s">
        <v>1975</v>
      </c>
      <c r="S803" s="125" t="s">
        <v>1736</v>
      </c>
      <c r="T803" s="168"/>
      <c r="U803" s="483"/>
      <c r="V803" s="483"/>
      <c r="W803" s="483"/>
      <c r="X803" s="483"/>
    </row>
    <row r="804" spans="1:24" ht="24.95" customHeight="1">
      <c r="A804" s="155" t="s">
        <v>1894</v>
      </c>
      <c r="B804" s="168" t="s">
        <v>2984</v>
      </c>
      <c r="C804" s="168" t="s">
        <v>2994</v>
      </c>
      <c r="D804" s="168" t="s">
        <v>79</v>
      </c>
      <c r="E804" s="168">
        <v>1</v>
      </c>
      <c r="F804" s="168">
        <v>3</v>
      </c>
      <c r="G804" s="168" t="s">
        <v>32</v>
      </c>
      <c r="H804" s="168" t="s">
        <v>33</v>
      </c>
      <c r="I804" s="168"/>
      <c r="J804" s="168"/>
      <c r="K804" s="222" t="s">
        <v>2067</v>
      </c>
      <c r="L804" s="396">
        <v>278761.06194599997</v>
      </c>
      <c r="M804" s="396">
        <v>83628.318583799701</v>
      </c>
      <c r="N804" s="482">
        <v>44494</v>
      </c>
      <c r="O804" s="168" t="s">
        <v>2982</v>
      </c>
      <c r="P804" s="168" t="s">
        <v>1974</v>
      </c>
      <c r="Q804" s="168">
        <v>15103501536</v>
      </c>
      <c r="R804" s="168" t="s">
        <v>1975</v>
      </c>
      <c r="S804" s="125" t="s">
        <v>1736</v>
      </c>
      <c r="T804" s="168"/>
      <c r="U804" s="483"/>
      <c r="V804" s="483"/>
      <c r="W804" s="483"/>
      <c r="X804" s="483"/>
    </row>
    <row r="805" spans="1:24" ht="24.95" customHeight="1">
      <c r="A805" s="155" t="s">
        <v>1896</v>
      </c>
      <c r="B805" s="168" t="s">
        <v>2981</v>
      </c>
      <c r="C805" s="168" t="s">
        <v>2951</v>
      </c>
      <c r="D805" s="168" t="s">
        <v>62</v>
      </c>
      <c r="E805" s="168">
        <v>1</v>
      </c>
      <c r="F805" s="168">
        <v>186.22</v>
      </c>
      <c r="G805" s="168" t="s">
        <v>32</v>
      </c>
      <c r="H805" s="168" t="s">
        <v>33</v>
      </c>
      <c r="I805" s="168"/>
      <c r="J805" s="168"/>
      <c r="K805" s="222" t="s">
        <v>1983</v>
      </c>
      <c r="L805" s="396">
        <v>883613.9</v>
      </c>
      <c r="M805" s="396">
        <v>265084.17</v>
      </c>
      <c r="N805" s="482">
        <v>44501</v>
      </c>
      <c r="O805" s="168" t="s">
        <v>2995</v>
      </c>
      <c r="P805" s="168" t="s">
        <v>1974</v>
      </c>
      <c r="Q805" s="168">
        <v>15103501536</v>
      </c>
      <c r="R805" s="168" t="s">
        <v>1975</v>
      </c>
      <c r="S805" s="125" t="s">
        <v>1736</v>
      </c>
      <c r="T805" s="168"/>
      <c r="U805" s="483"/>
      <c r="V805" s="483"/>
      <c r="W805" s="483"/>
      <c r="X805" s="483"/>
    </row>
    <row r="806" spans="1:24" ht="24.95" customHeight="1">
      <c r="A806" s="155" t="s">
        <v>1898</v>
      </c>
      <c r="B806" s="168" t="s">
        <v>2996</v>
      </c>
      <c r="C806" s="168" t="s">
        <v>2997</v>
      </c>
      <c r="D806" s="168" t="s">
        <v>62</v>
      </c>
      <c r="E806" s="1846">
        <v>1</v>
      </c>
      <c r="F806" s="1846">
        <v>5.2279999999999998</v>
      </c>
      <c r="G806" s="168" t="s">
        <v>32</v>
      </c>
      <c r="H806" s="168" t="s">
        <v>33</v>
      </c>
      <c r="I806" s="168"/>
      <c r="J806" s="168"/>
      <c r="K806" s="1851" t="s">
        <v>1983</v>
      </c>
      <c r="L806" s="1853">
        <v>23617.49</v>
      </c>
      <c r="M806" s="1853">
        <v>7085.2470000000003</v>
      </c>
      <c r="N806" s="1844">
        <v>44501</v>
      </c>
      <c r="O806" s="1846" t="s">
        <v>2995</v>
      </c>
      <c r="P806" s="1846" t="s">
        <v>1974</v>
      </c>
      <c r="Q806" s="1846">
        <v>15103501536</v>
      </c>
      <c r="R806" s="1846" t="s">
        <v>1975</v>
      </c>
      <c r="S806" s="1824" t="s">
        <v>1736</v>
      </c>
      <c r="T806" s="168"/>
      <c r="U806" s="483"/>
      <c r="V806" s="483"/>
      <c r="W806" s="483"/>
      <c r="X806" s="483"/>
    </row>
    <row r="807" spans="1:24" ht="24.95" customHeight="1">
      <c r="A807" s="155" t="s">
        <v>1899</v>
      </c>
      <c r="B807" s="168" t="s">
        <v>2996</v>
      </c>
      <c r="C807" s="168" t="s">
        <v>2998</v>
      </c>
      <c r="D807" s="168" t="s">
        <v>62</v>
      </c>
      <c r="E807" s="1847"/>
      <c r="F807" s="1847"/>
      <c r="G807" s="168" t="s">
        <v>32</v>
      </c>
      <c r="H807" s="168" t="s">
        <v>33</v>
      </c>
      <c r="I807" s="168"/>
      <c r="J807" s="168"/>
      <c r="K807" s="1852"/>
      <c r="L807" s="1854"/>
      <c r="M807" s="1854"/>
      <c r="N807" s="1845"/>
      <c r="O807" s="1847"/>
      <c r="P807" s="1847"/>
      <c r="Q807" s="1847"/>
      <c r="R807" s="1847"/>
      <c r="S807" s="1826"/>
      <c r="T807" s="168"/>
      <c r="U807" s="483"/>
      <c r="V807" s="483"/>
      <c r="W807" s="483"/>
      <c r="X807" s="483"/>
    </row>
    <row r="808" spans="1:24" ht="24.95" customHeight="1">
      <c r="A808" s="155" t="s">
        <v>1901</v>
      </c>
      <c r="B808" s="168" t="s">
        <v>2999</v>
      </c>
      <c r="C808" s="168" t="s">
        <v>3000</v>
      </c>
      <c r="D808" s="168" t="s">
        <v>1477</v>
      </c>
      <c r="E808" s="485">
        <v>1</v>
      </c>
      <c r="F808" s="485">
        <v>32</v>
      </c>
      <c r="G808" s="168" t="s">
        <v>32</v>
      </c>
      <c r="H808" s="168" t="s">
        <v>33</v>
      </c>
      <c r="I808" s="168"/>
      <c r="J808" s="168"/>
      <c r="K808" s="397" t="s">
        <v>2067</v>
      </c>
      <c r="L808" s="486">
        <v>127433.628318584</v>
      </c>
      <c r="M808" s="486">
        <v>38230.088495575197</v>
      </c>
      <c r="N808" s="487">
        <v>44531</v>
      </c>
      <c r="O808" s="485" t="s">
        <v>2995</v>
      </c>
      <c r="P808" s="485" t="s">
        <v>1974</v>
      </c>
      <c r="Q808" s="168">
        <v>15103501536</v>
      </c>
      <c r="R808" s="485" t="s">
        <v>1975</v>
      </c>
      <c r="S808" s="1824" t="s">
        <v>1736</v>
      </c>
      <c r="T808" s="168"/>
      <c r="U808" s="483"/>
      <c r="V808" s="483"/>
      <c r="W808" s="483"/>
      <c r="X808" s="483"/>
    </row>
    <row r="809" spans="1:24" ht="24.95" customHeight="1">
      <c r="A809" s="155" t="s">
        <v>1902</v>
      </c>
      <c r="B809" s="168" t="s">
        <v>3001</v>
      </c>
      <c r="C809" s="168">
        <v>32218</v>
      </c>
      <c r="D809" s="168" t="s">
        <v>131</v>
      </c>
      <c r="E809" s="485">
        <v>1</v>
      </c>
      <c r="F809" s="485">
        <v>16</v>
      </c>
      <c r="G809" s="168" t="s">
        <v>32</v>
      </c>
      <c r="H809" s="168" t="s">
        <v>33</v>
      </c>
      <c r="I809" s="168"/>
      <c r="J809" s="168"/>
      <c r="K809" s="397" t="s">
        <v>2067</v>
      </c>
      <c r="L809" s="486">
        <v>4198.0198019801901</v>
      </c>
      <c r="M809" s="486">
        <v>1230.0198019801901</v>
      </c>
      <c r="N809" s="487">
        <v>44531</v>
      </c>
      <c r="O809" s="485" t="s">
        <v>2995</v>
      </c>
      <c r="P809" s="485" t="s">
        <v>1974</v>
      </c>
      <c r="Q809" s="168">
        <v>15103501536</v>
      </c>
      <c r="R809" s="485" t="s">
        <v>1975</v>
      </c>
      <c r="S809" s="1826"/>
      <c r="T809" s="168"/>
      <c r="U809" s="483"/>
      <c r="V809" s="483"/>
      <c r="W809" s="483"/>
      <c r="X809" s="483"/>
    </row>
    <row r="810" spans="1:24" ht="24.95" customHeight="1">
      <c r="A810" s="155" t="s">
        <v>1903</v>
      </c>
      <c r="B810" s="168" t="s">
        <v>3002</v>
      </c>
      <c r="C810" s="168" t="s">
        <v>1842</v>
      </c>
      <c r="D810" s="168" t="s">
        <v>31</v>
      </c>
      <c r="E810" s="485">
        <v>1</v>
      </c>
      <c r="F810" s="485">
        <v>1</v>
      </c>
      <c r="G810" s="168" t="s">
        <v>32</v>
      </c>
      <c r="H810" s="168" t="s">
        <v>33</v>
      </c>
      <c r="I810" s="168"/>
      <c r="J810" s="168"/>
      <c r="K810" s="397" t="s">
        <v>3003</v>
      </c>
      <c r="L810" s="486">
        <v>4801.9801980197999</v>
      </c>
      <c r="M810" s="486">
        <v>1406.9801980197999</v>
      </c>
      <c r="N810" s="487">
        <v>44531</v>
      </c>
      <c r="O810" s="485" t="s">
        <v>2995</v>
      </c>
      <c r="P810" s="485" t="s">
        <v>1974</v>
      </c>
      <c r="Q810" s="168">
        <v>15103501536</v>
      </c>
      <c r="R810" s="485" t="s">
        <v>1975</v>
      </c>
      <c r="S810" s="1824" t="s">
        <v>1736</v>
      </c>
      <c r="T810" s="168"/>
      <c r="U810" s="483"/>
      <c r="V810" s="483"/>
      <c r="W810" s="483"/>
      <c r="X810" s="483"/>
    </row>
    <row r="811" spans="1:24" ht="24.95" customHeight="1">
      <c r="A811" s="155" t="s">
        <v>1905</v>
      </c>
      <c r="B811" s="168" t="s">
        <v>3004</v>
      </c>
      <c r="C811" s="168" t="s">
        <v>3005</v>
      </c>
      <c r="D811" s="168" t="s">
        <v>79</v>
      </c>
      <c r="E811" s="485">
        <v>1</v>
      </c>
      <c r="F811" s="485">
        <v>4500</v>
      </c>
      <c r="G811" s="168" t="s">
        <v>32</v>
      </c>
      <c r="H811" s="168" t="s">
        <v>33</v>
      </c>
      <c r="I811" s="168"/>
      <c r="J811" s="168"/>
      <c r="K811" s="397" t="s">
        <v>3003</v>
      </c>
      <c r="L811" s="486">
        <v>22277.227722772299</v>
      </c>
      <c r="M811" s="486">
        <v>6527.4614012901302</v>
      </c>
      <c r="N811" s="487">
        <v>44531</v>
      </c>
      <c r="O811" s="485" t="s">
        <v>2995</v>
      </c>
      <c r="P811" s="485" t="s">
        <v>1974</v>
      </c>
      <c r="Q811" s="168">
        <v>15103501536</v>
      </c>
      <c r="R811" s="485" t="s">
        <v>1975</v>
      </c>
      <c r="S811" s="1826"/>
      <c r="T811" s="168"/>
      <c r="U811" s="483"/>
      <c r="V811" s="483"/>
      <c r="W811" s="483"/>
      <c r="X811" s="483"/>
    </row>
    <row r="812" spans="1:24" ht="24.95" customHeight="1">
      <c r="A812" s="155" t="s">
        <v>1906</v>
      </c>
      <c r="B812" s="168" t="s">
        <v>3006</v>
      </c>
      <c r="C812" s="168" t="s">
        <v>1860</v>
      </c>
      <c r="D812" s="168" t="s">
        <v>31</v>
      </c>
      <c r="E812" s="485">
        <v>1</v>
      </c>
      <c r="F812" s="485">
        <v>1</v>
      </c>
      <c r="G812" s="168" t="s">
        <v>32</v>
      </c>
      <c r="H812" s="168" t="s">
        <v>33</v>
      </c>
      <c r="I812" s="168"/>
      <c r="J812" s="168"/>
      <c r="K812" s="397" t="s">
        <v>3003</v>
      </c>
      <c r="L812" s="486">
        <v>5792.0792079207904</v>
      </c>
      <c r="M812" s="486">
        <v>1697.0792079207899</v>
      </c>
      <c r="N812" s="487">
        <v>44531</v>
      </c>
      <c r="O812" s="485" t="s">
        <v>2995</v>
      </c>
      <c r="P812" s="485" t="s">
        <v>1974</v>
      </c>
      <c r="Q812" s="168">
        <v>15103501536</v>
      </c>
      <c r="R812" s="485" t="s">
        <v>1975</v>
      </c>
      <c r="S812" s="1824" t="s">
        <v>1736</v>
      </c>
      <c r="T812" s="168"/>
      <c r="U812" s="483"/>
      <c r="V812" s="483"/>
      <c r="W812" s="483"/>
      <c r="X812" s="483"/>
    </row>
    <row r="813" spans="1:24" ht="24.95" customHeight="1">
      <c r="A813" s="155" t="s">
        <v>1907</v>
      </c>
      <c r="B813" s="168" t="s">
        <v>3007</v>
      </c>
      <c r="C813" s="168" t="s">
        <v>3008</v>
      </c>
      <c r="D813" s="168" t="s">
        <v>1477</v>
      </c>
      <c r="E813" s="485">
        <v>1</v>
      </c>
      <c r="F813" s="485">
        <v>50</v>
      </c>
      <c r="G813" s="168" t="s">
        <v>32</v>
      </c>
      <c r="H813" s="168" t="s">
        <v>33</v>
      </c>
      <c r="I813" s="168"/>
      <c r="J813" s="168"/>
      <c r="K813" s="397" t="s">
        <v>3009</v>
      </c>
      <c r="L813" s="486">
        <v>43069.306930692997</v>
      </c>
      <c r="M813" s="486">
        <v>12920.7920792079</v>
      </c>
      <c r="N813" s="487">
        <v>44562</v>
      </c>
      <c r="O813" s="485" t="s">
        <v>2982</v>
      </c>
      <c r="P813" s="485" t="s">
        <v>1974</v>
      </c>
      <c r="Q813" s="168">
        <v>15103501536</v>
      </c>
      <c r="R813" s="485" t="s">
        <v>1975</v>
      </c>
      <c r="S813" s="1826"/>
      <c r="T813" s="168"/>
      <c r="U813" s="483"/>
      <c r="V813" s="483"/>
      <c r="W813" s="483"/>
      <c r="X813" s="483"/>
    </row>
    <row r="814" spans="1:24" ht="24.95" customHeight="1">
      <c r="A814" s="413">
        <v>2</v>
      </c>
      <c r="B814" s="147" t="s">
        <v>1146</v>
      </c>
      <c r="C814" s="147"/>
      <c r="D814" s="147"/>
      <c r="E814" s="147"/>
      <c r="F814" s="147"/>
      <c r="G814" s="147"/>
      <c r="H814" s="147"/>
      <c r="I814" s="147"/>
      <c r="J814" s="147"/>
      <c r="K814" s="147"/>
      <c r="L814" s="147"/>
      <c r="M814" s="147"/>
      <c r="N814" s="147"/>
      <c r="O814" s="147"/>
      <c r="P814" s="147"/>
      <c r="Q814" s="147"/>
      <c r="R814" s="147"/>
      <c r="S814" s="147"/>
      <c r="T814" s="329"/>
    </row>
    <row r="815" spans="1:24" ht="24.95" customHeight="1">
      <c r="A815" s="413">
        <v>3</v>
      </c>
      <c r="B815" s="147" t="s">
        <v>1147</v>
      </c>
      <c r="C815" s="147"/>
      <c r="D815" s="147"/>
      <c r="E815" s="147"/>
      <c r="F815" s="147"/>
      <c r="G815" s="147"/>
      <c r="H815" s="147"/>
      <c r="I815" s="147"/>
      <c r="J815" s="147"/>
      <c r="K815" s="147"/>
      <c r="L815" s="147"/>
      <c r="M815" s="147"/>
      <c r="N815" s="147"/>
      <c r="O815" s="147"/>
      <c r="P815" s="147"/>
      <c r="Q815" s="147"/>
      <c r="R815" s="147"/>
      <c r="S815" s="147"/>
      <c r="T815" s="329"/>
    </row>
    <row r="816" spans="1:24" ht="24.95" customHeight="1">
      <c r="A816" s="155" t="s">
        <v>2286</v>
      </c>
      <c r="B816" s="342" t="s">
        <v>3010</v>
      </c>
      <c r="C816" s="342" t="s">
        <v>3011</v>
      </c>
      <c r="D816" s="342" t="s">
        <v>1477</v>
      </c>
      <c r="E816" s="342">
        <v>1</v>
      </c>
      <c r="F816" s="329"/>
      <c r="G816" s="488" t="s">
        <v>72</v>
      </c>
      <c r="H816" s="238" t="s">
        <v>41</v>
      </c>
      <c r="I816" s="238" t="s">
        <v>179</v>
      </c>
      <c r="J816" s="238" t="s">
        <v>179</v>
      </c>
      <c r="K816" s="238" t="s">
        <v>179</v>
      </c>
      <c r="L816" s="344">
        <v>85881.25</v>
      </c>
      <c r="M816" s="349">
        <v>12882.1875</v>
      </c>
      <c r="N816" s="348">
        <v>2015.01</v>
      </c>
      <c r="O816" s="245" t="s">
        <v>2646</v>
      </c>
      <c r="P816" s="245" t="s">
        <v>2643</v>
      </c>
      <c r="Q816" s="345" t="s">
        <v>2644</v>
      </c>
      <c r="R816" s="147" t="str">
        <f t="shared" ref="R816:R822" si="4">O816</f>
        <v>机械分公司</v>
      </c>
      <c r="S816" s="125" t="s">
        <v>1736</v>
      </c>
      <c r="T816" s="329"/>
    </row>
    <row r="817" spans="1:20" ht="24.95" customHeight="1">
      <c r="A817" s="155" t="s">
        <v>2288</v>
      </c>
      <c r="B817" s="342" t="s">
        <v>3010</v>
      </c>
      <c r="C817" s="342" t="s">
        <v>3012</v>
      </c>
      <c r="D817" s="342" t="s">
        <v>1477</v>
      </c>
      <c r="E817" s="342">
        <v>1</v>
      </c>
      <c r="F817" s="329"/>
      <c r="G817" s="488" t="s">
        <v>72</v>
      </c>
      <c r="H817" s="238" t="s">
        <v>41</v>
      </c>
      <c r="I817" s="238" t="s">
        <v>179</v>
      </c>
      <c r="J817" s="238" t="s">
        <v>179</v>
      </c>
      <c r="K817" s="238" t="s">
        <v>179</v>
      </c>
      <c r="L817" s="344">
        <v>142000</v>
      </c>
      <c r="M817" s="349">
        <v>21300</v>
      </c>
      <c r="N817" s="348">
        <v>2015.01</v>
      </c>
      <c r="O817" s="245" t="s">
        <v>2646</v>
      </c>
      <c r="P817" s="245" t="s">
        <v>2643</v>
      </c>
      <c r="Q817" s="345" t="s">
        <v>2644</v>
      </c>
      <c r="R817" s="147" t="str">
        <f t="shared" si="4"/>
        <v>机械分公司</v>
      </c>
      <c r="S817" s="125" t="s">
        <v>1736</v>
      </c>
      <c r="T817" s="329"/>
    </row>
    <row r="818" spans="1:20" ht="24.95" customHeight="1">
      <c r="A818" s="155" t="s">
        <v>2290</v>
      </c>
      <c r="B818" s="342" t="s">
        <v>3010</v>
      </c>
      <c r="C818" s="342" t="s">
        <v>3012</v>
      </c>
      <c r="D818" s="342" t="s">
        <v>1477</v>
      </c>
      <c r="E818" s="342">
        <v>1</v>
      </c>
      <c r="F818" s="329"/>
      <c r="G818" s="488" t="s">
        <v>72</v>
      </c>
      <c r="H818" s="238" t="s">
        <v>41</v>
      </c>
      <c r="I818" s="238" t="s">
        <v>179</v>
      </c>
      <c r="J818" s="238" t="s">
        <v>179</v>
      </c>
      <c r="K818" s="238" t="s">
        <v>179</v>
      </c>
      <c r="L818" s="344">
        <v>142000</v>
      </c>
      <c r="M818" s="349">
        <v>21300</v>
      </c>
      <c r="N818" s="348">
        <v>2015.01</v>
      </c>
      <c r="O818" s="245" t="s">
        <v>2646</v>
      </c>
      <c r="P818" s="245" t="s">
        <v>2643</v>
      </c>
      <c r="Q818" s="345" t="s">
        <v>2644</v>
      </c>
      <c r="R818" s="147" t="str">
        <f t="shared" si="4"/>
        <v>机械分公司</v>
      </c>
      <c r="S818" s="125" t="s">
        <v>1736</v>
      </c>
      <c r="T818" s="329"/>
    </row>
    <row r="819" spans="1:20" ht="24.95" customHeight="1">
      <c r="A819" s="155" t="s">
        <v>2291</v>
      </c>
      <c r="B819" s="342" t="s">
        <v>3013</v>
      </c>
      <c r="C819" s="342" t="s">
        <v>3014</v>
      </c>
      <c r="D819" s="342" t="s">
        <v>1477</v>
      </c>
      <c r="E819" s="342">
        <v>1</v>
      </c>
      <c r="F819" s="329"/>
      <c r="G819" s="488" t="s">
        <v>72</v>
      </c>
      <c r="H819" s="238" t="s">
        <v>41</v>
      </c>
      <c r="I819" s="238" t="s">
        <v>179</v>
      </c>
      <c r="J819" s="238" t="s">
        <v>179</v>
      </c>
      <c r="K819" s="238" t="s">
        <v>179</v>
      </c>
      <c r="L819" s="344">
        <v>47000</v>
      </c>
      <c r="M819" s="349">
        <v>7050</v>
      </c>
      <c r="N819" s="348">
        <v>2015.01</v>
      </c>
      <c r="O819" s="245" t="s">
        <v>2646</v>
      </c>
      <c r="P819" s="245" t="s">
        <v>2643</v>
      </c>
      <c r="Q819" s="345" t="s">
        <v>2644</v>
      </c>
      <c r="R819" s="147" t="str">
        <f t="shared" si="4"/>
        <v>机械分公司</v>
      </c>
      <c r="S819" s="125" t="s">
        <v>1736</v>
      </c>
      <c r="T819" s="329"/>
    </row>
    <row r="820" spans="1:20" ht="24.95" customHeight="1">
      <c r="A820" s="155" t="s">
        <v>2292</v>
      </c>
      <c r="B820" s="342" t="s">
        <v>3015</v>
      </c>
      <c r="C820" s="342" t="s">
        <v>3016</v>
      </c>
      <c r="D820" s="342" t="s">
        <v>1477</v>
      </c>
      <c r="E820" s="342">
        <v>1</v>
      </c>
      <c r="F820" s="329"/>
      <c r="G820" s="488" t="s">
        <v>72</v>
      </c>
      <c r="H820" s="238" t="s">
        <v>41</v>
      </c>
      <c r="I820" s="238" t="s">
        <v>179</v>
      </c>
      <c r="J820" s="238" t="s">
        <v>179</v>
      </c>
      <c r="K820" s="238" t="s">
        <v>179</v>
      </c>
      <c r="L820" s="344">
        <v>176000</v>
      </c>
      <c r="M820" s="349">
        <v>26400</v>
      </c>
      <c r="N820" s="348">
        <v>2015.01</v>
      </c>
      <c r="O820" s="245" t="s">
        <v>2646</v>
      </c>
      <c r="P820" s="245" t="s">
        <v>2643</v>
      </c>
      <c r="Q820" s="345" t="s">
        <v>2644</v>
      </c>
      <c r="R820" s="147" t="str">
        <f t="shared" si="4"/>
        <v>机械分公司</v>
      </c>
      <c r="S820" s="125" t="s">
        <v>1736</v>
      </c>
      <c r="T820" s="329"/>
    </row>
    <row r="821" spans="1:20" ht="24.95" customHeight="1">
      <c r="A821" s="155" t="s">
        <v>2293</v>
      </c>
      <c r="B821" s="342" t="s">
        <v>3017</v>
      </c>
      <c r="C821" s="342" t="s">
        <v>3011</v>
      </c>
      <c r="D821" s="342" t="s">
        <v>1477</v>
      </c>
      <c r="E821" s="342">
        <v>1</v>
      </c>
      <c r="F821" s="329"/>
      <c r="G821" s="488" t="s">
        <v>72</v>
      </c>
      <c r="H821" s="238" t="s">
        <v>41</v>
      </c>
      <c r="I821" s="238" t="s">
        <v>179</v>
      </c>
      <c r="J821" s="238" t="s">
        <v>179</v>
      </c>
      <c r="K821" s="238" t="s">
        <v>179</v>
      </c>
      <c r="L821" s="344">
        <v>39000</v>
      </c>
      <c r="M821" s="349">
        <v>5850</v>
      </c>
      <c r="N821" s="348">
        <v>2015.01</v>
      </c>
      <c r="O821" s="245" t="s">
        <v>2646</v>
      </c>
      <c r="P821" s="245" t="s">
        <v>2643</v>
      </c>
      <c r="Q821" s="345" t="s">
        <v>2644</v>
      </c>
      <c r="R821" s="147" t="str">
        <f t="shared" si="4"/>
        <v>机械分公司</v>
      </c>
      <c r="S821" s="125" t="s">
        <v>1736</v>
      </c>
      <c r="T821" s="329"/>
    </row>
    <row r="822" spans="1:20" ht="24.95" customHeight="1">
      <c r="A822" s="155" t="s">
        <v>2294</v>
      </c>
      <c r="B822" s="342" t="s">
        <v>3018</v>
      </c>
      <c r="C822" s="342" t="s">
        <v>3019</v>
      </c>
      <c r="D822" s="342" t="s">
        <v>1477</v>
      </c>
      <c r="E822" s="342">
        <v>1</v>
      </c>
      <c r="F822" s="329"/>
      <c r="G822" s="488" t="s">
        <v>72</v>
      </c>
      <c r="H822" s="238" t="s">
        <v>41</v>
      </c>
      <c r="I822" s="238" t="s">
        <v>179</v>
      </c>
      <c r="J822" s="238" t="s">
        <v>179</v>
      </c>
      <c r="K822" s="238" t="s">
        <v>179</v>
      </c>
      <c r="L822" s="344">
        <v>26000</v>
      </c>
      <c r="M822" s="349">
        <v>3900</v>
      </c>
      <c r="N822" s="348">
        <v>2015.01</v>
      </c>
      <c r="O822" s="245" t="s">
        <v>2646</v>
      </c>
      <c r="P822" s="245" t="s">
        <v>2643</v>
      </c>
      <c r="Q822" s="345" t="s">
        <v>2644</v>
      </c>
      <c r="R822" s="147" t="str">
        <f t="shared" si="4"/>
        <v>机械分公司</v>
      </c>
      <c r="S822" s="125" t="s">
        <v>1736</v>
      </c>
      <c r="T822" s="329"/>
    </row>
    <row r="823" spans="1:20" ht="24.95" customHeight="1">
      <c r="A823" s="155" t="s">
        <v>2295</v>
      </c>
      <c r="B823" s="468" t="s">
        <v>3020</v>
      </c>
      <c r="C823" s="471" t="s">
        <v>1760</v>
      </c>
      <c r="D823" s="222" t="s">
        <v>1477</v>
      </c>
      <c r="E823" s="470">
        <v>1</v>
      </c>
      <c r="F823" s="329"/>
      <c r="G823" s="214" t="s">
        <v>32</v>
      </c>
      <c r="H823" s="214" t="s">
        <v>33</v>
      </c>
      <c r="I823" s="329"/>
      <c r="J823" s="455"/>
      <c r="K823" s="364" t="s">
        <v>3021</v>
      </c>
      <c r="L823" s="473">
        <v>212389.38</v>
      </c>
      <c r="M823" s="154">
        <v>128761.05</v>
      </c>
      <c r="N823" s="214">
        <v>2020.9</v>
      </c>
      <c r="O823" s="364" t="s">
        <v>2973</v>
      </c>
      <c r="P823" s="214" t="s">
        <v>1933</v>
      </c>
      <c r="Q823" s="470">
        <v>15034441008</v>
      </c>
      <c r="R823" s="214" t="s">
        <v>2974</v>
      </c>
      <c r="S823" s="214" t="s">
        <v>1736</v>
      </c>
      <c r="T823" s="329"/>
    </row>
    <row r="824" spans="1:20" ht="24.95" customHeight="1">
      <c r="A824" s="155" t="s">
        <v>2297</v>
      </c>
      <c r="B824" s="450" t="s">
        <v>3022</v>
      </c>
      <c r="C824" s="471" t="s">
        <v>1760</v>
      </c>
      <c r="D824" s="450" t="s">
        <v>1477</v>
      </c>
      <c r="E824" s="470">
        <v>1</v>
      </c>
      <c r="F824" s="329"/>
      <c r="G824" s="214" t="s">
        <v>32</v>
      </c>
      <c r="H824" s="214" t="s">
        <v>33</v>
      </c>
      <c r="I824" s="329"/>
      <c r="J824" s="455"/>
      <c r="K824" s="364" t="s">
        <v>3021</v>
      </c>
      <c r="L824" s="473">
        <v>336283.19</v>
      </c>
      <c r="M824" s="154">
        <v>203871.68</v>
      </c>
      <c r="N824" s="214">
        <v>2020.9</v>
      </c>
      <c r="O824" s="364" t="s">
        <v>2973</v>
      </c>
      <c r="P824" s="214" t="s">
        <v>1933</v>
      </c>
      <c r="Q824" s="470">
        <v>15034441008</v>
      </c>
      <c r="R824" s="214" t="s">
        <v>2974</v>
      </c>
      <c r="S824" s="214" t="s">
        <v>1736</v>
      </c>
      <c r="T824" s="329"/>
    </row>
    <row r="825" spans="1:20" ht="24.95" customHeight="1">
      <c r="A825" s="155" t="s">
        <v>2300</v>
      </c>
      <c r="B825" s="468" t="s">
        <v>3020</v>
      </c>
      <c r="C825" s="471" t="s">
        <v>1760</v>
      </c>
      <c r="D825" s="222" t="s">
        <v>1477</v>
      </c>
      <c r="E825" s="470">
        <v>1</v>
      </c>
      <c r="F825" s="329"/>
      <c r="G825" s="214" t="s">
        <v>32</v>
      </c>
      <c r="H825" s="214" t="s">
        <v>33</v>
      </c>
      <c r="I825" s="329"/>
      <c r="J825" s="455"/>
      <c r="K825" s="364" t="s">
        <v>3021</v>
      </c>
      <c r="L825" s="473">
        <v>212389.38</v>
      </c>
      <c r="M825" s="154">
        <v>153539.82</v>
      </c>
      <c r="N825" s="214">
        <v>2020.9</v>
      </c>
      <c r="O825" s="364" t="s">
        <v>2973</v>
      </c>
      <c r="P825" s="214" t="s">
        <v>1933</v>
      </c>
      <c r="Q825" s="470">
        <v>15034441008</v>
      </c>
      <c r="R825" s="214" t="s">
        <v>2974</v>
      </c>
      <c r="S825" s="214" t="s">
        <v>1736</v>
      </c>
      <c r="T825" s="329"/>
    </row>
    <row r="826" spans="1:20" ht="24.95" customHeight="1">
      <c r="A826" s="155" t="s">
        <v>2306</v>
      </c>
      <c r="B826" s="450" t="s">
        <v>3022</v>
      </c>
      <c r="C826" s="471" t="s">
        <v>1760</v>
      </c>
      <c r="D826" s="450" t="s">
        <v>1477</v>
      </c>
      <c r="E826" s="470">
        <v>1</v>
      </c>
      <c r="F826" s="329"/>
      <c r="G826" s="214" t="s">
        <v>32</v>
      </c>
      <c r="H826" s="214" t="s">
        <v>33</v>
      </c>
      <c r="I826" s="329"/>
      <c r="J826" s="455"/>
      <c r="K826" s="364" t="s">
        <v>3021</v>
      </c>
      <c r="L826" s="473">
        <v>336283.19</v>
      </c>
      <c r="M826" s="154">
        <v>243104.72</v>
      </c>
      <c r="N826" s="214">
        <v>2020.9</v>
      </c>
      <c r="O826" s="364" t="s">
        <v>2973</v>
      </c>
      <c r="P826" s="214" t="s">
        <v>1933</v>
      </c>
      <c r="Q826" s="470">
        <v>15034441008</v>
      </c>
      <c r="R826" s="214" t="s">
        <v>2974</v>
      </c>
      <c r="S826" s="214" t="s">
        <v>1736</v>
      </c>
      <c r="T826" s="329"/>
    </row>
    <row r="827" spans="1:20" ht="24.95" customHeight="1">
      <c r="A827" s="155" t="s">
        <v>2310</v>
      </c>
      <c r="B827" s="489" t="s">
        <v>3023</v>
      </c>
      <c r="C827" s="457"/>
      <c r="D827" s="490" t="s">
        <v>79</v>
      </c>
      <c r="E827" s="457"/>
      <c r="F827" s="489">
        <v>12</v>
      </c>
      <c r="G827" s="491" t="s">
        <v>2085</v>
      </c>
      <c r="H827" s="457" t="s">
        <v>33</v>
      </c>
      <c r="I827" s="457"/>
      <c r="J827" s="457"/>
      <c r="K827" s="457"/>
      <c r="L827" s="492">
        <v>79646.02</v>
      </c>
      <c r="M827" s="201">
        <v>71902.67</v>
      </c>
      <c r="N827" s="457">
        <v>2021.6</v>
      </c>
      <c r="O827" s="459" t="s">
        <v>2086</v>
      </c>
      <c r="P827" s="491" t="s">
        <v>2087</v>
      </c>
      <c r="Q827" s="465">
        <v>18135206600</v>
      </c>
      <c r="R827" s="214" t="s">
        <v>3024</v>
      </c>
      <c r="S827" s="214" t="s">
        <v>1736</v>
      </c>
      <c r="T827" s="329"/>
    </row>
    <row r="828" spans="1:20" ht="24.95" customHeight="1">
      <c r="A828" s="155" t="s">
        <v>2312</v>
      </c>
      <c r="B828" s="489" t="s">
        <v>3025</v>
      </c>
      <c r="C828" s="457"/>
      <c r="D828" s="490" t="s">
        <v>2724</v>
      </c>
      <c r="E828" s="457"/>
      <c r="F828" s="489">
        <v>42</v>
      </c>
      <c r="G828" s="491" t="s">
        <v>2085</v>
      </c>
      <c r="H828" s="457" t="s">
        <v>33</v>
      </c>
      <c r="I828" s="457"/>
      <c r="J828" s="457"/>
      <c r="K828" s="457"/>
      <c r="L828" s="492">
        <v>20442.48</v>
      </c>
      <c r="M828" s="201">
        <v>18455.03</v>
      </c>
      <c r="N828" s="457">
        <v>2021.6</v>
      </c>
      <c r="O828" s="459" t="s">
        <v>2086</v>
      </c>
      <c r="P828" s="491" t="s">
        <v>2087</v>
      </c>
      <c r="Q828" s="465">
        <v>18135206600</v>
      </c>
      <c r="R828" s="214" t="s">
        <v>3024</v>
      </c>
      <c r="S828" s="214" t="s">
        <v>1736</v>
      </c>
      <c r="T828" s="329"/>
    </row>
    <row r="829" spans="1:20" ht="24.95" customHeight="1">
      <c r="A829" s="155" t="s">
        <v>2314</v>
      </c>
      <c r="B829" s="489" t="s">
        <v>3026</v>
      </c>
      <c r="C829" s="457"/>
      <c r="D829" s="490" t="s">
        <v>79</v>
      </c>
      <c r="E829" s="457"/>
      <c r="F829" s="489">
        <v>4</v>
      </c>
      <c r="G829" s="491" t="s">
        <v>2085</v>
      </c>
      <c r="H829" s="457" t="s">
        <v>33</v>
      </c>
      <c r="I829" s="457"/>
      <c r="J829" s="457"/>
      <c r="K829" s="457"/>
      <c r="L829" s="492">
        <v>24778.76</v>
      </c>
      <c r="M829" s="201">
        <v>22369.759999999998</v>
      </c>
      <c r="N829" s="457">
        <v>2021.6</v>
      </c>
      <c r="O829" s="459" t="s">
        <v>2086</v>
      </c>
      <c r="P829" s="491" t="s">
        <v>2087</v>
      </c>
      <c r="Q829" s="465">
        <v>18135206600</v>
      </c>
      <c r="R829" s="214" t="s">
        <v>3024</v>
      </c>
      <c r="S829" s="214" t="s">
        <v>1736</v>
      </c>
      <c r="T829" s="329"/>
    </row>
    <row r="830" spans="1:20" ht="24.95" customHeight="1">
      <c r="A830" s="155" t="s">
        <v>2315</v>
      </c>
      <c r="B830" s="489" t="s">
        <v>3027</v>
      </c>
      <c r="C830" s="457"/>
      <c r="D830" s="490" t="s">
        <v>2724</v>
      </c>
      <c r="E830" s="457"/>
      <c r="F830" s="489">
        <v>9</v>
      </c>
      <c r="G830" s="491" t="s">
        <v>2085</v>
      </c>
      <c r="H830" s="457" t="s">
        <v>33</v>
      </c>
      <c r="I830" s="457"/>
      <c r="J830" s="457"/>
      <c r="K830" s="457"/>
      <c r="L830" s="492">
        <v>5575.22</v>
      </c>
      <c r="M830" s="201">
        <v>5033.22</v>
      </c>
      <c r="N830" s="457">
        <v>2021.6</v>
      </c>
      <c r="O830" s="459" t="s">
        <v>2086</v>
      </c>
      <c r="P830" s="491" t="s">
        <v>2087</v>
      </c>
      <c r="Q830" s="465">
        <v>18135206600</v>
      </c>
      <c r="R830" s="214" t="s">
        <v>3024</v>
      </c>
      <c r="S830" s="214" t="s">
        <v>1736</v>
      </c>
      <c r="T830" s="329"/>
    </row>
    <row r="831" spans="1:20" ht="24.95" customHeight="1">
      <c r="A831" s="155" t="s">
        <v>2317</v>
      </c>
      <c r="B831" s="489" t="s">
        <v>3028</v>
      </c>
      <c r="C831" s="457"/>
      <c r="D831" s="490" t="s">
        <v>2724</v>
      </c>
      <c r="E831" s="457"/>
      <c r="F831" s="489">
        <v>25</v>
      </c>
      <c r="G831" s="491" t="s">
        <v>2085</v>
      </c>
      <c r="H831" s="457" t="s">
        <v>33</v>
      </c>
      <c r="I831" s="457"/>
      <c r="J831" s="457"/>
      <c r="K831" s="457"/>
      <c r="L831" s="492">
        <v>15486.73</v>
      </c>
      <c r="M831" s="201">
        <v>13981.08</v>
      </c>
      <c r="N831" s="457">
        <v>2021.6</v>
      </c>
      <c r="O831" s="459" t="s">
        <v>2086</v>
      </c>
      <c r="P831" s="491" t="s">
        <v>2087</v>
      </c>
      <c r="Q831" s="465">
        <v>18135206600</v>
      </c>
      <c r="R831" s="214" t="s">
        <v>3024</v>
      </c>
      <c r="S831" s="214" t="s">
        <v>1736</v>
      </c>
      <c r="T831" s="329"/>
    </row>
    <row r="832" spans="1:20" ht="24.95" customHeight="1">
      <c r="A832" s="155" t="s">
        <v>2319</v>
      </c>
      <c r="B832" s="489" t="s">
        <v>3029</v>
      </c>
      <c r="C832" s="457"/>
      <c r="D832" s="490" t="s">
        <v>2724</v>
      </c>
      <c r="E832" s="457"/>
      <c r="F832" s="489">
        <v>174</v>
      </c>
      <c r="G832" s="491" t="s">
        <v>2085</v>
      </c>
      <c r="H832" s="457" t="s">
        <v>33</v>
      </c>
      <c r="I832" s="457"/>
      <c r="J832" s="457"/>
      <c r="K832" s="457"/>
      <c r="L832" s="492">
        <v>84690.27</v>
      </c>
      <c r="M832" s="201">
        <v>76456.52</v>
      </c>
      <c r="N832" s="457">
        <v>2021.6</v>
      </c>
      <c r="O832" s="459" t="s">
        <v>2086</v>
      </c>
      <c r="P832" s="491" t="s">
        <v>2087</v>
      </c>
      <c r="Q832" s="465">
        <v>18135206600</v>
      </c>
      <c r="R832" s="214" t="s">
        <v>3024</v>
      </c>
      <c r="S832" s="214" t="s">
        <v>1736</v>
      </c>
      <c r="T832" s="329"/>
    </row>
    <row r="833" spans="1:21" ht="24.95" customHeight="1">
      <c r="A833" s="155" t="s">
        <v>2321</v>
      </c>
      <c r="B833" s="489" t="s">
        <v>3025</v>
      </c>
      <c r="C833" s="457"/>
      <c r="D833" s="490" t="s">
        <v>2724</v>
      </c>
      <c r="E833" s="457"/>
      <c r="F833" s="489">
        <v>26</v>
      </c>
      <c r="G833" s="491" t="s">
        <v>2085</v>
      </c>
      <c r="H833" s="457" t="s">
        <v>33</v>
      </c>
      <c r="I833" s="457"/>
      <c r="J833" s="457"/>
      <c r="K833" s="457"/>
      <c r="L833" s="492">
        <v>12654.87</v>
      </c>
      <c r="M833" s="201">
        <v>11424.57</v>
      </c>
      <c r="N833" s="457">
        <v>2021.6</v>
      </c>
      <c r="O833" s="459" t="s">
        <v>2086</v>
      </c>
      <c r="P833" s="491" t="s">
        <v>2087</v>
      </c>
      <c r="Q833" s="465">
        <v>18135206600</v>
      </c>
      <c r="R833" s="214" t="s">
        <v>3024</v>
      </c>
      <c r="S833" s="214" t="s">
        <v>1736</v>
      </c>
      <c r="T833" s="329"/>
    </row>
    <row r="834" spans="1:21" ht="24.95" customHeight="1">
      <c r="A834" s="330" t="s">
        <v>1151</v>
      </c>
      <c r="B834" s="328" t="s">
        <v>1152</v>
      </c>
      <c r="C834" s="147"/>
      <c r="D834" s="147"/>
      <c r="E834" s="147"/>
      <c r="F834" s="147"/>
      <c r="G834" s="147"/>
      <c r="H834" s="147"/>
      <c r="I834" s="147"/>
      <c r="J834" s="147"/>
      <c r="K834" s="147"/>
      <c r="L834" s="147"/>
      <c r="M834" s="147"/>
      <c r="N834" s="147"/>
      <c r="O834" s="147"/>
      <c r="P834" s="147"/>
      <c r="Q834" s="147"/>
      <c r="R834" s="147"/>
      <c r="S834" s="147"/>
      <c r="T834" s="329"/>
    </row>
    <row r="835" spans="1:21" ht="24.95" customHeight="1">
      <c r="A835" s="413">
        <v>1</v>
      </c>
      <c r="B835" s="147" t="s">
        <v>1153</v>
      </c>
      <c r="C835" s="147"/>
      <c r="D835" s="147"/>
      <c r="E835" s="147"/>
      <c r="F835" s="147"/>
      <c r="G835" s="147"/>
      <c r="H835" s="147"/>
      <c r="I835" s="147"/>
      <c r="J835" s="147"/>
      <c r="K835" s="147"/>
      <c r="L835" s="147"/>
      <c r="M835" s="147"/>
      <c r="N835" s="147"/>
      <c r="O835" s="147"/>
      <c r="P835" s="147"/>
      <c r="Q835" s="147"/>
      <c r="R835" s="147"/>
      <c r="S835" s="147"/>
      <c r="T835" s="329"/>
    </row>
    <row r="836" spans="1:21" ht="24.95" customHeight="1">
      <c r="A836" s="155" t="s">
        <v>1731</v>
      </c>
      <c r="B836" s="147" t="s">
        <v>1153</v>
      </c>
      <c r="C836" s="147" t="s">
        <v>3030</v>
      </c>
      <c r="D836" s="147" t="s">
        <v>1477</v>
      </c>
      <c r="E836" s="147">
        <v>1</v>
      </c>
      <c r="F836" s="147"/>
      <c r="G836" s="147" t="s">
        <v>32</v>
      </c>
      <c r="H836" s="105" t="s">
        <v>41</v>
      </c>
      <c r="I836" s="147"/>
      <c r="J836" s="147"/>
      <c r="K836" s="140" t="s">
        <v>3031</v>
      </c>
      <c r="L836" s="147">
        <v>585000</v>
      </c>
      <c r="M836" s="147">
        <v>175500</v>
      </c>
      <c r="N836" s="493">
        <v>42495</v>
      </c>
      <c r="O836" s="147" t="s">
        <v>3032</v>
      </c>
      <c r="P836" s="147" t="s">
        <v>2153</v>
      </c>
      <c r="Q836" s="356">
        <v>13546718283</v>
      </c>
      <c r="R836" s="147" t="s">
        <v>2480</v>
      </c>
      <c r="S836" s="147" t="s">
        <v>1736</v>
      </c>
      <c r="T836" s="329"/>
    </row>
    <row r="837" spans="1:21" ht="24.95" customHeight="1">
      <c r="A837" s="155" t="s">
        <v>1737</v>
      </c>
      <c r="B837" s="147" t="s">
        <v>1153</v>
      </c>
      <c r="C837" s="147" t="s">
        <v>3030</v>
      </c>
      <c r="D837" s="147" t="s">
        <v>1477</v>
      </c>
      <c r="E837" s="147">
        <v>1</v>
      </c>
      <c r="F837" s="147"/>
      <c r="G837" s="147" t="s">
        <v>32</v>
      </c>
      <c r="H837" s="105" t="s">
        <v>41</v>
      </c>
      <c r="I837" s="147"/>
      <c r="J837" s="147"/>
      <c r="K837" s="140" t="s">
        <v>3033</v>
      </c>
      <c r="L837" s="147">
        <v>525000</v>
      </c>
      <c r="M837" s="147">
        <v>157500</v>
      </c>
      <c r="N837" s="493">
        <v>42554</v>
      </c>
      <c r="O837" s="147" t="s">
        <v>3034</v>
      </c>
      <c r="P837" s="147" t="s">
        <v>2153</v>
      </c>
      <c r="Q837" s="356">
        <v>13546718283</v>
      </c>
      <c r="R837" s="147" t="s">
        <v>2480</v>
      </c>
      <c r="S837" s="147" t="s">
        <v>1736</v>
      </c>
      <c r="T837" s="329"/>
    </row>
    <row r="838" spans="1:21" ht="24.95" customHeight="1">
      <c r="A838" s="155" t="s">
        <v>1740</v>
      </c>
      <c r="B838" s="147" t="s">
        <v>1153</v>
      </c>
      <c r="C838" s="147" t="s">
        <v>3030</v>
      </c>
      <c r="D838" s="147" t="s">
        <v>1477</v>
      </c>
      <c r="E838" s="147">
        <v>1</v>
      </c>
      <c r="F838" s="147"/>
      <c r="G838" s="147" t="s">
        <v>32</v>
      </c>
      <c r="H838" s="105" t="s">
        <v>41</v>
      </c>
      <c r="I838" s="147"/>
      <c r="J838" s="147"/>
      <c r="K838" s="140" t="s">
        <v>3033</v>
      </c>
      <c r="L838" s="147">
        <v>525000</v>
      </c>
      <c r="M838" s="147">
        <v>157500</v>
      </c>
      <c r="N838" s="493">
        <v>42675</v>
      </c>
      <c r="O838" s="147" t="s">
        <v>3035</v>
      </c>
      <c r="P838" s="147" t="s">
        <v>2153</v>
      </c>
      <c r="Q838" s="356">
        <v>13546718283</v>
      </c>
      <c r="R838" s="147" t="s">
        <v>2480</v>
      </c>
      <c r="S838" s="147" t="s">
        <v>1736</v>
      </c>
      <c r="T838" s="329"/>
    </row>
    <row r="839" spans="1:21" ht="24.95" customHeight="1">
      <c r="A839" s="155" t="s">
        <v>1742</v>
      </c>
      <c r="B839" s="147" t="s">
        <v>1153</v>
      </c>
      <c r="C839" s="147" t="s">
        <v>3030</v>
      </c>
      <c r="D839" s="147" t="s">
        <v>1477</v>
      </c>
      <c r="E839" s="147">
        <v>1</v>
      </c>
      <c r="F839" s="147"/>
      <c r="G839" s="147" t="s">
        <v>32</v>
      </c>
      <c r="H839" s="105" t="s">
        <v>41</v>
      </c>
      <c r="I839" s="147"/>
      <c r="J839" s="147"/>
      <c r="K839" s="140" t="s">
        <v>52</v>
      </c>
      <c r="L839" s="147">
        <v>474700</v>
      </c>
      <c r="M839" s="147">
        <v>142410</v>
      </c>
      <c r="N839" s="493">
        <v>42979</v>
      </c>
      <c r="O839" s="147" t="s">
        <v>3036</v>
      </c>
      <c r="P839" s="147" t="s">
        <v>2153</v>
      </c>
      <c r="Q839" s="356">
        <v>13546718283</v>
      </c>
      <c r="R839" s="147" t="s">
        <v>2480</v>
      </c>
      <c r="S839" s="147" t="s">
        <v>1736</v>
      </c>
      <c r="T839" s="329"/>
    </row>
    <row r="840" spans="1:21" ht="24.95" customHeight="1">
      <c r="A840" s="155" t="s">
        <v>1745</v>
      </c>
      <c r="B840" s="494" t="s">
        <v>1153</v>
      </c>
      <c r="C840" s="494" t="s">
        <v>3037</v>
      </c>
      <c r="D840" s="147" t="s">
        <v>1477</v>
      </c>
      <c r="E840" s="147">
        <v>1</v>
      </c>
      <c r="F840" s="147"/>
      <c r="G840" s="147" t="s">
        <v>32</v>
      </c>
      <c r="H840" s="105" t="s">
        <v>33</v>
      </c>
      <c r="I840" s="147"/>
      <c r="J840" s="147"/>
      <c r="K840" s="140" t="s">
        <v>3033</v>
      </c>
      <c r="L840" s="247">
        <v>175500</v>
      </c>
      <c r="M840" s="247">
        <v>175500</v>
      </c>
      <c r="N840" s="493" t="s">
        <v>3038</v>
      </c>
      <c r="O840" s="243" t="s">
        <v>3039</v>
      </c>
      <c r="P840" s="147" t="s">
        <v>2189</v>
      </c>
      <c r="Q840" s="243">
        <v>18903416067</v>
      </c>
      <c r="R840" s="147" t="s">
        <v>2190</v>
      </c>
      <c r="S840" s="147" t="s">
        <v>1736</v>
      </c>
      <c r="T840" s="238" t="s">
        <v>3040</v>
      </c>
    </row>
    <row r="841" spans="1:21" ht="24.95" customHeight="1">
      <c r="A841" s="155" t="s">
        <v>1747</v>
      </c>
      <c r="B841" s="468" t="s">
        <v>3041</v>
      </c>
      <c r="C841" s="495" t="s">
        <v>3042</v>
      </c>
      <c r="D841" s="468" t="s">
        <v>131</v>
      </c>
      <c r="E841" s="150">
        <v>2</v>
      </c>
      <c r="F841" s="150">
        <v>211</v>
      </c>
      <c r="G841" s="174" t="s">
        <v>32</v>
      </c>
      <c r="H841" s="105" t="s">
        <v>33</v>
      </c>
      <c r="I841" s="147"/>
      <c r="J841" s="147"/>
      <c r="K841" s="496" t="s">
        <v>2353</v>
      </c>
      <c r="L841" s="497">
        <v>2279596.2000000002</v>
      </c>
      <c r="M841" s="400">
        <v>1880666.87</v>
      </c>
      <c r="N841" s="214">
        <v>2020.9</v>
      </c>
      <c r="O841" s="243" t="s">
        <v>3043</v>
      </c>
      <c r="P841" s="147" t="s">
        <v>1933</v>
      </c>
      <c r="Q841" s="498">
        <v>15034441008</v>
      </c>
      <c r="R841" s="243" t="s">
        <v>3043</v>
      </c>
      <c r="S841" s="147" t="s">
        <v>1736</v>
      </c>
      <c r="T841" s="238"/>
    </row>
    <row r="842" spans="1:21" ht="24.95" customHeight="1">
      <c r="A842" s="155" t="s">
        <v>1748</v>
      </c>
      <c r="B842" s="450" t="s">
        <v>3044</v>
      </c>
      <c r="C842" s="450" t="s">
        <v>3045</v>
      </c>
      <c r="D842" s="450" t="s">
        <v>62</v>
      </c>
      <c r="E842" s="329"/>
      <c r="F842" s="469">
        <v>11.22</v>
      </c>
      <c r="G842" s="214" t="s">
        <v>32</v>
      </c>
      <c r="H842" s="214" t="s">
        <v>33</v>
      </c>
      <c r="I842" s="329"/>
      <c r="J842" s="329"/>
      <c r="K842" s="329"/>
      <c r="L842" s="469">
        <v>42298.41</v>
      </c>
      <c r="M842" s="400">
        <v>25643.41</v>
      </c>
      <c r="N842" s="214">
        <v>2020.9</v>
      </c>
      <c r="O842" s="364" t="s">
        <v>2973</v>
      </c>
      <c r="P842" s="214" t="s">
        <v>1933</v>
      </c>
      <c r="Q842" s="470">
        <v>15034441008</v>
      </c>
      <c r="R842" s="214" t="s">
        <v>2974</v>
      </c>
      <c r="S842" s="147"/>
      <c r="T842" s="238"/>
    </row>
    <row r="843" spans="1:21" ht="24.95" customHeight="1">
      <c r="A843" s="155" t="s">
        <v>1751</v>
      </c>
      <c r="B843" s="355" t="s">
        <v>1153</v>
      </c>
      <c r="C843" s="355" t="s">
        <v>3046</v>
      </c>
      <c r="D843" s="355" t="s">
        <v>62</v>
      </c>
      <c r="E843" s="358">
        <v>1</v>
      </c>
      <c r="F843" s="499">
        <v>2</v>
      </c>
      <c r="G843" s="218" t="s">
        <v>32</v>
      </c>
      <c r="H843" s="218" t="s">
        <v>33</v>
      </c>
      <c r="I843" s="358"/>
      <c r="J843" s="358"/>
      <c r="K843" s="358"/>
      <c r="L843" s="469">
        <v>1247787.61061947</v>
      </c>
      <c r="M843" s="500">
        <v>1039660.53650442</v>
      </c>
      <c r="N843" s="501">
        <v>44491</v>
      </c>
      <c r="O843" s="390" t="s">
        <v>3047</v>
      </c>
      <c r="P843" s="218" t="s">
        <v>1974</v>
      </c>
      <c r="Q843" s="391">
        <v>15103501536</v>
      </c>
      <c r="R843" s="218" t="s">
        <v>1975</v>
      </c>
      <c r="S843" s="356" t="s">
        <v>1976</v>
      </c>
      <c r="T843" s="445"/>
      <c r="U843" s="502"/>
    </row>
    <row r="844" spans="1:21" ht="24.95" customHeight="1">
      <c r="A844" s="155" t="s">
        <v>1752</v>
      </c>
      <c r="B844" s="355" t="s">
        <v>3048</v>
      </c>
      <c r="C844" s="355" t="s">
        <v>3049</v>
      </c>
      <c r="D844" s="355" t="s">
        <v>62</v>
      </c>
      <c r="E844" s="358">
        <v>1</v>
      </c>
      <c r="F844" s="389">
        <v>56</v>
      </c>
      <c r="G844" s="218" t="s">
        <v>32</v>
      </c>
      <c r="H844" s="218" t="s">
        <v>33</v>
      </c>
      <c r="I844" s="358"/>
      <c r="J844" s="358"/>
      <c r="K844" s="358"/>
      <c r="L844" s="469">
        <v>1136.633663368</v>
      </c>
      <c r="M844" s="500">
        <v>947.04672029841595</v>
      </c>
      <c r="N844" s="501">
        <v>44496</v>
      </c>
      <c r="O844" s="390" t="s">
        <v>3047</v>
      </c>
      <c r="P844" s="218" t="s">
        <v>1974</v>
      </c>
      <c r="Q844" s="391">
        <v>15103501536</v>
      </c>
      <c r="R844" s="218" t="s">
        <v>1975</v>
      </c>
      <c r="S844" s="356" t="s">
        <v>1976</v>
      </c>
      <c r="T844" s="445"/>
      <c r="U844" s="502"/>
    </row>
    <row r="845" spans="1:21" ht="24.95" customHeight="1">
      <c r="A845" s="155" t="s">
        <v>1753</v>
      </c>
      <c r="B845" s="355" t="s">
        <v>3050</v>
      </c>
      <c r="C845" s="355" t="s">
        <v>835</v>
      </c>
      <c r="D845" s="355" t="s">
        <v>62</v>
      </c>
      <c r="E845" s="358" t="s">
        <v>3051</v>
      </c>
      <c r="F845" s="389">
        <v>224</v>
      </c>
      <c r="G845" s="218" t="s">
        <v>32</v>
      </c>
      <c r="H845" s="218" t="s">
        <v>33</v>
      </c>
      <c r="I845" s="358"/>
      <c r="J845" s="358"/>
      <c r="K845" s="358"/>
      <c r="L845" s="469">
        <v>5655.445544448</v>
      </c>
      <c r="M845" s="500">
        <v>4712.1349009014002</v>
      </c>
      <c r="N845" s="501">
        <v>44496</v>
      </c>
      <c r="O845" s="390" t="s">
        <v>3047</v>
      </c>
      <c r="P845" s="218" t="s">
        <v>1974</v>
      </c>
      <c r="Q845" s="391">
        <v>15103501536</v>
      </c>
      <c r="R845" s="218" t="s">
        <v>1975</v>
      </c>
      <c r="S845" s="356" t="s">
        <v>1976</v>
      </c>
      <c r="T845" s="445"/>
      <c r="U845" s="502"/>
    </row>
    <row r="846" spans="1:21" ht="24.95" customHeight="1">
      <c r="A846" s="155" t="s">
        <v>1758</v>
      </c>
      <c r="B846" s="355" t="s">
        <v>3052</v>
      </c>
      <c r="C846" s="355" t="s">
        <v>34</v>
      </c>
      <c r="D846" s="355" t="s">
        <v>62</v>
      </c>
      <c r="E846" s="445" t="s">
        <v>79</v>
      </c>
      <c r="F846" s="389">
        <v>2</v>
      </c>
      <c r="G846" s="218" t="s">
        <v>32</v>
      </c>
      <c r="H846" s="218" t="s">
        <v>33</v>
      </c>
      <c r="I846" s="358"/>
      <c r="J846" s="358"/>
      <c r="K846" s="358"/>
      <c r="L846" s="469">
        <v>40488.495575221197</v>
      </c>
      <c r="M846" s="500">
        <v>33735.141039823</v>
      </c>
      <c r="N846" s="501">
        <v>44472</v>
      </c>
      <c r="O846" s="390" t="s">
        <v>3047</v>
      </c>
      <c r="P846" s="218" t="s">
        <v>1974</v>
      </c>
      <c r="Q846" s="391">
        <v>15103501536</v>
      </c>
      <c r="R846" s="218" t="s">
        <v>1975</v>
      </c>
      <c r="S846" s="356" t="s">
        <v>1976</v>
      </c>
      <c r="T846" s="445"/>
      <c r="U846" s="502"/>
    </row>
    <row r="847" spans="1:21" ht="24.95" customHeight="1">
      <c r="A847" s="413">
        <v>2</v>
      </c>
      <c r="B847" s="147" t="s">
        <v>1158</v>
      </c>
      <c r="C847" s="147"/>
      <c r="D847" s="147"/>
      <c r="E847" s="147"/>
      <c r="F847" s="147"/>
      <c r="G847" s="147"/>
      <c r="H847" s="147"/>
      <c r="I847" s="147"/>
      <c r="J847" s="147"/>
      <c r="K847" s="147"/>
      <c r="L847" s="147"/>
      <c r="M847" s="147"/>
      <c r="N847" s="503"/>
      <c r="O847" s="147"/>
      <c r="P847" s="147"/>
      <c r="Q847" s="147"/>
      <c r="R847" s="147"/>
      <c r="S847" s="147"/>
      <c r="T847" s="329"/>
    </row>
    <row r="848" spans="1:21" ht="24.95" customHeight="1">
      <c r="A848" s="330" t="s">
        <v>1159</v>
      </c>
      <c r="B848" s="328" t="s">
        <v>1160</v>
      </c>
      <c r="C848" s="147"/>
      <c r="D848" s="147"/>
      <c r="E848" s="147"/>
      <c r="F848" s="147"/>
      <c r="G848" s="147"/>
      <c r="H848" s="147"/>
      <c r="I848" s="147"/>
      <c r="J848" s="147"/>
      <c r="K848" s="147"/>
      <c r="L848" s="147"/>
      <c r="M848" s="147"/>
      <c r="N848" s="147"/>
      <c r="O848" s="147"/>
      <c r="P848" s="147"/>
      <c r="Q848" s="147"/>
      <c r="R848" s="147"/>
      <c r="S848" s="147"/>
      <c r="T848" s="329"/>
    </row>
    <row r="849" spans="1:20" ht="24.95" customHeight="1">
      <c r="A849" s="413">
        <v>1</v>
      </c>
      <c r="B849" s="147" t="s">
        <v>1161</v>
      </c>
      <c r="C849" s="147"/>
      <c r="D849" s="147"/>
      <c r="E849" s="147"/>
      <c r="F849" s="147"/>
      <c r="G849" s="147"/>
      <c r="H849" s="147"/>
      <c r="I849" s="147"/>
      <c r="J849" s="147"/>
      <c r="K849" s="147"/>
      <c r="L849" s="147"/>
      <c r="M849" s="147"/>
      <c r="N849" s="147"/>
      <c r="O849" s="147"/>
      <c r="P849" s="147"/>
      <c r="Q849" s="147"/>
      <c r="R849" s="147"/>
      <c r="S849" s="147"/>
      <c r="T849" s="329"/>
    </row>
    <row r="850" spans="1:20" ht="24.95" customHeight="1">
      <c r="A850" s="351">
        <v>1.1000000000000001</v>
      </c>
      <c r="B850" s="504" t="s">
        <v>3053</v>
      </c>
      <c r="C850" s="504" t="s">
        <v>3054</v>
      </c>
      <c r="D850" s="504" t="s">
        <v>888</v>
      </c>
      <c r="E850" s="168"/>
      <c r="F850" s="400">
        <v>3371.97</v>
      </c>
      <c r="G850" s="168" t="s">
        <v>32</v>
      </c>
      <c r="H850" s="168" t="s">
        <v>33</v>
      </c>
      <c r="I850" s="168"/>
      <c r="J850" s="168"/>
      <c r="K850" s="168" t="s">
        <v>3055</v>
      </c>
      <c r="L850" s="400">
        <v>495351.35</v>
      </c>
      <c r="M850" s="400">
        <v>247675.67</v>
      </c>
      <c r="N850" s="155">
        <v>2020.9</v>
      </c>
      <c r="O850" s="174" t="s">
        <v>2973</v>
      </c>
      <c r="P850" s="168" t="s">
        <v>1933</v>
      </c>
      <c r="Q850" s="168">
        <v>18335403600</v>
      </c>
      <c r="R850" s="168" t="s">
        <v>1934</v>
      </c>
      <c r="S850" s="168" t="s">
        <v>1736</v>
      </c>
      <c r="T850" s="168"/>
    </row>
    <row r="851" spans="1:20" ht="24.95" customHeight="1">
      <c r="A851" s="351">
        <v>1.2</v>
      </c>
      <c r="B851" s="504" t="s">
        <v>3056</v>
      </c>
      <c r="C851" s="504" t="s">
        <v>3054</v>
      </c>
      <c r="D851" s="504" t="s">
        <v>888</v>
      </c>
      <c r="E851" s="168"/>
      <c r="F851" s="400">
        <v>3098.93</v>
      </c>
      <c r="G851" s="168" t="s">
        <v>32</v>
      </c>
      <c r="H851" s="168" t="s">
        <v>33</v>
      </c>
      <c r="I851" s="168"/>
      <c r="J851" s="168"/>
      <c r="K851" s="168" t="s">
        <v>3055</v>
      </c>
      <c r="L851" s="400">
        <v>172772.2</v>
      </c>
      <c r="M851" s="400">
        <v>86386.1</v>
      </c>
      <c r="N851" s="155">
        <v>2020.9</v>
      </c>
      <c r="O851" s="174" t="s">
        <v>2973</v>
      </c>
      <c r="P851" s="168" t="s">
        <v>1933</v>
      </c>
      <c r="Q851" s="168">
        <v>18335403600</v>
      </c>
      <c r="R851" s="168" t="s">
        <v>1934</v>
      </c>
      <c r="S851" s="168" t="s">
        <v>1736</v>
      </c>
      <c r="T851" s="168"/>
    </row>
    <row r="852" spans="1:20" ht="24.95" customHeight="1">
      <c r="A852" s="351">
        <v>1.3</v>
      </c>
      <c r="B852" s="504" t="s">
        <v>1391</v>
      </c>
      <c r="C852" s="504" t="s">
        <v>3057</v>
      </c>
      <c r="D852" s="504" t="s">
        <v>888</v>
      </c>
      <c r="E852" s="168"/>
      <c r="F852" s="400">
        <v>106</v>
      </c>
      <c r="G852" s="168" t="s">
        <v>32</v>
      </c>
      <c r="H852" s="168" t="s">
        <v>33</v>
      </c>
      <c r="I852" s="168"/>
      <c r="J852" s="168"/>
      <c r="K852" s="168" t="s">
        <v>3055</v>
      </c>
      <c r="L852" s="400">
        <v>44651.33</v>
      </c>
      <c r="M852" s="400">
        <v>22325.66</v>
      </c>
      <c r="N852" s="155">
        <v>2020.9</v>
      </c>
      <c r="O852" s="174" t="s">
        <v>2973</v>
      </c>
      <c r="P852" s="168" t="s">
        <v>1933</v>
      </c>
      <c r="Q852" s="168">
        <v>18335403600</v>
      </c>
      <c r="R852" s="168" t="s">
        <v>1934</v>
      </c>
      <c r="S852" s="168" t="s">
        <v>1736</v>
      </c>
      <c r="T852" s="168"/>
    </row>
    <row r="853" spans="1:20" ht="24.95" customHeight="1">
      <c r="A853" s="351">
        <v>1.4</v>
      </c>
      <c r="B853" s="504" t="s">
        <v>1391</v>
      </c>
      <c r="C853" s="504" t="s">
        <v>3058</v>
      </c>
      <c r="D853" s="504" t="s">
        <v>888</v>
      </c>
      <c r="E853" s="168"/>
      <c r="F853" s="400">
        <v>1011.38</v>
      </c>
      <c r="G853" s="168" t="s">
        <v>32</v>
      </c>
      <c r="H853" s="168" t="s">
        <v>33</v>
      </c>
      <c r="I853" s="168"/>
      <c r="J853" s="168"/>
      <c r="K853" s="168" t="s">
        <v>3055</v>
      </c>
      <c r="L853" s="400">
        <v>322209.56</v>
      </c>
      <c r="M853" s="400">
        <v>161104.78</v>
      </c>
      <c r="N853" s="155">
        <v>2020.9</v>
      </c>
      <c r="O853" s="174" t="s">
        <v>2973</v>
      </c>
      <c r="P853" s="168" t="s">
        <v>1933</v>
      </c>
      <c r="Q853" s="168">
        <v>18335403600</v>
      </c>
      <c r="R853" s="168" t="s">
        <v>1934</v>
      </c>
      <c r="S853" s="168" t="s">
        <v>1736</v>
      </c>
      <c r="T853" s="168"/>
    </row>
    <row r="854" spans="1:20" ht="24.95" customHeight="1">
      <c r="A854" s="351">
        <v>1.5</v>
      </c>
      <c r="B854" s="504" t="s">
        <v>3059</v>
      </c>
      <c r="C854" s="504" t="s">
        <v>3060</v>
      </c>
      <c r="D854" s="504" t="s">
        <v>3061</v>
      </c>
      <c r="E854" s="168"/>
      <c r="F854" s="400">
        <v>6169.24</v>
      </c>
      <c r="G854" s="168" t="s">
        <v>32</v>
      </c>
      <c r="H854" s="168" t="s">
        <v>33</v>
      </c>
      <c r="I854" s="168"/>
      <c r="J854" s="168"/>
      <c r="K854" s="168" t="s">
        <v>3062</v>
      </c>
      <c r="L854" s="400">
        <v>436760.35</v>
      </c>
      <c r="M854" s="400">
        <v>218380.17</v>
      </c>
      <c r="N854" s="155">
        <v>2020.9</v>
      </c>
      <c r="O854" s="174" t="s">
        <v>2973</v>
      </c>
      <c r="P854" s="168" t="s">
        <v>1933</v>
      </c>
      <c r="Q854" s="168">
        <v>18335403600</v>
      </c>
      <c r="R854" s="168" t="s">
        <v>1934</v>
      </c>
      <c r="S854" s="168" t="s">
        <v>1736</v>
      </c>
      <c r="T854" s="168"/>
    </row>
    <row r="855" spans="1:20" ht="24.95" customHeight="1">
      <c r="A855" s="351">
        <v>1.6</v>
      </c>
      <c r="B855" s="504" t="s">
        <v>3063</v>
      </c>
      <c r="C855" s="504" t="s">
        <v>3064</v>
      </c>
      <c r="D855" s="504" t="s">
        <v>3061</v>
      </c>
      <c r="E855" s="168"/>
      <c r="F855" s="400">
        <v>20</v>
      </c>
      <c r="G855" s="168" t="s">
        <v>32</v>
      </c>
      <c r="H855" s="168" t="s">
        <v>33</v>
      </c>
      <c r="I855" s="168"/>
      <c r="J855" s="168"/>
      <c r="K855" s="168" t="s">
        <v>3062</v>
      </c>
      <c r="L855" s="400">
        <v>6725.66</v>
      </c>
      <c r="M855" s="400">
        <v>3362.83</v>
      </c>
      <c r="N855" s="155">
        <v>2020.9</v>
      </c>
      <c r="O855" s="174" t="s">
        <v>2973</v>
      </c>
      <c r="P855" s="168" t="s">
        <v>1933</v>
      </c>
      <c r="Q855" s="168">
        <v>18335403600</v>
      </c>
      <c r="R855" s="168" t="s">
        <v>1934</v>
      </c>
      <c r="S855" s="168" t="s">
        <v>1736</v>
      </c>
      <c r="T855" s="168"/>
    </row>
    <row r="856" spans="1:20" ht="24.95" customHeight="1">
      <c r="A856" s="351">
        <v>1.7</v>
      </c>
      <c r="B856" s="504" t="s">
        <v>3065</v>
      </c>
      <c r="C856" s="504" t="s">
        <v>3066</v>
      </c>
      <c r="D856" s="504" t="s">
        <v>3061</v>
      </c>
      <c r="E856" s="168"/>
      <c r="F856" s="400">
        <v>249</v>
      </c>
      <c r="G856" s="168" t="s">
        <v>32</v>
      </c>
      <c r="H856" s="168" t="s">
        <v>33</v>
      </c>
      <c r="I856" s="168"/>
      <c r="J856" s="168"/>
      <c r="K856" s="168" t="s">
        <v>3062</v>
      </c>
      <c r="L856" s="400">
        <v>52884.959999999999</v>
      </c>
      <c r="M856" s="400">
        <v>26442.48</v>
      </c>
      <c r="N856" s="155">
        <v>2020.9</v>
      </c>
      <c r="O856" s="174" t="s">
        <v>2973</v>
      </c>
      <c r="P856" s="168" t="s">
        <v>1933</v>
      </c>
      <c r="Q856" s="168">
        <v>18335403600</v>
      </c>
      <c r="R856" s="168" t="s">
        <v>1934</v>
      </c>
      <c r="S856" s="168" t="s">
        <v>1736</v>
      </c>
      <c r="T856" s="168"/>
    </row>
    <row r="857" spans="1:20" ht="24.95" customHeight="1">
      <c r="A857" s="351">
        <v>1.8</v>
      </c>
      <c r="B857" s="504" t="s">
        <v>3067</v>
      </c>
      <c r="C857" s="504" t="s">
        <v>3068</v>
      </c>
      <c r="D857" s="504" t="s">
        <v>888</v>
      </c>
      <c r="E857" s="168"/>
      <c r="F857" s="400">
        <v>556</v>
      </c>
      <c r="G857" s="168" t="s">
        <v>32</v>
      </c>
      <c r="H857" s="168" t="s">
        <v>33</v>
      </c>
      <c r="I857" s="168"/>
      <c r="J857" s="168"/>
      <c r="K857" s="168" t="s">
        <v>3062</v>
      </c>
      <c r="L857" s="400">
        <v>442831.85</v>
      </c>
      <c r="M857" s="400">
        <v>221415.93</v>
      </c>
      <c r="N857" s="155">
        <v>2020.9</v>
      </c>
      <c r="O857" s="174" t="s">
        <v>2973</v>
      </c>
      <c r="P857" s="168" t="s">
        <v>1933</v>
      </c>
      <c r="Q857" s="168">
        <v>18335403600</v>
      </c>
      <c r="R857" s="168" t="s">
        <v>1934</v>
      </c>
      <c r="S857" s="168" t="s">
        <v>1736</v>
      </c>
      <c r="T857" s="168"/>
    </row>
    <row r="858" spans="1:20" ht="24.95" customHeight="1">
      <c r="A858" s="442">
        <v>1.9</v>
      </c>
      <c r="B858" s="504" t="s">
        <v>3069</v>
      </c>
      <c r="C858" s="504" t="s">
        <v>3070</v>
      </c>
      <c r="D858" s="504" t="s">
        <v>888</v>
      </c>
      <c r="E858" s="168"/>
      <c r="F858" s="400">
        <v>43.2</v>
      </c>
      <c r="G858" s="168" t="s">
        <v>32</v>
      </c>
      <c r="H858" s="168" t="s">
        <v>33</v>
      </c>
      <c r="I858" s="168"/>
      <c r="J858" s="168"/>
      <c r="K858" s="168" t="s">
        <v>3062</v>
      </c>
      <c r="L858" s="400">
        <v>16056.64</v>
      </c>
      <c r="M858" s="400">
        <v>8028.32</v>
      </c>
      <c r="N858" s="155">
        <v>2020.9</v>
      </c>
      <c r="O858" s="174" t="s">
        <v>2973</v>
      </c>
      <c r="P858" s="168" t="s">
        <v>1933</v>
      </c>
      <c r="Q858" s="168">
        <v>18335403600</v>
      </c>
      <c r="R858" s="168" t="s">
        <v>1934</v>
      </c>
      <c r="S858" s="168" t="s">
        <v>1736</v>
      </c>
      <c r="T858" s="168"/>
    </row>
    <row r="859" spans="1:20" ht="24.95" customHeight="1">
      <c r="A859" s="442" t="s">
        <v>1753</v>
      </c>
      <c r="B859" s="504" t="s">
        <v>3071</v>
      </c>
      <c r="C859" s="504" t="s">
        <v>3072</v>
      </c>
      <c r="D859" s="504" t="s">
        <v>888</v>
      </c>
      <c r="E859" s="168"/>
      <c r="F859" s="400">
        <v>856.3</v>
      </c>
      <c r="G859" s="168" t="s">
        <v>32</v>
      </c>
      <c r="H859" s="168" t="s">
        <v>33</v>
      </c>
      <c r="I859" s="168"/>
      <c r="J859" s="168"/>
      <c r="K859" s="168" t="s">
        <v>3062</v>
      </c>
      <c r="L859" s="400">
        <v>132612.82999999999</v>
      </c>
      <c r="M859" s="400">
        <v>66306.42</v>
      </c>
      <c r="N859" s="155">
        <v>2020.9</v>
      </c>
      <c r="O859" s="174" t="s">
        <v>2973</v>
      </c>
      <c r="P859" s="168" t="s">
        <v>1933</v>
      </c>
      <c r="Q859" s="168">
        <v>18335403600</v>
      </c>
      <c r="R859" s="168" t="s">
        <v>1934</v>
      </c>
      <c r="S859" s="168" t="s">
        <v>1736</v>
      </c>
      <c r="T859" s="168"/>
    </row>
    <row r="860" spans="1:20" ht="24.95" customHeight="1">
      <c r="A860" s="442" t="s">
        <v>1758</v>
      </c>
      <c r="B860" s="504" t="s">
        <v>3073</v>
      </c>
      <c r="C860" s="504" t="s">
        <v>3068</v>
      </c>
      <c r="D860" s="504" t="s">
        <v>888</v>
      </c>
      <c r="E860" s="168"/>
      <c r="F860" s="400">
        <v>300.3</v>
      </c>
      <c r="G860" s="168" t="s">
        <v>32</v>
      </c>
      <c r="H860" s="168" t="s">
        <v>33</v>
      </c>
      <c r="I860" s="168"/>
      <c r="J860" s="168"/>
      <c r="K860" s="168" t="s">
        <v>3062</v>
      </c>
      <c r="L860" s="400">
        <v>170081.41</v>
      </c>
      <c r="M860" s="400">
        <v>85040.71</v>
      </c>
      <c r="N860" s="155">
        <v>2020.9</v>
      </c>
      <c r="O860" s="174" t="s">
        <v>2973</v>
      </c>
      <c r="P860" s="168" t="s">
        <v>1933</v>
      </c>
      <c r="Q860" s="168">
        <v>18335403600</v>
      </c>
      <c r="R860" s="168" t="s">
        <v>1934</v>
      </c>
      <c r="S860" s="168" t="s">
        <v>1736</v>
      </c>
      <c r="T860" s="168"/>
    </row>
    <row r="861" spans="1:20" ht="24.95" customHeight="1">
      <c r="A861" s="442" t="s">
        <v>1767</v>
      </c>
      <c r="B861" s="504" t="s">
        <v>1391</v>
      </c>
      <c r="C861" s="504" t="s">
        <v>3074</v>
      </c>
      <c r="D861" s="504" t="s">
        <v>888</v>
      </c>
      <c r="E861" s="168"/>
      <c r="F861" s="400">
        <v>5194.01</v>
      </c>
      <c r="G861" s="168" t="s">
        <v>32</v>
      </c>
      <c r="H861" s="168" t="s">
        <v>33</v>
      </c>
      <c r="I861" s="168"/>
      <c r="J861" s="168"/>
      <c r="K861" s="168" t="s">
        <v>3062</v>
      </c>
      <c r="L861" s="400">
        <v>2941740.04</v>
      </c>
      <c r="M861" s="400">
        <v>1470870.02</v>
      </c>
      <c r="N861" s="155">
        <v>2020.9</v>
      </c>
      <c r="O861" s="174" t="s">
        <v>2973</v>
      </c>
      <c r="P861" s="168" t="s">
        <v>1933</v>
      </c>
      <c r="Q861" s="168">
        <v>18335403600</v>
      </c>
      <c r="R861" s="168" t="s">
        <v>1934</v>
      </c>
      <c r="S861" s="168" t="s">
        <v>1736</v>
      </c>
      <c r="T861" s="168"/>
    </row>
    <row r="862" spans="1:20" ht="24.95" customHeight="1">
      <c r="A862" s="442" t="s">
        <v>1769</v>
      </c>
      <c r="B862" s="504" t="s">
        <v>3075</v>
      </c>
      <c r="C862" s="504" t="s">
        <v>3074</v>
      </c>
      <c r="D862" s="504" t="s">
        <v>888</v>
      </c>
      <c r="E862" s="168"/>
      <c r="F862" s="400">
        <v>931.44</v>
      </c>
      <c r="G862" s="168" t="s">
        <v>32</v>
      </c>
      <c r="H862" s="168" t="s">
        <v>33</v>
      </c>
      <c r="I862" s="168"/>
      <c r="J862" s="168"/>
      <c r="K862" s="168" t="s">
        <v>3062</v>
      </c>
      <c r="L862" s="400">
        <v>181342.31</v>
      </c>
      <c r="M862" s="400">
        <v>90671.15</v>
      </c>
      <c r="N862" s="155">
        <v>2020.9</v>
      </c>
      <c r="O862" s="174" t="s">
        <v>2973</v>
      </c>
      <c r="P862" s="168" t="s">
        <v>1933</v>
      </c>
      <c r="Q862" s="168">
        <v>18335403600</v>
      </c>
      <c r="R862" s="168" t="s">
        <v>1934</v>
      </c>
      <c r="S862" s="168" t="s">
        <v>1736</v>
      </c>
      <c r="T862" s="168"/>
    </row>
    <row r="863" spans="1:20" ht="24.95" customHeight="1">
      <c r="A863" s="442" t="s">
        <v>1771</v>
      </c>
      <c r="B863" s="504" t="s">
        <v>3069</v>
      </c>
      <c r="C863" s="504" t="s">
        <v>3076</v>
      </c>
      <c r="D863" s="504" t="s">
        <v>888</v>
      </c>
      <c r="E863" s="168"/>
      <c r="F863" s="400">
        <v>971</v>
      </c>
      <c r="G863" s="168" t="s">
        <v>32</v>
      </c>
      <c r="H863" s="168" t="s">
        <v>33</v>
      </c>
      <c r="I863" s="168"/>
      <c r="J863" s="168"/>
      <c r="K863" s="168" t="s">
        <v>3062</v>
      </c>
      <c r="L863" s="400">
        <v>360902.65</v>
      </c>
      <c r="M863" s="400">
        <v>180451.33</v>
      </c>
      <c r="N863" s="155">
        <v>2020.9</v>
      </c>
      <c r="O863" s="174" t="s">
        <v>2973</v>
      </c>
      <c r="P863" s="168" t="s">
        <v>1933</v>
      </c>
      <c r="Q863" s="168">
        <v>18335403600</v>
      </c>
      <c r="R863" s="168" t="s">
        <v>1934</v>
      </c>
      <c r="S863" s="168" t="s">
        <v>1736</v>
      </c>
      <c r="T863" s="168"/>
    </row>
    <row r="864" spans="1:20" ht="24.95" customHeight="1">
      <c r="A864" s="442" t="s">
        <v>1773</v>
      </c>
      <c r="B864" s="504" t="s">
        <v>3077</v>
      </c>
      <c r="C864" s="504" t="s">
        <v>3078</v>
      </c>
      <c r="D864" s="504" t="s">
        <v>131</v>
      </c>
      <c r="E864" s="168"/>
      <c r="F864" s="400">
        <v>2</v>
      </c>
      <c r="G864" s="168" t="s">
        <v>32</v>
      </c>
      <c r="H864" s="168" t="s">
        <v>33</v>
      </c>
      <c r="I864" s="168"/>
      <c r="J864" s="168"/>
      <c r="K864" s="168" t="s">
        <v>3062</v>
      </c>
      <c r="L864" s="400">
        <v>31858.41</v>
      </c>
      <c r="M864" s="400">
        <v>17522.13</v>
      </c>
      <c r="N864" s="155">
        <v>2020.9</v>
      </c>
      <c r="O864" s="174" t="s">
        <v>2973</v>
      </c>
      <c r="P864" s="168" t="s">
        <v>1933</v>
      </c>
      <c r="Q864" s="168">
        <v>18335403600</v>
      </c>
      <c r="R864" s="168" t="s">
        <v>1934</v>
      </c>
      <c r="S864" s="168" t="s">
        <v>1736</v>
      </c>
      <c r="T864" s="168"/>
    </row>
    <row r="865" spans="1:20" ht="24.95" customHeight="1">
      <c r="A865" s="442" t="s">
        <v>1780</v>
      </c>
      <c r="B865" s="504" t="s">
        <v>3077</v>
      </c>
      <c r="C865" s="504" t="s">
        <v>3079</v>
      </c>
      <c r="D865" s="504" t="s">
        <v>131</v>
      </c>
      <c r="E865" s="168"/>
      <c r="F865" s="400">
        <v>1</v>
      </c>
      <c r="G865" s="168" t="s">
        <v>32</v>
      </c>
      <c r="H865" s="168" t="s">
        <v>33</v>
      </c>
      <c r="I865" s="168"/>
      <c r="J865" s="168"/>
      <c r="K865" s="168" t="s">
        <v>3062</v>
      </c>
      <c r="L865" s="400">
        <v>10619.47</v>
      </c>
      <c r="M865" s="400">
        <v>5840.71</v>
      </c>
      <c r="N865" s="155">
        <v>2020.9</v>
      </c>
      <c r="O865" s="174" t="s">
        <v>2973</v>
      </c>
      <c r="P865" s="168" t="s">
        <v>1933</v>
      </c>
      <c r="Q865" s="168">
        <v>18335403600</v>
      </c>
      <c r="R865" s="168" t="s">
        <v>1934</v>
      </c>
      <c r="S865" s="168" t="s">
        <v>1736</v>
      </c>
      <c r="T865" s="168"/>
    </row>
    <row r="866" spans="1:20" ht="24.95" customHeight="1">
      <c r="A866" s="442" t="s">
        <v>1783</v>
      </c>
      <c r="B866" s="504" t="s">
        <v>3080</v>
      </c>
      <c r="C866" s="504" t="s">
        <v>3076</v>
      </c>
      <c r="D866" s="504" t="s">
        <v>131</v>
      </c>
      <c r="E866" s="168"/>
      <c r="F866" s="400">
        <v>4</v>
      </c>
      <c r="G866" s="168" t="s">
        <v>32</v>
      </c>
      <c r="H866" s="168" t="s">
        <v>33</v>
      </c>
      <c r="I866" s="168"/>
      <c r="J866" s="168"/>
      <c r="K866" s="168" t="s">
        <v>3062</v>
      </c>
      <c r="L866" s="400">
        <v>21238.94</v>
      </c>
      <c r="M866" s="400">
        <v>10619.47</v>
      </c>
      <c r="N866" s="155">
        <v>2020.9</v>
      </c>
      <c r="O866" s="174" t="s">
        <v>2973</v>
      </c>
      <c r="P866" s="168" t="s">
        <v>1933</v>
      </c>
      <c r="Q866" s="168">
        <v>18335403600</v>
      </c>
      <c r="R866" s="168" t="s">
        <v>1934</v>
      </c>
      <c r="S866" s="168" t="s">
        <v>1736</v>
      </c>
      <c r="T866" s="168"/>
    </row>
    <row r="867" spans="1:20" ht="24.95" customHeight="1">
      <c r="A867" s="442" t="s">
        <v>1786</v>
      </c>
      <c r="B867" s="504" t="s">
        <v>3081</v>
      </c>
      <c r="C867" s="504" t="s">
        <v>1418</v>
      </c>
      <c r="D867" s="504" t="s">
        <v>3061</v>
      </c>
      <c r="E867" s="168"/>
      <c r="F867" s="400">
        <v>6460.05</v>
      </c>
      <c r="G867" s="168" t="s">
        <v>32</v>
      </c>
      <c r="H867" s="168" t="s">
        <v>33</v>
      </c>
      <c r="I867" s="168"/>
      <c r="J867" s="168"/>
      <c r="K867" s="168" t="s">
        <v>3062</v>
      </c>
      <c r="L867" s="400">
        <v>1034751.36</v>
      </c>
      <c r="M867" s="400">
        <v>517375.68</v>
      </c>
      <c r="N867" s="155">
        <v>2020.9</v>
      </c>
      <c r="O867" s="174" t="s">
        <v>2973</v>
      </c>
      <c r="P867" s="168" t="s">
        <v>1933</v>
      </c>
      <c r="Q867" s="168">
        <v>18335403600</v>
      </c>
      <c r="R867" s="168" t="s">
        <v>1934</v>
      </c>
      <c r="S867" s="168" t="s">
        <v>1736</v>
      </c>
      <c r="T867" s="168"/>
    </row>
    <row r="868" spans="1:20" ht="24.95" customHeight="1">
      <c r="A868" s="442" t="s">
        <v>1789</v>
      </c>
      <c r="B868" s="504" t="s">
        <v>3081</v>
      </c>
      <c r="C868" s="504" t="s">
        <v>3082</v>
      </c>
      <c r="D868" s="504" t="s">
        <v>3061</v>
      </c>
      <c r="E868" s="168"/>
      <c r="F868" s="400">
        <v>6126</v>
      </c>
      <c r="G868" s="168" t="s">
        <v>32</v>
      </c>
      <c r="H868" s="168" t="s">
        <v>33</v>
      </c>
      <c r="I868" s="168"/>
      <c r="J868" s="168"/>
      <c r="K868" s="168" t="s">
        <v>3062</v>
      </c>
      <c r="L868" s="400">
        <v>927031.9</v>
      </c>
      <c r="M868" s="400">
        <v>463515.94</v>
      </c>
      <c r="N868" s="155">
        <v>2020.9</v>
      </c>
      <c r="O868" s="174" t="s">
        <v>2973</v>
      </c>
      <c r="P868" s="168" t="s">
        <v>1933</v>
      </c>
      <c r="Q868" s="168">
        <v>18335403600</v>
      </c>
      <c r="R868" s="168" t="s">
        <v>1934</v>
      </c>
      <c r="S868" s="168" t="s">
        <v>1736</v>
      </c>
      <c r="T868" s="168"/>
    </row>
    <row r="869" spans="1:20" ht="24.95" customHeight="1">
      <c r="A869" s="442" t="s">
        <v>1796</v>
      </c>
      <c r="B869" s="504" t="s">
        <v>3083</v>
      </c>
      <c r="C869" s="504" t="s">
        <v>3054</v>
      </c>
      <c r="D869" s="504" t="s">
        <v>1369</v>
      </c>
      <c r="E869" s="168"/>
      <c r="F869" s="400">
        <v>498.52</v>
      </c>
      <c r="G869" s="168" t="s">
        <v>32</v>
      </c>
      <c r="H869" s="168" t="s">
        <v>33</v>
      </c>
      <c r="I869" s="168"/>
      <c r="J869" s="168"/>
      <c r="K869" s="168" t="s">
        <v>3055</v>
      </c>
      <c r="L869" s="400">
        <v>27793.59</v>
      </c>
      <c r="M869" s="400">
        <v>18529.060000000001</v>
      </c>
      <c r="N869" s="155">
        <v>2021.6</v>
      </c>
      <c r="O869" s="174" t="s">
        <v>2973</v>
      </c>
      <c r="P869" s="168" t="s">
        <v>1933</v>
      </c>
      <c r="Q869" s="168">
        <v>18335403600</v>
      </c>
      <c r="R869" s="168" t="s">
        <v>1934</v>
      </c>
      <c r="S869" s="168" t="s">
        <v>1736</v>
      </c>
      <c r="T869" s="168"/>
    </row>
    <row r="870" spans="1:20" ht="24.95" customHeight="1">
      <c r="A870" s="442" t="s">
        <v>1799</v>
      </c>
      <c r="B870" s="504" t="s">
        <v>3084</v>
      </c>
      <c r="C870" s="504" t="s">
        <v>3054</v>
      </c>
      <c r="D870" s="504" t="s">
        <v>1369</v>
      </c>
      <c r="E870" s="168"/>
      <c r="F870" s="400">
        <v>235.1</v>
      </c>
      <c r="G870" s="168" t="s">
        <v>32</v>
      </c>
      <c r="H870" s="168" t="s">
        <v>33</v>
      </c>
      <c r="I870" s="168"/>
      <c r="J870" s="168"/>
      <c r="K870" s="168" t="s">
        <v>3055</v>
      </c>
      <c r="L870" s="400">
        <v>13107.35</v>
      </c>
      <c r="M870" s="400">
        <v>8738.24</v>
      </c>
      <c r="N870" s="155">
        <v>2021.6</v>
      </c>
      <c r="O870" s="174" t="s">
        <v>2973</v>
      </c>
      <c r="P870" s="168" t="s">
        <v>1933</v>
      </c>
      <c r="Q870" s="168">
        <v>18335403600</v>
      </c>
      <c r="R870" s="168" t="s">
        <v>1934</v>
      </c>
      <c r="S870" s="168" t="s">
        <v>1736</v>
      </c>
      <c r="T870" s="168"/>
    </row>
    <row r="871" spans="1:20" ht="24.95" customHeight="1">
      <c r="A871" s="442" t="s">
        <v>1801</v>
      </c>
      <c r="B871" s="504" t="s">
        <v>3085</v>
      </c>
      <c r="C871" s="504" t="s">
        <v>3086</v>
      </c>
      <c r="D871" s="504" t="s">
        <v>1369</v>
      </c>
      <c r="E871" s="168"/>
      <c r="F871" s="400">
        <v>131.52000000000001</v>
      </c>
      <c r="G871" s="168" t="s">
        <v>32</v>
      </c>
      <c r="H871" s="168" t="s">
        <v>33</v>
      </c>
      <c r="I871" s="168"/>
      <c r="J871" s="168"/>
      <c r="K871" s="168" t="s">
        <v>3055</v>
      </c>
      <c r="L871" s="400">
        <v>27584.28</v>
      </c>
      <c r="M871" s="400">
        <v>18389.52</v>
      </c>
      <c r="N871" s="155">
        <v>2021.6</v>
      </c>
      <c r="O871" s="174" t="s">
        <v>2973</v>
      </c>
      <c r="P871" s="168" t="s">
        <v>1933</v>
      </c>
      <c r="Q871" s="168">
        <v>18335403600</v>
      </c>
      <c r="R871" s="168" t="s">
        <v>1934</v>
      </c>
      <c r="S871" s="168" t="s">
        <v>1736</v>
      </c>
      <c r="T871" s="168"/>
    </row>
    <row r="872" spans="1:20" ht="24.95" customHeight="1">
      <c r="A872" s="442" t="s">
        <v>1802</v>
      </c>
      <c r="B872" s="504" t="s">
        <v>3087</v>
      </c>
      <c r="C872" s="504" t="s">
        <v>3054</v>
      </c>
      <c r="D872" s="504" t="s">
        <v>1369</v>
      </c>
      <c r="E872" s="168"/>
      <c r="F872" s="400">
        <v>93.6</v>
      </c>
      <c r="G872" s="168" t="s">
        <v>32</v>
      </c>
      <c r="H872" s="168" t="s">
        <v>33</v>
      </c>
      <c r="I872" s="168"/>
      <c r="J872" s="168"/>
      <c r="K872" s="168" t="s">
        <v>3055</v>
      </c>
      <c r="L872" s="400">
        <v>5218.4065313327501</v>
      </c>
      <c r="M872" s="400">
        <v>3478.9365313327498</v>
      </c>
      <c r="N872" s="155">
        <v>2021.6</v>
      </c>
      <c r="O872" s="174" t="s">
        <v>2973</v>
      </c>
      <c r="P872" s="168" t="s">
        <v>1933</v>
      </c>
      <c r="Q872" s="168">
        <v>18335403600</v>
      </c>
      <c r="R872" s="168" t="s">
        <v>1934</v>
      </c>
      <c r="S872" s="168" t="s">
        <v>1736</v>
      </c>
      <c r="T872" s="168"/>
    </row>
    <row r="873" spans="1:20" ht="24.95" customHeight="1">
      <c r="A873" s="442" t="s">
        <v>1807</v>
      </c>
      <c r="B873" s="504" t="s">
        <v>3088</v>
      </c>
      <c r="C873" s="504" t="s">
        <v>3054</v>
      </c>
      <c r="D873" s="504" t="s">
        <v>1369</v>
      </c>
      <c r="E873" s="168"/>
      <c r="F873" s="400">
        <v>511.25</v>
      </c>
      <c r="G873" s="168" t="s">
        <v>32</v>
      </c>
      <c r="H873" s="168" t="s">
        <v>33</v>
      </c>
      <c r="I873" s="168"/>
      <c r="J873" s="168"/>
      <c r="K873" s="168" t="s">
        <v>3055</v>
      </c>
      <c r="L873" s="400">
        <v>75103.979999999894</v>
      </c>
      <c r="M873" s="400">
        <v>50069.319999999898</v>
      </c>
      <c r="N873" s="155">
        <v>2021.6</v>
      </c>
      <c r="O873" s="174" t="s">
        <v>2973</v>
      </c>
      <c r="P873" s="168" t="s">
        <v>1933</v>
      </c>
      <c r="Q873" s="168">
        <v>18335403600</v>
      </c>
      <c r="R873" s="168" t="s">
        <v>1934</v>
      </c>
      <c r="S873" s="168" t="s">
        <v>1736</v>
      </c>
      <c r="T873" s="168"/>
    </row>
    <row r="874" spans="1:20" ht="24.95" customHeight="1">
      <c r="A874" s="442" t="s">
        <v>2624</v>
      </c>
      <c r="B874" s="504" t="s">
        <v>1391</v>
      </c>
      <c r="C874" s="504" t="s">
        <v>3089</v>
      </c>
      <c r="D874" s="504" t="s">
        <v>1369</v>
      </c>
      <c r="E874" s="168"/>
      <c r="F874" s="400">
        <v>1939.16</v>
      </c>
      <c r="G874" s="168" t="s">
        <v>32</v>
      </c>
      <c r="H874" s="168" t="s">
        <v>33</v>
      </c>
      <c r="I874" s="168"/>
      <c r="J874" s="168"/>
      <c r="K874" s="168" t="s">
        <v>3055</v>
      </c>
      <c r="L874" s="400">
        <v>573167.65000000095</v>
      </c>
      <c r="M874" s="400">
        <v>382111.760000001</v>
      </c>
      <c r="N874" s="155">
        <v>2021.6</v>
      </c>
      <c r="O874" s="174" t="s">
        <v>2973</v>
      </c>
      <c r="P874" s="168" t="s">
        <v>1933</v>
      </c>
      <c r="Q874" s="168">
        <v>18335403600</v>
      </c>
      <c r="R874" s="168" t="s">
        <v>1934</v>
      </c>
      <c r="S874" s="168" t="s">
        <v>1736</v>
      </c>
      <c r="T874" s="168"/>
    </row>
    <row r="875" spans="1:20" ht="24.95" customHeight="1">
      <c r="A875" s="442" t="s">
        <v>1808</v>
      </c>
      <c r="B875" s="504" t="s">
        <v>3090</v>
      </c>
      <c r="C875" s="504" t="s">
        <v>3086</v>
      </c>
      <c r="D875" s="504" t="s">
        <v>1369</v>
      </c>
      <c r="E875" s="168"/>
      <c r="F875" s="400">
        <v>130.31</v>
      </c>
      <c r="G875" s="168" t="s">
        <v>32</v>
      </c>
      <c r="H875" s="168" t="s">
        <v>33</v>
      </c>
      <c r="I875" s="168"/>
      <c r="J875" s="168"/>
      <c r="K875" s="168" t="s">
        <v>3055</v>
      </c>
      <c r="L875" s="400">
        <v>27330.5</v>
      </c>
      <c r="M875" s="400">
        <v>18220.34</v>
      </c>
      <c r="N875" s="155">
        <v>2021.6</v>
      </c>
      <c r="O875" s="174" t="s">
        <v>2973</v>
      </c>
      <c r="P875" s="168" t="s">
        <v>1933</v>
      </c>
      <c r="Q875" s="168">
        <v>18335403600</v>
      </c>
      <c r="R875" s="168" t="s">
        <v>1934</v>
      </c>
      <c r="S875" s="168" t="s">
        <v>1736</v>
      </c>
      <c r="T875" s="168"/>
    </row>
    <row r="876" spans="1:20" ht="24.95" customHeight="1">
      <c r="A876" s="442" t="s">
        <v>1814</v>
      </c>
      <c r="B876" s="504" t="s">
        <v>3091</v>
      </c>
      <c r="C876" s="504" t="s">
        <v>3054</v>
      </c>
      <c r="D876" s="504" t="s">
        <v>1369</v>
      </c>
      <c r="E876" s="168"/>
      <c r="F876" s="400">
        <v>143.78</v>
      </c>
      <c r="G876" s="168" t="s">
        <v>32</v>
      </c>
      <c r="H876" s="168" t="s">
        <v>33</v>
      </c>
      <c r="I876" s="168"/>
      <c r="J876" s="168"/>
      <c r="K876" s="168" t="s">
        <v>3055</v>
      </c>
      <c r="L876" s="400">
        <v>16541.049999999901</v>
      </c>
      <c r="M876" s="400">
        <v>11027.359999999901</v>
      </c>
      <c r="N876" s="155">
        <v>2021.6</v>
      </c>
      <c r="O876" s="174" t="s">
        <v>2973</v>
      </c>
      <c r="P876" s="168" t="s">
        <v>1933</v>
      </c>
      <c r="Q876" s="168">
        <v>18335403600</v>
      </c>
      <c r="R876" s="168" t="s">
        <v>1934</v>
      </c>
      <c r="S876" s="168" t="s">
        <v>1736</v>
      </c>
      <c r="T876" s="168"/>
    </row>
    <row r="877" spans="1:20" ht="24.95" customHeight="1">
      <c r="A877" s="442" t="s">
        <v>1818</v>
      </c>
      <c r="B877" s="504" t="s">
        <v>3092</v>
      </c>
      <c r="C877" s="504" t="s">
        <v>3093</v>
      </c>
      <c r="D877" s="504" t="s">
        <v>1369</v>
      </c>
      <c r="E877" s="168"/>
      <c r="F877" s="400">
        <v>291.55</v>
      </c>
      <c r="G877" s="168" t="s">
        <v>32</v>
      </c>
      <c r="H877" s="168" t="s">
        <v>33</v>
      </c>
      <c r="I877" s="168"/>
      <c r="J877" s="168"/>
      <c r="K877" s="168" t="s">
        <v>3055</v>
      </c>
      <c r="L877" s="400">
        <v>42829.470000000103</v>
      </c>
      <c r="M877" s="400">
        <v>28552.980000000101</v>
      </c>
      <c r="N877" s="155">
        <v>2021.6</v>
      </c>
      <c r="O877" s="174" t="s">
        <v>2973</v>
      </c>
      <c r="P877" s="168" t="s">
        <v>1933</v>
      </c>
      <c r="Q877" s="168">
        <v>18335403600</v>
      </c>
      <c r="R877" s="168" t="s">
        <v>1934</v>
      </c>
      <c r="S877" s="168" t="s">
        <v>1736</v>
      </c>
      <c r="T877" s="168"/>
    </row>
    <row r="878" spans="1:20" ht="24.95" customHeight="1">
      <c r="A878" s="442" t="s">
        <v>1820</v>
      </c>
      <c r="B878" s="504" t="s">
        <v>3094</v>
      </c>
      <c r="C878" s="504" t="s">
        <v>3095</v>
      </c>
      <c r="D878" s="504" t="s">
        <v>1369</v>
      </c>
      <c r="E878" s="168"/>
      <c r="F878" s="400">
        <v>115.04415954416</v>
      </c>
      <c r="G878" s="168" t="s">
        <v>32</v>
      </c>
      <c r="H878" s="168" t="s">
        <v>33</v>
      </c>
      <c r="I878" s="168"/>
      <c r="J878" s="168"/>
      <c r="K878" s="168" t="s">
        <v>3055</v>
      </c>
      <c r="L878" s="400">
        <v>4845.6600000000199</v>
      </c>
      <c r="M878" s="400">
        <v>3068.9200000000201</v>
      </c>
      <c r="N878" s="155">
        <v>2021.6</v>
      </c>
      <c r="O878" s="174" t="s">
        <v>2973</v>
      </c>
      <c r="P878" s="168" t="s">
        <v>1933</v>
      </c>
      <c r="Q878" s="168">
        <v>18335403600</v>
      </c>
      <c r="R878" s="168" t="s">
        <v>1934</v>
      </c>
      <c r="S878" s="168" t="s">
        <v>1736</v>
      </c>
      <c r="T878" s="168"/>
    </row>
    <row r="879" spans="1:20" ht="24.95" customHeight="1">
      <c r="A879" s="442" t="s">
        <v>1823</v>
      </c>
      <c r="B879" s="504" t="s">
        <v>1363</v>
      </c>
      <c r="C879" s="504" t="s">
        <v>3089</v>
      </c>
      <c r="D879" s="504" t="s">
        <v>1369</v>
      </c>
      <c r="E879" s="168"/>
      <c r="F879" s="400">
        <v>295.57523060993998</v>
      </c>
      <c r="G879" s="168" t="s">
        <v>32</v>
      </c>
      <c r="H879" s="168" t="s">
        <v>33</v>
      </c>
      <c r="I879" s="168"/>
      <c r="J879" s="168"/>
      <c r="K879" s="168" t="s">
        <v>3055</v>
      </c>
      <c r="L879" s="400">
        <v>125607.65</v>
      </c>
      <c r="M879" s="400">
        <v>79551.510000000097</v>
      </c>
      <c r="N879" s="155">
        <v>2021.6</v>
      </c>
      <c r="O879" s="174" t="s">
        <v>2973</v>
      </c>
      <c r="P879" s="168" t="s">
        <v>1933</v>
      </c>
      <c r="Q879" s="168">
        <v>18335403600</v>
      </c>
      <c r="R879" s="168" t="s">
        <v>1934</v>
      </c>
      <c r="S879" s="168" t="s">
        <v>1736</v>
      </c>
      <c r="T879" s="168"/>
    </row>
    <row r="880" spans="1:20" ht="24.95" customHeight="1">
      <c r="A880" s="442" t="s">
        <v>1825</v>
      </c>
      <c r="B880" s="504" t="s">
        <v>3096</v>
      </c>
      <c r="C880" s="504" t="s">
        <v>3097</v>
      </c>
      <c r="D880" s="504" t="s">
        <v>1369</v>
      </c>
      <c r="E880" s="168"/>
      <c r="F880" s="400">
        <v>281.41591156215998</v>
      </c>
      <c r="G880" s="168" t="s">
        <v>32</v>
      </c>
      <c r="H880" s="168" t="s">
        <v>33</v>
      </c>
      <c r="I880" s="168"/>
      <c r="J880" s="168"/>
      <c r="K880" s="168" t="s">
        <v>3055</v>
      </c>
      <c r="L880" s="400">
        <v>15528.53</v>
      </c>
      <c r="M880" s="400">
        <v>9834.7299999999905</v>
      </c>
      <c r="N880" s="155">
        <v>2021.6</v>
      </c>
      <c r="O880" s="174" t="s">
        <v>2973</v>
      </c>
      <c r="P880" s="168" t="s">
        <v>1933</v>
      </c>
      <c r="Q880" s="168">
        <v>18335403600</v>
      </c>
      <c r="R880" s="168" t="s">
        <v>1934</v>
      </c>
      <c r="S880" s="168" t="s">
        <v>1736</v>
      </c>
      <c r="T880" s="168"/>
    </row>
    <row r="881" spans="1:20" ht="24.95" customHeight="1">
      <c r="A881" s="442" t="s">
        <v>1829</v>
      </c>
      <c r="B881" s="504" t="s">
        <v>3098</v>
      </c>
      <c r="C881" s="504" t="s">
        <v>3095</v>
      </c>
      <c r="D881" s="504" t="s">
        <v>1369</v>
      </c>
      <c r="E881" s="168"/>
      <c r="F881" s="400">
        <v>55.752214234483702</v>
      </c>
      <c r="G881" s="168" t="s">
        <v>32</v>
      </c>
      <c r="H881" s="168" t="s">
        <v>33</v>
      </c>
      <c r="I881" s="168"/>
      <c r="J881" s="168"/>
      <c r="K881" s="168" t="s">
        <v>3055</v>
      </c>
      <c r="L881" s="400">
        <v>66850.25</v>
      </c>
      <c r="M881" s="400">
        <v>42338.52</v>
      </c>
      <c r="N881" s="155">
        <v>2021.6</v>
      </c>
      <c r="O881" s="174" t="s">
        <v>2973</v>
      </c>
      <c r="P881" s="168" t="s">
        <v>1933</v>
      </c>
      <c r="Q881" s="168">
        <v>18335403600</v>
      </c>
      <c r="R881" s="168" t="s">
        <v>1934</v>
      </c>
      <c r="S881" s="168" t="s">
        <v>1736</v>
      </c>
      <c r="T881" s="168"/>
    </row>
    <row r="882" spans="1:20" ht="24.95" customHeight="1">
      <c r="A882" s="442" t="s">
        <v>1833</v>
      </c>
      <c r="B882" s="504" t="s">
        <v>3099</v>
      </c>
      <c r="C882" s="504" t="s">
        <v>3097</v>
      </c>
      <c r="D882" s="504" t="s">
        <v>1369</v>
      </c>
      <c r="E882" s="168"/>
      <c r="F882" s="400">
        <v>115.04421711899801</v>
      </c>
      <c r="G882" s="168" t="s">
        <v>32</v>
      </c>
      <c r="H882" s="168" t="s">
        <v>33</v>
      </c>
      <c r="I882" s="168"/>
      <c r="J882" s="168"/>
      <c r="K882" s="168" t="s">
        <v>3055</v>
      </c>
      <c r="L882" s="400">
        <v>27553.09</v>
      </c>
      <c r="M882" s="400">
        <v>17450.29</v>
      </c>
      <c r="N882" s="155">
        <v>2021.6</v>
      </c>
      <c r="O882" s="174" t="s">
        <v>2973</v>
      </c>
      <c r="P882" s="168" t="s">
        <v>1933</v>
      </c>
      <c r="Q882" s="168">
        <v>18335403600</v>
      </c>
      <c r="R882" s="168" t="s">
        <v>1934</v>
      </c>
      <c r="S882" s="168" t="s">
        <v>1736</v>
      </c>
      <c r="T882" s="168"/>
    </row>
    <row r="883" spans="1:20" ht="24.95" customHeight="1">
      <c r="A883" s="442" t="s">
        <v>1835</v>
      </c>
      <c r="B883" s="504" t="s">
        <v>1351</v>
      </c>
      <c r="C883" s="504" t="s">
        <v>3100</v>
      </c>
      <c r="D883" s="504" t="s">
        <v>1369</v>
      </c>
      <c r="E883" s="168"/>
      <c r="F883" s="400">
        <v>295.57517241379298</v>
      </c>
      <c r="G883" s="168" t="s">
        <v>32</v>
      </c>
      <c r="H883" s="168" t="s">
        <v>33</v>
      </c>
      <c r="I883" s="168"/>
      <c r="J883" s="168"/>
      <c r="K883" s="168" t="s">
        <v>3055</v>
      </c>
      <c r="L883" s="400">
        <v>4285.84</v>
      </c>
      <c r="M883" s="400">
        <v>2714.37</v>
      </c>
      <c r="N883" s="155">
        <v>2021.6</v>
      </c>
      <c r="O883" s="174" t="s">
        <v>2973</v>
      </c>
      <c r="P883" s="168" t="s">
        <v>1933</v>
      </c>
      <c r="Q883" s="168">
        <v>18335403600</v>
      </c>
      <c r="R883" s="168" t="s">
        <v>1934</v>
      </c>
      <c r="S883" s="168" t="s">
        <v>1736</v>
      </c>
      <c r="T883" s="168"/>
    </row>
    <row r="884" spans="1:20" ht="24.95" customHeight="1">
      <c r="A884" s="442" t="s">
        <v>1838</v>
      </c>
      <c r="B884" s="504" t="s">
        <v>3101</v>
      </c>
      <c r="C884" s="504" t="s">
        <v>3097</v>
      </c>
      <c r="D884" s="504" t="s">
        <v>1369</v>
      </c>
      <c r="E884" s="168"/>
      <c r="F884" s="400">
        <v>44.247779187817301</v>
      </c>
      <c r="G884" s="168" t="s">
        <v>32</v>
      </c>
      <c r="H884" s="168" t="s">
        <v>33</v>
      </c>
      <c r="I884" s="168"/>
      <c r="J884" s="168"/>
      <c r="K884" s="168" t="s">
        <v>3055</v>
      </c>
      <c r="L884" s="400">
        <v>4184.07</v>
      </c>
      <c r="M884" s="400">
        <v>2649.91</v>
      </c>
      <c r="N884" s="155">
        <v>2021.6</v>
      </c>
      <c r="O884" s="174" t="s">
        <v>2973</v>
      </c>
      <c r="P884" s="168" t="s">
        <v>1933</v>
      </c>
      <c r="Q884" s="168">
        <v>18335403600</v>
      </c>
      <c r="R884" s="168" t="s">
        <v>1934</v>
      </c>
      <c r="S884" s="168" t="s">
        <v>1736</v>
      </c>
      <c r="T884" s="168"/>
    </row>
    <row r="885" spans="1:20" ht="24.95" customHeight="1">
      <c r="A885" s="442" t="s">
        <v>1840</v>
      </c>
      <c r="B885" s="504" t="s">
        <v>3102</v>
      </c>
      <c r="C885" s="504" t="s">
        <v>3103</v>
      </c>
      <c r="D885" s="504" t="s">
        <v>1369</v>
      </c>
      <c r="E885" s="168"/>
      <c r="F885" s="400">
        <v>295.57604166666698</v>
      </c>
      <c r="G885" s="168" t="s">
        <v>32</v>
      </c>
      <c r="H885" s="168" t="s">
        <v>33</v>
      </c>
      <c r="I885" s="168"/>
      <c r="J885" s="168"/>
      <c r="K885" s="168" t="s">
        <v>3055</v>
      </c>
      <c r="L885" s="400">
        <v>2837.53</v>
      </c>
      <c r="M885" s="400">
        <v>1797.1</v>
      </c>
      <c r="N885" s="155">
        <v>2021.6</v>
      </c>
      <c r="O885" s="174" t="s">
        <v>2973</v>
      </c>
      <c r="P885" s="168" t="s">
        <v>1933</v>
      </c>
      <c r="Q885" s="168">
        <v>18335403600</v>
      </c>
      <c r="R885" s="168" t="s">
        <v>1934</v>
      </c>
      <c r="S885" s="168" t="s">
        <v>1736</v>
      </c>
      <c r="T885" s="168"/>
    </row>
    <row r="886" spans="1:20" ht="24.95" customHeight="1">
      <c r="A886" s="442" t="s">
        <v>1843</v>
      </c>
      <c r="B886" s="504" t="s">
        <v>3104</v>
      </c>
      <c r="C886" s="504" t="s">
        <v>3097</v>
      </c>
      <c r="D886" s="504" t="s">
        <v>1369</v>
      </c>
      <c r="E886" s="168"/>
      <c r="F886" s="400">
        <v>281.41585617447703</v>
      </c>
      <c r="G886" s="168" t="s">
        <v>32</v>
      </c>
      <c r="H886" s="168" t="s">
        <v>33</v>
      </c>
      <c r="I886" s="168"/>
      <c r="J886" s="168"/>
      <c r="K886" s="168" t="s">
        <v>3055</v>
      </c>
      <c r="L886" s="400">
        <v>19096.88</v>
      </c>
      <c r="M886" s="400">
        <v>12094.69</v>
      </c>
      <c r="N886" s="155">
        <v>2021.6</v>
      </c>
      <c r="O886" s="174" t="s">
        <v>2973</v>
      </c>
      <c r="P886" s="168" t="s">
        <v>1933</v>
      </c>
      <c r="Q886" s="168">
        <v>18335403600</v>
      </c>
      <c r="R886" s="168" t="s">
        <v>1934</v>
      </c>
      <c r="S886" s="168" t="s">
        <v>1736</v>
      </c>
      <c r="T886" s="168"/>
    </row>
    <row r="887" spans="1:20" ht="24.95" customHeight="1">
      <c r="A887" s="442" t="s">
        <v>1846</v>
      </c>
      <c r="B887" s="504" t="s">
        <v>3105</v>
      </c>
      <c r="C887" s="504" t="s">
        <v>3095</v>
      </c>
      <c r="D887" s="504" t="s">
        <v>1369</v>
      </c>
      <c r="E887" s="168"/>
      <c r="F887" s="400">
        <v>55.752220248667903</v>
      </c>
      <c r="G887" s="168" t="s">
        <v>32</v>
      </c>
      <c r="H887" s="168" t="s">
        <v>33</v>
      </c>
      <c r="I887" s="168"/>
      <c r="J887" s="168"/>
      <c r="K887" s="168" t="s">
        <v>3055</v>
      </c>
      <c r="L887" s="400">
        <v>15066.48</v>
      </c>
      <c r="M887" s="400">
        <v>9542.1100000000206</v>
      </c>
      <c r="N887" s="155">
        <v>2021.6</v>
      </c>
      <c r="O887" s="174" t="s">
        <v>2973</v>
      </c>
      <c r="P887" s="168" t="s">
        <v>1933</v>
      </c>
      <c r="Q887" s="168">
        <v>18335403600</v>
      </c>
      <c r="R887" s="168" t="s">
        <v>1934</v>
      </c>
      <c r="S887" s="168" t="s">
        <v>1736</v>
      </c>
      <c r="T887" s="168"/>
    </row>
    <row r="888" spans="1:20" ht="24.95" customHeight="1">
      <c r="A888" s="442" t="s">
        <v>1847</v>
      </c>
      <c r="B888" s="504" t="s">
        <v>3106</v>
      </c>
      <c r="C888" s="504" t="s">
        <v>3095</v>
      </c>
      <c r="D888" s="504" t="s">
        <v>1369</v>
      </c>
      <c r="E888" s="168"/>
      <c r="F888" s="400">
        <v>146.90269687162899</v>
      </c>
      <c r="G888" s="168" t="s">
        <v>32</v>
      </c>
      <c r="H888" s="168" t="s">
        <v>33</v>
      </c>
      <c r="I888" s="168"/>
      <c r="J888" s="168"/>
      <c r="K888" s="168" t="s">
        <v>3055</v>
      </c>
      <c r="L888" s="400">
        <v>13617.88</v>
      </c>
      <c r="M888" s="400">
        <v>8624.6600000000108</v>
      </c>
      <c r="N888" s="155">
        <v>2021.6</v>
      </c>
      <c r="O888" s="174" t="s">
        <v>2973</v>
      </c>
      <c r="P888" s="168" t="s">
        <v>1933</v>
      </c>
      <c r="Q888" s="168">
        <v>18335403600</v>
      </c>
      <c r="R888" s="168" t="s">
        <v>1934</v>
      </c>
      <c r="S888" s="168" t="s">
        <v>1736</v>
      </c>
      <c r="T888" s="168"/>
    </row>
    <row r="889" spans="1:20" ht="24.95" customHeight="1">
      <c r="A889" s="442" t="s">
        <v>1848</v>
      </c>
      <c r="B889" s="504" t="s">
        <v>1363</v>
      </c>
      <c r="C889" s="504" t="s">
        <v>3089</v>
      </c>
      <c r="D889" s="504" t="s">
        <v>1369</v>
      </c>
      <c r="E889" s="168"/>
      <c r="F889" s="400">
        <v>295.57522823033702</v>
      </c>
      <c r="G889" s="168" t="s">
        <v>32</v>
      </c>
      <c r="H889" s="168" t="s">
        <v>33</v>
      </c>
      <c r="I889" s="168"/>
      <c r="J889" s="168"/>
      <c r="K889" s="168" t="s">
        <v>3055</v>
      </c>
      <c r="L889" s="400">
        <v>202031.58</v>
      </c>
      <c r="M889" s="400">
        <v>127953.34</v>
      </c>
      <c r="N889" s="155">
        <v>2021.6</v>
      </c>
      <c r="O889" s="174" t="s">
        <v>2973</v>
      </c>
      <c r="P889" s="168" t="s">
        <v>1933</v>
      </c>
      <c r="Q889" s="168">
        <v>18335403600</v>
      </c>
      <c r="R889" s="168" t="s">
        <v>1934</v>
      </c>
      <c r="S889" s="168" t="s">
        <v>1736</v>
      </c>
      <c r="T889" s="168"/>
    </row>
    <row r="890" spans="1:20" ht="24.95" customHeight="1">
      <c r="A890" s="442" t="s">
        <v>1852</v>
      </c>
      <c r="B890" s="504" t="s">
        <v>3107</v>
      </c>
      <c r="C890" s="504" t="s">
        <v>3108</v>
      </c>
      <c r="D890" s="504" t="s">
        <v>1369</v>
      </c>
      <c r="E890" s="168"/>
      <c r="F890" s="400">
        <v>295.57530120481903</v>
      </c>
      <c r="G890" s="168" t="s">
        <v>32</v>
      </c>
      <c r="H890" s="168" t="s">
        <v>33</v>
      </c>
      <c r="I890" s="168"/>
      <c r="J890" s="168"/>
      <c r="K890" s="168" t="s">
        <v>3055</v>
      </c>
      <c r="L890" s="400">
        <v>9813.0999999999894</v>
      </c>
      <c r="M890" s="400">
        <v>6214.95999999999</v>
      </c>
      <c r="N890" s="155">
        <v>2021.6</v>
      </c>
      <c r="O890" s="174" t="s">
        <v>2973</v>
      </c>
      <c r="P890" s="168" t="s">
        <v>1933</v>
      </c>
      <c r="Q890" s="168">
        <v>18335403600</v>
      </c>
      <c r="R890" s="168" t="s">
        <v>1934</v>
      </c>
      <c r="S890" s="168" t="s">
        <v>1736</v>
      </c>
      <c r="T890" s="168"/>
    </row>
    <row r="891" spans="1:20" ht="24.95" customHeight="1">
      <c r="A891" s="442" t="s">
        <v>1855</v>
      </c>
      <c r="B891" s="504" t="s">
        <v>3109</v>
      </c>
      <c r="C891" s="504" t="s">
        <v>3095</v>
      </c>
      <c r="D891" s="504" t="s">
        <v>1369</v>
      </c>
      <c r="E891" s="168"/>
      <c r="F891" s="400">
        <v>146.902656222248</v>
      </c>
      <c r="G891" s="168" t="s">
        <v>32</v>
      </c>
      <c r="H891" s="168" t="s">
        <v>33</v>
      </c>
      <c r="I891" s="168"/>
      <c r="J891" s="168"/>
      <c r="K891" s="168" t="s">
        <v>3055</v>
      </c>
      <c r="L891" s="400">
        <v>239858.25</v>
      </c>
      <c r="M891" s="400">
        <v>151910.22</v>
      </c>
      <c r="N891" s="155">
        <v>2021.6</v>
      </c>
      <c r="O891" s="174" t="s">
        <v>2973</v>
      </c>
      <c r="P891" s="168" t="s">
        <v>1933</v>
      </c>
      <c r="Q891" s="168">
        <v>18335403600</v>
      </c>
      <c r="R891" s="168" t="s">
        <v>1934</v>
      </c>
      <c r="S891" s="168" t="s">
        <v>1736</v>
      </c>
      <c r="T891" s="168"/>
    </row>
    <row r="892" spans="1:20" ht="24.95" customHeight="1">
      <c r="A892" s="442" t="s">
        <v>1857</v>
      </c>
      <c r="B892" s="504" t="s">
        <v>3110</v>
      </c>
      <c r="C892" s="504" t="s">
        <v>3097</v>
      </c>
      <c r="D892" s="504" t="s">
        <v>1369</v>
      </c>
      <c r="E892" s="168"/>
      <c r="F892" s="400">
        <v>172.566353764035</v>
      </c>
      <c r="G892" s="168" t="s">
        <v>32</v>
      </c>
      <c r="H892" s="168" t="s">
        <v>33</v>
      </c>
      <c r="I892" s="168"/>
      <c r="J892" s="168"/>
      <c r="K892" s="168" t="s">
        <v>3055</v>
      </c>
      <c r="L892" s="400">
        <v>9375.5300000000207</v>
      </c>
      <c r="M892" s="400">
        <v>5937.8300000000199</v>
      </c>
      <c r="N892" s="155">
        <v>2021.6</v>
      </c>
      <c r="O892" s="174" t="s">
        <v>2973</v>
      </c>
      <c r="P892" s="168" t="s">
        <v>1933</v>
      </c>
      <c r="Q892" s="168">
        <v>18335403600</v>
      </c>
      <c r="R892" s="168" t="s">
        <v>1934</v>
      </c>
      <c r="S892" s="168" t="s">
        <v>1736</v>
      </c>
      <c r="T892" s="168"/>
    </row>
    <row r="893" spans="1:20" ht="24.95" customHeight="1">
      <c r="A893" s="442" t="s">
        <v>1858</v>
      </c>
      <c r="B893" s="504" t="s">
        <v>3111</v>
      </c>
      <c r="C893" s="504" t="s">
        <v>3054</v>
      </c>
      <c r="D893" s="504" t="s">
        <v>1369</v>
      </c>
      <c r="E893" s="168"/>
      <c r="F893" s="400">
        <v>115.044184535413</v>
      </c>
      <c r="G893" s="168" t="s">
        <v>32</v>
      </c>
      <c r="H893" s="168" t="s">
        <v>33</v>
      </c>
      <c r="I893" s="168"/>
      <c r="J893" s="168"/>
      <c r="K893" s="168" t="s">
        <v>3055</v>
      </c>
      <c r="L893" s="400">
        <v>5311.5900000000202</v>
      </c>
      <c r="M893" s="400">
        <v>4186.0500000000202</v>
      </c>
      <c r="N893" s="155">
        <v>2021.6</v>
      </c>
      <c r="O893" s="174" t="s">
        <v>2973</v>
      </c>
      <c r="P893" s="168" t="s">
        <v>1933</v>
      </c>
      <c r="Q893" s="168">
        <v>18335403600</v>
      </c>
      <c r="R893" s="168" t="s">
        <v>1934</v>
      </c>
      <c r="S893" s="168" t="s">
        <v>1736</v>
      </c>
      <c r="T893" s="168"/>
    </row>
    <row r="894" spans="1:20" ht="24.95" customHeight="1">
      <c r="A894" s="442" t="s">
        <v>1859</v>
      </c>
      <c r="B894" s="504" t="s">
        <v>3112</v>
      </c>
      <c r="C894" s="504" t="s">
        <v>3054</v>
      </c>
      <c r="D894" s="504" t="s">
        <v>1369</v>
      </c>
      <c r="E894" s="168"/>
      <c r="F894" s="400">
        <v>146.90276145710899</v>
      </c>
      <c r="G894" s="168" t="s">
        <v>32</v>
      </c>
      <c r="H894" s="168" t="s">
        <v>33</v>
      </c>
      <c r="I894" s="168"/>
      <c r="J894" s="168"/>
      <c r="K894" s="168" t="s">
        <v>3055</v>
      </c>
      <c r="L894" s="400">
        <v>5000.5699999999897</v>
      </c>
      <c r="M894" s="400">
        <v>3940.9399999999901</v>
      </c>
      <c r="N894" s="155">
        <v>2021.6</v>
      </c>
      <c r="O894" s="174" t="s">
        <v>2973</v>
      </c>
      <c r="P894" s="168" t="s">
        <v>1933</v>
      </c>
      <c r="Q894" s="168">
        <v>18335403600</v>
      </c>
      <c r="R894" s="168" t="s">
        <v>1934</v>
      </c>
      <c r="S894" s="168" t="s">
        <v>1736</v>
      </c>
      <c r="T894" s="168"/>
    </row>
    <row r="895" spans="1:20" ht="24.95" customHeight="1">
      <c r="A895" s="442" t="s">
        <v>1861</v>
      </c>
      <c r="B895" s="504" t="s">
        <v>3113</v>
      </c>
      <c r="C895" s="504" t="s">
        <v>3114</v>
      </c>
      <c r="D895" s="504" t="s">
        <v>1369</v>
      </c>
      <c r="E895" s="168"/>
      <c r="F895" s="400">
        <v>172.566349206349</v>
      </c>
      <c r="G895" s="168" t="s">
        <v>32</v>
      </c>
      <c r="H895" s="168" t="s">
        <v>33</v>
      </c>
      <c r="I895" s="168"/>
      <c r="J895" s="168"/>
      <c r="K895" s="168" t="s">
        <v>3055</v>
      </c>
      <c r="L895" s="400">
        <v>38050.879999999997</v>
      </c>
      <c r="M895" s="400">
        <v>29987.82</v>
      </c>
      <c r="N895" s="155">
        <v>2021.6</v>
      </c>
      <c r="O895" s="174" t="s">
        <v>2973</v>
      </c>
      <c r="P895" s="168" t="s">
        <v>1933</v>
      </c>
      <c r="Q895" s="168">
        <v>18335403600</v>
      </c>
      <c r="R895" s="168" t="s">
        <v>1934</v>
      </c>
      <c r="S895" s="168" t="s">
        <v>1736</v>
      </c>
      <c r="T895" s="168"/>
    </row>
    <row r="896" spans="1:20" ht="24.95" customHeight="1">
      <c r="A896" s="442" t="s">
        <v>1862</v>
      </c>
      <c r="B896" s="504" t="s">
        <v>3115</v>
      </c>
      <c r="C896" s="504" t="s">
        <v>3116</v>
      </c>
      <c r="D896" s="504" t="s">
        <v>1369</v>
      </c>
      <c r="E896" s="168"/>
      <c r="F896" s="400">
        <v>318.58409610984</v>
      </c>
      <c r="G896" s="168" t="s">
        <v>32</v>
      </c>
      <c r="H896" s="168" t="s">
        <v>33</v>
      </c>
      <c r="I896" s="168"/>
      <c r="J896" s="168"/>
      <c r="K896" s="168" t="s">
        <v>3055</v>
      </c>
      <c r="L896" s="400">
        <v>5568.85</v>
      </c>
      <c r="M896" s="400">
        <v>4388.8</v>
      </c>
      <c r="N896" s="155">
        <v>2021.6</v>
      </c>
      <c r="O896" s="174" t="s">
        <v>2973</v>
      </c>
      <c r="P896" s="168" t="s">
        <v>1933</v>
      </c>
      <c r="Q896" s="168">
        <v>18335403600</v>
      </c>
      <c r="R896" s="168" t="s">
        <v>1934</v>
      </c>
      <c r="S896" s="168" t="s">
        <v>1736</v>
      </c>
      <c r="T896" s="168"/>
    </row>
    <row r="897" spans="1:20" ht="24.95" customHeight="1">
      <c r="A897" s="442" t="s">
        <v>1863</v>
      </c>
      <c r="B897" s="504" t="s">
        <v>3117</v>
      </c>
      <c r="C897" s="504" t="s">
        <v>3118</v>
      </c>
      <c r="D897" s="504" t="s">
        <v>1369</v>
      </c>
      <c r="E897" s="168"/>
      <c r="F897" s="400">
        <v>281.41596973317399</v>
      </c>
      <c r="G897" s="168" t="s">
        <v>32</v>
      </c>
      <c r="H897" s="168" t="s">
        <v>33</v>
      </c>
      <c r="I897" s="168"/>
      <c r="J897" s="168"/>
      <c r="K897" s="168" t="s">
        <v>3055</v>
      </c>
      <c r="L897" s="400">
        <v>14132.71</v>
      </c>
      <c r="M897" s="400">
        <v>11137.96</v>
      </c>
      <c r="N897" s="155">
        <v>2021.6</v>
      </c>
      <c r="O897" s="174" t="s">
        <v>2973</v>
      </c>
      <c r="P897" s="168" t="s">
        <v>1933</v>
      </c>
      <c r="Q897" s="168">
        <v>18335403600</v>
      </c>
      <c r="R897" s="168" t="s">
        <v>1934</v>
      </c>
      <c r="S897" s="168" t="s">
        <v>1736</v>
      </c>
      <c r="T897" s="168"/>
    </row>
    <row r="898" spans="1:20" ht="24.95" customHeight="1">
      <c r="A898" s="442" t="s">
        <v>1864</v>
      </c>
      <c r="B898" s="504" t="s">
        <v>3119</v>
      </c>
      <c r="C898" s="504" t="s">
        <v>3120</v>
      </c>
      <c r="D898" s="504" t="s">
        <v>1369</v>
      </c>
      <c r="E898" s="168"/>
      <c r="F898" s="400">
        <v>295.57545454545499</v>
      </c>
      <c r="G898" s="168" t="s">
        <v>32</v>
      </c>
      <c r="H898" s="168" t="s">
        <v>33</v>
      </c>
      <c r="I898" s="168"/>
      <c r="J898" s="168"/>
      <c r="K898" s="168" t="s">
        <v>3055</v>
      </c>
      <c r="L898" s="400">
        <v>3251.33</v>
      </c>
      <c r="M898" s="400">
        <v>2562.3600000000101</v>
      </c>
      <c r="N898" s="155">
        <v>2021.6</v>
      </c>
      <c r="O898" s="174" t="s">
        <v>2973</v>
      </c>
      <c r="P898" s="168" t="s">
        <v>1933</v>
      </c>
      <c r="Q898" s="168">
        <v>18335403600</v>
      </c>
      <c r="R898" s="168" t="s">
        <v>1934</v>
      </c>
      <c r="S898" s="168" t="s">
        <v>1736</v>
      </c>
      <c r="T898" s="168"/>
    </row>
    <row r="899" spans="1:20" ht="24.95" customHeight="1">
      <c r="A899" s="442" t="s">
        <v>1865</v>
      </c>
      <c r="B899" s="504" t="s">
        <v>3121</v>
      </c>
      <c r="C899" s="504" t="s">
        <v>3122</v>
      </c>
      <c r="D899" s="504" t="s">
        <v>1369</v>
      </c>
      <c r="E899" s="168"/>
      <c r="F899" s="400">
        <v>295.5751953125</v>
      </c>
      <c r="G899" s="168" t="s">
        <v>32</v>
      </c>
      <c r="H899" s="168" t="s">
        <v>33</v>
      </c>
      <c r="I899" s="168"/>
      <c r="J899" s="168"/>
      <c r="K899" s="168" t="s">
        <v>3055</v>
      </c>
      <c r="L899" s="400">
        <v>18160.14</v>
      </c>
      <c r="M899" s="400">
        <v>14311.97</v>
      </c>
      <c r="N899" s="155">
        <v>2021.6</v>
      </c>
      <c r="O899" s="174" t="s">
        <v>2973</v>
      </c>
      <c r="P899" s="168" t="s">
        <v>1933</v>
      </c>
      <c r="Q899" s="168">
        <v>18335403600</v>
      </c>
      <c r="R899" s="168" t="s">
        <v>1934</v>
      </c>
      <c r="S899" s="168" t="s">
        <v>1736</v>
      </c>
      <c r="T899" s="168"/>
    </row>
    <row r="900" spans="1:20" ht="24.95" customHeight="1">
      <c r="A900" s="442" t="s">
        <v>1867</v>
      </c>
      <c r="B900" s="504" t="s">
        <v>3123</v>
      </c>
      <c r="C900" s="504" t="s">
        <v>3114</v>
      </c>
      <c r="D900" s="504" t="s">
        <v>1369</v>
      </c>
      <c r="E900" s="168"/>
      <c r="F900" s="400">
        <v>94.6902962206333</v>
      </c>
      <c r="G900" s="168" t="s">
        <v>32</v>
      </c>
      <c r="H900" s="168" t="s">
        <v>33</v>
      </c>
      <c r="I900" s="168"/>
      <c r="J900" s="168"/>
      <c r="K900" s="168" t="s">
        <v>3055</v>
      </c>
      <c r="L900" s="400">
        <v>4635.09</v>
      </c>
      <c r="M900" s="400">
        <v>3652.91</v>
      </c>
      <c r="N900" s="155">
        <v>2021.6</v>
      </c>
      <c r="O900" s="174" t="s">
        <v>2973</v>
      </c>
      <c r="P900" s="168" t="s">
        <v>1933</v>
      </c>
      <c r="Q900" s="168">
        <v>18335403600</v>
      </c>
      <c r="R900" s="168" t="s">
        <v>1934</v>
      </c>
      <c r="S900" s="168" t="s">
        <v>1736</v>
      </c>
      <c r="T900" s="168"/>
    </row>
    <row r="901" spans="1:20" ht="24.95" customHeight="1">
      <c r="A901" s="442" t="s">
        <v>1869</v>
      </c>
      <c r="B901" s="504" t="s">
        <v>3124</v>
      </c>
      <c r="C901" s="504" t="s">
        <v>3054</v>
      </c>
      <c r="D901" s="504" t="s">
        <v>1369</v>
      </c>
      <c r="E901" s="168"/>
      <c r="F901" s="400">
        <v>115.044225927509</v>
      </c>
      <c r="G901" s="168" t="s">
        <v>32</v>
      </c>
      <c r="H901" s="168" t="s">
        <v>33</v>
      </c>
      <c r="I901" s="168"/>
      <c r="J901" s="168"/>
      <c r="K901" s="168" t="s">
        <v>3055</v>
      </c>
      <c r="L901" s="400">
        <v>24217.959999999901</v>
      </c>
      <c r="M901" s="400">
        <v>19086.119999999901</v>
      </c>
      <c r="N901" s="155">
        <v>2021.6</v>
      </c>
      <c r="O901" s="174" t="s">
        <v>2973</v>
      </c>
      <c r="P901" s="168" t="s">
        <v>1933</v>
      </c>
      <c r="Q901" s="168">
        <v>18335403600</v>
      </c>
      <c r="R901" s="168" t="s">
        <v>1934</v>
      </c>
      <c r="S901" s="168" t="s">
        <v>1736</v>
      </c>
      <c r="T901" s="168"/>
    </row>
    <row r="902" spans="1:20" ht="24.95" customHeight="1">
      <c r="A902" s="442" t="s">
        <v>1870</v>
      </c>
      <c r="B902" s="504" t="s">
        <v>3125</v>
      </c>
      <c r="C902" s="504" t="s">
        <v>3054</v>
      </c>
      <c r="D902" s="504" t="s">
        <v>1369</v>
      </c>
      <c r="E902" s="168"/>
      <c r="F902" s="400">
        <v>115.044486215539</v>
      </c>
      <c r="G902" s="168" t="s">
        <v>32</v>
      </c>
      <c r="H902" s="168" t="s">
        <v>33</v>
      </c>
      <c r="I902" s="168"/>
      <c r="J902" s="168"/>
      <c r="K902" s="168" t="s">
        <v>3055</v>
      </c>
      <c r="L902" s="400">
        <v>1836.11</v>
      </c>
      <c r="M902" s="400">
        <v>1447.03</v>
      </c>
      <c r="N902" s="155">
        <v>2021.6</v>
      </c>
      <c r="O902" s="174" t="s">
        <v>2973</v>
      </c>
      <c r="P902" s="168" t="s">
        <v>1933</v>
      </c>
      <c r="Q902" s="168">
        <v>18335403600</v>
      </c>
      <c r="R902" s="168" t="s">
        <v>1934</v>
      </c>
      <c r="S902" s="168" t="s">
        <v>1736</v>
      </c>
      <c r="T902" s="168"/>
    </row>
    <row r="903" spans="1:20" ht="24.95" customHeight="1">
      <c r="A903" s="442" t="s">
        <v>1871</v>
      </c>
      <c r="B903" s="504" t="s">
        <v>3117</v>
      </c>
      <c r="C903" s="504" t="s">
        <v>3116</v>
      </c>
      <c r="D903" s="504" t="s">
        <v>1369</v>
      </c>
      <c r="E903" s="168"/>
      <c r="F903" s="400">
        <v>318.58469055374599</v>
      </c>
      <c r="G903" s="168" t="s">
        <v>32</v>
      </c>
      <c r="H903" s="168" t="s">
        <v>33</v>
      </c>
      <c r="I903" s="168"/>
      <c r="J903" s="168"/>
      <c r="K903" s="168" t="s">
        <v>3055</v>
      </c>
      <c r="L903" s="400">
        <v>3912.22</v>
      </c>
      <c r="M903" s="400">
        <v>3083.21</v>
      </c>
      <c r="N903" s="155">
        <v>2021.6</v>
      </c>
      <c r="O903" s="174" t="s">
        <v>2973</v>
      </c>
      <c r="P903" s="168" t="s">
        <v>1933</v>
      </c>
      <c r="Q903" s="168">
        <v>18335403600</v>
      </c>
      <c r="R903" s="168" t="s">
        <v>1934</v>
      </c>
      <c r="S903" s="168" t="s">
        <v>1736</v>
      </c>
      <c r="T903" s="168"/>
    </row>
    <row r="904" spans="1:20" ht="24.95" customHeight="1">
      <c r="A904" s="442" t="s">
        <v>1872</v>
      </c>
      <c r="B904" s="504" t="s">
        <v>3126</v>
      </c>
      <c r="C904" s="504" t="s">
        <v>3114</v>
      </c>
      <c r="D904" s="504" t="s">
        <v>1369</v>
      </c>
      <c r="E904" s="168"/>
      <c r="F904" s="400">
        <v>115.04424019607799</v>
      </c>
      <c r="G904" s="168" t="s">
        <v>32</v>
      </c>
      <c r="H904" s="168" t="s">
        <v>33</v>
      </c>
      <c r="I904" s="168"/>
      <c r="J904" s="168"/>
      <c r="K904" s="168" t="s">
        <v>3055</v>
      </c>
      <c r="L904" s="400">
        <v>65713.2699999998</v>
      </c>
      <c r="M904" s="400">
        <v>51788.489999999802</v>
      </c>
      <c r="N904" s="155">
        <v>2021.6</v>
      </c>
      <c r="O904" s="174" t="s">
        <v>2973</v>
      </c>
      <c r="P904" s="168" t="s">
        <v>1933</v>
      </c>
      <c r="Q904" s="168">
        <v>18335403600</v>
      </c>
      <c r="R904" s="168" t="s">
        <v>1934</v>
      </c>
      <c r="S904" s="168" t="s">
        <v>1736</v>
      </c>
      <c r="T904" s="168"/>
    </row>
    <row r="905" spans="1:20" ht="24.95" customHeight="1">
      <c r="A905" s="442" t="s">
        <v>1873</v>
      </c>
      <c r="B905" s="504" t="s">
        <v>3127</v>
      </c>
      <c r="C905" s="504" t="s">
        <v>3120</v>
      </c>
      <c r="D905" s="504" t="s">
        <v>1369</v>
      </c>
      <c r="E905" s="168"/>
      <c r="F905" s="400">
        <v>295.57522760956999</v>
      </c>
      <c r="G905" s="168" t="s">
        <v>32</v>
      </c>
      <c r="H905" s="168" t="s">
        <v>33</v>
      </c>
      <c r="I905" s="168"/>
      <c r="J905" s="168"/>
      <c r="K905" s="168" t="s">
        <v>3055</v>
      </c>
      <c r="L905" s="400">
        <v>279200.36</v>
      </c>
      <c r="M905" s="400">
        <v>220037.24</v>
      </c>
      <c r="N905" s="155">
        <v>2021.6</v>
      </c>
      <c r="O905" s="174" t="s">
        <v>2973</v>
      </c>
      <c r="P905" s="168" t="s">
        <v>1933</v>
      </c>
      <c r="Q905" s="168">
        <v>18335403600</v>
      </c>
      <c r="R905" s="168" t="s">
        <v>1934</v>
      </c>
      <c r="S905" s="168" t="s">
        <v>1736</v>
      </c>
      <c r="T905" s="168"/>
    </row>
    <row r="906" spans="1:20" ht="24.95" customHeight="1">
      <c r="A906" s="442" t="s">
        <v>1874</v>
      </c>
      <c r="B906" s="504" t="s">
        <v>3128</v>
      </c>
      <c r="C906" s="504" t="s">
        <v>3054</v>
      </c>
      <c r="D906" s="504" t="s">
        <v>1369</v>
      </c>
      <c r="E906" s="168"/>
      <c r="F906" s="400">
        <v>55.752142612272898</v>
      </c>
      <c r="G906" s="168" t="s">
        <v>32</v>
      </c>
      <c r="H906" s="168" t="s">
        <v>33</v>
      </c>
      <c r="I906" s="168"/>
      <c r="J906" s="168"/>
      <c r="K906" s="168" t="s">
        <v>3055</v>
      </c>
      <c r="L906" s="400">
        <v>3252.58</v>
      </c>
      <c r="M906" s="400">
        <v>2563.35</v>
      </c>
      <c r="N906" s="155">
        <v>2021.6</v>
      </c>
      <c r="O906" s="174" t="s">
        <v>2973</v>
      </c>
      <c r="P906" s="168" t="s">
        <v>1933</v>
      </c>
      <c r="Q906" s="168">
        <v>18335403600</v>
      </c>
      <c r="R906" s="168" t="s">
        <v>1934</v>
      </c>
      <c r="S906" s="168" t="s">
        <v>1736</v>
      </c>
      <c r="T906" s="168"/>
    </row>
    <row r="907" spans="1:20" ht="24.95" customHeight="1">
      <c r="A907" s="442" t="s">
        <v>1875</v>
      </c>
      <c r="B907" s="187" t="s">
        <v>3129</v>
      </c>
      <c r="C907" s="187" t="s">
        <v>3130</v>
      </c>
      <c r="D907" s="187" t="s">
        <v>888</v>
      </c>
      <c r="E907" s="505"/>
      <c r="F907" s="400">
        <v>3312</v>
      </c>
      <c r="G907" s="168" t="s">
        <v>32</v>
      </c>
      <c r="H907" s="168" t="s">
        <v>33</v>
      </c>
      <c r="I907" s="168"/>
      <c r="J907" s="168"/>
      <c r="K907" s="168" t="s">
        <v>3062</v>
      </c>
      <c r="L907" s="154">
        <v>770846</v>
      </c>
      <c r="M907" s="154">
        <v>695456.55</v>
      </c>
      <c r="N907" s="176">
        <v>2021.9</v>
      </c>
      <c r="O907" s="174" t="s">
        <v>2973</v>
      </c>
      <c r="P907" s="168" t="s">
        <v>1933</v>
      </c>
      <c r="Q907" s="168">
        <v>18335403600</v>
      </c>
      <c r="R907" s="168" t="s">
        <v>1934</v>
      </c>
      <c r="S907" s="168" t="s">
        <v>1736</v>
      </c>
      <c r="T907" s="168"/>
    </row>
    <row r="908" spans="1:20" ht="24.95" customHeight="1">
      <c r="A908" s="442" t="s">
        <v>1878</v>
      </c>
      <c r="B908" s="187" t="s">
        <v>3131</v>
      </c>
      <c r="C908" s="187" t="s">
        <v>3130</v>
      </c>
      <c r="D908" s="187" t="s">
        <v>888</v>
      </c>
      <c r="E908" s="505"/>
      <c r="F908" s="400">
        <v>1178</v>
      </c>
      <c r="G908" s="168" t="s">
        <v>32</v>
      </c>
      <c r="H908" s="168" t="s">
        <v>33</v>
      </c>
      <c r="I908" s="168"/>
      <c r="J908" s="168"/>
      <c r="K908" s="168" t="s">
        <v>3062</v>
      </c>
      <c r="L908" s="154">
        <v>274171.68</v>
      </c>
      <c r="M908" s="154">
        <v>247357.44</v>
      </c>
      <c r="N908" s="176">
        <v>2021.9</v>
      </c>
      <c r="O908" s="174" t="s">
        <v>2973</v>
      </c>
      <c r="P908" s="168" t="s">
        <v>1933</v>
      </c>
      <c r="Q908" s="168">
        <v>18335403600</v>
      </c>
      <c r="R908" s="168" t="s">
        <v>1934</v>
      </c>
      <c r="S908" s="168" t="s">
        <v>1736</v>
      </c>
      <c r="T908" s="168"/>
    </row>
    <row r="909" spans="1:20" ht="24.95" customHeight="1">
      <c r="A909" s="442" t="s">
        <v>1882</v>
      </c>
      <c r="B909" s="187" t="s">
        <v>3132</v>
      </c>
      <c r="C909" s="187" t="s">
        <v>3133</v>
      </c>
      <c r="D909" s="187" t="s">
        <v>888</v>
      </c>
      <c r="E909" s="505"/>
      <c r="F909" s="400">
        <v>360</v>
      </c>
      <c r="G909" s="168" t="s">
        <v>32</v>
      </c>
      <c r="H909" s="168" t="s">
        <v>33</v>
      </c>
      <c r="I909" s="168"/>
      <c r="J909" s="168"/>
      <c r="K909" s="168" t="s">
        <v>3062</v>
      </c>
      <c r="L909" s="154">
        <v>25486.73</v>
      </c>
      <c r="M909" s="154">
        <v>22994.1</v>
      </c>
      <c r="N909" s="176">
        <v>2021.9</v>
      </c>
      <c r="O909" s="174" t="s">
        <v>2973</v>
      </c>
      <c r="P909" s="168" t="s">
        <v>1933</v>
      </c>
      <c r="Q909" s="168">
        <v>18335403600</v>
      </c>
      <c r="R909" s="168" t="s">
        <v>1934</v>
      </c>
      <c r="S909" s="168" t="s">
        <v>1736</v>
      </c>
      <c r="T909" s="168"/>
    </row>
    <row r="910" spans="1:20" ht="24.95" customHeight="1">
      <c r="A910" s="442" t="s">
        <v>1885</v>
      </c>
      <c r="B910" s="187" t="s">
        <v>3134</v>
      </c>
      <c r="C910" s="187" t="s">
        <v>3135</v>
      </c>
      <c r="D910" s="187" t="s">
        <v>888</v>
      </c>
      <c r="E910" s="505"/>
      <c r="F910" s="400">
        <v>375</v>
      </c>
      <c r="G910" s="168" t="s">
        <v>32</v>
      </c>
      <c r="H910" s="168" t="s">
        <v>33</v>
      </c>
      <c r="I910" s="168"/>
      <c r="J910" s="168"/>
      <c r="K910" s="168" t="s">
        <v>3062</v>
      </c>
      <c r="L910" s="154">
        <v>56747.79</v>
      </c>
      <c r="M910" s="154">
        <v>51197.81</v>
      </c>
      <c r="N910" s="176">
        <v>2021.9</v>
      </c>
      <c r="O910" s="174" t="s">
        <v>2973</v>
      </c>
      <c r="P910" s="168" t="s">
        <v>1933</v>
      </c>
      <c r="Q910" s="168">
        <v>18335403600</v>
      </c>
      <c r="R910" s="168" t="s">
        <v>1934</v>
      </c>
      <c r="S910" s="168" t="s">
        <v>1736</v>
      </c>
      <c r="T910" s="168"/>
    </row>
    <row r="911" spans="1:20" ht="24.95" customHeight="1">
      <c r="A911" s="442" t="s">
        <v>1887</v>
      </c>
      <c r="B911" s="187" t="s">
        <v>3136</v>
      </c>
      <c r="C911" s="187" t="s">
        <v>3137</v>
      </c>
      <c r="D911" s="187" t="s">
        <v>888</v>
      </c>
      <c r="E911" s="505"/>
      <c r="F911" s="400">
        <v>225</v>
      </c>
      <c r="G911" s="168" t="s">
        <v>32</v>
      </c>
      <c r="H911" s="168" t="s">
        <v>33</v>
      </c>
      <c r="I911" s="168"/>
      <c r="J911" s="168"/>
      <c r="K911" s="168" t="s">
        <v>3062</v>
      </c>
      <c r="L911" s="154">
        <v>34048.67</v>
      </c>
      <c r="M911" s="154">
        <v>30718.68</v>
      </c>
      <c r="N911" s="176">
        <v>2021.9</v>
      </c>
      <c r="O911" s="174" t="s">
        <v>2973</v>
      </c>
      <c r="P911" s="168" t="s">
        <v>1933</v>
      </c>
      <c r="Q911" s="168">
        <v>18335403600</v>
      </c>
      <c r="R911" s="168" t="s">
        <v>1934</v>
      </c>
      <c r="S911" s="168" t="s">
        <v>1736</v>
      </c>
      <c r="T911" s="168"/>
    </row>
    <row r="912" spans="1:20" ht="24.95" customHeight="1">
      <c r="A912" s="442" t="s">
        <v>1889</v>
      </c>
      <c r="B912" s="187" t="s">
        <v>3138</v>
      </c>
      <c r="C912" s="187" t="s">
        <v>3139</v>
      </c>
      <c r="D912" s="400" t="s">
        <v>131</v>
      </c>
      <c r="E912" s="505"/>
      <c r="F912" s="400">
        <v>1</v>
      </c>
      <c r="G912" s="168" t="s">
        <v>32</v>
      </c>
      <c r="H912" s="168" t="s">
        <v>33</v>
      </c>
      <c r="I912" s="168"/>
      <c r="J912" s="168"/>
      <c r="K912" s="168" t="s">
        <v>3062</v>
      </c>
      <c r="L912" s="154">
        <v>120131.89</v>
      </c>
      <c r="M912" s="154">
        <v>104114.31</v>
      </c>
      <c r="N912" s="176" t="s">
        <v>3140</v>
      </c>
      <c r="O912" s="174" t="s">
        <v>2973</v>
      </c>
      <c r="P912" s="168" t="s">
        <v>1933</v>
      </c>
      <c r="Q912" s="168">
        <v>18335403600</v>
      </c>
      <c r="R912" s="168" t="s">
        <v>1934</v>
      </c>
      <c r="S912" s="168" t="s">
        <v>1736</v>
      </c>
      <c r="T912" s="168"/>
    </row>
    <row r="913" spans="1:20" ht="24.95" customHeight="1">
      <c r="A913" s="442" t="s">
        <v>1892</v>
      </c>
      <c r="B913" s="187" t="s">
        <v>3141</v>
      </c>
      <c r="C913" s="187" t="s">
        <v>3142</v>
      </c>
      <c r="D913" s="400" t="s">
        <v>888</v>
      </c>
      <c r="E913" s="505"/>
      <c r="F913" s="400">
        <v>91.3</v>
      </c>
      <c r="G913" s="168" t="s">
        <v>32</v>
      </c>
      <c r="H913" s="168" t="s">
        <v>33</v>
      </c>
      <c r="I913" s="168"/>
      <c r="J913" s="168"/>
      <c r="K913" s="168" t="s">
        <v>3062</v>
      </c>
      <c r="L913" s="154">
        <v>13816.19</v>
      </c>
      <c r="M913" s="154">
        <v>11974.03</v>
      </c>
      <c r="N913" s="176" t="s">
        <v>3140</v>
      </c>
      <c r="O913" s="174" t="s">
        <v>2973</v>
      </c>
      <c r="P913" s="168" t="s">
        <v>1933</v>
      </c>
      <c r="Q913" s="168">
        <v>18335403600</v>
      </c>
      <c r="R913" s="168" t="s">
        <v>1934</v>
      </c>
      <c r="S913" s="168" t="s">
        <v>1736</v>
      </c>
      <c r="T913" s="168"/>
    </row>
    <row r="914" spans="1:20" ht="24.95" customHeight="1">
      <c r="A914" s="442" t="s">
        <v>1894</v>
      </c>
      <c r="B914" s="187" t="s">
        <v>3143</v>
      </c>
      <c r="C914" s="187" t="s">
        <v>3144</v>
      </c>
      <c r="D914" s="400" t="s">
        <v>888</v>
      </c>
      <c r="E914" s="505"/>
      <c r="F914" s="400">
        <v>150</v>
      </c>
      <c r="G914" s="168" t="s">
        <v>32</v>
      </c>
      <c r="H914" s="168" t="s">
        <v>33</v>
      </c>
      <c r="I914" s="168"/>
      <c r="J914" s="168"/>
      <c r="K914" s="168" t="s">
        <v>3062</v>
      </c>
      <c r="L914" s="154">
        <v>33318.58</v>
      </c>
      <c r="M914" s="154">
        <v>28876.1</v>
      </c>
      <c r="N914" s="176" t="s">
        <v>3140</v>
      </c>
      <c r="O914" s="174" t="s">
        <v>2973</v>
      </c>
      <c r="P914" s="168" t="s">
        <v>1933</v>
      </c>
      <c r="Q914" s="168">
        <v>18335403600</v>
      </c>
      <c r="R914" s="168" t="s">
        <v>1934</v>
      </c>
      <c r="S914" s="168" t="s">
        <v>1736</v>
      </c>
      <c r="T914" s="168"/>
    </row>
    <row r="915" spans="1:20" ht="24.95" customHeight="1">
      <c r="A915" s="442" t="s">
        <v>1896</v>
      </c>
      <c r="B915" s="187" t="s">
        <v>3145</v>
      </c>
      <c r="C915" s="187" t="s">
        <v>3146</v>
      </c>
      <c r="D915" s="400" t="s">
        <v>888</v>
      </c>
      <c r="E915" s="505"/>
      <c r="F915" s="400">
        <v>1997.2</v>
      </c>
      <c r="G915" s="168" t="s">
        <v>32</v>
      </c>
      <c r="H915" s="168" t="s">
        <v>33</v>
      </c>
      <c r="I915" s="168"/>
      <c r="J915" s="168"/>
      <c r="K915" s="168" t="s">
        <v>3062</v>
      </c>
      <c r="L915" s="154">
        <v>515030.16</v>
      </c>
      <c r="M915" s="154">
        <v>446359.48</v>
      </c>
      <c r="N915" s="176" t="s">
        <v>3140</v>
      </c>
      <c r="O915" s="174" t="s">
        <v>2973</v>
      </c>
      <c r="P915" s="168" t="s">
        <v>1933</v>
      </c>
      <c r="Q915" s="168">
        <v>18335403600</v>
      </c>
      <c r="R915" s="168" t="s">
        <v>1934</v>
      </c>
      <c r="S915" s="168" t="s">
        <v>1736</v>
      </c>
      <c r="T915" s="168"/>
    </row>
    <row r="916" spans="1:20" ht="24.95" customHeight="1">
      <c r="A916" s="442" t="s">
        <v>1898</v>
      </c>
      <c r="B916" s="187" t="s">
        <v>3147</v>
      </c>
      <c r="C916" s="187" t="s">
        <v>3148</v>
      </c>
      <c r="D916" s="400" t="s">
        <v>131</v>
      </c>
      <c r="E916" s="505"/>
      <c r="F916" s="400">
        <v>1</v>
      </c>
      <c r="G916" s="168" t="s">
        <v>32</v>
      </c>
      <c r="H916" s="168" t="s">
        <v>33</v>
      </c>
      <c r="I916" s="168"/>
      <c r="J916" s="168"/>
      <c r="K916" s="168" t="s">
        <v>3062</v>
      </c>
      <c r="L916" s="154">
        <v>4020.35</v>
      </c>
      <c r="M916" s="154">
        <v>3484.31</v>
      </c>
      <c r="N916" s="176" t="s">
        <v>3140</v>
      </c>
      <c r="O916" s="174" t="s">
        <v>2973</v>
      </c>
      <c r="P916" s="168" t="s">
        <v>1933</v>
      </c>
      <c r="Q916" s="168">
        <v>18335403600</v>
      </c>
      <c r="R916" s="168" t="s">
        <v>1934</v>
      </c>
      <c r="S916" s="168" t="s">
        <v>1736</v>
      </c>
      <c r="T916" s="168"/>
    </row>
    <row r="917" spans="1:20" ht="24.95" customHeight="1">
      <c r="A917" s="442" t="s">
        <v>1899</v>
      </c>
      <c r="B917" s="187" t="s">
        <v>3149</v>
      </c>
      <c r="C917" s="187" t="s">
        <v>3150</v>
      </c>
      <c r="D917" s="400" t="s">
        <v>888</v>
      </c>
      <c r="E917" s="505"/>
      <c r="F917" s="400">
        <v>360</v>
      </c>
      <c r="G917" s="168" t="s">
        <v>32</v>
      </c>
      <c r="H917" s="168" t="s">
        <v>33</v>
      </c>
      <c r="I917" s="168"/>
      <c r="J917" s="168"/>
      <c r="K917" s="168" t="s">
        <v>3062</v>
      </c>
      <c r="L917" s="154">
        <v>103539.82</v>
      </c>
      <c r="M917" s="154">
        <v>89734.52</v>
      </c>
      <c r="N917" s="176" t="s">
        <v>3140</v>
      </c>
      <c r="O917" s="174" t="s">
        <v>2973</v>
      </c>
      <c r="P917" s="168" t="s">
        <v>1933</v>
      </c>
      <c r="Q917" s="168">
        <v>18335403600</v>
      </c>
      <c r="R917" s="168" t="s">
        <v>1934</v>
      </c>
      <c r="S917" s="168" t="s">
        <v>1736</v>
      </c>
      <c r="T917" s="168"/>
    </row>
    <row r="918" spans="1:20" ht="24.95" customHeight="1">
      <c r="A918" s="442" t="s">
        <v>1901</v>
      </c>
      <c r="B918" s="187" t="s">
        <v>3151</v>
      </c>
      <c r="C918" s="187" t="s">
        <v>3152</v>
      </c>
      <c r="D918" s="400" t="s">
        <v>888</v>
      </c>
      <c r="E918" s="505"/>
      <c r="F918" s="400">
        <v>352.2</v>
      </c>
      <c r="G918" s="168" t="s">
        <v>32</v>
      </c>
      <c r="H918" s="168" t="s">
        <v>33</v>
      </c>
      <c r="I918" s="168"/>
      <c r="J918" s="168"/>
      <c r="K918" s="168" t="s">
        <v>3062</v>
      </c>
      <c r="L918" s="154">
        <v>78232.039999999994</v>
      </c>
      <c r="M918" s="154">
        <v>67801.100000000006</v>
      </c>
      <c r="N918" s="176" t="s">
        <v>3140</v>
      </c>
      <c r="O918" s="174" t="s">
        <v>2973</v>
      </c>
      <c r="P918" s="168" t="s">
        <v>1933</v>
      </c>
      <c r="Q918" s="168">
        <v>18335403600</v>
      </c>
      <c r="R918" s="168" t="s">
        <v>1934</v>
      </c>
      <c r="S918" s="168" t="s">
        <v>1736</v>
      </c>
      <c r="T918" s="168"/>
    </row>
    <row r="919" spans="1:20" ht="24.95" customHeight="1">
      <c r="A919" s="442" t="s">
        <v>1902</v>
      </c>
      <c r="B919" s="187" t="s">
        <v>3153</v>
      </c>
      <c r="C919" s="187" t="s">
        <v>3154</v>
      </c>
      <c r="D919" s="400" t="s">
        <v>3155</v>
      </c>
      <c r="E919" s="505"/>
      <c r="F919" s="400">
        <v>12</v>
      </c>
      <c r="G919" s="168" t="s">
        <v>32</v>
      </c>
      <c r="H919" s="168" t="s">
        <v>33</v>
      </c>
      <c r="I919" s="168"/>
      <c r="J919" s="168"/>
      <c r="K919" s="506" t="s">
        <v>3156</v>
      </c>
      <c r="L919" s="154">
        <v>546.53</v>
      </c>
      <c r="M919" s="154">
        <v>473.65</v>
      </c>
      <c r="N919" s="176" t="s">
        <v>3140</v>
      </c>
      <c r="O919" s="174" t="s">
        <v>2973</v>
      </c>
      <c r="P919" s="168" t="s">
        <v>1933</v>
      </c>
      <c r="Q919" s="168">
        <v>18335403600</v>
      </c>
      <c r="R919" s="168" t="s">
        <v>1934</v>
      </c>
      <c r="S919" s="168" t="s">
        <v>1736</v>
      </c>
      <c r="T919" s="168"/>
    </row>
    <row r="920" spans="1:20" ht="24.95" customHeight="1">
      <c r="A920" s="442" t="s">
        <v>1903</v>
      </c>
      <c r="B920" s="187" t="s">
        <v>3157</v>
      </c>
      <c r="C920" s="187" t="s">
        <v>590</v>
      </c>
      <c r="D920" s="400" t="s">
        <v>464</v>
      </c>
      <c r="E920" s="505"/>
      <c r="F920" s="400">
        <v>270</v>
      </c>
      <c r="G920" s="168" t="s">
        <v>32</v>
      </c>
      <c r="H920" s="168" t="s">
        <v>33</v>
      </c>
      <c r="I920" s="168"/>
      <c r="J920" s="168"/>
      <c r="K920" s="506" t="s">
        <v>3156</v>
      </c>
      <c r="L920" s="154">
        <v>19247.52</v>
      </c>
      <c r="M920" s="154">
        <v>16681.18</v>
      </c>
      <c r="N920" s="176" t="s">
        <v>3140</v>
      </c>
      <c r="O920" s="174" t="s">
        <v>2973</v>
      </c>
      <c r="P920" s="168" t="s">
        <v>1933</v>
      </c>
      <c r="Q920" s="168">
        <v>18335403600</v>
      </c>
      <c r="R920" s="168" t="s">
        <v>1934</v>
      </c>
      <c r="S920" s="168" t="s">
        <v>1736</v>
      </c>
      <c r="T920" s="168"/>
    </row>
    <row r="921" spans="1:20" ht="24.95" customHeight="1">
      <c r="A921" s="442" t="s">
        <v>1905</v>
      </c>
      <c r="B921" s="187" t="s">
        <v>3158</v>
      </c>
      <c r="C921" s="187" t="s">
        <v>3159</v>
      </c>
      <c r="D921" s="400" t="s">
        <v>888</v>
      </c>
      <c r="E921" s="505"/>
      <c r="F921" s="400">
        <v>1050</v>
      </c>
      <c r="G921" s="168" t="s">
        <v>32</v>
      </c>
      <c r="H921" s="168" t="s">
        <v>33</v>
      </c>
      <c r="I921" s="168"/>
      <c r="J921" s="168"/>
      <c r="K921" s="506" t="s">
        <v>3156</v>
      </c>
      <c r="L921" s="154">
        <v>27029.7</v>
      </c>
      <c r="M921" s="154">
        <v>23425.74</v>
      </c>
      <c r="N921" s="176" t="s">
        <v>3140</v>
      </c>
      <c r="O921" s="174" t="s">
        <v>2973</v>
      </c>
      <c r="P921" s="168" t="s">
        <v>1933</v>
      </c>
      <c r="Q921" s="168">
        <v>18335403600</v>
      </c>
      <c r="R921" s="168" t="s">
        <v>1934</v>
      </c>
      <c r="S921" s="168" t="s">
        <v>1736</v>
      </c>
      <c r="T921" s="168"/>
    </row>
    <row r="922" spans="1:20" ht="24.95" customHeight="1">
      <c r="A922" s="442" t="s">
        <v>1906</v>
      </c>
      <c r="B922" s="187" t="s">
        <v>3160</v>
      </c>
      <c r="C922" s="187" t="s">
        <v>3161</v>
      </c>
      <c r="D922" s="400" t="s">
        <v>131</v>
      </c>
      <c r="E922" s="505"/>
      <c r="F922" s="400">
        <v>1</v>
      </c>
      <c r="G922" s="168" t="s">
        <v>32</v>
      </c>
      <c r="H922" s="168" t="s">
        <v>33</v>
      </c>
      <c r="I922" s="168"/>
      <c r="J922" s="168"/>
      <c r="K922" s="506" t="s">
        <v>3162</v>
      </c>
      <c r="L922" s="154">
        <v>116831.67999999999</v>
      </c>
      <c r="M922" s="154">
        <v>101254.12</v>
      </c>
      <c r="N922" s="176" t="s">
        <v>3140</v>
      </c>
      <c r="O922" s="174" t="s">
        <v>2973</v>
      </c>
      <c r="P922" s="168" t="s">
        <v>1933</v>
      </c>
      <c r="Q922" s="168">
        <v>18335403600</v>
      </c>
      <c r="R922" s="168" t="s">
        <v>1934</v>
      </c>
      <c r="S922" s="168" t="s">
        <v>1736</v>
      </c>
      <c r="T922" s="168"/>
    </row>
    <row r="923" spans="1:20" ht="24.95" customHeight="1">
      <c r="A923" s="442" t="s">
        <v>1907</v>
      </c>
      <c r="B923" s="187" t="s">
        <v>3163</v>
      </c>
      <c r="C923" s="187" t="s">
        <v>3164</v>
      </c>
      <c r="D923" s="400" t="s">
        <v>1477</v>
      </c>
      <c r="E923" s="505"/>
      <c r="F923" s="400">
        <v>2</v>
      </c>
      <c r="G923" s="168" t="s">
        <v>32</v>
      </c>
      <c r="H923" s="168" t="s">
        <v>33</v>
      </c>
      <c r="I923" s="168"/>
      <c r="J923" s="168"/>
      <c r="K923" s="506" t="s">
        <v>3162</v>
      </c>
      <c r="L923" s="154">
        <v>17425.740000000002</v>
      </c>
      <c r="M923" s="154">
        <v>15102.32</v>
      </c>
      <c r="N923" s="176" t="s">
        <v>3140</v>
      </c>
      <c r="O923" s="174" t="s">
        <v>2973</v>
      </c>
      <c r="P923" s="168" t="s">
        <v>1933</v>
      </c>
      <c r="Q923" s="168">
        <v>18335403600</v>
      </c>
      <c r="R923" s="168" t="s">
        <v>1934</v>
      </c>
      <c r="S923" s="168" t="s">
        <v>1736</v>
      </c>
      <c r="T923" s="168"/>
    </row>
    <row r="924" spans="1:20" ht="24.95" customHeight="1">
      <c r="A924" s="442" t="s">
        <v>1914</v>
      </c>
      <c r="B924" s="187" t="s">
        <v>3132</v>
      </c>
      <c r="C924" s="187" t="s">
        <v>3165</v>
      </c>
      <c r="D924" s="168" t="s">
        <v>3061</v>
      </c>
      <c r="E924" s="505"/>
      <c r="F924" s="400">
        <v>1072.23</v>
      </c>
      <c r="G924" s="168" t="s">
        <v>32</v>
      </c>
      <c r="H924" s="168" t="s">
        <v>33</v>
      </c>
      <c r="I924" s="168"/>
      <c r="J924" s="168"/>
      <c r="K924" s="506" t="s">
        <v>3062</v>
      </c>
      <c r="L924" s="154">
        <v>109120.75</v>
      </c>
      <c r="M924" s="154">
        <v>101846.03</v>
      </c>
      <c r="N924" s="176" t="s">
        <v>1956</v>
      </c>
      <c r="O924" s="174" t="s">
        <v>2973</v>
      </c>
      <c r="P924" s="168" t="s">
        <v>1933</v>
      </c>
      <c r="Q924" s="168">
        <v>18335403600</v>
      </c>
      <c r="R924" s="168" t="s">
        <v>1934</v>
      </c>
      <c r="S924" s="168" t="s">
        <v>1736</v>
      </c>
      <c r="T924" s="168"/>
    </row>
    <row r="925" spans="1:20" ht="24.95" customHeight="1">
      <c r="A925" s="442" t="s">
        <v>1916</v>
      </c>
      <c r="B925" s="187" t="s">
        <v>3166</v>
      </c>
      <c r="C925" s="187" t="s">
        <v>3165</v>
      </c>
      <c r="D925" s="168" t="s">
        <v>3061</v>
      </c>
      <c r="E925" s="505"/>
      <c r="F925" s="400">
        <v>1376.29</v>
      </c>
      <c r="G925" s="168" t="s">
        <v>32</v>
      </c>
      <c r="H925" s="168" t="s">
        <v>33</v>
      </c>
      <c r="I925" s="168"/>
      <c r="J925" s="168"/>
      <c r="K925" s="506" t="s">
        <v>3062</v>
      </c>
      <c r="L925" s="154">
        <v>261860.49</v>
      </c>
      <c r="M925" s="154">
        <v>244403.12</v>
      </c>
      <c r="N925" s="176" t="s">
        <v>1956</v>
      </c>
      <c r="O925" s="174" t="s">
        <v>2973</v>
      </c>
      <c r="P925" s="168" t="s">
        <v>1933</v>
      </c>
      <c r="Q925" s="168">
        <v>18335403600</v>
      </c>
      <c r="R925" s="168" t="s">
        <v>1934</v>
      </c>
      <c r="S925" s="168" t="s">
        <v>1736</v>
      </c>
      <c r="T925" s="168"/>
    </row>
    <row r="926" spans="1:20" ht="24.95" customHeight="1">
      <c r="A926" s="442" t="s">
        <v>1918</v>
      </c>
      <c r="B926" s="187" t="s">
        <v>3167</v>
      </c>
      <c r="C926" s="187" t="s">
        <v>3168</v>
      </c>
      <c r="D926" s="168" t="s">
        <v>3169</v>
      </c>
      <c r="E926" s="505"/>
      <c r="F926" s="400">
        <v>2</v>
      </c>
      <c r="G926" s="168" t="s">
        <v>32</v>
      </c>
      <c r="H926" s="168" t="s">
        <v>33</v>
      </c>
      <c r="I926" s="168"/>
      <c r="J926" s="168"/>
      <c r="K926" s="506" t="s">
        <v>3170</v>
      </c>
      <c r="L926" s="154">
        <v>2574.2600000000002</v>
      </c>
      <c r="M926" s="154">
        <v>2402.64</v>
      </c>
      <c r="N926" s="176" t="s">
        <v>1956</v>
      </c>
      <c r="O926" s="174" t="s">
        <v>2973</v>
      </c>
      <c r="P926" s="168" t="s">
        <v>1933</v>
      </c>
      <c r="Q926" s="168">
        <v>18335403600</v>
      </c>
      <c r="R926" s="168" t="s">
        <v>1934</v>
      </c>
      <c r="S926" s="168" t="s">
        <v>1736</v>
      </c>
      <c r="T926" s="168"/>
    </row>
    <row r="927" spans="1:20" ht="24.95" customHeight="1">
      <c r="A927" s="442" t="s">
        <v>1921</v>
      </c>
      <c r="B927" s="187" t="s">
        <v>3167</v>
      </c>
      <c r="C927" s="187" t="s">
        <v>3171</v>
      </c>
      <c r="D927" s="168" t="s">
        <v>3169</v>
      </c>
      <c r="E927" s="505"/>
      <c r="F927" s="400">
        <v>2</v>
      </c>
      <c r="G927" s="168" t="s">
        <v>32</v>
      </c>
      <c r="H927" s="168" t="s">
        <v>33</v>
      </c>
      <c r="I927" s="168"/>
      <c r="J927" s="168"/>
      <c r="K927" s="506" t="s">
        <v>3170</v>
      </c>
      <c r="L927" s="154">
        <v>2970.3</v>
      </c>
      <c r="M927" s="154">
        <v>2772.28</v>
      </c>
      <c r="N927" s="176" t="s">
        <v>1956</v>
      </c>
      <c r="O927" s="174" t="s">
        <v>2973</v>
      </c>
      <c r="P927" s="168" t="s">
        <v>1933</v>
      </c>
      <c r="Q927" s="168">
        <v>18335403600</v>
      </c>
      <c r="R927" s="168" t="s">
        <v>1934</v>
      </c>
      <c r="S927" s="168" t="s">
        <v>1736</v>
      </c>
      <c r="T927" s="168"/>
    </row>
    <row r="928" spans="1:20" ht="24.95" customHeight="1">
      <c r="A928" s="442" t="s">
        <v>1902</v>
      </c>
      <c r="B928" s="168" t="s">
        <v>3124</v>
      </c>
      <c r="C928" s="351" t="s">
        <v>3172</v>
      </c>
      <c r="D928" s="168" t="s">
        <v>888</v>
      </c>
      <c r="E928" s="351">
        <v>5324.4</v>
      </c>
      <c r="F928" s="351"/>
      <c r="G928" s="152" t="s">
        <v>32</v>
      </c>
      <c r="H928" s="168" t="s">
        <v>33</v>
      </c>
      <c r="I928" s="351"/>
      <c r="J928" s="351"/>
      <c r="K928" s="507" t="s">
        <v>3173</v>
      </c>
      <c r="L928" s="222">
        <v>1733963.89</v>
      </c>
      <c r="M928" s="222">
        <v>1733963.89</v>
      </c>
      <c r="N928" s="351">
        <v>2021.1</v>
      </c>
      <c r="O928" s="168" t="s">
        <v>65</v>
      </c>
      <c r="P928" s="152" t="s">
        <v>2417</v>
      </c>
      <c r="Q928" s="152">
        <v>15003571571</v>
      </c>
      <c r="R928" s="102" t="s">
        <v>2418</v>
      </c>
      <c r="S928" s="125" t="s">
        <v>1736</v>
      </c>
      <c r="T928" s="329"/>
    </row>
    <row r="929" spans="1:20" ht="24.95" customHeight="1">
      <c r="A929" s="442" t="s">
        <v>1903</v>
      </c>
      <c r="B929" s="406" t="s">
        <v>3124</v>
      </c>
      <c r="C929" s="407" t="s">
        <v>3174</v>
      </c>
      <c r="D929" s="406" t="s">
        <v>3175</v>
      </c>
      <c r="E929" s="407">
        <v>5400</v>
      </c>
      <c r="F929" s="407"/>
      <c r="G929" s="159" t="s">
        <v>32</v>
      </c>
      <c r="H929" s="406" t="s">
        <v>33</v>
      </c>
      <c r="I929" s="508"/>
      <c r="J929" s="509"/>
      <c r="K929" s="510" t="s">
        <v>3173</v>
      </c>
      <c r="L929" s="242">
        <v>907964.6</v>
      </c>
      <c r="M929" s="242">
        <v>605309.69999999995</v>
      </c>
      <c r="N929" s="407">
        <v>2021.6</v>
      </c>
      <c r="O929" s="406" t="s">
        <v>65</v>
      </c>
      <c r="P929" s="159" t="s">
        <v>2417</v>
      </c>
      <c r="Q929" s="159">
        <v>15003571571</v>
      </c>
      <c r="R929" s="102" t="s">
        <v>2418</v>
      </c>
      <c r="S929" s="305" t="s">
        <v>1736</v>
      </c>
      <c r="T929" s="329"/>
    </row>
    <row r="930" spans="1:20" ht="24.95" customHeight="1">
      <c r="A930" s="442" t="s">
        <v>1905</v>
      </c>
      <c r="B930" s="406" t="s">
        <v>3124</v>
      </c>
      <c r="C930" s="407" t="s">
        <v>3176</v>
      </c>
      <c r="D930" s="406" t="s">
        <v>3175</v>
      </c>
      <c r="E930" s="407">
        <v>5385.5</v>
      </c>
      <c r="F930" s="407"/>
      <c r="G930" s="159" t="s">
        <v>32</v>
      </c>
      <c r="H930" s="406" t="s">
        <v>33</v>
      </c>
      <c r="I930" s="508"/>
      <c r="J930" s="509"/>
      <c r="K930" s="510" t="s">
        <v>3173</v>
      </c>
      <c r="L930" s="242">
        <v>905526.55</v>
      </c>
      <c r="M930" s="242">
        <v>681808.21</v>
      </c>
      <c r="N930" s="407">
        <v>2021.3</v>
      </c>
      <c r="O930" s="406" t="s">
        <v>65</v>
      </c>
      <c r="P930" s="159" t="s">
        <v>2417</v>
      </c>
      <c r="Q930" s="159">
        <v>15003571571</v>
      </c>
      <c r="R930" s="102" t="s">
        <v>2418</v>
      </c>
      <c r="S930" s="305" t="s">
        <v>1736</v>
      </c>
      <c r="T930" s="329"/>
    </row>
    <row r="931" spans="1:20" ht="24.95" customHeight="1">
      <c r="A931" s="442" t="s">
        <v>1906</v>
      </c>
      <c r="B931" s="406" t="s">
        <v>3177</v>
      </c>
      <c r="C931" s="407" t="s">
        <v>34</v>
      </c>
      <c r="D931" s="406" t="s">
        <v>3175</v>
      </c>
      <c r="E931" s="407">
        <v>6600</v>
      </c>
      <c r="F931" s="407"/>
      <c r="G931" s="159" t="s">
        <v>32</v>
      </c>
      <c r="H931" s="406" t="s">
        <v>33</v>
      </c>
      <c r="I931" s="508"/>
      <c r="J931" s="509"/>
      <c r="K931" s="510" t="s">
        <v>3173</v>
      </c>
      <c r="L931" s="242">
        <v>1693805.31</v>
      </c>
      <c r="M931" s="242">
        <v>1275335.79</v>
      </c>
      <c r="N931" s="407">
        <v>2021.6</v>
      </c>
      <c r="O931" s="406" t="s">
        <v>65</v>
      </c>
      <c r="P931" s="159" t="s">
        <v>2417</v>
      </c>
      <c r="Q931" s="159">
        <v>15003571571</v>
      </c>
      <c r="R931" s="102" t="s">
        <v>2418</v>
      </c>
      <c r="S931" s="305" t="s">
        <v>1736</v>
      </c>
      <c r="T931" s="329"/>
    </row>
    <row r="932" spans="1:20" ht="24.95" customHeight="1">
      <c r="A932" s="442" t="s">
        <v>1907</v>
      </c>
      <c r="B932" s="406" t="s">
        <v>3177</v>
      </c>
      <c r="C932" s="407" t="s">
        <v>34</v>
      </c>
      <c r="D932" s="406" t="s">
        <v>3175</v>
      </c>
      <c r="E932" s="407">
        <v>6700</v>
      </c>
      <c r="F932" s="407"/>
      <c r="G932" s="159" t="s">
        <v>32</v>
      </c>
      <c r="H932" s="406" t="s">
        <v>33</v>
      </c>
      <c r="I932" s="508"/>
      <c r="J932" s="509"/>
      <c r="K932" s="510" t="s">
        <v>3173</v>
      </c>
      <c r="L932" s="242">
        <v>1719469.03</v>
      </c>
      <c r="M932" s="242">
        <v>1294659.01</v>
      </c>
      <c r="N932" s="407">
        <v>2021.7</v>
      </c>
      <c r="O932" s="406" t="s">
        <v>65</v>
      </c>
      <c r="P932" s="159" t="s">
        <v>2417</v>
      </c>
      <c r="Q932" s="159">
        <v>15003571571</v>
      </c>
      <c r="R932" s="102" t="s">
        <v>2418</v>
      </c>
      <c r="S932" s="305" t="s">
        <v>1736</v>
      </c>
      <c r="T932" s="329"/>
    </row>
    <row r="933" spans="1:20" ht="24.95" customHeight="1">
      <c r="A933" s="442" t="s">
        <v>1914</v>
      </c>
      <c r="B933" s="406" t="s">
        <v>3177</v>
      </c>
      <c r="C933" s="407" t="s">
        <v>34</v>
      </c>
      <c r="D933" s="406" t="s">
        <v>3175</v>
      </c>
      <c r="E933" s="407">
        <v>6000</v>
      </c>
      <c r="F933" s="407"/>
      <c r="G933" s="159" t="s">
        <v>32</v>
      </c>
      <c r="H933" s="406" t="s">
        <v>33</v>
      </c>
      <c r="I933" s="508"/>
      <c r="J933" s="509"/>
      <c r="K933" s="510" t="s">
        <v>3173</v>
      </c>
      <c r="L933" s="242">
        <v>1699115.04</v>
      </c>
      <c r="M933" s="242">
        <v>1279333.68</v>
      </c>
      <c r="N933" s="407">
        <v>2021.7</v>
      </c>
      <c r="O933" s="406" t="s">
        <v>65</v>
      </c>
      <c r="P933" s="159" t="s">
        <v>2417</v>
      </c>
      <c r="Q933" s="159">
        <v>15003571571</v>
      </c>
      <c r="R933" s="102" t="s">
        <v>2418</v>
      </c>
      <c r="S933" s="305" t="s">
        <v>1736</v>
      </c>
      <c r="T933" s="329"/>
    </row>
    <row r="934" spans="1:20" ht="24.95" customHeight="1">
      <c r="A934" s="442" t="s">
        <v>1916</v>
      </c>
      <c r="B934" s="406" t="s">
        <v>3177</v>
      </c>
      <c r="C934" s="407" t="s">
        <v>34</v>
      </c>
      <c r="D934" s="406" t="s">
        <v>3175</v>
      </c>
      <c r="E934" s="407">
        <v>5000</v>
      </c>
      <c r="F934" s="407"/>
      <c r="G934" s="159" t="s">
        <v>32</v>
      </c>
      <c r="H934" s="406" t="s">
        <v>33</v>
      </c>
      <c r="I934" s="508"/>
      <c r="J934" s="509"/>
      <c r="K934" s="510" t="s">
        <v>3173</v>
      </c>
      <c r="L934" s="242">
        <v>1415929.14</v>
      </c>
      <c r="M934" s="242">
        <v>1066111.33</v>
      </c>
      <c r="N934" s="407">
        <v>2021.5</v>
      </c>
      <c r="O934" s="406" t="s">
        <v>65</v>
      </c>
      <c r="P934" s="159" t="s">
        <v>2417</v>
      </c>
      <c r="Q934" s="159">
        <v>15003571571</v>
      </c>
      <c r="R934" s="102" t="s">
        <v>2418</v>
      </c>
      <c r="S934" s="305" t="s">
        <v>1736</v>
      </c>
      <c r="T934" s="329"/>
    </row>
    <row r="935" spans="1:20" ht="24.95" customHeight="1">
      <c r="A935" s="413">
        <v>2</v>
      </c>
      <c r="B935" s="147" t="s">
        <v>1162</v>
      </c>
      <c r="C935" s="147"/>
      <c r="D935" s="147"/>
      <c r="E935" s="147"/>
      <c r="F935" s="147"/>
      <c r="G935" s="147"/>
      <c r="H935" s="147"/>
      <c r="I935" s="1859"/>
      <c r="J935" s="1860"/>
      <c r="K935" s="1861"/>
      <c r="L935" s="147"/>
      <c r="M935" s="147"/>
      <c r="N935" s="147"/>
      <c r="O935" s="147"/>
      <c r="P935" s="147"/>
      <c r="Q935" s="147"/>
      <c r="R935" s="147"/>
      <c r="S935" s="147"/>
      <c r="T935" s="329"/>
    </row>
    <row r="936" spans="1:20" ht="24.95" customHeight="1">
      <c r="A936" s="155" t="s">
        <v>2182</v>
      </c>
      <c r="B936" s="102" t="s">
        <v>3178</v>
      </c>
      <c r="C936" s="102"/>
      <c r="D936" s="123" t="s">
        <v>79</v>
      </c>
      <c r="E936" s="102">
        <v>2</v>
      </c>
      <c r="F936" s="113">
        <v>2</v>
      </c>
      <c r="G936" s="102" t="s">
        <v>32</v>
      </c>
      <c r="H936" s="105" t="s">
        <v>33</v>
      </c>
      <c r="I936" s="123"/>
      <c r="J936" s="511" t="s">
        <v>1809</v>
      </c>
      <c r="K936" s="102"/>
      <c r="L936" s="113">
        <v>32654.87</v>
      </c>
      <c r="M936" s="154">
        <v>8663.7929999999997</v>
      </c>
      <c r="N936" s="102">
        <v>2019.7</v>
      </c>
      <c r="O936" s="102" t="s">
        <v>3179</v>
      </c>
      <c r="P936" s="123" t="s">
        <v>1812</v>
      </c>
      <c r="Q936" s="102">
        <v>15110423230</v>
      </c>
      <c r="R936" s="106" t="s">
        <v>1813</v>
      </c>
      <c r="S936" s="147" t="s">
        <v>1736</v>
      </c>
      <c r="T936" s="329"/>
    </row>
    <row r="937" spans="1:20" ht="24.95" customHeight="1">
      <c r="A937" s="155" t="s">
        <v>2191</v>
      </c>
      <c r="B937" s="102" t="s">
        <v>1575</v>
      </c>
      <c r="C937" s="102"/>
      <c r="D937" s="123" t="s">
        <v>79</v>
      </c>
      <c r="E937" s="102">
        <v>1</v>
      </c>
      <c r="F937" s="102">
        <v>1</v>
      </c>
      <c r="G937" s="102" t="s">
        <v>32</v>
      </c>
      <c r="H937" s="105" t="s">
        <v>33</v>
      </c>
      <c r="I937" s="123"/>
      <c r="J937" s="511" t="s">
        <v>1809</v>
      </c>
      <c r="K937" s="102"/>
      <c r="L937" s="113">
        <v>28879.31</v>
      </c>
      <c r="M937" s="154">
        <v>14415.384</v>
      </c>
      <c r="N937" s="102">
        <v>2018.6</v>
      </c>
      <c r="O937" s="511" t="s">
        <v>3180</v>
      </c>
      <c r="P937" s="123" t="s">
        <v>1812</v>
      </c>
      <c r="Q937" s="102">
        <v>15110423230</v>
      </c>
      <c r="R937" s="106" t="s">
        <v>1813</v>
      </c>
      <c r="S937" s="147" t="s">
        <v>1736</v>
      </c>
      <c r="T937" s="329"/>
    </row>
    <row r="938" spans="1:20" ht="24.95" customHeight="1">
      <c r="A938" s="155" t="s">
        <v>2193</v>
      </c>
      <c r="B938" s="102" t="s">
        <v>1173</v>
      </c>
      <c r="C938" s="102"/>
      <c r="D938" s="123" t="s">
        <v>131</v>
      </c>
      <c r="E938" s="102">
        <v>6</v>
      </c>
      <c r="F938" s="102">
        <v>6</v>
      </c>
      <c r="G938" s="102" t="s">
        <v>32</v>
      </c>
      <c r="H938" s="105" t="s">
        <v>33</v>
      </c>
      <c r="I938" s="123"/>
      <c r="J938" s="511" t="s">
        <v>1809</v>
      </c>
      <c r="K938" s="102"/>
      <c r="L938" s="113">
        <v>48051.28</v>
      </c>
      <c r="M938" s="154">
        <v>9796.4609999999993</v>
      </c>
      <c r="N938" s="102">
        <v>2018.7</v>
      </c>
      <c r="O938" s="511" t="s">
        <v>3181</v>
      </c>
      <c r="P938" s="123" t="s">
        <v>1812</v>
      </c>
      <c r="Q938" s="102">
        <v>15110423230</v>
      </c>
      <c r="R938" s="106" t="s">
        <v>1813</v>
      </c>
      <c r="S938" s="147" t="s">
        <v>1736</v>
      </c>
      <c r="T938" s="329"/>
    </row>
    <row r="939" spans="1:20" ht="24.95" customHeight="1">
      <c r="A939" s="155" t="s">
        <v>2196</v>
      </c>
      <c r="B939" s="147" t="s">
        <v>1173</v>
      </c>
      <c r="C939" s="147" t="s">
        <v>1326</v>
      </c>
      <c r="D939" s="147" t="s">
        <v>131</v>
      </c>
      <c r="E939" s="147">
        <v>2</v>
      </c>
      <c r="F939" s="147"/>
      <c r="G939" s="147" t="s">
        <v>32</v>
      </c>
      <c r="H939" s="147" t="s">
        <v>33</v>
      </c>
      <c r="I939" s="140"/>
      <c r="J939" s="140"/>
      <c r="K939" s="140" t="s">
        <v>2695</v>
      </c>
      <c r="L939" s="147">
        <v>24000</v>
      </c>
      <c r="M939" s="147">
        <v>7200</v>
      </c>
      <c r="N939" s="147">
        <v>2015</v>
      </c>
      <c r="O939" s="140" t="s">
        <v>2698</v>
      </c>
      <c r="P939" s="147" t="s">
        <v>2660</v>
      </c>
      <c r="Q939" s="147">
        <v>17809251055</v>
      </c>
      <c r="R939" s="147" t="s">
        <v>2661</v>
      </c>
      <c r="S939" s="147" t="s">
        <v>1736</v>
      </c>
      <c r="T939" s="329"/>
    </row>
    <row r="940" spans="1:20" ht="24.95" customHeight="1">
      <c r="A940" s="155" t="s">
        <v>2209</v>
      </c>
      <c r="B940" s="147" t="s">
        <v>1173</v>
      </c>
      <c r="C940" s="196" t="s">
        <v>3182</v>
      </c>
      <c r="D940" s="234" t="s">
        <v>131</v>
      </c>
      <c r="E940" s="174">
        <v>4</v>
      </c>
      <c r="F940" s="512"/>
      <c r="G940" s="356" t="s">
        <v>32</v>
      </c>
      <c r="H940" s="147" t="s">
        <v>33</v>
      </c>
      <c r="I940" s="290" t="s">
        <v>179</v>
      </c>
      <c r="J940" s="290"/>
      <c r="K940" s="290"/>
      <c r="L940" s="307">
        <v>32000</v>
      </c>
      <c r="M940" s="141">
        <v>9600</v>
      </c>
      <c r="N940" s="356">
        <v>2020.4</v>
      </c>
      <c r="O940" s="290" t="s">
        <v>1755</v>
      </c>
      <c r="P940" s="356" t="s">
        <v>1756</v>
      </c>
      <c r="Q940" s="356">
        <v>18634872802</v>
      </c>
      <c r="R940" s="356" t="s">
        <v>1757</v>
      </c>
      <c r="S940" s="356" t="s">
        <v>1736</v>
      </c>
      <c r="T940" s="329"/>
    </row>
    <row r="941" spans="1:20" ht="24.95" customHeight="1">
      <c r="A941" s="155" t="s">
        <v>2211</v>
      </c>
      <c r="B941" s="513" t="s">
        <v>3183</v>
      </c>
      <c r="C941" s="514" t="s">
        <v>3184</v>
      </c>
      <c r="D941" s="234" t="s">
        <v>1165</v>
      </c>
      <c r="E941" s="515">
        <v>23</v>
      </c>
      <c r="F941" s="516"/>
      <c r="G941" s="356" t="s">
        <v>32</v>
      </c>
      <c r="H941" s="147" t="s">
        <v>33</v>
      </c>
      <c r="I941" s="290"/>
      <c r="J941" s="290"/>
      <c r="K941" s="290"/>
      <c r="L941" s="247">
        <v>230000</v>
      </c>
      <c r="M941" s="242">
        <v>23000</v>
      </c>
      <c r="N941" s="314" t="s">
        <v>1315</v>
      </c>
      <c r="O941" s="243" t="s">
        <v>3039</v>
      </c>
      <c r="P941" s="243" t="s">
        <v>2189</v>
      </c>
      <c r="Q941" s="243">
        <v>18903416067</v>
      </c>
      <c r="R941" s="356" t="s">
        <v>2190</v>
      </c>
      <c r="S941" s="356" t="s">
        <v>1736</v>
      </c>
      <c r="T941" s="329"/>
    </row>
    <row r="942" spans="1:20" ht="24.95" customHeight="1">
      <c r="A942" s="155" t="s">
        <v>2213</v>
      </c>
      <c r="B942" s="513" t="s">
        <v>3183</v>
      </c>
      <c r="C942" s="514" t="s">
        <v>3185</v>
      </c>
      <c r="D942" s="234" t="s">
        <v>1165</v>
      </c>
      <c r="E942" s="515">
        <v>2</v>
      </c>
      <c r="F942" s="516"/>
      <c r="G942" s="356" t="s">
        <v>32</v>
      </c>
      <c r="H942" s="147" t="s">
        <v>33</v>
      </c>
      <c r="I942" s="290"/>
      <c r="J942" s="290"/>
      <c r="K942" s="290"/>
      <c r="L942" s="247">
        <v>13400</v>
      </c>
      <c r="M942" s="242">
        <v>1340</v>
      </c>
      <c r="N942" s="314" t="s">
        <v>1315</v>
      </c>
      <c r="O942" s="243" t="s">
        <v>3039</v>
      </c>
      <c r="P942" s="243" t="s">
        <v>2189</v>
      </c>
      <c r="Q942" s="243">
        <v>18903416067</v>
      </c>
      <c r="R942" s="356" t="s">
        <v>2190</v>
      </c>
      <c r="S942" s="356" t="s">
        <v>1736</v>
      </c>
      <c r="T942" s="329"/>
    </row>
    <row r="943" spans="1:20" ht="24.95" customHeight="1">
      <c r="A943" s="155" t="s">
        <v>2218</v>
      </c>
      <c r="B943" s="313" t="s">
        <v>3183</v>
      </c>
      <c r="C943" s="313" t="s">
        <v>3186</v>
      </c>
      <c r="D943" s="313" t="s">
        <v>1165</v>
      </c>
      <c r="E943" s="313">
        <v>30</v>
      </c>
      <c r="F943" s="243"/>
      <c r="G943" s="356" t="s">
        <v>32</v>
      </c>
      <c r="H943" s="147" t="s">
        <v>33</v>
      </c>
      <c r="I943" s="290"/>
      <c r="J943" s="290"/>
      <c r="K943" s="290"/>
      <c r="L943" s="247">
        <v>360000</v>
      </c>
      <c r="M943" s="247">
        <v>36000</v>
      </c>
      <c r="N943" s="314" t="s">
        <v>2195</v>
      </c>
      <c r="O943" s="243" t="s">
        <v>3039</v>
      </c>
      <c r="P943" s="243" t="s">
        <v>2189</v>
      </c>
      <c r="Q943" s="243">
        <v>18903416067</v>
      </c>
      <c r="R943" s="356" t="s">
        <v>2190</v>
      </c>
      <c r="S943" s="356" t="s">
        <v>1736</v>
      </c>
      <c r="T943" s="329"/>
    </row>
    <row r="944" spans="1:20" ht="24.95" customHeight="1">
      <c r="A944" s="155" t="s">
        <v>2220</v>
      </c>
      <c r="B944" s="168" t="s">
        <v>1244</v>
      </c>
      <c r="C944" s="351"/>
      <c r="D944" s="168" t="s">
        <v>79</v>
      </c>
      <c r="E944" s="254">
        <v>3</v>
      </c>
      <c r="F944" s="254"/>
      <c r="G944" s="254" t="s">
        <v>32</v>
      </c>
      <c r="H944" s="254" t="s">
        <v>33</v>
      </c>
      <c r="I944" s="254"/>
      <c r="J944" s="254"/>
      <c r="K944" s="517" t="s">
        <v>3187</v>
      </c>
      <c r="L944" s="518">
        <v>32673.267329999999</v>
      </c>
      <c r="M944" s="518">
        <v>9801.9801989999996</v>
      </c>
      <c r="N944" s="254">
        <v>2020.12</v>
      </c>
      <c r="O944" s="254" t="s">
        <v>3188</v>
      </c>
      <c r="P944" s="254" t="s">
        <v>2207</v>
      </c>
      <c r="Q944" s="254">
        <v>15834149031</v>
      </c>
      <c r="R944" s="254" t="s">
        <v>2487</v>
      </c>
      <c r="S944" s="254" t="s">
        <v>1736</v>
      </c>
      <c r="T944" s="168" t="s">
        <v>3189</v>
      </c>
    </row>
    <row r="945" spans="1:20" ht="24.95" customHeight="1">
      <c r="A945" s="155" t="s">
        <v>2223</v>
      </c>
      <c r="B945" s="150" t="s">
        <v>1173</v>
      </c>
      <c r="C945" s="519" t="s">
        <v>1326</v>
      </c>
      <c r="D945" s="519" t="s">
        <v>2544</v>
      </c>
      <c r="E945" s="329">
        <v>2</v>
      </c>
      <c r="F945" s="329"/>
      <c r="G945" s="214" t="s">
        <v>32</v>
      </c>
      <c r="H945" s="214" t="s">
        <v>33</v>
      </c>
      <c r="I945" s="329"/>
      <c r="J945" s="329"/>
      <c r="K945" s="329"/>
      <c r="L945" s="469">
        <v>10000</v>
      </c>
      <c r="M945" s="469">
        <v>7000</v>
      </c>
      <c r="N945" s="214">
        <v>2020.9</v>
      </c>
      <c r="O945" s="364" t="s">
        <v>2973</v>
      </c>
      <c r="P945" s="214" t="s">
        <v>1933</v>
      </c>
      <c r="Q945" s="470">
        <v>15034441008</v>
      </c>
      <c r="R945" s="214" t="s">
        <v>2974</v>
      </c>
      <c r="S945" s="214" t="s">
        <v>1736</v>
      </c>
      <c r="T945" s="329"/>
    </row>
    <row r="946" spans="1:20" ht="24.95" customHeight="1">
      <c r="A946" s="155" t="s">
        <v>2225</v>
      </c>
      <c r="B946" s="168" t="s">
        <v>1173</v>
      </c>
      <c r="C946" s="168" t="s">
        <v>3190</v>
      </c>
      <c r="D946" s="168" t="s">
        <v>2544</v>
      </c>
      <c r="E946" s="168">
        <v>1</v>
      </c>
      <c r="F946" s="168"/>
      <c r="G946" s="168" t="s">
        <v>32</v>
      </c>
      <c r="H946" s="168" t="s">
        <v>33</v>
      </c>
      <c r="I946" s="168"/>
      <c r="J946" s="168"/>
      <c r="K946" s="174" t="s">
        <v>3191</v>
      </c>
      <c r="L946" s="168">
        <v>8000</v>
      </c>
      <c r="M946" s="168">
        <v>6933.33</v>
      </c>
      <c r="N946" s="168">
        <v>2021.3</v>
      </c>
      <c r="O946" s="174" t="s">
        <v>2973</v>
      </c>
      <c r="P946" s="214" t="s">
        <v>1933</v>
      </c>
      <c r="Q946" s="470">
        <v>15034441008</v>
      </c>
      <c r="R946" s="214" t="s">
        <v>2974</v>
      </c>
      <c r="S946" s="214" t="s">
        <v>1736</v>
      </c>
      <c r="T946" s="329"/>
    </row>
    <row r="947" spans="1:20" ht="24.95" customHeight="1">
      <c r="A947" s="155" t="s">
        <v>2228</v>
      </c>
      <c r="B947" s="168" t="s">
        <v>1173</v>
      </c>
      <c r="C947" s="168" t="s">
        <v>1326</v>
      </c>
      <c r="D947" s="168" t="s">
        <v>1165</v>
      </c>
      <c r="E947" s="168">
        <v>8</v>
      </c>
      <c r="F947" s="168"/>
      <c r="G947" s="168" t="s">
        <v>32</v>
      </c>
      <c r="H947" s="168" t="s">
        <v>33</v>
      </c>
      <c r="I947" s="168"/>
      <c r="J947" s="168"/>
      <c r="K947" s="168" t="s">
        <v>3192</v>
      </c>
      <c r="L947" s="396">
        <v>40000</v>
      </c>
      <c r="M947" s="396">
        <v>39222.22</v>
      </c>
      <c r="N947" s="155" t="s">
        <v>3140</v>
      </c>
      <c r="O947" s="174" t="s">
        <v>3193</v>
      </c>
      <c r="P947" s="214" t="s">
        <v>2087</v>
      </c>
      <c r="Q947" s="470">
        <v>18135206600</v>
      </c>
      <c r="R947" s="214" t="s">
        <v>3024</v>
      </c>
      <c r="S947" s="214" t="s">
        <v>1736</v>
      </c>
      <c r="T947" s="329"/>
    </row>
    <row r="948" spans="1:20" ht="24.95" customHeight="1">
      <c r="A948" s="155" t="s">
        <v>2230</v>
      </c>
      <c r="B948" s="168" t="s">
        <v>1173</v>
      </c>
      <c r="C948" s="150" t="s">
        <v>1326</v>
      </c>
      <c r="D948" s="520" t="s">
        <v>79</v>
      </c>
      <c r="E948" s="201">
        <v>1</v>
      </c>
      <c r="F948" s="201"/>
      <c r="G948" s="521" t="s">
        <v>32</v>
      </c>
      <c r="H948" s="168" t="s">
        <v>33</v>
      </c>
      <c r="I948" s="521"/>
      <c r="J948" s="521"/>
      <c r="K948" s="522" t="s">
        <v>3194</v>
      </c>
      <c r="L948" s="481">
        <v>17592.919999999998</v>
      </c>
      <c r="M948" s="481">
        <v>17592.919999999998</v>
      </c>
      <c r="N948" s="523" t="s">
        <v>3195</v>
      </c>
      <c r="O948" s="156" t="s">
        <v>3196</v>
      </c>
      <c r="P948" s="152" t="s">
        <v>2417</v>
      </c>
      <c r="Q948" s="152">
        <v>15003571571</v>
      </c>
      <c r="R948" s="106" t="s">
        <v>2418</v>
      </c>
      <c r="S948" s="125" t="s">
        <v>1736</v>
      </c>
      <c r="T948" s="329"/>
    </row>
    <row r="949" spans="1:20" ht="24.95" customHeight="1">
      <c r="A949" s="155" t="s">
        <v>2240</v>
      </c>
      <c r="B949" s="158" t="s">
        <v>1162</v>
      </c>
      <c r="C949" s="407"/>
      <c r="D949" s="406" t="s">
        <v>1165</v>
      </c>
      <c r="E949" s="407"/>
      <c r="F949" s="407">
        <v>3</v>
      </c>
      <c r="G949" s="152" t="s">
        <v>32</v>
      </c>
      <c r="H949" s="168" t="s">
        <v>33</v>
      </c>
      <c r="I949" s="407"/>
      <c r="J949" s="407"/>
      <c r="K949" s="524" t="s">
        <v>3197</v>
      </c>
      <c r="L949" s="446">
        <v>33663.370000000003</v>
      </c>
      <c r="M949" s="446">
        <v>30671.07</v>
      </c>
      <c r="N949" s="407">
        <v>2021.07</v>
      </c>
      <c r="O949" s="406" t="s">
        <v>2792</v>
      </c>
      <c r="P949" s="159" t="s">
        <v>2793</v>
      </c>
      <c r="Q949" s="159">
        <v>13700506803</v>
      </c>
      <c r="R949" s="525" t="s">
        <v>3198</v>
      </c>
      <c r="S949" s="125" t="s">
        <v>1736</v>
      </c>
      <c r="T949" s="358"/>
    </row>
    <row r="950" spans="1:20" ht="24.95" customHeight="1">
      <c r="A950" s="155" t="s">
        <v>2241</v>
      </c>
      <c r="B950" s="435" t="s">
        <v>3199</v>
      </c>
      <c r="C950" s="435" t="s">
        <v>3200</v>
      </c>
      <c r="D950" s="435" t="s">
        <v>1165</v>
      </c>
      <c r="E950" s="436">
        <v>38</v>
      </c>
      <c r="F950" s="168"/>
      <c r="G950" s="168" t="s">
        <v>2513</v>
      </c>
      <c r="H950" s="168" t="s">
        <v>33</v>
      </c>
      <c r="I950" s="168"/>
      <c r="J950" s="168"/>
      <c r="K950" s="174" t="s">
        <v>3201</v>
      </c>
      <c r="L950" s="168">
        <v>669009.17431192705</v>
      </c>
      <c r="M950" s="150">
        <v>640061.66196189204</v>
      </c>
      <c r="N950" s="439">
        <v>44378</v>
      </c>
      <c r="O950" s="168" t="s">
        <v>2154</v>
      </c>
      <c r="P950" s="240" t="s">
        <v>2153</v>
      </c>
      <c r="Q950" s="240">
        <v>13546718283</v>
      </c>
      <c r="R950" s="440" t="s">
        <v>2154</v>
      </c>
      <c r="S950" s="222" t="s">
        <v>2155</v>
      </c>
      <c r="T950" s="168"/>
    </row>
    <row r="951" spans="1:20" ht="24.95" customHeight="1">
      <c r="A951" s="155" t="s">
        <v>2243</v>
      </c>
      <c r="B951" s="435" t="s">
        <v>3199</v>
      </c>
      <c r="C951" s="435" t="s">
        <v>3200</v>
      </c>
      <c r="D951" s="435" t="s">
        <v>1165</v>
      </c>
      <c r="E951" s="436">
        <v>43</v>
      </c>
      <c r="F951" s="168"/>
      <c r="G951" s="168" t="s">
        <v>2513</v>
      </c>
      <c r="H951" s="168" t="s">
        <v>33</v>
      </c>
      <c r="I951" s="168"/>
      <c r="J951" s="168"/>
      <c r="K951" s="174" t="s">
        <v>3201</v>
      </c>
      <c r="L951" s="168">
        <v>577738.532110092</v>
      </c>
      <c r="M951" s="150">
        <v>552740.230239945</v>
      </c>
      <c r="N951" s="439">
        <v>44379</v>
      </c>
      <c r="O951" s="168" t="s">
        <v>2154</v>
      </c>
      <c r="P951" s="240" t="s">
        <v>2153</v>
      </c>
      <c r="Q951" s="240">
        <v>13546718283</v>
      </c>
      <c r="R951" s="440" t="s">
        <v>2154</v>
      </c>
      <c r="S951" s="222" t="s">
        <v>2155</v>
      </c>
      <c r="T951" s="168"/>
    </row>
    <row r="952" spans="1:20" ht="24.95" customHeight="1">
      <c r="A952" s="155" t="s">
        <v>2245</v>
      </c>
      <c r="B952" s="435" t="s">
        <v>3199</v>
      </c>
      <c r="C952" s="435" t="s">
        <v>3200</v>
      </c>
      <c r="D952" s="435" t="s">
        <v>1165</v>
      </c>
      <c r="E952" s="436">
        <v>12</v>
      </c>
      <c r="F952" s="168"/>
      <c r="G952" s="168" t="s">
        <v>2513</v>
      </c>
      <c r="H952" s="168" t="s">
        <v>33</v>
      </c>
      <c r="I952" s="168"/>
      <c r="J952" s="168"/>
      <c r="K952" s="174" t="s">
        <v>3201</v>
      </c>
      <c r="L952" s="168">
        <v>250183.486238532</v>
      </c>
      <c r="M952" s="150">
        <v>239358.23923782699</v>
      </c>
      <c r="N952" s="439">
        <v>44319</v>
      </c>
      <c r="O952" s="168" t="s">
        <v>2154</v>
      </c>
      <c r="P952" s="240" t="s">
        <v>2153</v>
      </c>
      <c r="Q952" s="240">
        <v>13546718283</v>
      </c>
      <c r="R952" s="440" t="s">
        <v>2154</v>
      </c>
      <c r="S952" s="222" t="s">
        <v>2155</v>
      </c>
      <c r="T952" s="168"/>
    </row>
    <row r="953" spans="1:20" ht="24.95" customHeight="1">
      <c r="A953" s="155" t="s">
        <v>2247</v>
      </c>
      <c r="B953" s="435" t="s">
        <v>3199</v>
      </c>
      <c r="C953" s="435" t="s">
        <v>3202</v>
      </c>
      <c r="D953" s="435" t="s">
        <v>1165</v>
      </c>
      <c r="E953" s="436">
        <v>1</v>
      </c>
      <c r="F953" s="168"/>
      <c r="G953" s="168" t="s">
        <v>2513</v>
      </c>
      <c r="H953" s="168" t="s">
        <v>33</v>
      </c>
      <c r="I953" s="168"/>
      <c r="J953" s="168"/>
      <c r="K953" s="174" t="s">
        <v>3201</v>
      </c>
      <c r="L953" s="168">
        <v>23486.238532110099</v>
      </c>
      <c r="M953" s="150">
        <v>22470.0070571631</v>
      </c>
      <c r="N953" s="439">
        <v>44320</v>
      </c>
      <c r="O953" s="168" t="s">
        <v>2154</v>
      </c>
      <c r="P953" s="240" t="s">
        <v>2153</v>
      </c>
      <c r="Q953" s="240">
        <v>13546718283</v>
      </c>
      <c r="R953" s="440" t="s">
        <v>2154</v>
      </c>
      <c r="S953" s="222" t="s">
        <v>2155</v>
      </c>
      <c r="T953" s="168"/>
    </row>
    <row r="954" spans="1:20" ht="24.95" customHeight="1">
      <c r="A954" s="155" t="s">
        <v>2248</v>
      </c>
      <c r="B954" s="435" t="s">
        <v>3203</v>
      </c>
      <c r="C954" s="435" t="s">
        <v>3204</v>
      </c>
      <c r="D954" s="435" t="s">
        <v>131</v>
      </c>
      <c r="E954" s="436">
        <v>2</v>
      </c>
      <c r="F954" s="168"/>
      <c r="G954" s="168" t="s">
        <v>2513</v>
      </c>
      <c r="H954" s="168" t="s">
        <v>33</v>
      </c>
      <c r="I954" s="168"/>
      <c r="J954" s="168"/>
      <c r="K954" s="174" t="s">
        <v>3201</v>
      </c>
      <c r="L954" s="168">
        <v>2752.2935779816498</v>
      </c>
      <c r="M954" s="150">
        <v>2633.2039520112999</v>
      </c>
      <c r="N954" s="439">
        <v>44321</v>
      </c>
      <c r="O954" s="168" t="s">
        <v>2154</v>
      </c>
      <c r="P954" s="240" t="s">
        <v>2153</v>
      </c>
      <c r="Q954" s="240">
        <v>13546718283</v>
      </c>
      <c r="R954" s="440" t="s">
        <v>2154</v>
      </c>
      <c r="S954" s="222" t="s">
        <v>2155</v>
      </c>
      <c r="T954" s="168"/>
    </row>
    <row r="955" spans="1:20" ht="24.95" customHeight="1">
      <c r="A955" s="155" t="s">
        <v>2249</v>
      </c>
      <c r="B955" s="435" t="s">
        <v>3205</v>
      </c>
      <c r="C955" s="435" t="s">
        <v>3206</v>
      </c>
      <c r="D955" s="435" t="s">
        <v>161</v>
      </c>
      <c r="E955" s="436">
        <v>34</v>
      </c>
      <c r="F955" s="168"/>
      <c r="G955" s="168" t="s">
        <v>2513</v>
      </c>
      <c r="H955" s="168" t="s">
        <v>33</v>
      </c>
      <c r="I955" s="168"/>
      <c r="J955" s="168"/>
      <c r="K955" s="174" t="s">
        <v>3201</v>
      </c>
      <c r="L955" s="168">
        <v>6862.38532110092</v>
      </c>
      <c r="M955" s="150">
        <v>6565.4551870148198</v>
      </c>
      <c r="N955" s="439">
        <v>44322</v>
      </c>
      <c r="O955" s="168" t="s">
        <v>2154</v>
      </c>
      <c r="P955" s="240" t="s">
        <v>2153</v>
      </c>
      <c r="Q955" s="240">
        <v>13546718283</v>
      </c>
      <c r="R955" s="440" t="s">
        <v>2154</v>
      </c>
      <c r="S955" s="222" t="s">
        <v>2155</v>
      </c>
      <c r="T955" s="168"/>
    </row>
    <row r="956" spans="1:20" ht="24.95" customHeight="1">
      <c r="A956" s="155" t="s">
        <v>2250</v>
      </c>
      <c r="B956" s="435" t="s">
        <v>3207</v>
      </c>
      <c r="C956" s="435" t="s">
        <v>3208</v>
      </c>
      <c r="D956" s="435" t="s">
        <v>888</v>
      </c>
      <c r="E956" s="436">
        <v>35</v>
      </c>
      <c r="F956" s="168"/>
      <c r="G956" s="168" t="s">
        <v>2513</v>
      </c>
      <c r="H956" s="168" t="s">
        <v>33</v>
      </c>
      <c r="I956" s="168"/>
      <c r="J956" s="168"/>
      <c r="K956" s="174" t="s">
        <v>3201</v>
      </c>
      <c r="L956" s="168">
        <v>8605.5045871559596</v>
      </c>
      <c r="M956" s="150">
        <v>8233.1510232886503</v>
      </c>
      <c r="N956" s="439">
        <v>44323</v>
      </c>
      <c r="O956" s="168" t="s">
        <v>2154</v>
      </c>
      <c r="P956" s="240" t="s">
        <v>2153</v>
      </c>
      <c r="Q956" s="240">
        <v>13546718283</v>
      </c>
      <c r="R956" s="440" t="s">
        <v>2154</v>
      </c>
      <c r="S956" s="222" t="s">
        <v>2155</v>
      </c>
      <c r="T956" s="168"/>
    </row>
    <row r="957" spans="1:20" ht="24.95" customHeight="1">
      <c r="A957" s="155" t="s">
        <v>2253</v>
      </c>
      <c r="B957" s="435" t="s">
        <v>3209</v>
      </c>
      <c r="C957" s="435" t="s">
        <v>3210</v>
      </c>
      <c r="D957" s="435" t="s">
        <v>888</v>
      </c>
      <c r="E957" s="436">
        <v>42</v>
      </c>
      <c r="F957" s="168"/>
      <c r="G957" s="168" t="s">
        <v>2513</v>
      </c>
      <c r="H957" s="168" t="s">
        <v>33</v>
      </c>
      <c r="I957" s="168"/>
      <c r="J957" s="168"/>
      <c r="K957" s="174" t="s">
        <v>3201</v>
      </c>
      <c r="L957" s="168">
        <v>10326.6055045872</v>
      </c>
      <c r="M957" s="150">
        <v>9879.7812279463997</v>
      </c>
      <c r="N957" s="439">
        <v>44324</v>
      </c>
      <c r="O957" s="168" t="s">
        <v>2154</v>
      </c>
      <c r="P957" s="240" t="s">
        <v>2153</v>
      </c>
      <c r="Q957" s="240">
        <v>13546718283</v>
      </c>
      <c r="R957" s="440" t="s">
        <v>2154</v>
      </c>
      <c r="S957" s="222" t="s">
        <v>2155</v>
      </c>
      <c r="T957" s="168"/>
    </row>
    <row r="958" spans="1:20" ht="24.95" customHeight="1">
      <c r="A958" s="155" t="s">
        <v>2256</v>
      </c>
      <c r="B958" s="435" t="s">
        <v>3211</v>
      </c>
      <c r="C958" s="435" t="s">
        <v>3212</v>
      </c>
      <c r="D958" s="435" t="s">
        <v>888</v>
      </c>
      <c r="E958" s="436">
        <v>35.200000000000003</v>
      </c>
      <c r="F958" s="168"/>
      <c r="G958" s="168" t="s">
        <v>2513</v>
      </c>
      <c r="H958" s="168" t="s">
        <v>33</v>
      </c>
      <c r="I958" s="168"/>
      <c r="J958" s="168"/>
      <c r="K958" s="174" t="s">
        <v>3201</v>
      </c>
      <c r="L958" s="168">
        <v>8654.6788990825698</v>
      </c>
      <c r="M958" s="150">
        <v>8280.1976005645793</v>
      </c>
      <c r="N958" s="439">
        <v>44325</v>
      </c>
      <c r="O958" s="168" t="s">
        <v>2154</v>
      </c>
      <c r="P958" s="240" t="s">
        <v>2153</v>
      </c>
      <c r="Q958" s="240">
        <v>13546718283</v>
      </c>
      <c r="R958" s="440" t="s">
        <v>2154</v>
      </c>
      <c r="S958" s="222" t="s">
        <v>2155</v>
      </c>
      <c r="T958" s="168"/>
    </row>
    <row r="959" spans="1:20" ht="24.95" customHeight="1">
      <c r="A959" s="155" t="s">
        <v>2257</v>
      </c>
      <c r="B959" s="435" t="s">
        <v>3213</v>
      </c>
      <c r="C959" s="435" t="s">
        <v>3214</v>
      </c>
      <c r="D959" s="435" t="s">
        <v>161</v>
      </c>
      <c r="E959" s="436">
        <v>108</v>
      </c>
      <c r="F959" s="168"/>
      <c r="G959" s="168" t="s">
        <v>2513</v>
      </c>
      <c r="H959" s="168" t="s">
        <v>33</v>
      </c>
      <c r="I959" s="168"/>
      <c r="J959" s="168"/>
      <c r="K959" s="174" t="s">
        <v>3201</v>
      </c>
      <c r="L959" s="168">
        <v>16844.036697247699</v>
      </c>
      <c r="M959" s="150">
        <v>16115.208186309201</v>
      </c>
      <c r="N959" s="439">
        <v>44326</v>
      </c>
      <c r="O959" s="168" t="s">
        <v>2154</v>
      </c>
      <c r="P959" s="240" t="s">
        <v>2153</v>
      </c>
      <c r="Q959" s="240">
        <v>13546718283</v>
      </c>
      <c r="R959" s="440" t="s">
        <v>2154</v>
      </c>
      <c r="S959" s="222" t="s">
        <v>2155</v>
      </c>
      <c r="T959" s="168"/>
    </row>
    <row r="960" spans="1:20" ht="24.95" customHeight="1">
      <c r="A960" s="155" t="s">
        <v>2258</v>
      </c>
      <c r="B960" s="435" t="s">
        <v>3215</v>
      </c>
      <c r="C960" s="435" t="s">
        <v>3216</v>
      </c>
      <c r="D960" s="435" t="s">
        <v>888</v>
      </c>
      <c r="E960" s="436">
        <v>102</v>
      </c>
      <c r="F960" s="168"/>
      <c r="G960" s="168" t="s">
        <v>2513</v>
      </c>
      <c r="H960" s="168" t="s">
        <v>33</v>
      </c>
      <c r="I960" s="168"/>
      <c r="J960" s="168"/>
      <c r="K960" s="174" t="s">
        <v>3201</v>
      </c>
      <c r="L960" s="168">
        <v>25078.899082568802</v>
      </c>
      <c r="M960" s="150">
        <v>23993.7544107268</v>
      </c>
      <c r="N960" s="439">
        <v>44327</v>
      </c>
      <c r="O960" s="168" t="s">
        <v>2154</v>
      </c>
      <c r="P960" s="240" t="s">
        <v>2153</v>
      </c>
      <c r="Q960" s="240">
        <v>13546718283</v>
      </c>
      <c r="R960" s="440" t="s">
        <v>2154</v>
      </c>
      <c r="S960" s="222" t="s">
        <v>2155</v>
      </c>
      <c r="T960" s="168"/>
    </row>
    <row r="961" spans="1:20" ht="24.95" customHeight="1">
      <c r="A961" s="155" t="s">
        <v>2259</v>
      </c>
      <c r="B961" s="435" t="s">
        <v>3217</v>
      </c>
      <c r="C961" s="435" t="s">
        <v>3218</v>
      </c>
      <c r="D961" s="435" t="s">
        <v>888</v>
      </c>
      <c r="E961" s="436">
        <v>51</v>
      </c>
      <c r="F961" s="168"/>
      <c r="G961" s="168" t="s">
        <v>2513</v>
      </c>
      <c r="H961" s="168" t="s">
        <v>33</v>
      </c>
      <c r="I961" s="168"/>
      <c r="J961" s="168"/>
      <c r="K961" s="174" t="s">
        <v>3201</v>
      </c>
      <c r="L961" s="168">
        <v>8188.07339449541</v>
      </c>
      <c r="M961" s="150">
        <v>7833.7817572335898</v>
      </c>
      <c r="N961" s="439">
        <v>44328</v>
      </c>
      <c r="O961" s="168" t="s">
        <v>2154</v>
      </c>
      <c r="P961" s="240" t="s">
        <v>2153</v>
      </c>
      <c r="Q961" s="240">
        <v>13546718283</v>
      </c>
      <c r="R961" s="440" t="s">
        <v>2154</v>
      </c>
      <c r="S961" s="222" t="s">
        <v>2155</v>
      </c>
      <c r="T961" s="168"/>
    </row>
    <row r="962" spans="1:20" ht="24.95" customHeight="1">
      <c r="A962" s="155" t="s">
        <v>2260</v>
      </c>
      <c r="B962" s="435" t="s">
        <v>3219</v>
      </c>
      <c r="C962" s="435"/>
      <c r="D962" s="435" t="s">
        <v>888</v>
      </c>
      <c r="E962" s="436">
        <v>200</v>
      </c>
      <c r="F962" s="168"/>
      <c r="G962" s="168" t="s">
        <v>2513</v>
      </c>
      <c r="H962" s="168" t="s">
        <v>33</v>
      </c>
      <c r="I962" s="168"/>
      <c r="J962" s="168"/>
      <c r="K962" s="174" t="s">
        <v>3201</v>
      </c>
      <c r="L962" s="168">
        <v>36697.247706422</v>
      </c>
      <c r="M962" s="150">
        <v>35109.386026817199</v>
      </c>
      <c r="N962" s="439">
        <v>44329</v>
      </c>
      <c r="O962" s="168" t="s">
        <v>2154</v>
      </c>
      <c r="P962" s="240" t="s">
        <v>2153</v>
      </c>
      <c r="Q962" s="240">
        <v>13546718283</v>
      </c>
      <c r="R962" s="440" t="s">
        <v>2154</v>
      </c>
      <c r="S962" s="222" t="s">
        <v>2155</v>
      </c>
      <c r="T962" s="168"/>
    </row>
    <row r="963" spans="1:20" ht="24.95" customHeight="1">
      <c r="A963" s="155" t="s">
        <v>2261</v>
      </c>
      <c r="B963" s="435" t="s">
        <v>3220</v>
      </c>
      <c r="C963" s="435" t="s">
        <v>3221</v>
      </c>
      <c r="D963" s="435" t="s">
        <v>888</v>
      </c>
      <c r="E963" s="436">
        <v>80</v>
      </c>
      <c r="F963" s="168"/>
      <c r="G963" s="168" t="s">
        <v>2513</v>
      </c>
      <c r="H963" s="168" t="s">
        <v>33</v>
      </c>
      <c r="I963" s="168"/>
      <c r="J963" s="168"/>
      <c r="K963" s="174" t="s">
        <v>3201</v>
      </c>
      <c r="L963" s="168">
        <v>27889.908256880699</v>
      </c>
      <c r="M963" s="150">
        <v>26683.133380381001</v>
      </c>
      <c r="N963" s="439">
        <v>44330</v>
      </c>
      <c r="O963" s="168" t="s">
        <v>2154</v>
      </c>
      <c r="P963" s="240" t="s">
        <v>2153</v>
      </c>
      <c r="Q963" s="240">
        <v>13546718283</v>
      </c>
      <c r="R963" s="440" t="s">
        <v>2154</v>
      </c>
      <c r="S963" s="222" t="s">
        <v>2155</v>
      </c>
      <c r="T963" s="168"/>
    </row>
    <row r="964" spans="1:20" ht="24.95" customHeight="1">
      <c r="A964" s="155" t="s">
        <v>2263</v>
      </c>
      <c r="B964" s="435" t="s">
        <v>3222</v>
      </c>
      <c r="C964" s="435"/>
      <c r="D964" s="435" t="s">
        <v>888</v>
      </c>
      <c r="E964" s="436">
        <v>760</v>
      </c>
      <c r="F964" s="168"/>
      <c r="G964" s="168" t="s">
        <v>2513</v>
      </c>
      <c r="H964" s="168" t="s">
        <v>33</v>
      </c>
      <c r="I964" s="168"/>
      <c r="J964" s="168"/>
      <c r="K964" s="174" t="s">
        <v>3201</v>
      </c>
      <c r="L964" s="168">
        <v>122018.348623853</v>
      </c>
      <c r="M964" s="150">
        <v>116738.708539167</v>
      </c>
      <c r="N964" s="439">
        <v>44331</v>
      </c>
      <c r="O964" s="168" t="s">
        <v>2154</v>
      </c>
      <c r="P964" s="240" t="s">
        <v>2153</v>
      </c>
      <c r="Q964" s="240">
        <v>13546718283</v>
      </c>
      <c r="R964" s="440" t="s">
        <v>2154</v>
      </c>
      <c r="S964" s="222" t="s">
        <v>2155</v>
      </c>
      <c r="T964" s="168"/>
    </row>
    <row r="965" spans="1:20" ht="24.95" customHeight="1">
      <c r="A965" s="155" t="s">
        <v>2266</v>
      </c>
      <c r="B965" s="435" t="s">
        <v>3223</v>
      </c>
      <c r="C965" s="435"/>
      <c r="D965" s="435" t="s">
        <v>1437</v>
      </c>
      <c r="E965" s="436">
        <v>2</v>
      </c>
      <c r="F965" s="168"/>
      <c r="G965" s="168" t="s">
        <v>2513</v>
      </c>
      <c r="H965" s="168" t="s">
        <v>33</v>
      </c>
      <c r="I965" s="168"/>
      <c r="J965" s="168"/>
      <c r="K965" s="174" t="s">
        <v>3201</v>
      </c>
      <c r="L965" s="168">
        <v>2752.2935779816498</v>
      </c>
      <c r="M965" s="150">
        <v>2633.2039520112999</v>
      </c>
      <c r="N965" s="439">
        <v>44332</v>
      </c>
      <c r="O965" s="168" t="s">
        <v>2154</v>
      </c>
      <c r="P965" s="240" t="s">
        <v>2153</v>
      </c>
      <c r="Q965" s="240">
        <v>13546718283</v>
      </c>
      <c r="R965" s="440" t="s">
        <v>2154</v>
      </c>
      <c r="S965" s="222" t="s">
        <v>2155</v>
      </c>
      <c r="T965" s="168"/>
    </row>
    <row r="966" spans="1:20" ht="24.95" customHeight="1">
      <c r="A966" s="155" t="s">
        <v>2267</v>
      </c>
      <c r="B966" s="435" t="s">
        <v>1299</v>
      </c>
      <c r="C966" s="435" t="s">
        <v>3204</v>
      </c>
      <c r="D966" s="435" t="s">
        <v>1437</v>
      </c>
      <c r="E966" s="436">
        <v>2</v>
      </c>
      <c r="F966" s="168"/>
      <c r="G966" s="168" t="s">
        <v>2513</v>
      </c>
      <c r="H966" s="168" t="s">
        <v>33</v>
      </c>
      <c r="I966" s="168"/>
      <c r="J966" s="168"/>
      <c r="K966" s="174" t="s">
        <v>3201</v>
      </c>
      <c r="L966" s="168">
        <v>27522.9357798165</v>
      </c>
      <c r="M966" s="150">
        <v>26332.039520113001</v>
      </c>
      <c r="N966" s="439">
        <v>44333</v>
      </c>
      <c r="O966" s="168" t="s">
        <v>2154</v>
      </c>
      <c r="P966" s="240" t="s">
        <v>2153</v>
      </c>
      <c r="Q966" s="240">
        <v>13546718283</v>
      </c>
      <c r="R966" s="440" t="s">
        <v>2154</v>
      </c>
      <c r="S966" s="222" t="s">
        <v>2155</v>
      </c>
      <c r="T966" s="168"/>
    </row>
    <row r="967" spans="1:20" ht="24.95" customHeight="1">
      <c r="A967" s="155" t="s">
        <v>2269</v>
      </c>
      <c r="B967" s="435" t="s">
        <v>3224</v>
      </c>
      <c r="C967" s="435"/>
      <c r="D967" s="435" t="s">
        <v>888</v>
      </c>
      <c r="E967" s="436">
        <v>26</v>
      </c>
      <c r="F967" s="168"/>
      <c r="G967" s="168" t="s">
        <v>2513</v>
      </c>
      <c r="H967" s="168" t="s">
        <v>33</v>
      </c>
      <c r="I967" s="168"/>
      <c r="J967" s="168"/>
      <c r="K967" s="174" t="s">
        <v>3225</v>
      </c>
      <c r="L967" s="168">
        <v>10814.1592920354</v>
      </c>
      <c r="M967" s="150">
        <v>10346.2389380531</v>
      </c>
      <c r="N967" s="439">
        <v>44334</v>
      </c>
      <c r="O967" s="168" t="s">
        <v>2154</v>
      </c>
      <c r="P967" s="240" t="s">
        <v>2153</v>
      </c>
      <c r="Q967" s="240">
        <v>13546718283</v>
      </c>
      <c r="R967" s="440" t="s">
        <v>2154</v>
      </c>
      <c r="S967" s="222" t="s">
        <v>2155</v>
      </c>
      <c r="T967" s="168"/>
    </row>
    <row r="968" spans="1:20" ht="24.95" customHeight="1">
      <c r="A968" s="155" t="s">
        <v>2270</v>
      </c>
      <c r="B968" s="435" t="s">
        <v>3071</v>
      </c>
      <c r="C968" s="435"/>
      <c r="D968" s="435" t="s">
        <v>888</v>
      </c>
      <c r="E968" s="436">
        <v>72</v>
      </c>
      <c r="F968" s="168"/>
      <c r="G968" s="168" t="s">
        <v>2513</v>
      </c>
      <c r="H968" s="168" t="s">
        <v>33</v>
      </c>
      <c r="I968" s="168"/>
      <c r="J968" s="168"/>
      <c r="K968" s="174" t="s">
        <v>3225</v>
      </c>
      <c r="L968" s="168">
        <v>11787.610619469</v>
      </c>
      <c r="M968" s="150">
        <v>11277.5697753574</v>
      </c>
      <c r="N968" s="439">
        <v>44335</v>
      </c>
      <c r="O968" s="168" t="s">
        <v>2154</v>
      </c>
      <c r="P968" s="240" t="s">
        <v>2153</v>
      </c>
      <c r="Q968" s="240">
        <v>13546718283</v>
      </c>
      <c r="R968" s="440" t="s">
        <v>2154</v>
      </c>
      <c r="S968" s="222" t="s">
        <v>2155</v>
      </c>
      <c r="T968" s="168"/>
    </row>
    <row r="969" spans="1:20" ht="24.95" customHeight="1">
      <c r="A969" s="155" t="s">
        <v>2271</v>
      </c>
      <c r="B969" s="435" t="s">
        <v>1367</v>
      </c>
      <c r="C969" s="435"/>
      <c r="D969" s="435" t="s">
        <v>888</v>
      </c>
      <c r="E969" s="436">
        <v>224</v>
      </c>
      <c r="F969" s="168"/>
      <c r="G969" s="168" t="s">
        <v>2513</v>
      </c>
      <c r="H969" s="168" t="s">
        <v>33</v>
      </c>
      <c r="I969" s="168"/>
      <c r="J969" s="168"/>
      <c r="K969" s="174" t="s">
        <v>3225</v>
      </c>
      <c r="L969" s="168">
        <v>69380.52</v>
      </c>
      <c r="M969" s="150">
        <v>66378.478269230807</v>
      </c>
      <c r="N969" s="439">
        <v>44336</v>
      </c>
      <c r="O969" s="168" t="s">
        <v>2154</v>
      </c>
      <c r="P969" s="240" t="s">
        <v>2153</v>
      </c>
      <c r="Q969" s="240">
        <v>13546718283</v>
      </c>
      <c r="R969" s="440" t="s">
        <v>2154</v>
      </c>
      <c r="S969" s="222" t="s">
        <v>2155</v>
      </c>
      <c r="T969" s="168"/>
    </row>
    <row r="970" spans="1:20" ht="24.95" customHeight="1">
      <c r="A970" s="155" t="s">
        <v>2272</v>
      </c>
      <c r="B970" s="435" t="s">
        <v>1367</v>
      </c>
      <c r="C970" s="435"/>
      <c r="D970" s="435" t="s">
        <v>888</v>
      </c>
      <c r="E970" s="436">
        <v>199.65</v>
      </c>
      <c r="F970" s="168"/>
      <c r="G970" s="168" t="s">
        <v>2513</v>
      </c>
      <c r="H970" s="168" t="s">
        <v>33</v>
      </c>
      <c r="I970" s="168"/>
      <c r="J970" s="168"/>
      <c r="K970" s="174" t="s">
        <v>3225</v>
      </c>
      <c r="L970" s="168">
        <v>98941.592920354</v>
      </c>
      <c r="M970" s="150">
        <v>94660.4663036079</v>
      </c>
      <c r="N970" s="439">
        <v>44337</v>
      </c>
      <c r="O970" s="168" t="s">
        <v>2154</v>
      </c>
      <c r="P970" s="240" t="s">
        <v>2153</v>
      </c>
      <c r="Q970" s="240">
        <v>13546718283</v>
      </c>
      <c r="R970" s="440" t="s">
        <v>2154</v>
      </c>
      <c r="S970" s="222" t="s">
        <v>2155</v>
      </c>
      <c r="T970" s="168"/>
    </row>
    <row r="971" spans="1:20" ht="24.95" customHeight="1">
      <c r="A971" s="155" t="s">
        <v>2273</v>
      </c>
      <c r="B971" s="435" t="s">
        <v>1367</v>
      </c>
      <c r="C971" s="435"/>
      <c r="D971" s="435" t="s">
        <v>888</v>
      </c>
      <c r="E971" s="436">
        <v>199.65</v>
      </c>
      <c r="F971" s="168"/>
      <c r="G971" s="168" t="s">
        <v>2513</v>
      </c>
      <c r="H971" s="168" t="s">
        <v>33</v>
      </c>
      <c r="I971" s="168"/>
      <c r="J971" s="168"/>
      <c r="K971" s="174" t="s">
        <v>3225</v>
      </c>
      <c r="L971" s="168">
        <v>98941.592920354</v>
      </c>
      <c r="M971" s="150">
        <v>94660.4663036079</v>
      </c>
      <c r="N971" s="439">
        <v>44338</v>
      </c>
      <c r="O971" s="168" t="s">
        <v>2154</v>
      </c>
      <c r="P971" s="240" t="s">
        <v>2153</v>
      </c>
      <c r="Q971" s="240">
        <v>13546718283</v>
      </c>
      <c r="R971" s="440" t="s">
        <v>2154</v>
      </c>
      <c r="S971" s="222" t="s">
        <v>2155</v>
      </c>
      <c r="T971" s="168"/>
    </row>
    <row r="972" spans="1:20" ht="24.95" customHeight="1">
      <c r="A972" s="155" t="s">
        <v>2274</v>
      </c>
      <c r="B972" s="526" t="s">
        <v>1391</v>
      </c>
      <c r="C972" s="527" t="s">
        <v>3226</v>
      </c>
      <c r="D972" s="527" t="s">
        <v>888</v>
      </c>
      <c r="E972" s="527">
        <v>127.65</v>
      </c>
      <c r="F972" s="168"/>
      <c r="G972" s="168" t="s">
        <v>2513</v>
      </c>
      <c r="H972" s="168" t="s">
        <v>33</v>
      </c>
      <c r="I972" s="168"/>
      <c r="J972" s="168"/>
      <c r="K972" s="174" t="s">
        <v>3227</v>
      </c>
      <c r="L972" s="406">
        <v>41075.495049504898</v>
      </c>
      <c r="M972" s="150">
        <v>41075.495049504898</v>
      </c>
      <c r="N972" s="439">
        <v>44440</v>
      </c>
      <c r="O972" s="168" t="s">
        <v>2162</v>
      </c>
      <c r="P972" s="240" t="s">
        <v>2153</v>
      </c>
      <c r="Q972" s="240">
        <v>13546718283</v>
      </c>
      <c r="R972" s="440" t="s">
        <v>2154</v>
      </c>
      <c r="S972" s="222" t="s">
        <v>2155</v>
      </c>
      <c r="T972" s="168"/>
    </row>
    <row r="973" spans="1:20" ht="24.95" customHeight="1">
      <c r="A973" s="155" t="s">
        <v>2275</v>
      </c>
      <c r="B973" s="526" t="s">
        <v>3228</v>
      </c>
      <c r="C973" s="528" t="s">
        <v>3229</v>
      </c>
      <c r="D973" s="527" t="s">
        <v>888</v>
      </c>
      <c r="E973" s="527">
        <v>497.6</v>
      </c>
      <c r="F973" s="168"/>
      <c r="G973" s="168" t="s">
        <v>2513</v>
      </c>
      <c r="H973" s="168" t="s">
        <v>33</v>
      </c>
      <c r="I973" s="168"/>
      <c r="J973" s="168"/>
      <c r="K973" s="174" t="s">
        <v>3227</v>
      </c>
      <c r="L973" s="406">
        <v>88681.1881188119</v>
      </c>
      <c r="M973" s="150">
        <v>88681.1881188119</v>
      </c>
      <c r="N973" s="439">
        <v>44440</v>
      </c>
      <c r="O973" s="168" t="s">
        <v>2162</v>
      </c>
      <c r="P973" s="240" t="s">
        <v>2153</v>
      </c>
      <c r="Q973" s="240">
        <v>13546718283</v>
      </c>
      <c r="R973" s="440" t="s">
        <v>2154</v>
      </c>
      <c r="S973" s="222" t="s">
        <v>2155</v>
      </c>
      <c r="T973" s="168"/>
    </row>
    <row r="974" spans="1:20" ht="24.95" customHeight="1">
      <c r="A974" s="155" t="s">
        <v>2276</v>
      </c>
      <c r="B974" s="526" t="s">
        <v>3230</v>
      </c>
      <c r="C974" s="527" t="s">
        <v>3231</v>
      </c>
      <c r="D974" s="527" t="s">
        <v>888</v>
      </c>
      <c r="E974" s="527">
        <v>350</v>
      </c>
      <c r="F974" s="168"/>
      <c r="G974" s="168" t="s">
        <v>2513</v>
      </c>
      <c r="H974" s="168" t="s">
        <v>33</v>
      </c>
      <c r="I974" s="168"/>
      <c r="J974" s="168"/>
      <c r="K974" s="174" t="s">
        <v>3227</v>
      </c>
      <c r="L974" s="406">
        <v>65841.584158415804</v>
      </c>
      <c r="M974" s="150">
        <v>65841.584158415804</v>
      </c>
      <c r="N974" s="439">
        <v>44440</v>
      </c>
      <c r="O974" s="168" t="s">
        <v>2162</v>
      </c>
      <c r="P974" s="240" t="s">
        <v>2153</v>
      </c>
      <c r="Q974" s="240">
        <v>13546718283</v>
      </c>
      <c r="R974" s="440" t="s">
        <v>2154</v>
      </c>
      <c r="S974" s="222" t="s">
        <v>2155</v>
      </c>
      <c r="T974" s="168"/>
    </row>
    <row r="975" spans="1:20" ht="24.95" customHeight="1">
      <c r="A975" s="155" t="s">
        <v>2278</v>
      </c>
      <c r="B975" s="526" t="s">
        <v>1391</v>
      </c>
      <c r="C975" s="527" t="s">
        <v>3232</v>
      </c>
      <c r="D975" s="527" t="s">
        <v>888</v>
      </c>
      <c r="E975" s="527">
        <v>76.59</v>
      </c>
      <c r="F975" s="168"/>
      <c r="G975" s="168" t="s">
        <v>2513</v>
      </c>
      <c r="H975" s="168" t="s">
        <v>33</v>
      </c>
      <c r="I975" s="168"/>
      <c r="J975" s="168"/>
      <c r="K975" s="174" t="s">
        <v>3227</v>
      </c>
      <c r="L975" s="406">
        <v>24645.3</v>
      </c>
      <c r="M975" s="150">
        <v>24645.3</v>
      </c>
      <c r="N975" s="439">
        <v>44440</v>
      </c>
      <c r="O975" s="168" t="s">
        <v>2162</v>
      </c>
      <c r="P975" s="240" t="s">
        <v>2153</v>
      </c>
      <c r="Q975" s="240">
        <v>13546718283</v>
      </c>
      <c r="R975" s="440" t="s">
        <v>2154</v>
      </c>
      <c r="S975" s="222" t="s">
        <v>2155</v>
      </c>
      <c r="T975" s="168"/>
    </row>
    <row r="976" spans="1:20" ht="24.95" customHeight="1">
      <c r="A976" s="155" t="s">
        <v>2281</v>
      </c>
      <c r="B976" s="526" t="s">
        <v>3233</v>
      </c>
      <c r="C976" s="527" t="s">
        <v>34</v>
      </c>
      <c r="D976" s="527" t="s">
        <v>131</v>
      </c>
      <c r="E976" s="527">
        <v>1</v>
      </c>
      <c r="F976" s="168"/>
      <c r="G976" s="168" t="s">
        <v>2513</v>
      </c>
      <c r="H976" s="168" t="s">
        <v>33</v>
      </c>
      <c r="I976" s="168"/>
      <c r="J976" s="168"/>
      <c r="K976" s="174" t="s">
        <v>3227</v>
      </c>
      <c r="L976" s="406">
        <v>1485.15</v>
      </c>
      <c r="M976" s="150">
        <v>1485.15</v>
      </c>
      <c r="N976" s="439">
        <v>44440</v>
      </c>
      <c r="O976" s="168" t="s">
        <v>2162</v>
      </c>
      <c r="P976" s="240" t="s">
        <v>2153</v>
      </c>
      <c r="Q976" s="240">
        <v>13546718283</v>
      </c>
      <c r="R976" s="440" t="s">
        <v>2154</v>
      </c>
      <c r="S976" s="222" t="s">
        <v>2155</v>
      </c>
      <c r="T976" s="168"/>
    </row>
    <row r="977" spans="1:20" ht="24.95" customHeight="1">
      <c r="A977" s="155" t="s">
        <v>2283</v>
      </c>
      <c r="B977" s="526" t="s">
        <v>3234</v>
      </c>
      <c r="C977" s="527" t="s">
        <v>34</v>
      </c>
      <c r="D977" s="527" t="s">
        <v>1165</v>
      </c>
      <c r="E977" s="527">
        <v>1</v>
      </c>
      <c r="F977" s="168"/>
      <c r="G977" s="168" t="s">
        <v>2513</v>
      </c>
      <c r="H977" s="168" t="s">
        <v>33</v>
      </c>
      <c r="I977" s="168"/>
      <c r="J977" s="168"/>
      <c r="K977" s="174" t="s">
        <v>3227</v>
      </c>
      <c r="L977" s="406">
        <v>2970.3</v>
      </c>
      <c r="M977" s="150">
        <v>2970.3</v>
      </c>
      <c r="N977" s="439">
        <v>44440</v>
      </c>
      <c r="O977" s="168" t="s">
        <v>2162</v>
      </c>
      <c r="P977" s="240" t="s">
        <v>2153</v>
      </c>
      <c r="Q977" s="240">
        <v>13546718283</v>
      </c>
      <c r="R977" s="440" t="s">
        <v>2154</v>
      </c>
      <c r="S977" s="222" t="s">
        <v>2155</v>
      </c>
      <c r="T977" s="168"/>
    </row>
    <row r="978" spans="1:20" ht="24.95" customHeight="1">
      <c r="A978" s="155" t="s">
        <v>2285</v>
      </c>
      <c r="B978" s="399" t="s">
        <v>3124</v>
      </c>
      <c r="C978" s="399" t="s">
        <v>3235</v>
      </c>
      <c r="D978" s="399" t="s">
        <v>888</v>
      </c>
      <c r="E978" s="399">
        <v>32</v>
      </c>
      <c r="F978" s="168"/>
      <c r="G978" s="168" t="s">
        <v>2513</v>
      </c>
      <c r="H978" s="168" t="s">
        <v>33</v>
      </c>
      <c r="I978" s="168"/>
      <c r="J978" s="168"/>
      <c r="K978" s="174" t="s">
        <v>3227</v>
      </c>
      <c r="L978" s="406">
        <v>6019.8019801980199</v>
      </c>
      <c r="M978" s="406">
        <v>6019.8019801980199</v>
      </c>
      <c r="N978" s="439">
        <v>44501</v>
      </c>
      <c r="O978" s="168" t="s">
        <v>3236</v>
      </c>
      <c r="P978" s="240" t="s">
        <v>2153</v>
      </c>
      <c r="Q978" s="240">
        <v>13546718283</v>
      </c>
      <c r="R978" s="440" t="s">
        <v>2154</v>
      </c>
      <c r="S978" s="222" t="s">
        <v>2155</v>
      </c>
      <c r="T978" s="168"/>
    </row>
    <row r="979" spans="1:20" ht="24.95" customHeight="1">
      <c r="A979" s="155" t="s">
        <v>3237</v>
      </c>
      <c r="B979" s="399" t="s">
        <v>3124</v>
      </c>
      <c r="C979" s="399" t="s">
        <v>3238</v>
      </c>
      <c r="D979" s="399" t="s">
        <v>888</v>
      </c>
      <c r="E979" s="399">
        <v>90</v>
      </c>
      <c r="F979" s="168"/>
      <c r="G979" s="168" t="s">
        <v>2513</v>
      </c>
      <c r="H979" s="168" t="s">
        <v>33</v>
      </c>
      <c r="I979" s="168"/>
      <c r="J979" s="168"/>
      <c r="K979" s="174" t="s">
        <v>3227</v>
      </c>
      <c r="L979" s="406">
        <v>16930.693069306901</v>
      </c>
      <c r="M979" s="406">
        <v>16930.693069306901</v>
      </c>
      <c r="N979" s="439">
        <v>44501</v>
      </c>
      <c r="O979" s="168" t="s">
        <v>3236</v>
      </c>
      <c r="P979" s="240" t="s">
        <v>2153</v>
      </c>
      <c r="Q979" s="240">
        <v>13546718283</v>
      </c>
      <c r="R979" s="440" t="s">
        <v>2154</v>
      </c>
      <c r="S979" s="222" t="s">
        <v>2155</v>
      </c>
      <c r="T979" s="168"/>
    </row>
    <row r="980" spans="1:20" ht="24.95" customHeight="1">
      <c r="A980" s="155" t="s">
        <v>3239</v>
      </c>
      <c r="B980" s="399" t="s">
        <v>3124</v>
      </c>
      <c r="C980" s="399" t="s">
        <v>3240</v>
      </c>
      <c r="D980" s="399" t="s">
        <v>888</v>
      </c>
      <c r="E980" s="399">
        <v>30</v>
      </c>
      <c r="F980" s="168"/>
      <c r="G980" s="168" t="s">
        <v>2513</v>
      </c>
      <c r="H980" s="168" t="s">
        <v>33</v>
      </c>
      <c r="I980" s="168"/>
      <c r="J980" s="168"/>
      <c r="K980" s="174" t="s">
        <v>3227</v>
      </c>
      <c r="L980" s="406">
        <v>4455.44554455446</v>
      </c>
      <c r="M980" s="406">
        <v>4455.44554455446</v>
      </c>
      <c r="N980" s="439">
        <v>44501</v>
      </c>
      <c r="O980" s="168" t="s">
        <v>3236</v>
      </c>
      <c r="P980" s="240" t="s">
        <v>2153</v>
      </c>
      <c r="Q980" s="240">
        <v>13546718283</v>
      </c>
      <c r="R980" s="440" t="s">
        <v>2154</v>
      </c>
      <c r="S980" s="222" t="s">
        <v>2155</v>
      </c>
      <c r="T980" s="168"/>
    </row>
    <row r="981" spans="1:20" ht="24.95" customHeight="1">
      <c r="A981" s="155" t="s">
        <v>3241</v>
      </c>
      <c r="B981" s="399" t="s">
        <v>3124</v>
      </c>
      <c r="C981" s="399" t="s">
        <v>3242</v>
      </c>
      <c r="D981" s="399" t="s">
        <v>888</v>
      </c>
      <c r="E981" s="399">
        <v>75</v>
      </c>
      <c r="F981" s="168"/>
      <c r="G981" s="168" t="s">
        <v>2513</v>
      </c>
      <c r="H981" s="168" t="s">
        <v>33</v>
      </c>
      <c r="I981" s="168"/>
      <c r="J981" s="168"/>
      <c r="K981" s="174" t="s">
        <v>3227</v>
      </c>
      <c r="L981" s="406">
        <v>14108.910891089099</v>
      </c>
      <c r="M981" s="406">
        <v>14108.910891089099</v>
      </c>
      <c r="N981" s="439">
        <v>44501</v>
      </c>
      <c r="O981" s="168" t="s">
        <v>3236</v>
      </c>
      <c r="P981" s="240" t="s">
        <v>2153</v>
      </c>
      <c r="Q981" s="240">
        <v>13546718283</v>
      </c>
      <c r="R981" s="440" t="s">
        <v>2154</v>
      </c>
      <c r="S981" s="222" t="s">
        <v>2155</v>
      </c>
      <c r="T981" s="168"/>
    </row>
    <row r="982" spans="1:20" ht="24.95" customHeight="1">
      <c r="A982" s="155" t="s">
        <v>3243</v>
      </c>
      <c r="B982" s="399" t="s">
        <v>3124</v>
      </c>
      <c r="C982" s="399" t="s">
        <v>3244</v>
      </c>
      <c r="D982" s="399" t="s">
        <v>888</v>
      </c>
      <c r="E982" s="399">
        <v>187</v>
      </c>
      <c r="F982" s="168"/>
      <c r="G982" s="168" t="s">
        <v>2513</v>
      </c>
      <c r="H982" s="168" t="s">
        <v>33</v>
      </c>
      <c r="I982" s="168"/>
      <c r="J982" s="168"/>
      <c r="K982" s="174" t="s">
        <v>3227</v>
      </c>
      <c r="L982" s="406">
        <v>35178.2178217822</v>
      </c>
      <c r="M982" s="406">
        <v>35178.2178217822</v>
      </c>
      <c r="N982" s="439">
        <v>44501</v>
      </c>
      <c r="O982" s="168" t="s">
        <v>3236</v>
      </c>
      <c r="P982" s="240" t="s">
        <v>2153</v>
      </c>
      <c r="Q982" s="240">
        <v>13546718283</v>
      </c>
      <c r="R982" s="440" t="s">
        <v>2154</v>
      </c>
      <c r="S982" s="222" t="s">
        <v>2155</v>
      </c>
      <c r="T982" s="168"/>
    </row>
    <row r="983" spans="1:20" ht="24.95" customHeight="1">
      <c r="A983" s="155" t="s">
        <v>3245</v>
      </c>
      <c r="B983" s="399" t="s">
        <v>3124</v>
      </c>
      <c r="C983" s="399" t="s">
        <v>3246</v>
      </c>
      <c r="D983" s="399" t="s">
        <v>888</v>
      </c>
      <c r="E983" s="399">
        <v>45</v>
      </c>
      <c r="F983" s="168"/>
      <c r="G983" s="168" t="s">
        <v>2513</v>
      </c>
      <c r="H983" s="168" t="s">
        <v>33</v>
      </c>
      <c r="I983" s="168"/>
      <c r="J983" s="168"/>
      <c r="K983" s="174" t="s">
        <v>3227</v>
      </c>
      <c r="L983" s="406">
        <v>8465.3465346534595</v>
      </c>
      <c r="M983" s="406">
        <v>8465.3465346534595</v>
      </c>
      <c r="N983" s="439">
        <v>44501</v>
      </c>
      <c r="O983" s="168" t="s">
        <v>3236</v>
      </c>
      <c r="P983" s="240" t="s">
        <v>2153</v>
      </c>
      <c r="Q983" s="240">
        <v>13546718283</v>
      </c>
      <c r="R983" s="440" t="s">
        <v>2154</v>
      </c>
      <c r="S983" s="222" t="s">
        <v>2155</v>
      </c>
      <c r="T983" s="168"/>
    </row>
    <row r="984" spans="1:20" ht="24.95" customHeight="1">
      <c r="A984" s="155" t="s">
        <v>3247</v>
      </c>
      <c r="B984" s="399" t="s">
        <v>3124</v>
      </c>
      <c r="C984" s="399" t="s">
        <v>34</v>
      </c>
      <c r="D984" s="399" t="s">
        <v>888</v>
      </c>
      <c r="E984" s="399">
        <v>133</v>
      </c>
      <c r="F984" s="168"/>
      <c r="G984" s="168" t="s">
        <v>2513</v>
      </c>
      <c r="H984" s="168" t="s">
        <v>33</v>
      </c>
      <c r="I984" s="168"/>
      <c r="J984" s="168"/>
      <c r="K984" s="174" t="s">
        <v>3227</v>
      </c>
      <c r="L984" s="406">
        <v>19752.475247524799</v>
      </c>
      <c r="M984" s="406">
        <v>19752.475247524799</v>
      </c>
      <c r="N984" s="439">
        <v>44501</v>
      </c>
      <c r="O984" s="168" t="s">
        <v>3236</v>
      </c>
      <c r="P984" s="240" t="s">
        <v>2153</v>
      </c>
      <c r="Q984" s="240">
        <v>13546718283</v>
      </c>
      <c r="R984" s="440" t="s">
        <v>2154</v>
      </c>
      <c r="S984" s="222" t="s">
        <v>2155</v>
      </c>
      <c r="T984" s="168"/>
    </row>
    <row r="985" spans="1:20" ht="24.95" customHeight="1">
      <c r="A985" s="155" t="s">
        <v>3248</v>
      </c>
      <c r="B985" s="399" t="s">
        <v>1391</v>
      </c>
      <c r="C985" s="399" t="s">
        <v>34</v>
      </c>
      <c r="D985" s="399" t="s">
        <v>888</v>
      </c>
      <c r="E985" s="399">
        <v>25.53</v>
      </c>
      <c r="F985" s="168"/>
      <c r="G985" s="168" t="s">
        <v>2513</v>
      </c>
      <c r="H985" s="168" t="s">
        <v>33</v>
      </c>
      <c r="I985" s="168"/>
      <c r="J985" s="168"/>
      <c r="K985" s="174" t="s">
        <v>3227</v>
      </c>
      <c r="L985" s="406">
        <v>8215.0990099009905</v>
      </c>
      <c r="M985" s="406">
        <v>8215.0990099009905</v>
      </c>
      <c r="N985" s="439">
        <v>44501</v>
      </c>
      <c r="O985" s="168" t="s">
        <v>3236</v>
      </c>
      <c r="P985" s="240" t="s">
        <v>2153</v>
      </c>
      <c r="Q985" s="240">
        <v>13546718283</v>
      </c>
      <c r="R985" s="440" t="s">
        <v>2154</v>
      </c>
      <c r="S985" s="222" t="s">
        <v>2155</v>
      </c>
      <c r="T985" s="168"/>
    </row>
    <row r="986" spans="1:20" ht="24.95" customHeight="1">
      <c r="A986" s="155" t="s">
        <v>3249</v>
      </c>
      <c r="B986" s="399" t="s">
        <v>1391</v>
      </c>
      <c r="C986" s="399" t="s">
        <v>3250</v>
      </c>
      <c r="D986" s="399" t="s">
        <v>1165</v>
      </c>
      <c r="E986" s="399">
        <v>5</v>
      </c>
      <c r="F986" s="168"/>
      <c r="G986" s="168" t="s">
        <v>2513</v>
      </c>
      <c r="H986" s="168" t="s">
        <v>33</v>
      </c>
      <c r="I986" s="168"/>
      <c r="J986" s="168"/>
      <c r="K986" s="174" t="s">
        <v>3227</v>
      </c>
      <c r="L986" s="406">
        <v>29702.9702970297</v>
      </c>
      <c r="M986" s="406">
        <v>29702.9702970297</v>
      </c>
      <c r="N986" s="439">
        <v>44501</v>
      </c>
      <c r="O986" s="168" t="s">
        <v>3236</v>
      </c>
      <c r="P986" s="240" t="s">
        <v>2153</v>
      </c>
      <c r="Q986" s="240">
        <v>13546718283</v>
      </c>
      <c r="R986" s="440" t="s">
        <v>2154</v>
      </c>
      <c r="S986" s="222" t="s">
        <v>2155</v>
      </c>
      <c r="T986" s="168"/>
    </row>
    <row r="987" spans="1:20" ht="24.95" customHeight="1">
      <c r="A987" s="155" t="s">
        <v>3251</v>
      </c>
      <c r="B987" s="399" t="s">
        <v>1573</v>
      </c>
      <c r="C987" s="399" t="s">
        <v>3252</v>
      </c>
      <c r="D987" s="399" t="s">
        <v>1165</v>
      </c>
      <c r="E987" s="399">
        <v>3</v>
      </c>
      <c r="F987" s="168"/>
      <c r="G987" s="168" t="s">
        <v>2513</v>
      </c>
      <c r="H987" s="168" t="s">
        <v>33</v>
      </c>
      <c r="I987" s="168"/>
      <c r="J987" s="168"/>
      <c r="K987" s="174" t="s">
        <v>3227</v>
      </c>
      <c r="L987" s="406">
        <v>5940.5940594059402</v>
      </c>
      <c r="M987" s="406">
        <v>5940.5940594059402</v>
      </c>
      <c r="N987" s="439">
        <v>44501</v>
      </c>
      <c r="O987" s="168" t="s">
        <v>3236</v>
      </c>
      <c r="P987" s="240" t="s">
        <v>2153</v>
      </c>
      <c r="Q987" s="240">
        <v>13546718283</v>
      </c>
      <c r="R987" s="440" t="s">
        <v>2154</v>
      </c>
      <c r="S987" s="222" t="s">
        <v>2155</v>
      </c>
      <c r="T987" s="168"/>
    </row>
    <row r="988" spans="1:20" ht="24.95" customHeight="1">
      <c r="A988" s="155" t="s">
        <v>3253</v>
      </c>
      <c r="B988" s="399" t="s">
        <v>3254</v>
      </c>
      <c r="C988" s="399" t="s">
        <v>3255</v>
      </c>
      <c r="D988" s="399" t="s">
        <v>888</v>
      </c>
      <c r="E988" s="399">
        <v>104.5</v>
      </c>
      <c r="F988" s="168"/>
      <c r="G988" s="168" t="s">
        <v>2513</v>
      </c>
      <c r="H988" s="168" t="s">
        <v>33</v>
      </c>
      <c r="I988" s="168"/>
      <c r="J988" s="168"/>
      <c r="K988" s="174" t="s">
        <v>3227</v>
      </c>
      <c r="L988" s="406">
        <v>15519.801980198001</v>
      </c>
      <c r="M988" s="406">
        <v>15519.801980198001</v>
      </c>
      <c r="N988" s="439">
        <v>44501</v>
      </c>
      <c r="O988" s="168" t="s">
        <v>3236</v>
      </c>
      <c r="P988" s="240" t="s">
        <v>2153</v>
      </c>
      <c r="Q988" s="240">
        <v>13546718283</v>
      </c>
      <c r="R988" s="440" t="s">
        <v>2154</v>
      </c>
      <c r="S988" s="222" t="s">
        <v>2155</v>
      </c>
      <c r="T988" s="168"/>
    </row>
    <row r="989" spans="1:20" ht="24.95" customHeight="1">
      <c r="A989" s="155" t="s">
        <v>3256</v>
      </c>
      <c r="B989" s="399" t="s">
        <v>3124</v>
      </c>
      <c r="C989" s="399" t="s">
        <v>3257</v>
      </c>
      <c r="D989" s="399" t="s">
        <v>888</v>
      </c>
      <c r="E989" s="399">
        <v>162.80000000000001</v>
      </c>
      <c r="F989" s="168"/>
      <c r="G989" s="168" t="s">
        <v>2513</v>
      </c>
      <c r="H989" s="168" t="s">
        <v>33</v>
      </c>
      <c r="I989" s="168"/>
      <c r="J989" s="168"/>
      <c r="K989" s="174" t="s">
        <v>3227</v>
      </c>
      <c r="L989" s="406">
        <v>30625.742574257401</v>
      </c>
      <c r="M989" s="406">
        <v>30625.742574257401</v>
      </c>
      <c r="N989" s="439">
        <v>44501</v>
      </c>
      <c r="O989" s="168" t="s">
        <v>3236</v>
      </c>
      <c r="P989" s="240" t="s">
        <v>2153</v>
      </c>
      <c r="Q989" s="240">
        <v>13546718283</v>
      </c>
      <c r="R989" s="440" t="s">
        <v>2154</v>
      </c>
      <c r="S989" s="222" t="s">
        <v>2155</v>
      </c>
      <c r="T989" s="168"/>
    </row>
    <row r="990" spans="1:20" ht="24.95" customHeight="1">
      <c r="A990" s="155" t="s">
        <v>3258</v>
      </c>
      <c r="B990" s="399" t="s">
        <v>3259</v>
      </c>
      <c r="C990" s="399"/>
      <c r="D990" s="399" t="s">
        <v>888</v>
      </c>
      <c r="E990" s="399">
        <v>350</v>
      </c>
      <c r="F990" s="168"/>
      <c r="G990" s="168" t="s">
        <v>2513</v>
      </c>
      <c r="H990" s="168" t="s">
        <v>33</v>
      </c>
      <c r="I990" s="168"/>
      <c r="J990" s="168"/>
      <c r="K990" s="174" t="s">
        <v>3227</v>
      </c>
      <c r="L990" s="406">
        <v>83168.316831683202</v>
      </c>
      <c r="M990" s="406">
        <v>83168.316831683202</v>
      </c>
      <c r="N990" s="439">
        <v>44501</v>
      </c>
      <c r="O990" s="168" t="s">
        <v>2162</v>
      </c>
      <c r="P990" s="240" t="s">
        <v>2153</v>
      </c>
      <c r="Q990" s="240">
        <v>13546718283</v>
      </c>
      <c r="R990" s="440" t="s">
        <v>2154</v>
      </c>
      <c r="S990" s="222" t="s">
        <v>2155</v>
      </c>
      <c r="T990" s="168"/>
    </row>
    <row r="991" spans="1:20" ht="24.95" customHeight="1">
      <c r="A991" s="155" t="s">
        <v>3260</v>
      </c>
      <c r="B991" s="399" t="s">
        <v>3259</v>
      </c>
      <c r="C991" s="399"/>
      <c r="D991" s="399" t="s">
        <v>888</v>
      </c>
      <c r="E991" s="399">
        <v>350</v>
      </c>
      <c r="F991" s="168"/>
      <c r="G991" s="168" t="s">
        <v>2513</v>
      </c>
      <c r="H991" s="168" t="s">
        <v>33</v>
      </c>
      <c r="I991" s="168"/>
      <c r="J991" s="168"/>
      <c r="K991" s="174" t="s">
        <v>3227</v>
      </c>
      <c r="L991" s="406">
        <v>83168.316831683202</v>
      </c>
      <c r="M991" s="406">
        <v>83168.316831683202</v>
      </c>
      <c r="N991" s="439">
        <v>44501</v>
      </c>
      <c r="O991" s="168" t="s">
        <v>2162</v>
      </c>
      <c r="P991" s="240" t="s">
        <v>2153</v>
      </c>
      <c r="Q991" s="240">
        <v>13546718283</v>
      </c>
      <c r="R991" s="440" t="s">
        <v>2154</v>
      </c>
      <c r="S991" s="222" t="s">
        <v>2155</v>
      </c>
      <c r="T991" s="168"/>
    </row>
    <row r="992" spans="1:20" ht="24.95" customHeight="1">
      <c r="A992" s="155" t="s">
        <v>3261</v>
      </c>
      <c r="B992" s="399" t="s">
        <v>3259</v>
      </c>
      <c r="C992" s="399"/>
      <c r="D992" s="399" t="s">
        <v>888</v>
      </c>
      <c r="E992" s="399">
        <v>161</v>
      </c>
      <c r="F992" s="168"/>
      <c r="G992" s="168" t="s">
        <v>2513</v>
      </c>
      <c r="H992" s="168" t="s">
        <v>33</v>
      </c>
      <c r="I992" s="168"/>
      <c r="J992" s="168"/>
      <c r="K992" s="174" t="s">
        <v>3227</v>
      </c>
      <c r="L992" s="406">
        <v>38257.425742574298</v>
      </c>
      <c r="M992" s="406">
        <v>38257.425742574298</v>
      </c>
      <c r="N992" s="439">
        <v>44501</v>
      </c>
      <c r="O992" s="168" t="s">
        <v>2162</v>
      </c>
      <c r="P992" s="240" t="s">
        <v>2153</v>
      </c>
      <c r="Q992" s="240">
        <v>13546718283</v>
      </c>
      <c r="R992" s="440" t="s">
        <v>2154</v>
      </c>
      <c r="S992" s="222" t="s">
        <v>2155</v>
      </c>
      <c r="T992" s="168"/>
    </row>
    <row r="993" spans="1:20" ht="24.95" customHeight="1">
      <c r="A993" s="155" t="s">
        <v>889</v>
      </c>
      <c r="B993" s="399" t="s">
        <v>3262</v>
      </c>
      <c r="C993" s="399"/>
      <c r="D993" s="399" t="s">
        <v>888</v>
      </c>
      <c r="E993" s="399">
        <v>45</v>
      </c>
      <c r="F993" s="168"/>
      <c r="G993" s="168" t="s">
        <v>2513</v>
      </c>
      <c r="H993" s="168" t="s">
        <v>33</v>
      </c>
      <c r="I993" s="168"/>
      <c r="J993" s="168"/>
      <c r="K993" s="174" t="s">
        <v>3227</v>
      </c>
      <c r="L993" s="406">
        <v>8465.3465346534595</v>
      </c>
      <c r="M993" s="406">
        <v>8465.3465346534595</v>
      </c>
      <c r="N993" s="439">
        <v>44501</v>
      </c>
      <c r="O993" s="168" t="s">
        <v>2162</v>
      </c>
      <c r="P993" s="240" t="s">
        <v>2153</v>
      </c>
      <c r="Q993" s="240">
        <v>13546718283</v>
      </c>
      <c r="R993" s="440" t="s">
        <v>2154</v>
      </c>
      <c r="S993" s="222" t="s">
        <v>2155</v>
      </c>
      <c r="T993" s="168"/>
    </row>
    <row r="994" spans="1:20" ht="24.95" customHeight="1">
      <c r="A994" s="155" t="s">
        <v>3263</v>
      </c>
      <c r="B994" s="399" t="s">
        <v>3264</v>
      </c>
      <c r="C994" s="399"/>
      <c r="D994" s="399" t="s">
        <v>888</v>
      </c>
      <c r="E994" s="399">
        <v>137.69999999999999</v>
      </c>
      <c r="F994" s="168"/>
      <c r="G994" s="168" t="s">
        <v>2513</v>
      </c>
      <c r="H994" s="168" t="s">
        <v>33</v>
      </c>
      <c r="I994" s="168"/>
      <c r="J994" s="168"/>
      <c r="K994" s="174" t="s">
        <v>3227</v>
      </c>
      <c r="L994" s="406">
        <v>25903.960396039602</v>
      </c>
      <c r="M994" s="406">
        <v>25903.960396039602</v>
      </c>
      <c r="N994" s="439">
        <v>44501</v>
      </c>
      <c r="O994" s="168" t="s">
        <v>2162</v>
      </c>
      <c r="P994" s="240" t="s">
        <v>2153</v>
      </c>
      <c r="Q994" s="240">
        <v>13546718283</v>
      </c>
      <c r="R994" s="440" t="s">
        <v>2154</v>
      </c>
      <c r="S994" s="222" t="s">
        <v>2155</v>
      </c>
      <c r="T994" s="168"/>
    </row>
    <row r="995" spans="1:20" ht="24.95" customHeight="1">
      <c r="A995" s="155" t="s">
        <v>3265</v>
      </c>
      <c r="B995" s="399" t="s">
        <v>3266</v>
      </c>
      <c r="C995" s="399"/>
      <c r="D995" s="399" t="s">
        <v>888</v>
      </c>
      <c r="E995" s="399">
        <v>16.100000000000001</v>
      </c>
      <c r="F995" s="168"/>
      <c r="G995" s="168" t="s">
        <v>2513</v>
      </c>
      <c r="H995" s="168" t="s">
        <v>33</v>
      </c>
      <c r="I995" s="168"/>
      <c r="J995" s="168"/>
      <c r="K995" s="174" t="s">
        <v>3227</v>
      </c>
      <c r="L995" s="406">
        <v>2391.1</v>
      </c>
      <c r="M995" s="406">
        <v>2391.1</v>
      </c>
      <c r="N995" s="439">
        <v>44501</v>
      </c>
      <c r="O995" s="168" t="s">
        <v>2162</v>
      </c>
      <c r="P995" s="240" t="s">
        <v>2153</v>
      </c>
      <c r="Q995" s="240">
        <v>13546718283</v>
      </c>
      <c r="R995" s="440" t="s">
        <v>2154</v>
      </c>
      <c r="S995" s="222" t="s">
        <v>2155</v>
      </c>
      <c r="T995" s="168"/>
    </row>
    <row r="996" spans="1:20" ht="24.95" customHeight="1">
      <c r="A996" s="155" t="s">
        <v>3267</v>
      </c>
      <c r="B996" s="399" t="s">
        <v>3124</v>
      </c>
      <c r="C996" s="399" t="s">
        <v>3268</v>
      </c>
      <c r="D996" s="399" t="s">
        <v>888</v>
      </c>
      <c r="E996" s="399">
        <v>425</v>
      </c>
      <c r="F996" s="168"/>
      <c r="G996" s="168" t="s">
        <v>2513</v>
      </c>
      <c r="H996" s="168" t="s">
        <v>33</v>
      </c>
      <c r="I996" s="168"/>
      <c r="J996" s="168"/>
      <c r="K996" s="174" t="s">
        <v>3227</v>
      </c>
      <c r="L996" s="406">
        <v>92574.257425742602</v>
      </c>
      <c r="M996" s="406">
        <v>92574.257425742602</v>
      </c>
      <c r="N996" s="439">
        <v>44501</v>
      </c>
      <c r="O996" s="168" t="s">
        <v>2162</v>
      </c>
      <c r="P996" s="240" t="s">
        <v>2153</v>
      </c>
      <c r="Q996" s="240">
        <v>13546718283</v>
      </c>
      <c r="R996" s="440" t="s">
        <v>2154</v>
      </c>
      <c r="S996" s="222" t="s">
        <v>2155</v>
      </c>
      <c r="T996" s="168"/>
    </row>
    <row r="997" spans="1:20" ht="24.95" customHeight="1">
      <c r="A997" s="155" t="s">
        <v>3269</v>
      </c>
      <c r="B997" s="399" t="s">
        <v>3124</v>
      </c>
      <c r="C997" s="399" t="s">
        <v>3270</v>
      </c>
      <c r="D997" s="399" t="s">
        <v>888</v>
      </c>
      <c r="E997" s="399">
        <v>375</v>
      </c>
      <c r="F997" s="168"/>
      <c r="G997" s="168" t="s">
        <v>2513</v>
      </c>
      <c r="H997" s="168" t="s">
        <v>33</v>
      </c>
      <c r="I997" s="168"/>
      <c r="J997" s="168"/>
      <c r="K997" s="174" t="s">
        <v>3227</v>
      </c>
      <c r="L997" s="406">
        <v>81683.168316831696</v>
      </c>
      <c r="M997" s="406">
        <v>81683.168316831696</v>
      </c>
      <c r="N997" s="439">
        <v>44501</v>
      </c>
      <c r="O997" s="168" t="s">
        <v>2162</v>
      </c>
      <c r="P997" s="240" t="s">
        <v>2153</v>
      </c>
      <c r="Q997" s="240">
        <v>13546718283</v>
      </c>
      <c r="R997" s="440" t="s">
        <v>2154</v>
      </c>
      <c r="S997" s="222" t="s">
        <v>2155</v>
      </c>
      <c r="T997" s="168"/>
    </row>
    <row r="998" spans="1:20" ht="24.95" customHeight="1">
      <c r="A998" s="155" t="s">
        <v>3271</v>
      </c>
      <c r="B998" s="399" t="s">
        <v>3124</v>
      </c>
      <c r="C998" s="399" t="s">
        <v>3272</v>
      </c>
      <c r="D998" s="399" t="s">
        <v>888</v>
      </c>
      <c r="E998" s="399">
        <v>111.6</v>
      </c>
      <c r="F998" s="168"/>
      <c r="G998" s="168" t="s">
        <v>2513</v>
      </c>
      <c r="H998" s="168" t="s">
        <v>33</v>
      </c>
      <c r="I998" s="168"/>
      <c r="J998" s="168"/>
      <c r="K998" s="174" t="s">
        <v>3227</v>
      </c>
      <c r="L998" s="406">
        <v>22099.009900990099</v>
      </c>
      <c r="M998" s="406">
        <v>22099.009900990099</v>
      </c>
      <c r="N998" s="439">
        <v>44501</v>
      </c>
      <c r="O998" s="168" t="s">
        <v>2162</v>
      </c>
      <c r="P998" s="240" t="s">
        <v>2153</v>
      </c>
      <c r="Q998" s="240">
        <v>13546718283</v>
      </c>
      <c r="R998" s="440" t="s">
        <v>2154</v>
      </c>
      <c r="S998" s="222" t="s">
        <v>2155</v>
      </c>
      <c r="T998" s="168"/>
    </row>
    <row r="999" spans="1:20" ht="24.95" customHeight="1">
      <c r="A999" s="155" t="s">
        <v>3273</v>
      </c>
      <c r="B999" s="399" t="s">
        <v>3124</v>
      </c>
      <c r="C999" s="399" t="s">
        <v>3274</v>
      </c>
      <c r="D999" s="399" t="s">
        <v>888</v>
      </c>
      <c r="E999" s="399">
        <v>180</v>
      </c>
      <c r="F999" s="168"/>
      <c r="G999" s="168" t="s">
        <v>2513</v>
      </c>
      <c r="H999" s="168" t="s">
        <v>33</v>
      </c>
      <c r="I999" s="168"/>
      <c r="J999" s="168"/>
      <c r="K999" s="174" t="s">
        <v>3227</v>
      </c>
      <c r="L999" s="406">
        <v>35643.5643564356</v>
      </c>
      <c r="M999" s="406">
        <v>35643.5643564356</v>
      </c>
      <c r="N999" s="439">
        <v>44501</v>
      </c>
      <c r="O999" s="168" t="s">
        <v>2162</v>
      </c>
      <c r="P999" s="240" t="s">
        <v>2153</v>
      </c>
      <c r="Q999" s="240">
        <v>13546718283</v>
      </c>
      <c r="R999" s="440" t="s">
        <v>2154</v>
      </c>
      <c r="S999" s="222" t="s">
        <v>2155</v>
      </c>
      <c r="T999" s="168"/>
    </row>
    <row r="1000" spans="1:20" ht="24.95" customHeight="1">
      <c r="A1000" s="155" t="s">
        <v>3275</v>
      </c>
      <c r="B1000" s="399" t="s">
        <v>3276</v>
      </c>
      <c r="C1000" s="399" t="s">
        <v>3277</v>
      </c>
      <c r="D1000" s="399" t="s">
        <v>2724</v>
      </c>
      <c r="E1000" s="399">
        <v>20</v>
      </c>
      <c r="F1000" s="168"/>
      <c r="G1000" s="168" t="s">
        <v>2513</v>
      </c>
      <c r="H1000" s="168" t="s">
        <v>33</v>
      </c>
      <c r="I1000" s="168"/>
      <c r="J1000" s="168"/>
      <c r="K1000" s="174" t="s">
        <v>3227</v>
      </c>
      <c r="L1000" s="406">
        <v>594.05940594059405</v>
      </c>
      <c r="M1000" s="406">
        <v>594.05940594059405</v>
      </c>
      <c r="N1000" s="439">
        <v>44501</v>
      </c>
      <c r="O1000" s="168" t="s">
        <v>2162</v>
      </c>
      <c r="P1000" s="240" t="s">
        <v>2153</v>
      </c>
      <c r="Q1000" s="240">
        <v>13546718283</v>
      </c>
      <c r="R1000" s="440" t="s">
        <v>2154</v>
      </c>
      <c r="S1000" s="222" t="s">
        <v>2155</v>
      </c>
      <c r="T1000" s="168"/>
    </row>
    <row r="1001" spans="1:20" ht="24.95" customHeight="1">
      <c r="A1001" s="155" t="s">
        <v>3278</v>
      </c>
      <c r="B1001" s="399" t="s">
        <v>3279</v>
      </c>
      <c r="C1001" s="399" t="s">
        <v>3280</v>
      </c>
      <c r="D1001" s="399" t="s">
        <v>2724</v>
      </c>
      <c r="E1001" s="399">
        <v>46</v>
      </c>
      <c r="F1001" s="168"/>
      <c r="G1001" s="168" t="s">
        <v>2513</v>
      </c>
      <c r="H1001" s="168" t="s">
        <v>33</v>
      </c>
      <c r="I1001" s="168"/>
      <c r="J1001" s="168"/>
      <c r="K1001" s="174" t="s">
        <v>3227</v>
      </c>
      <c r="L1001" s="406">
        <v>7287.1287128712902</v>
      </c>
      <c r="M1001" s="406">
        <v>7287.1287128712902</v>
      </c>
      <c r="N1001" s="439">
        <v>44501</v>
      </c>
      <c r="O1001" s="168" t="s">
        <v>2162</v>
      </c>
      <c r="P1001" s="240" t="s">
        <v>2153</v>
      </c>
      <c r="Q1001" s="240">
        <v>13546718283</v>
      </c>
      <c r="R1001" s="440" t="s">
        <v>2154</v>
      </c>
      <c r="S1001" s="222" t="s">
        <v>2155</v>
      </c>
      <c r="T1001" s="168"/>
    </row>
    <row r="1002" spans="1:20" ht="24.95" customHeight="1">
      <c r="A1002" s="155" t="s">
        <v>3281</v>
      </c>
      <c r="B1002" s="399" t="s">
        <v>3282</v>
      </c>
      <c r="C1002" s="399" t="s">
        <v>34</v>
      </c>
      <c r="D1002" s="399" t="s">
        <v>1165</v>
      </c>
      <c r="E1002" s="399">
        <v>2</v>
      </c>
      <c r="F1002" s="168"/>
      <c r="G1002" s="168" t="s">
        <v>2513</v>
      </c>
      <c r="H1002" s="168" t="s">
        <v>33</v>
      </c>
      <c r="I1002" s="168"/>
      <c r="J1002" s="168"/>
      <c r="K1002" s="174" t="s">
        <v>3227</v>
      </c>
      <c r="L1002" s="406">
        <v>1980.1980198019801</v>
      </c>
      <c r="M1002" s="406">
        <v>1980.1980198019801</v>
      </c>
      <c r="N1002" s="439">
        <v>44501</v>
      </c>
      <c r="O1002" s="168" t="s">
        <v>2162</v>
      </c>
      <c r="P1002" s="240" t="s">
        <v>2153</v>
      </c>
      <c r="Q1002" s="240">
        <v>13546718283</v>
      </c>
      <c r="R1002" s="440" t="s">
        <v>2154</v>
      </c>
      <c r="S1002" s="222" t="s">
        <v>2155</v>
      </c>
      <c r="T1002" s="168"/>
    </row>
    <row r="1003" spans="1:20" ht="24.95" customHeight="1">
      <c r="A1003" s="155" t="s">
        <v>3283</v>
      </c>
      <c r="B1003" s="399" t="s">
        <v>3124</v>
      </c>
      <c r="C1003" s="399" t="s">
        <v>3274</v>
      </c>
      <c r="D1003" s="399" t="s">
        <v>888</v>
      </c>
      <c r="E1003" s="399">
        <v>225</v>
      </c>
      <c r="F1003" s="168"/>
      <c r="G1003" s="168" t="s">
        <v>2513</v>
      </c>
      <c r="H1003" s="168" t="s">
        <v>33</v>
      </c>
      <c r="I1003" s="168"/>
      <c r="J1003" s="168"/>
      <c r="K1003" s="174" t="s">
        <v>3227</v>
      </c>
      <c r="L1003" s="406">
        <v>44554.46</v>
      </c>
      <c r="M1003" s="406">
        <v>44554.46</v>
      </c>
      <c r="N1003" s="439">
        <v>44501</v>
      </c>
      <c r="O1003" s="168" t="s">
        <v>2162</v>
      </c>
      <c r="P1003" s="240" t="s">
        <v>2153</v>
      </c>
      <c r="Q1003" s="240">
        <v>13546718283</v>
      </c>
      <c r="R1003" s="440" t="s">
        <v>2154</v>
      </c>
      <c r="S1003" s="222" t="s">
        <v>2155</v>
      </c>
      <c r="T1003" s="168"/>
    </row>
    <row r="1004" spans="1:20" ht="24.95" customHeight="1">
      <c r="A1004" s="155" t="s">
        <v>3284</v>
      </c>
      <c r="B1004" s="399" t="s">
        <v>3124</v>
      </c>
      <c r="C1004" s="399" t="s">
        <v>3285</v>
      </c>
      <c r="D1004" s="399" t="s">
        <v>888</v>
      </c>
      <c r="E1004" s="399">
        <v>255</v>
      </c>
      <c r="F1004" s="168"/>
      <c r="G1004" s="168" t="s">
        <v>2513</v>
      </c>
      <c r="H1004" s="168" t="s">
        <v>33</v>
      </c>
      <c r="I1004" s="168"/>
      <c r="J1004" s="168"/>
      <c r="K1004" s="174" t="s">
        <v>3227</v>
      </c>
      <c r="L1004" s="406">
        <v>50495.049504950497</v>
      </c>
      <c r="M1004" s="406">
        <v>50495.049504950497</v>
      </c>
      <c r="N1004" s="439">
        <v>44501</v>
      </c>
      <c r="O1004" s="168" t="s">
        <v>2162</v>
      </c>
      <c r="P1004" s="240" t="s">
        <v>2153</v>
      </c>
      <c r="Q1004" s="240">
        <v>13546718283</v>
      </c>
      <c r="R1004" s="440" t="s">
        <v>2154</v>
      </c>
      <c r="S1004" s="222" t="s">
        <v>2155</v>
      </c>
      <c r="T1004" s="168"/>
    </row>
    <row r="1005" spans="1:20" ht="24.95" customHeight="1">
      <c r="A1005" s="155" t="s">
        <v>3286</v>
      </c>
      <c r="B1005" s="399" t="s">
        <v>3287</v>
      </c>
      <c r="C1005" s="399" t="s">
        <v>3288</v>
      </c>
      <c r="D1005" s="399" t="s">
        <v>888</v>
      </c>
      <c r="E1005" s="399">
        <v>270</v>
      </c>
      <c r="F1005" s="168"/>
      <c r="G1005" s="168" t="s">
        <v>2513</v>
      </c>
      <c r="H1005" s="168" t="s">
        <v>33</v>
      </c>
      <c r="I1005" s="168"/>
      <c r="J1005" s="168"/>
      <c r="K1005" s="174" t="s">
        <v>3227</v>
      </c>
      <c r="L1005" s="406">
        <v>86881.1881188119</v>
      </c>
      <c r="M1005" s="406">
        <v>86881.1881188119</v>
      </c>
      <c r="N1005" s="439">
        <v>44501</v>
      </c>
      <c r="O1005" s="168" t="s">
        <v>2162</v>
      </c>
      <c r="P1005" s="240" t="s">
        <v>2153</v>
      </c>
      <c r="Q1005" s="240">
        <v>13546718283</v>
      </c>
      <c r="R1005" s="440" t="s">
        <v>2154</v>
      </c>
      <c r="S1005" s="222" t="s">
        <v>2155</v>
      </c>
      <c r="T1005" s="168"/>
    </row>
    <row r="1006" spans="1:20" ht="24.95" customHeight="1">
      <c r="A1006" s="155" t="s">
        <v>3289</v>
      </c>
      <c r="B1006" s="399" t="s">
        <v>3287</v>
      </c>
      <c r="C1006" s="399" t="s">
        <v>3288</v>
      </c>
      <c r="D1006" s="399" t="s">
        <v>888</v>
      </c>
      <c r="E1006" s="399">
        <v>266.13</v>
      </c>
      <c r="F1006" s="168"/>
      <c r="G1006" s="168" t="s">
        <v>2513</v>
      </c>
      <c r="H1006" s="168" t="s">
        <v>33</v>
      </c>
      <c r="I1006" s="168"/>
      <c r="J1006" s="168"/>
      <c r="K1006" s="174" t="s">
        <v>3227</v>
      </c>
      <c r="L1006" s="406">
        <v>85635.891089108904</v>
      </c>
      <c r="M1006" s="406">
        <v>85635.891089108904</v>
      </c>
      <c r="N1006" s="439">
        <v>44501</v>
      </c>
      <c r="O1006" s="168" t="s">
        <v>2162</v>
      </c>
      <c r="P1006" s="240" t="s">
        <v>2153</v>
      </c>
      <c r="Q1006" s="240">
        <v>13546718283</v>
      </c>
      <c r="R1006" s="440" t="s">
        <v>2154</v>
      </c>
      <c r="S1006" s="222" t="s">
        <v>2155</v>
      </c>
      <c r="T1006" s="168"/>
    </row>
    <row r="1007" spans="1:20" ht="24.95" customHeight="1">
      <c r="A1007" s="155" t="s">
        <v>3290</v>
      </c>
      <c r="B1007" s="435" t="s">
        <v>3291</v>
      </c>
      <c r="C1007" s="435" t="s">
        <v>3292</v>
      </c>
      <c r="D1007" s="435" t="s">
        <v>888</v>
      </c>
      <c r="E1007" s="436">
        <v>3849.8</v>
      </c>
      <c r="F1007" s="168"/>
      <c r="G1007" s="168" t="s">
        <v>2513</v>
      </c>
      <c r="H1007" s="168" t="s">
        <v>33</v>
      </c>
      <c r="I1007" s="168"/>
      <c r="J1007" s="168"/>
      <c r="K1007" s="174" t="s">
        <v>3293</v>
      </c>
      <c r="L1007" s="168">
        <v>817656.63716814201</v>
      </c>
      <c r="M1007" s="150">
        <v>789353.13818924502</v>
      </c>
      <c r="N1007" s="439">
        <v>44339</v>
      </c>
      <c r="O1007" s="168" t="s">
        <v>3294</v>
      </c>
      <c r="P1007" s="240" t="s">
        <v>2153</v>
      </c>
      <c r="Q1007" s="240">
        <v>13546718283</v>
      </c>
      <c r="R1007" s="440" t="s">
        <v>2154</v>
      </c>
      <c r="S1007" s="222" t="s">
        <v>2155</v>
      </c>
      <c r="T1007" s="168"/>
    </row>
    <row r="1008" spans="1:20" ht="24.95" customHeight="1">
      <c r="A1008" s="155" t="s">
        <v>3295</v>
      </c>
      <c r="B1008" s="435" t="s">
        <v>3296</v>
      </c>
      <c r="C1008" s="435" t="s">
        <v>3297</v>
      </c>
      <c r="D1008" s="435" t="s">
        <v>888</v>
      </c>
      <c r="E1008" s="436">
        <v>9631.7000000000007</v>
      </c>
      <c r="F1008" s="168"/>
      <c r="G1008" s="168" t="s">
        <v>2513</v>
      </c>
      <c r="H1008" s="168" t="s">
        <v>33</v>
      </c>
      <c r="I1008" s="168"/>
      <c r="J1008" s="168"/>
      <c r="K1008" s="174" t="s">
        <v>3293</v>
      </c>
      <c r="L1008" s="168">
        <v>1875198.2300885001</v>
      </c>
      <c r="M1008" s="150">
        <v>1810287.52212389</v>
      </c>
      <c r="N1008" s="439">
        <v>44340</v>
      </c>
      <c r="O1008" s="168" t="s">
        <v>3294</v>
      </c>
      <c r="P1008" s="240" t="s">
        <v>2153</v>
      </c>
      <c r="Q1008" s="240">
        <v>13546718283</v>
      </c>
      <c r="R1008" s="440" t="s">
        <v>2154</v>
      </c>
      <c r="S1008" s="222" t="s">
        <v>2155</v>
      </c>
      <c r="T1008" s="168"/>
    </row>
    <row r="1009" spans="1:20" ht="24.95" customHeight="1">
      <c r="A1009" s="155" t="s">
        <v>3298</v>
      </c>
      <c r="B1009" s="435" t="s">
        <v>3299</v>
      </c>
      <c r="C1009" s="435" t="s">
        <v>3300</v>
      </c>
      <c r="D1009" s="435" t="s">
        <v>888</v>
      </c>
      <c r="E1009" s="436">
        <v>3606.58</v>
      </c>
      <c r="F1009" s="168"/>
      <c r="G1009" s="168" t="s">
        <v>2513</v>
      </c>
      <c r="H1009" s="168" t="s">
        <v>33</v>
      </c>
      <c r="I1009" s="168"/>
      <c r="J1009" s="168"/>
      <c r="K1009" s="174" t="s">
        <v>3227</v>
      </c>
      <c r="L1009" s="168">
        <v>1160533.1683168299</v>
      </c>
      <c r="M1009" s="150">
        <v>1120360.86633663</v>
      </c>
      <c r="N1009" s="439">
        <v>44341</v>
      </c>
      <c r="O1009" s="174" t="s">
        <v>3301</v>
      </c>
      <c r="P1009" s="240" t="s">
        <v>2153</v>
      </c>
      <c r="Q1009" s="240">
        <v>13546718283</v>
      </c>
      <c r="R1009" s="440" t="s">
        <v>2154</v>
      </c>
      <c r="S1009" s="222" t="s">
        <v>2155</v>
      </c>
      <c r="T1009" s="168"/>
    </row>
    <row r="1010" spans="1:20" ht="24.95" customHeight="1">
      <c r="A1010" s="155" t="s">
        <v>3302</v>
      </c>
      <c r="B1010" s="435" t="s">
        <v>3303</v>
      </c>
      <c r="C1010" s="435" t="s">
        <v>3304</v>
      </c>
      <c r="D1010" s="435" t="s">
        <v>888</v>
      </c>
      <c r="E1010" s="436">
        <v>289.87</v>
      </c>
      <c r="F1010" s="168"/>
      <c r="G1010" s="168" t="s">
        <v>2513</v>
      </c>
      <c r="H1010" s="168" t="s">
        <v>33</v>
      </c>
      <c r="I1010" s="168"/>
      <c r="J1010" s="168"/>
      <c r="K1010" s="174" t="s">
        <v>3227</v>
      </c>
      <c r="L1010" s="168">
        <v>45920</v>
      </c>
      <c r="M1010" s="150">
        <v>44330.461538461597</v>
      </c>
      <c r="N1010" s="439">
        <v>44440</v>
      </c>
      <c r="O1010" s="174" t="s">
        <v>3301</v>
      </c>
      <c r="P1010" s="240" t="s">
        <v>2153</v>
      </c>
      <c r="Q1010" s="240">
        <v>13546718283</v>
      </c>
      <c r="R1010" s="440" t="s">
        <v>2154</v>
      </c>
      <c r="S1010" s="222" t="s">
        <v>2155</v>
      </c>
      <c r="T1010" s="168"/>
    </row>
    <row r="1011" spans="1:20" ht="24.95" customHeight="1">
      <c r="A1011" s="155" t="s">
        <v>3305</v>
      </c>
      <c r="B1011" s="435" t="s">
        <v>3306</v>
      </c>
      <c r="C1011" s="435" t="s">
        <v>3307</v>
      </c>
      <c r="D1011" s="435" t="s">
        <v>888</v>
      </c>
      <c r="E1011" s="436">
        <v>1034.98</v>
      </c>
      <c r="F1011" s="168"/>
      <c r="G1011" s="168" t="s">
        <v>2513</v>
      </c>
      <c r="H1011" s="168" t="s">
        <v>33</v>
      </c>
      <c r="I1011" s="168"/>
      <c r="J1011" s="168"/>
      <c r="K1011" s="174" t="s">
        <v>3227</v>
      </c>
      <c r="L1011" s="168">
        <v>66607.623762376199</v>
      </c>
      <c r="M1011" s="150">
        <v>64301.975247524599</v>
      </c>
      <c r="N1011" s="439">
        <v>44441</v>
      </c>
      <c r="O1011" s="174" t="s">
        <v>3301</v>
      </c>
      <c r="P1011" s="240" t="s">
        <v>2153</v>
      </c>
      <c r="Q1011" s="240">
        <v>13546718283</v>
      </c>
      <c r="R1011" s="440" t="s">
        <v>2154</v>
      </c>
      <c r="S1011" s="222" t="s">
        <v>2155</v>
      </c>
      <c r="T1011" s="168"/>
    </row>
    <row r="1012" spans="1:20" ht="24.95" customHeight="1">
      <c r="A1012" s="155" t="s">
        <v>3308</v>
      </c>
      <c r="B1012" s="529" t="s">
        <v>1244</v>
      </c>
      <c r="C1012" s="530" t="s">
        <v>3309</v>
      </c>
      <c r="D1012" s="435" t="s">
        <v>131</v>
      </c>
      <c r="E1012" s="436">
        <v>10</v>
      </c>
      <c r="F1012" s="329"/>
      <c r="G1012" s="152" t="s">
        <v>32</v>
      </c>
      <c r="H1012" s="238" t="s">
        <v>33</v>
      </c>
      <c r="I1012" s="329"/>
      <c r="J1012" s="329"/>
      <c r="K1012" s="174"/>
      <c r="L1012" s="531">
        <v>110619.47</v>
      </c>
      <c r="M1012" s="154">
        <v>88495.576000000001</v>
      </c>
      <c r="N1012" s="407">
        <v>2021.9</v>
      </c>
      <c r="O1012" s="295" t="s">
        <v>3310</v>
      </c>
      <c r="P1012" s="240" t="s">
        <v>3311</v>
      </c>
      <c r="Q1012" s="240">
        <v>15525004777</v>
      </c>
      <c r="R1012" s="106" t="s">
        <v>3312</v>
      </c>
      <c r="S1012" s="125" t="s">
        <v>1736</v>
      </c>
      <c r="T1012" s="329"/>
    </row>
    <row r="1013" spans="1:20" ht="24.95" customHeight="1">
      <c r="A1013" s="155" t="s">
        <v>3313</v>
      </c>
      <c r="B1013" s="529" t="s">
        <v>3314</v>
      </c>
      <c r="C1013" s="530" t="s">
        <v>3309</v>
      </c>
      <c r="D1013" s="435" t="s">
        <v>131</v>
      </c>
      <c r="E1013" s="436">
        <v>1</v>
      </c>
      <c r="F1013" s="329"/>
      <c r="G1013" s="152" t="s">
        <v>32</v>
      </c>
      <c r="H1013" s="238" t="s">
        <v>33</v>
      </c>
      <c r="I1013" s="329"/>
      <c r="J1013" s="329"/>
      <c r="K1013" s="174"/>
      <c r="L1013" s="531">
        <v>21681.42</v>
      </c>
      <c r="M1013" s="154">
        <v>17345.135999999999</v>
      </c>
      <c r="N1013" s="407">
        <v>2021.9</v>
      </c>
      <c r="O1013" s="295" t="s">
        <v>3310</v>
      </c>
      <c r="P1013" s="240" t="s">
        <v>3311</v>
      </c>
      <c r="Q1013" s="240">
        <v>15525004777</v>
      </c>
      <c r="R1013" s="106" t="s">
        <v>3312</v>
      </c>
      <c r="S1013" s="125" t="s">
        <v>1736</v>
      </c>
      <c r="T1013" s="329"/>
    </row>
    <row r="1014" spans="1:20" ht="24.95" customHeight="1">
      <c r="A1014" s="413">
        <v>3</v>
      </c>
      <c r="B1014" s="147" t="s">
        <v>1362</v>
      </c>
      <c r="C1014" s="147"/>
      <c r="D1014" s="147"/>
      <c r="E1014" s="147"/>
      <c r="F1014" s="147"/>
      <c r="G1014" s="147"/>
      <c r="H1014" s="147"/>
      <c r="I1014" s="147"/>
      <c r="J1014" s="147"/>
      <c r="K1014" s="147"/>
      <c r="L1014" s="532"/>
      <c r="M1014" s="147"/>
      <c r="N1014" s="147"/>
      <c r="O1014" s="147"/>
      <c r="P1014" s="147"/>
      <c r="Q1014" s="147"/>
      <c r="R1014" s="147"/>
      <c r="S1014" s="147"/>
      <c r="T1014" s="329"/>
    </row>
    <row r="1015" spans="1:20" ht="24.95" customHeight="1">
      <c r="A1015" s="155" t="s">
        <v>2286</v>
      </c>
      <c r="B1015" s="249" t="s">
        <v>1367</v>
      </c>
      <c r="C1015" s="533" t="s">
        <v>3315</v>
      </c>
      <c r="D1015" s="249" t="s">
        <v>1193</v>
      </c>
      <c r="E1015" s="249">
        <v>1</v>
      </c>
      <c r="F1015" s="249">
        <v>155.36000000000001</v>
      </c>
      <c r="G1015" s="249" t="s">
        <v>32</v>
      </c>
      <c r="H1015" s="249" t="s">
        <v>33</v>
      </c>
      <c r="I1015" s="249"/>
      <c r="J1015" s="249"/>
      <c r="K1015" s="534"/>
      <c r="L1015" s="249">
        <v>42325.8</v>
      </c>
      <c r="M1015" s="249">
        <v>12697.74</v>
      </c>
      <c r="N1015" s="249">
        <v>2019.3</v>
      </c>
      <c r="O1015" s="534" t="s">
        <v>3316</v>
      </c>
      <c r="P1015" s="249" t="s">
        <v>2207</v>
      </c>
      <c r="Q1015" s="251">
        <v>15834149031</v>
      </c>
      <c r="R1015" s="535" t="s">
        <v>2208</v>
      </c>
      <c r="S1015" s="125" t="s">
        <v>1736</v>
      </c>
      <c r="T1015" s="329"/>
    </row>
    <row r="1016" spans="1:20" ht="24.95" customHeight="1">
      <c r="A1016" s="155" t="s">
        <v>2288</v>
      </c>
      <c r="B1016" s="251" t="s">
        <v>3317</v>
      </c>
      <c r="C1016" s="249"/>
      <c r="D1016" s="251" t="s">
        <v>888</v>
      </c>
      <c r="E1016" s="536">
        <v>24.5</v>
      </c>
      <c r="F1016" s="147"/>
      <c r="G1016" s="102" t="s">
        <v>32</v>
      </c>
      <c r="H1016" s="105" t="s">
        <v>33</v>
      </c>
      <c r="I1016" s="147"/>
      <c r="J1016" s="147"/>
      <c r="K1016" s="1862" t="s">
        <v>3062</v>
      </c>
      <c r="L1016" s="263">
        <v>5195.6899999999996</v>
      </c>
      <c r="M1016" s="154">
        <v>0</v>
      </c>
      <c r="N1016" s="251">
        <v>2018.9</v>
      </c>
      <c r="O1016" s="102" t="s">
        <v>2236</v>
      </c>
      <c r="P1016" s="123" t="s">
        <v>2237</v>
      </c>
      <c r="Q1016" s="102">
        <v>13934221581</v>
      </c>
      <c r="R1016" s="140" t="s">
        <v>2238</v>
      </c>
      <c r="S1016" s="125" t="s">
        <v>1736</v>
      </c>
      <c r="T1016" s="329"/>
    </row>
    <row r="1017" spans="1:20" ht="24.95" customHeight="1">
      <c r="A1017" s="155" t="s">
        <v>2290</v>
      </c>
      <c r="B1017" s="251" t="s">
        <v>3318</v>
      </c>
      <c r="C1017" s="249"/>
      <c r="D1017" s="251" t="s">
        <v>888</v>
      </c>
      <c r="E1017" s="251">
        <v>19.52</v>
      </c>
      <c r="F1017" s="147"/>
      <c r="G1017" s="102" t="s">
        <v>32</v>
      </c>
      <c r="H1017" s="105" t="s">
        <v>33</v>
      </c>
      <c r="I1017" s="147"/>
      <c r="J1017" s="147"/>
      <c r="K1017" s="1863"/>
      <c r="L1017" s="263">
        <v>3752.55</v>
      </c>
      <c r="M1017" s="154">
        <v>0</v>
      </c>
      <c r="N1017" s="251">
        <v>2018.9</v>
      </c>
      <c r="O1017" s="102" t="s">
        <v>2236</v>
      </c>
      <c r="P1017" s="123" t="s">
        <v>2237</v>
      </c>
      <c r="Q1017" s="102">
        <v>13934221581</v>
      </c>
      <c r="R1017" s="140" t="s">
        <v>2238</v>
      </c>
      <c r="S1017" s="125" t="s">
        <v>1736</v>
      </c>
      <c r="T1017" s="329"/>
    </row>
    <row r="1018" spans="1:20" ht="24.95" customHeight="1">
      <c r="A1018" s="155" t="s">
        <v>2291</v>
      </c>
      <c r="B1018" s="249" t="s">
        <v>1367</v>
      </c>
      <c r="C1018" s="249"/>
      <c r="D1018" s="251" t="s">
        <v>888</v>
      </c>
      <c r="E1018" s="263">
        <v>296.37</v>
      </c>
      <c r="F1018" s="147"/>
      <c r="G1018" s="102" t="s">
        <v>32</v>
      </c>
      <c r="H1018" s="105" t="s">
        <v>33</v>
      </c>
      <c r="I1018" s="147"/>
      <c r="J1018" s="147"/>
      <c r="K1018" s="1863"/>
      <c r="L1018" s="263">
        <v>83801.17</v>
      </c>
      <c r="M1018" s="154">
        <v>0</v>
      </c>
      <c r="N1018" s="251">
        <v>2018.9</v>
      </c>
      <c r="O1018" s="102" t="s">
        <v>2236</v>
      </c>
      <c r="P1018" s="123" t="s">
        <v>2237</v>
      </c>
      <c r="Q1018" s="102">
        <v>13934221581</v>
      </c>
      <c r="R1018" s="140" t="s">
        <v>2238</v>
      </c>
      <c r="S1018" s="125" t="s">
        <v>1736</v>
      </c>
      <c r="T1018" s="329"/>
    </row>
    <row r="1019" spans="1:20" ht="24.95" customHeight="1">
      <c r="A1019" s="155" t="s">
        <v>2292</v>
      </c>
      <c r="B1019" s="249" t="s">
        <v>1367</v>
      </c>
      <c r="C1019" s="249"/>
      <c r="D1019" s="251" t="s">
        <v>888</v>
      </c>
      <c r="E1019" s="263">
        <v>1596.45</v>
      </c>
      <c r="F1019" s="147"/>
      <c r="G1019" s="102" t="s">
        <v>32</v>
      </c>
      <c r="H1019" s="105" t="s">
        <v>33</v>
      </c>
      <c r="I1019" s="147"/>
      <c r="J1019" s="147"/>
      <c r="K1019" s="1864"/>
      <c r="L1019" s="263">
        <v>451408.32007218001</v>
      </c>
      <c r="M1019" s="154">
        <v>0</v>
      </c>
      <c r="N1019" s="251">
        <v>2018.12</v>
      </c>
      <c r="O1019" s="102" t="s">
        <v>2236</v>
      </c>
      <c r="P1019" s="123" t="s">
        <v>2237</v>
      </c>
      <c r="Q1019" s="102">
        <v>13934221581</v>
      </c>
      <c r="R1019" s="140" t="s">
        <v>2238</v>
      </c>
      <c r="S1019" s="125" t="s">
        <v>1736</v>
      </c>
      <c r="T1019" s="329"/>
    </row>
    <row r="1020" spans="1:20" ht="24.95" customHeight="1">
      <c r="A1020" s="155" t="s">
        <v>2293</v>
      </c>
      <c r="B1020" s="249" t="s">
        <v>3319</v>
      </c>
      <c r="C1020" s="249" t="s">
        <v>3320</v>
      </c>
      <c r="D1020" s="251" t="s">
        <v>131</v>
      </c>
      <c r="E1020" s="537">
        <v>1</v>
      </c>
      <c r="F1020" s="147"/>
      <c r="G1020" s="102" t="s">
        <v>32</v>
      </c>
      <c r="H1020" s="105" t="s">
        <v>33</v>
      </c>
      <c r="I1020" s="147"/>
      <c r="J1020" s="147"/>
      <c r="K1020" s="140" t="s">
        <v>3321</v>
      </c>
      <c r="L1020" s="263">
        <v>13274.34</v>
      </c>
      <c r="M1020" s="154">
        <v>0</v>
      </c>
      <c r="N1020" s="251">
        <v>2019.6</v>
      </c>
      <c r="O1020" s="102" t="s">
        <v>2236</v>
      </c>
      <c r="P1020" s="123" t="s">
        <v>2237</v>
      </c>
      <c r="Q1020" s="102">
        <v>13934221581</v>
      </c>
      <c r="R1020" s="140" t="s">
        <v>2238</v>
      </c>
      <c r="S1020" s="125" t="s">
        <v>1736</v>
      </c>
      <c r="T1020" s="329"/>
    </row>
    <row r="1021" spans="1:20" ht="24.95" customHeight="1">
      <c r="A1021" s="155" t="s">
        <v>2294</v>
      </c>
      <c r="B1021" s="254" t="s">
        <v>3322</v>
      </c>
      <c r="C1021" s="254"/>
      <c r="D1021" s="255" t="s">
        <v>888</v>
      </c>
      <c r="E1021" s="538">
        <v>1410.8</v>
      </c>
      <c r="F1021" s="329"/>
      <c r="G1021" s="102" t="s">
        <v>32</v>
      </c>
      <c r="H1021" s="105" t="s">
        <v>33</v>
      </c>
      <c r="I1021" s="329"/>
      <c r="J1021" s="329"/>
      <c r="K1021" s="279" t="s">
        <v>3323</v>
      </c>
      <c r="L1021" s="538">
        <v>237214.15</v>
      </c>
      <c r="M1021" s="154">
        <v>0</v>
      </c>
      <c r="N1021" s="255">
        <v>2020.05</v>
      </c>
      <c r="O1021" s="102" t="s">
        <v>2236</v>
      </c>
      <c r="P1021" s="123" t="s">
        <v>2237</v>
      </c>
      <c r="Q1021" s="102">
        <v>13934221581</v>
      </c>
      <c r="R1021" s="140" t="s">
        <v>2238</v>
      </c>
      <c r="S1021" s="125" t="s">
        <v>1736</v>
      </c>
      <c r="T1021" s="329"/>
    </row>
    <row r="1022" spans="1:20" ht="24.95" customHeight="1">
      <c r="A1022" s="155" t="s">
        <v>2295</v>
      </c>
      <c r="B1022" s="222" t="s">
        <v>3291</v>
      </c>
      <c r="C1022" s="222" t="s">
        <v>3324</v>
      </c>
      <c r="D1022" s="222" t="s">
        <v>888</v>
      </c>
      <c r="E1022" s="539">
        <v>1022.01</v>
      </c>
      <c r="F1022" s="540"/>
      <c r="G1022" s="102" t="s">
        <v>32</v>
      </c>
      <c r="H1022" s="105" t="s">
        <v>33</v>
      </c>
      <c r="I1022" s="329"/>
      <c r="J1022" s="329"/>
      <c r="K1022" s="541" t="s">
        <v>3062</v>
      </c>
      <c r="L1022" s="154">
        <v>223395.09597411999</v>
      </c>
      <c r="M1022" s="154">
        <v>0</v>
      </c>
      <c r="N1022" s="542">
        <v>2020.9</v>
      </c>
      <c r="O1022" s="102" t="s">
        <v>2236</v>
      </c>
      <c r="P1022" s="123" t="s">
        <v>2237</v>
      </c>
      <c r="Q1022" s="102">
        <v>13934221581</v>
      </c>
      <c r="R1022" s="140" t="s">
        <v>2238</v>
      </c>
      <c r="S1022" s="125" t="s">
        <v>1736</v>
      </c>
      <c r="T1022" s="329"/>
    </row>
    <row r="1023" spans="1:20" ht="24.95" customHeight="1">
      <c r="A1023" s="155" t="s">
        <v>2297</v>
      </c>
      <c r="B1023" s="222" t="s">
        <v>3325</v>
      </c>
      <c r="C1023" s="222" t="s">
        <v>3326</v>
      </c>
      <c r="D1023" s="222" t="s">
        <v>888</v>
      </c>
      <c r="E1023" s="539">
        <v>474.88</v>
      </c>
      <c r="F1023" s="540"/>
      <c r="G1023" s="102" t="s">
        <v>32</v>
      </c>
      <c r="H1023" s="105" t="s">
        <v>33</v>
      </c>
      <c r="I1023" s="329"/>
      <c r="J1023" s="329"/>
      <c r="K1023" s="541"/>
      <c r="L1023" s="154">
        <v>104641.699114624</v>
      </c>
      <c r="M1023" s="154">
        <v>0</v>
      </c>
      <c r="N1023" s="542">
        <v>2020.9</v>
      </c>
      <c r="O1023" s="102" t="s">
        <v>2236</v>
      </c>
      <c r="P1023" s="123" t="s">
        <v>2237</v>
      </c>
      <c r="Q1023" s="102">
        <v>13934221581</v>
      </c>
      <c r="R1023" s="140" t="s">
        <v>2238</v>
      </c>
      <c r="S1023" s="125" t="s">
        <v>1736</v>
      </c>
      <c r="T1023" s="329"/>
    </row>
    <row r="1024" spans="1:20" ht="24.95" customHeight="1">
      <c r="A1024" s="155" t="s">
        <v>2300</v>
      </c>
      <c r="B1024" s="222" t="s">
        <v>1367</v>
      </c>
      <c r="C1024" s="222" t="s">
        <v>3327</v>
      </c>
      <c r="D1024" s="222" t="s">
        <v>888</v>
      </c>
      <c r="E1024" s="539">
        <v>1072.54</v>
      </c>
      <c r="F1024" s="540"/>
      <c r="G1024" s="102" t="s">
        <v>32</v>
      </c>
      <c r="H1024" s="105" t="s">
        <v>33</v>
      </c>
      <c r="I1024" s="329"/>
      <c r="J1024" s="329"/>
      <c r="K1024" s="541"/>
      <c r="L1024" s="154">
        <v>337897.56824686902</v>
      </c>
      <c r="M1024" s="154">
        <v>0</v>
      </c>
      <c r="N1024" s="542">
        <v>2020.9</v>
      </c>
      <c r="O1024" s="102" t="s">
        <v>2236</v>
      </c>
      <c r="P1024" s="123" t="s">
        <v>2237</v>
      </c>
      <c r="Q1024" s="102">
        <v>13934221581</v>
      </c>
      <c r="R1024" s="140" t="s">
        <v>2238</v>
      </c>
      <c r="S1024" s="125" t="s">
        <v>1736</v>
      </c>
      <c r="T1024" s="329"/>
    </row>
    <row r="1025" spans="1:20" ht="24.95" customHeight="1">
      <c r="A1025" s="155" t="s">
        <v>2306</v>
      </c>
      <c r="B1025" s="543" t="s">
        <v>3124</v>
      </c>
      <c r="C1025" s="543" t="s">
        <v>3328</v>
      </c>
      <c r="D1025" s="544" t="s">
        <v>888</v>
      </c>
      <c r="E1025" s="545">
        <v>200</v>
      </c>
      <c r="F1025" s="209"/>
      <c r="G1025" s="197" t="s">
        <v>32</v>
      </c>
      <c r="H1025" s="229" t="s">
        <v>33</v>
      </c>
      <c r="I1025" s="209"/>
      <c r="J1025" s="209"/>
      <c r="K1025" s="1865" t="s">
        <v>3323</v>
      </c>
      <c r="L1025" s="154">
        <v>27300.884955599999</v>
      </c>
      <c r="M1025" s="154">
        <v>0</v>
      </c>
      <c r="N1025" s="546">
        <v>2020.1</v>
      </c>
      <c r="O1025" s="102" t="s">
        <v>2236</v>
      </c>
      <c r="P1025" s="123" t="s">
        <v>2237</v>
      </c>
      <c r="Q1025" s="102">
        <v>13934221581</v>
      </c>
      <c r="R1025" s="140" t="s">
        <v>2238</v>
      </c>
      <c r="S1025" s="125" t="s">
        <v>1736</v>
      </c>
      <c r="T1025" s="329"/>
    </row>
    <row r="1026" spans="1:20" ht="24.95" customHeight="1">
      <c r="A1026" s="155" t="s">
        <v>2310</v>
      </c>
      <c r="B1026" s="543" t="s">
        <v>3124</v>
      </c>
      <c r="C1026" s="543" t="s">
        <v>3329</v>
      </c>
      <c r="D1026" s="544" t="s">
        <v>888</v>
      </c>
      <c r="E1026" s="545">
        <v>22.5</v>
      </c>
      <c r="F1026" s="209"/>
      <c r="G1026" s="197" t="s">
        <v>32</v>
      </c>
      <c r="H1026" s="229" t="s">
        <v>33</v>
      </c>
      <c r="I1026" s="209"/>
      <c r="J1026" s="209"/>
      <c r="K1026" s="1865"/>
      <c r="L1026" s="154">
        <v>3071.3451327224998</v>
      </c>
      <c r="M1026" s="154">
        <v>0</v>
      </c>
      <c r="N1026" s="546">
        <v>2020.1</v>
      </c>
      <c r="O1026" s="102" t="s">
        <v>2236</v>
      </c>
      <c r="P1026" s="123" t="s">
        <v>2237</v>
      </c>
      <c r="Q1026" s="102">
        <v>13934221581</v>
      </c>
      <c r="R1026" s="140" t="s">
        <v>2238</v>
      </c>
      <c r="S1026" s="125" t="s">
        <v>1736</v>
      </c>
      <c r="T1026" s="329"/>
    </row>
    <row r="1027" spans="1:20" ht="24.95" customHeight="1">
      <c r="A1027" s="155" t="s">
        <v>2312</v>
      </c>
      <c r="B1027" s="543" t="s">
        <v>3124</v>
      </c>
      <c r="C1027" s="543" t="s">
        <v>3330</v>
      </c>
      <c r="D1027" s="544" t="s">
        <v>888</v>
      </c>
      <c r="E1027" s="545">
        <v>49</v>
      </c>
      <c r="F1027" s="209"/>
      <c r="G1027" s="197" t="s">
        <v>32</v>
      </c>
      <c r="H1027" s="229" t="s">
        <v>33</v>
      </c>
      <c r="I1027" s="209"/>
      <c r="J1027" s="209"/>
      <c r="K1027" s="1865"/>
      <c r="L1027" s="154">
        <v>6688.716814122</v>
      </c>
      <c r="M1027" s="154">
        <v>0</v>
      </c>
      <c r="N1027" s="546">
        <v>2020.1</v>
      </c>
      <c r="O1027" s="102" t="s">
        <v>2236</v>
      </c>
      <c r="P1027" s="123" t="s">
        <v>2237</v>
      </c>
      <c r="Q1027" s="102">
        <v>13934221581</v>
      </c>
      <c r="R1027" s="140" t="s">
        <v>2238</v>
      </c>
      <c r="S1027" s="125" t="s">
        <v>1736</v>
      </c>
      <c r="T1027" s="329"/>
    </row>
    <row r="1028" spans="1:20" ht="24.95" customHeight="1">
      <c r="A1028" s="155" t="s">
        <v>2314</v>
      </c>
      <c r="B1028" s="543" t="s">
        <v>3331</v>
      </c>
      <c r="C1028" s="543" t="s">
        <v>196</v>
      </c>
      <c r="D1028" s="544" t="s">
        <v>2724</v>
      </c>
      <c r="E1028" s="545">
        <v>30</v>
      </c>
      <c r="F1028" s="209"/>
      <c r="G1028" s="197" t="s">
        <v>32</v>
      </c>
      <c r="H1028" s="229" t="s">
        <v>33</v>
      </c>
      <c r="I1028" s="209"/>
      <c r="J1028" s="209"/>
      <c r="K1028" s="1865"/>
      <c r="L1028" s="154">
        <v>3305.3097345000001</v>
      </c>
      <c r="M1028" s="154">
        <v>0</v>
      </c>
      <c r="N1028" s="546">
        <v>2020.1</v>
      </c>
      <c r="O1028" s="102" t="s">
        <v>2236</v>
      </c>
      <c r="P1028" s="123" t="s">
        <v>2237</v>
      </c>
      <c r="Q1028" s="102">
        <v>13934221581</v>
      </c>
      <c r="R1028" s="140" t="s">
        <v>2238</v>
      </c>
      <c r="S1028" s="125" t="s">
        <v>1736</v>
      </c>
      <c r="T1028" s="329"/>
    </row>
    <row r="1029" spans="1:20" ht="24.95" customHeight="1">
      <c r="A1029" s="155" t="s">
        <v>2315</v>
      </c>
      <c r="B1029" s="543" t="s">
        <v>3331</v>
      </c>
      <c r="C1029" s="543" t="s">
        <v>251</v>
      </c>
      <c r="D1029" s="544" t="s">
        <v>2724</v>
      </c>
      <c r="E1029" s="545">
        <v>690</v>
      </c>
      <c r="F1029" s="209"/>
      <c r="G1029" s="197" t="s">
        <v>32</v>
      </c>
      <c r="H1029" s="229" t="s">
        <v>33</v>
      </c>
      <c r="I1029" s="209"/>
      <c r="J1029" s="209"/>
      <c r="K1029" s="1866"/>
      <c r="L1029" s="154">
        <v>83349.557521440001</v>
      </c>
      <c r="M1029" s="154">
        <v>0</v>
      </c>
      <c r="N1029" s="546">
        <v>2020.1</v>
      </c>
      <c r="O1029" s="102" t="s">
        <v>2236</v>
      </c>
      <c r="P1029" s="123" t="s">
        <v>2237</v>
      </c>
      <c r="Q1029" s="102">
        <v>13934221581</v>
      </c>
      <c r="R1029" s="140" t="s">
        <v>2238</v>
      </c>
      <c r="S1029" s="125" t="s">
        <v>1736</v>
      </c>
      <c r="T1029" s="329"/>
    </row>
    <row r="1030" spans="1:20" ht="24.95" customHeight="1">
      <c r="A1030" s="155" t="s">
        <v>2317</v>
      </c>
      <c r="B1030" s="147" t="s">
        <v>1367</v>
      </c>
      <c r="C1030" s="147" t="s">
        <v>3327</v>
      </c>
      <c r="D1030" s="147" t="s">
        <v>3175</v>
      </c>
      <c r="E1030" s="147">
        <v>3695.5859999999998</v>
      </c>
      <c r="F1030" s="147"/>
      <c r="G1030" s="147" t="s">
        <v>32</v>
      </c>
      <c r="H1030" s="147" t="s">
        <v>33</v>
      </c>
      <c r="I1030" s="140"/>
      <c r="J1030" s="140" t="s">
        <v>2695</v>
      </c>
      <c r="K1030" s="140" t="s">
        <v>2695</v>
      </c>
      <c r="L1030" s="547">
        <v>1053242.01</v>
      </c>
      <c r="M1030" s="547">
        <v>315972.603</v>
      </c>
      <c r="N1030" s="147">
        <v>2017.8</v>
      </c>
      <c r="O1030" s="140" t="s">
        <v>2693</v>
      </c>
      <c r="P1030" s="147" t="s">
        <v>2660</v>
      </c>
      <c r="Q1030" s="147">
        <v>17809251055</v>
      </c>
      <c r="R1030" s="324" t="s">
        <v>2661</v>
      </c>
      <c r="S1030" s="125" t="s">
        <v>1736</v>
      </c>
      <c r="T1030" s="329"/>
    </row>
    <row r="1031" spans="1:20" ht="24.95" customHeight="1">
      <c r="A1031" s="155" t="s">
        <v>2319</v>
      </c>
      <c r="B1031" s="147" t="s">
        <v>1367</v>
      </c>
      <c r="C1031" s="147" t="s">
        <v>3076</v>
      </c>
      <c r="D1031" s="147" t="s">
        <v>3175</v>
      </c>
      <c r="E1031" s="147">
        <v>273.61399999999998</v>
      </c>
      <c r="F1031" s="147"/>
      <c r="G1031" s="147" t="s">
        <v>32</v>
      </c>
      <c r="H1031" s="147" t="s">
        <v>33</v>
      </c>
      <c r="I1031" s="140"/>
      <c r="J1031" s="140" t="s">
        <v>2695</v>
      </c>
      <c r="K1031" s="140" t="s">
        <v>2695</v>
      </c>
      <c r="L1031" s="547">
        <v>83452.27</v>
      </c>
      <c r="M1031" s="547">
        <v>25035.681</v>
      </c>
      <c r="N1031" s="147">
        <v>2017.8</v>
      </c>
      <c r="O1031" s="140" t="s">
        <v>2693</v>
      </c>
      <c r="P1031" s="147" t="s">
        <v>2660</v>
      </c>
      <c r="Q1031" s="147">
        <v>17809251055</v>
      </c>
      <c r="R1031" s="324" t="s">
        <v>2661</v>
      </c>
      <c r="S1031" s="125" t="s">
        <v>1736</v>
      </c>
      <c r="T1031" s="329"/>
    </row>
    <row r="1032" spans="1:20" ht="24.95" customHeight="1">
      <c r="A1032" s="155" t="s">
        <v>2321</v>
      </c>
      <c r="B1032" s="147" t="s">
        <v>1367</v>
      </c>
      <c r="C1032" s="147"/>
      <c r="D1032" s="147" t="s">
        <v>3175</v>
      </c>
      <c r="E1032" s="147">
        <v>28</v>
      </c>
      <c r="F1032" s="147"/>
      <c r="G1032" s="147" t="s">
        <v>32</v>
      </c>
      <c r="H1032" s="147" t="s">
        <v>33</v>
      </c>
      <c r="I1032" s="140"/>
      <c r="J1032" s="140" t="s">
        <v>2695</v>
      </c>
      <c r="K1032" s="140" t="s">
        <v>2695</v>
      </c>
      <c r="L1032" s="547">
        <v>7000</v>
      </c>
      <c r="M1032" s="547">
        <v>2100</v>
      </c>
      <c r="N1032" s="147">
        <v>2017.8</v>
      </c>
      <c r="O1032" s="140" t="s">
        <v>2693</v>
      </c>
      <c r="P1032" s="147" t="s">
        <v>2660</v>
      </c>
      <c r="Q1032" s="147">
        <v>17809251055</v>
      </c>
      <c r="R1032" s="324" t="s">
        <v>2661</v>
      </c>
      <c r="S1032" s="125" t="s">
        <v>1736</v>
      </c>
      <c r="T1032" s="329"/>
    </row>
    <row r="1033" spans="1:20" ht="24.95" customHeight="1">
      <c r="A1033" s="155" t="s">
        <v>2327</v>
      </c>
      <c r="B1033" s="147" t="s">
        <v>1367</v>
      </c>
      <c r="C1033" s="147"/>
      <c r="D1033" s="147" t="s">
        <v>888</v>
      </c>
      <c r="E1033" s="147">
        <v>149</v>
      </c>
      <c r="F1033" s="147"/>
      <c r="G1033" s="147" t="s">
        <v>32</v>
      </c>
      <c r="H1033" s="147" t="s">
        <v>33</v>
      </c>
      <c r="I1033" s="140"/>
      <c r="J1033" s="140" t="s">
        <v>2695</v>
      </c>
      <c r="K1033" s="140" t="s">
        <v>2695</v>
      </c>
      <c r="L1033" s="547">
        <v>50660</v>
      </c>
      <c r="M1033" s="547">
        <v>15197.9999999999</v>
      </c>
      <c r="N1033" s="147">
        <v>2017.9</v>
      </c>
      <c r="O1033" s="140" t="s">
        <v>2693</v>
      </c>
      <c r="P1033" s="147" t="s">
        <v>2660</v>
      </c>
      <c r="Q1033" s="147">
        <v>17809251055</v>
      </c>
      <c r="R1033" s="324" t="s">
        <v>2661</v>
      </c>
      <c r="S1033" s="125" t="s">
        <v>1736</v>
      </c>
      <c r="T1033" s="329"/>
    </row>
    <row r="1034" spans="1:20" ht="24.95" customHeight="1">
      <c r="A1034" s="155" t="s">
        <v>2329</v>
      </c>
      <c r="B1034" s="147" t="s">
        <v>1367</v>
      </c>
      <c r="C1034" s="147" t="s">
        <v>3332</v>
      </c>
      <c r="D1034" s="147" t="s">
        <v>888</v>
      </c>
      <c r="E1034" s="147">
        <v>16.8</v>
      </c>
      <c r="F1034" s="147"/>
      <c r="G1034" s="147" t="s">
        <v>32</v>
      </c>
      <c r="H1034" s="147" t="s">
        <v>33</v>
      </c>
      <c r="I1034" s="140"/>
      <c r="J1034" s="140" t="s">
        <v>2695</v>
      </c>
      <c r="K1034" s="140" t="s">
        <v>2695</v>
      </c>
      <c r="L1034" s="547">
        <v>2520</v>
      </c>
      <c r="M1034" s="547">
        <v>756</v>
      </c>
      <c r="N1034" s="147">
        <v>2017.8</v>
      </c>
      <c r="O1034" s="140" t="s">
        <v>2693</v>
      </c>
      <c r="P1034" s="147" t="s">
        <v>2660</v>
      </c>
      <c r="Q1034" s="147">
        <v>17809251055</v>
      </c>
      <c r="R1034" s="147" t="s">
        <v>2661</v>
      </c>
      <c r="S1034" s="125" t="s">
        <v>1736</v>
      </c>
      <c r="T1034" s="329"/>
    </row>
    <row r="1035" spans="1:20" ht="24.95" customHeight="1">
      <c r="A1035" s="155" t="s">
        <v>2331</v>
      </c>
      <c r="B1035" s="147" t="s">
        <v>1367</v>
      </c>
      <c r="C1035" s="147"/>
      <c r="D1035" s="147" t="s">
        <v>3175</v>
      </c>
      <c r="E1035" s="147">
        <v>5273.5</v>
      </c>
      <c r="F1035" s="147"/>
      <c r="G1035" s="147" t="s">
        <v>32</v>
      </c>
      <c r="H1035" s="147" t="s">
        <v>33</v>
      </c>
      <c r="I1035" s="140"/>
      <c r="J1035" s="140" t="s">
        <v>2695</v>
      </c>
      <c r="K1035" s="140" t="s">
        <v>2695</v>
      </c>
      <c r="L1035" s="547">
        <v>791025</v>
      </c>
      <c r="M1035" s="547">
        <v>237307.5</v>
      </c>
      <c r="N1035" s="147">
        <v>2017.8</v>
      </c>
      <c r="O1035" s="140" t="s">
        <v>2693</v>
      </c>
      <c r="P1035" s="147" t="s">
        <v>2660</v>
      </c>
      <c r="Q1035" s="147">
        <v>17809251055</v>
      </c>
      <c r="R1035" s="147" t="s">
        <v>2661</v>
      </c>
      <c r="S1035" s="125" t="s">
        <v>1736</v>
      </c>
      <c r="T1035" s="329"/>
    </row>
    <row r="1036" spans="1:20" ht="24.95" customHeight="1">
      <c r="A1036" s="155" t="s">
        <v>2333</v>
      </c>
      <c r="B1036" s="147" t="s">
        <v>1479</v>
      </c>
      <c r="C1036" s="147"/>
      <c r="D1036" s="147" t="s">
        <v>3175</v>
      </c>
      <c r="E1036" s="147">
        <v>2642</v>
      </c>
      <c r="F1036" s="147"/>
      <c r="G1036" s="147" t="s">
        <v>32</v>
      </c>
      <c r="H1036" s="147" t="s">
        <v>33</v>
      </c>
      <c r="I1036" s="140"/>
      <c r="J1036" s="140" t="s">
        <v>2695</v>
      </c>
      <c r="K1036" s="140" t="s">
        <v>2695</v>
      </c>
      <c r="L1036" s="547">
        <v>184940</v>
      </c>
      <c r="M1036" s="547">
        <v>55482</v>
      </c>
      <c r="N1036" s="147">
        <v>2017.8</v>
      </c>
      <c r="O1036" s="140" t="s">
        <v>2693</v>
      </c>
      <c r="P1036" s="147" t="s">
        <v>2660</v>
      </c>
      <c r="Q1036" s="147">
        <v>17809251055</v>
      </c>
      <c r="R1036" s="147" t="s">
        <v>2661</v>
      </c>
      <c r="S1036" s="125" t="s">
        <v>1736</v>
      </c>
      <c r="T1036" s="329"/>
    </row>
    <row r="1037" spans="1:20" ht="24.95" customHeight="1">
      <c r="A1037" s="155" t="s">
        <v>2336</v>
      </c>
      <c r="B1037" s="147" t="s">
        <v>3333</v>
      </c>
      <c r="C1037" s="147" t="s">
        <v>179</v>
      </c>
      <c r="D1037" s="147" t="s">
        <v>888</v>
      </c>
      <c r="E1037" s="147">
        <v>696</v>
      </c>
      <c r="F1037" s="147"/>
      <c r="G1037" s="147" t="s">
        <v>32</v>
      </c>
      <c r="H1037" s="147" t="s">
        <v>33</v>
      </c>
      <c r="I1037" s="140"/>
      <c r="J1037" s="140" t="s">
        <v>2695</v>
      </c>
      <c r="K1037" s="140" t="s">
        <v>2695</v>
      </c>
      <c r="L1037" s="547">
        <v>69600</v>
      </c>
      <c r="M1037" s="547">
        <v>20880</v>
      </c>
      <c r="N1037" s="147">
        <v>2017.9</v>
      </c>
      <c r="O1037" s="140" t="s">
        <v>2693</v>
      </c>
      <c r="P1037" s="147" t="s">
        <v>2660</v>
      </c>
      <c r="Q1037" s="147">
        <v>17809251055</v>
      </c>
      <c r="R1037" s="147" t="s">
        <v>2661</v>
      </c>
      <c r="S1037" s="125" t="s">
        <v>1736</v>
      </c>
      <c r="T1037" s="329"/>
    </row>
    <row r="1038" spans="1:20" ht="24.95" customHeight="1">
      <c r="A1038" s="155" t="s">
        <v>2338</v>
      </c>
      <c r="B1038" s="168" t="s">
        <v>3334</v>
      </c>
      <c r="C1038" s="168"/>
      <c r="D1038" s="168" t="s">
        <v>3061</v>
      </c>
      <c r="E1038" s="168"/>
      <c r="F1038" s="168"/>
      <c r="G1038" s="147" t="s">
        <v>32</v>
      </c>
      <c r="H1038" s="147" t="s">
        <v>33</v>
      </c>
      <c r="I1038" s="168"/>
      <c r="J1038" s="168"/>
      <c r="K1038" s="168"/>
      <c r="L1038" s="457">
        <v>1099265.24</v>
      </c>
      <c r="M1038" s="457">
        <v>632916</v>
      </c>
      <c r="N1038" s="457" t="s">
        <v>3335</v>
      </c>
      <c r="O1038" s="287" t="s">
        <v>3336</v>
      </c>
      <c r="P1038" s="168" t="s">
        <v>2304</v>
      </c>
      <c r="Q1038" s="168">
        <v>15525052220</v>
      </c>
      <c r="R1038" s="168" t="s">
        <v>2305</v>
      </c>
      <c r="S1038" s="168" t="s">
        <v>1736</v>
      </c>
      <c r="T1038" s="168" t="s">
        <v>3337</v>
      </c>
    </row>
    <row r="1039" spans="1:20" ht="24.95" customHeight="1">
      <c r="A1039" s="155" t="s">
        <v>2341</v>
      </c>
      <c r="B1039" s="168" t="s">
        <v>3331</v>
      </c>
      <c r="C1039" s="168"/>
      <c r="D1039" s="168" t="s">
        <v>3061</v>
      </c>
      <c r="E1039" s="168"/>
      <c r="F1039" s="168"/>
      <c r="G1039" s="147" t="s">
        <v>32</v>
      </c>
      <c r="H1039" s="147" t="s">
        <v>33</v>
      </c>
      <c r="I1039" s="168"/>
      <c r="J1039" s="168"/>
      <c r="K1039" s="168"/>
      <c r="L1039" s="457">
        <v>322619.90999999997</v>
      </c>
      <c r="M1039" s="457">
        <v>192654.69</v>
      </c>
      <c r="N1039" s="457" t="s">
        <v>3338</v>
      </c>
      <c r="O1039" s="287" t="s">
        <v>3339</v>
      </c>
      <c r="P1039" s="168" t="s">
        <v>2304</v>
      </c>
      <c r="Q1039" s="168">
        <v>15525052222</v>
      </c>
      <c r="R1039" s="168" t="s">
        <v>2305</v>
      </c>
      <c r="S1039" s="168" t="s">
        <v>1736</v>
      </c>
      <c r="T1039" s="168" t="s">
        <v>3337</v>
      </c>
    </row>
    <row r="1040" spans="1:20" ht="24.95" customHeight="1">
      <c r="A1040" s="155" t="s">
        <v>2344</v>
      </c>
      <c r="B1040" s="168" t="s">
        <v>3124</v>
      </c>
      <c r="C1040" s="168"/>
      <c r="D1040" s="168" t="s">
        <v>3061</v>
      </c>
      <c r="E1040" s="168"/>
      <c r="F1040" s="168"/>
      <c r="G1040" s="147" t="s">
        <v>32</v>
      </c>
      <c r="H1040" s="147" t="s">
        <v>33</v>
      </c>
      <c r="I1040" s="168"/>
      <c r="J1040" s="168"/>
      <c r="K1040" s="168"/>
      <c r="L1040" s="457">
        <v>1474896.91</v>
      </c>
      <c r="M1040" s="457">
        <v>875066.33</v>
      </c>
      <c r="N1040" s="457" t="s">
        <v>3338</v>
      </c>
      <c r="O1040" s="168" t="s">
        <v>3340</v>
      </c>
      <c r="P1040" s="168" t="s">
        <v>2304</v>
      </c>
      <c r="Q1040" s="168">
        <v>15525052223</v>
      </c>
      <c r="R1040" s="168" t="s">
        <v>2305</v>
      </c>
      <c r="S1040" s="168" t="s">
        <v>1736</v>
      </c>
      <c r="T1040" s="168" t="s">
        <v>3337</v>
      </c>
    </row>
    <row r="1041" spans="1:20" ht="24.95" customHeight="1">
      <c r="A1041" s="155" t="s">
        <v>2347</v>
      </c>
      <c r="B1041" s="222" t="s">
        <v>1292</v>
      </c>
      <c r="C1041" s="222" t="s">
        <v>3341</v>
      </c>
      <c r="D1041" s="222" t="s">
        <v>3342</v>
      </c>
      <c r="E1041" s="294">
        <v>802.3</v>
      </c>
      <c r="F1041" s="548"/>
      <c r="G1041" s="102" t="s">
        <v>32</v>
      </c>
      <c r="H1041" s="102" t="s">
        <v>33</v>
      </c>
      <c r="I1041" s="351"/>
      <c r="J1041" s="351"/>
      <c r="K1041" s="418" t="s">
        <v>3062</v>
      </c>
      <c r="L1041" s="154">
        <v>269572.8</v>
      </c>
      <c r="M1041" s="154">
        <v>80871.839999999997</v>
      </c>
      <c r="N1041" s="255">
        <v>2020.05</v>
      </c>
      <c r="O1041" s="1834" t="s">
        <v>3343</v>
      </c>
      <c r="P1041" s="1846" t="s">
        <v>3344</v>
      </c>
      <c r="Q1041" s="1856">
        <v>18835120050</v>
      </c>
      <c r="R1041" s="1834" t="s">
        <v>3345</v>
      </c>
      <c r="S1041" s="168" t="s">
        <v>1736</v>
      </c>
      <c r="T1041" s="351"/>
    </row>
    <row r="1042" spans="1:20" ht="24.95" customHeight="1">
      <c r="A1042" s="155" t="s">
        <v>2350</v>
      </c>
      <c r="B1042" s="222" t="s">
        <v>3346</v>
      </c>
      <c r="C1042" s="222" t="s">
        <v>3347</v>
      </c>
      <c r="D1042" s="222" t="s">
        <v>3342</v>
      </c>
      <c r="E1042" s="539">
        <v>269.2</v>
      </c>
      <c r="F1042" s="548"/>
      <c r="G1042" s="102" t="s">
        <v>32</v>
      </c>
      <c r="H1042" s="102" t="s">
        <v>33</v>
      </c>
      <c r="I1042" s="351"/>
      <c r="J1042" s="351"/>
      <c r="K1042" s="418" t="s">
        <v>3348</v>
      </c>
      <c r="L1042" s="154">
        <v>61377.599999999999</v>
      </c>
      <c r="M1042" s="154">
        <v>18413.28</v>
      </c>
      <c r="N1042" s="542">
        <v>2020.05</v>
      </c>
      <c r="O1042" s="1835"/>
      <c r="P1042" s="1855"/>
      <c r="Q1042" s="1857"/>
      <c r="R1042" s="1835"/>
      <c r="S1042" s="168" t="s">
        <v>1736</v>
      </c>
      <c r="T1042" s="351"/>
    </row>
    <row r="1043" spans="1:20" ht="24.95" customHeight="1">
      <c r="A1043" s="155" t="s">
        <v>2352</v>
      </c>
      <c r="B1043" s="313" t="s">
        <v>1367</v>
      </c>
      <c r="C1043" s="313" t="s">
        <v>3349</v>
      </c>
      <c r="D1043" s="313" t="s">
        <v>1369</v>
      </c>
      <c r="E1043" s="313">
        <v>31.5</v>
      </c>
      <c r="F1043" s="549"/>
      <c r="G1043" s="174" t="s">
        <v>32</v>
      </c>
      <c r="H1043" s="102" t="s">
        <v>33</v>
      </c>
      <c r="I1043" s="550"/>
      <c r="J1043" s="550"/>
      <c r="K1043" s="551"/>
      <c r="L1043" s="247">
        <v>10710</v>
      </c>
      <c r="M1043" s="247">
        <v>1071</v>
      </c>
      <c r="N1043" s="314" t="s">
        <v>2195</v>
      </c>
      <c r="O1043" s="243" t="s">
        <v>3039</v>
      </c>
      <c r="P1043" s="243" t="s">
        <v>2189</v>
      </c>
      <c r="Q1043" s="243">
        <v>18903416067</v>
      </c>
      <c r="R1043" s="243" t="s">
        <v>2190</v>
      </c>
      <c r="S1043" s="168" t="s">
        <v>1736</v>
      </c>
      <c r="T1043" s="550"/>
    </row>
    <row r="1044" spans="1:20" ht="24.95" customHeight="1">
      <c r="A1044" s="155" t="s">
        <v>2354</v>
      </c>
      <c r="B1044" s="313" t="s">
        <v>1367</v>
      </c>
      <c r="C1044" s="313" t="s">
        <v>3349</v>
      </c>
      <c r="D1044" s="313" t="s">
        <v>1369</v>
      </c>
      <c r="E1044" s="313">
        <v>410.48</v>
      </c>
      <c r="F1044" s="549"/>
      <c r="G1044" s="174" t="s">
        <v>32</v>
      </c>
      <c r="H1044" s="102" t="s">
        <v>33</v>
      </c>
      <c r="I1044" s="550"/>
      <c r="J1044" s="550"/>
      <c r="K1044" s="551"/>
      <c r="L1044" s="247">
        <v>139563.20000000001</v>
      </c>
      <c r="M1044" s="247">
        <v>13956.32</v>
      </c>
      <c r="N1044" s="314" t="s">
        <v>2195</v>
      </c>
      <c r="O1044" s="243" t="s">
        <v>3039</v>
      </c>
      <c r="P1044" s="243" t="s">
        <v>2189</v>
      </c>
      <c r="Q1044" s="243">
        <v>18903416067</v>
      </c>
      <c r="R1044" s="243" t="s">
        <v>2190</v>
      </c>
      <c r="S1044" s="168" t="s">
        <v>1736</v>
      </c>
      <c r="T1044" s="550"/>
    </row>
    <row r="1045" spans="1:20" ht="24.95" customHeight="1">
      <c r="A1045" s="155" t="s">
        <v>2355</v>
      </c>
      <c r="B1045" s="435" t="s">
        <v>1367</v>
      </c>
      <c r="C1045" s="435"/>
      <c r="D1045" s="435" t="s">
        <v>888</v>
      </c>
      <c r="E1045" s="436">
        <v>224</v>
      </c>
      <c r="F1045" s="329"/>
      <c r="G1045" s="238" t="s">
        <v>2513</v>
      </c>
      <c r="H1045" s="238" t="s">
        <v>33</v>
      </c>
      <c r="I1045" s="329"/>
      <c r="J1045" s="329"/>
      <c r="K1045" s="174" t="s">
        <v>3225</v>
      </c>
      <c r="L1045" s="168">
        <v>69380.52</v>
      </c>
      <c r="M1045" s="150">
        <v>67579.294961538501</v>
      </c>
      <c r="N1045" s="552">
        <v>44336</v>
      </c>
      <c r="O1045" s="168" t="s">
        <v>2154</v>
      </c>
      <c r="P1045" s="240" t="s">
        <v>2153</v>
      </c>
      <c r="Q1045" s="240">
        <v>13546718283</v>
      </c>
      <c r="R1045" s="106" t="s">
        <v>2154</v>
      </c>
      <c r="S1045" s="168" t="s">
        <v>1736</v>
      </c>
      <c r="T1045" s="329"/>
    </row>
    <row r="1046" spans="1:20" ht="24.95" customHeight="1">
      <c r="A1046" s="155" t="s">
        <v>2357</v>
      </c>
      <c r="B1046" s="435" t="s">
        <v>1367</v>
      </c>
      <c r="C1046" s="435"/>
      <c r="D1046" s="435" t="s">
        <v>888</v>
      </c>
      <c r="E1046" s="436">
        <v>199.65</v>
      </c>
      <c r="F1046" s="329"/>
      <c r="G1046" s="238" t="s">
        <v>2513</v>
      </c>
      <c r="H1046" s="238" t="s">
        <v>33</v>
      </c>
      <c r="I1046" s="329"/>
      <c r="J1046" s="329"/>
      <c r="K1046" s="174" t="s">
        <v>3225</v>
      </c>
      <c r="L1046" s="168">
        <v>98941.592920354</v>
      </c>
      <c r="M1046" s="150">
        <v>96372.916950306302</v>
      </c>
      <c r="N1046" s="552">
        <v>44337</v>
      </c>
      <c r="O1046" s="168" t="s">
        <v>2154</v>
      </c>
      <c r="P1046" s="240" t="s">
        <v>2153</v>
      </c>
      <c r="Q1046" s="240">
        <v>13546718283</v>
      </c>
      <c r="R1046" s="106" t="s">
        <v>2154</v>
      </c>
      <c r="S1046" s="168" t="s">
        <v>1736</v>
      </c>
      <c r="T1046" s="329"/>
    </row>
    <row r="1047" spans="1:20" ht="24.95" customHeight="1">
      <c r="A1047" s="155" t="s">
        <v>2358</v>
      </c>
      <c r="B1047" s="435" t="s">
        <v>1367</v>
      </c>
      <c r="C1047" s="435"/>
      <c r="D1047" s="435" t="s">
        <v>888</v>
      </c>
      <c r="E1047" s="436">
        <v>199.65</v>
      </c>
      <c r="F1047" s="329"/>
      <c r="G1047" s="238" t="s">
        <v>2513</v>
      </c>
      <c r="H1047" s="238" t="s">
        <v>33</v>
      </c>
      <c r="I1047" s="329"/>
      <c r="J1047" s="329"/>
      <c r="K1047" s="174" t="s">
        <v>3225</v>
      </c>
      <c r="L1047" s="168">
        <v>98941.592920354</v>
      </c>
      <c r="M1047" s="150">
        <v>96372.916950306302</v>
      </c>
      <c r="N1047" s="552">
        <v>44338</v>
      </c>
      <c r="O1047" s="168" t="s">
        <v>2154</v>
      </c>
      <c r="P1047" s="240" t="s">
        <v>2153</v>
      </c>
      <c r="Q1047" s="240">
        <v>13546718283</v>
      </c>
      <c r="R1047" s="106" t="s">
        <v>2154</v>
      </c>
      <c r="S1047" s="168" t="s">
        <v>1736</v>
      </c>
      <c r="T1047" s="329"/>
    </row>
    <row r="1048" spans="1:20" ht="24.95" customHeight="1">
      <c r="A1048" s="155" t="s">
        <v>2359</v>
      </c>
      <c r="B1048" s="435" t="s">
        <v>3299</v>
      </c>
      <c r="C1048" s="435" t="s">
        <v>3300</v>
      </c>
      <c r="D1048" s="435" t="s">
        <v>888</v>
      </c>
      <c r="E1048" s="436">
        <v>3606.58</v>
      </c>
      <c r="F1048" s="329"/>
      <c r="G1048" s="238" t="s">
        <v>2513</v>
      </c>
      <c r="H1048" s="238" t="s">
        <v>33</v>
      </c>
      <c r="I1048" s="329"/>
      <c r="J1048" s="329"/>
      <c r="K1048" s="174" t="s">
        <v>3227</v>
      </c>
      <c r="L1048" s="168">
        <v>1160533.1683168299</v>
      </c>
      <c r="M1048" s="150">
        <v>1140447.0173267301</v>
      </c>
      <c r="N1048" s="552">
        <v>44341</v>
      </c>
      <c r="O1048" s="295" t="s">
        <v>3350</v>
      </c>
      <c r="P1048" s="240" t="s">
        <v>2153</v>
      </c>
      <c r="Q1048" s="240">
        <v>13546718283</v>
      </c>
      <c r="R1048" s="106" t="s">
        <v>2154</v>
      </c>
      <c r="S1048" s="168" t="s">
        <v>1736</v>
      </c>
      <c r="T1048" s="550"/>
    </row>
    <row r="1049" spans="1:20" ht="24.95" customHeight="1">
      <c r="A1049" s="155" t="s">
        <v>2362</v>
      </c>
      <c r="B1049" s="553" t="s">
        <v>1574</v>
      </c>
      <c r="C1049" s="553"/>
      <c r="D1049" s="553" t="s">
        <v>1193</v>
      </c>
      <c r="E1049" s="554">
        <v>1</v>
      </c>
      <c r="F1049" s="555">
        <v>2534</v>
      </c>
      <c r="G1049" s="556" t="s">
        <v>32</v>
      </c>
      <c r="H1049" s="556" t="s">
        <v>33</v>
      </c>
      <c r="I1049" s="557"/>
      <c r="J1049" s="557"/>
      <c r="K1049" s="558" t="s">
        <v>3351</v>
      </c>
      <c r="L1049" s="559">
        <v>526982.30088518001</v>
      </c>
      <c r="M1049" s="560">
        <v>404019.76401197101</v>
      </c>
      <c r="N1049" s="561">
        <v>44531</v>
      </c>
      <c r="O1049" s="558" t="s">
        <v>3352</v>
      </c>
      <c r="P1049" s="562" t="s">
        <v>1974</v>
      </c>
      <c r="Q1049" s="562">
        <v>15103501536</v>
      </c>
      <c r="R1049" s="563" t="s">
        <v>1975</v>
      </c>
      <c r="S1049" s="168" t="s">
        <v>1736</v>
      </c>
      <c r="T1049" s="564"/>
    </row>
    <row r="1050" spans="1:20" ht="24.95" customHeight="1">
      <c r="A1050" s="155" t="s">
        <v>2364</v>
      </c>
      <c r="B1050" s="553" t="s">
        <v>3124</v>
      </c>
      <c r="C1050" s="553"/>
      <c r="D1050" s="553" t="s">
        <v>1193</v>
      </c>
      <c r="E1050" s="554">
        <v>1</v>
      </c>
      <c r="F1050" s="555">
        <v>201.76991150000001</v>
      </c>
      <c r="G1050" s="556" t="s">
        <v>32</v>
      </c>
      <c r="H1050" s="556" t="s">
        <v>33</v>
      </c>
      <c r="I1050" s="557"/>
      <c r="J1050" s="557"/>
      <c r="K1050" s="558" t="s">
        <v>3351</v>
      </c>
      <c r="L1050" s="559">
        <v>963356.49555409502</v>
      </c>
      <c r="M1050" s="560">
        <v>738573.31325813895</v>
      </c>
      <c r="N1050" s="561">
        <v>44531</v>
      </c>
      <c r="O1050" s="558" t="s">
        <v>3352</v>
      </c>
      <c r="P1050" s="562" t="s">
        <v>1974</v>
      </c>
      <c r="Q1050" s="562">
        <v>15103501536</v>
      </c>
      <c r="R1050" s="563" t="s">
        <v>1975</v>
      </c>
      <c r="S1050" s="168" t="s">
        <v>1736</v>
      </c>
      <c r="T1050" s="564"/>
    </row>
    <row r="1051" spans="1:20" ht="24.95" customHeight="1">
      <c r="A1051" s="155" t="s">
        <v>2366</v>
      </c>
      <c r="B1051" s="553" t="s">
        <v>3353</v>
      </c>
      <c r="C1051" s="553"/>
      <c r="D1051" s="553" t="s">
        <v>1193</v>
      </c>
      <c r="E1051" s="554">
        <v>1</v>
      </c>
      <c r="F1051" s="555">
        <v>186</v>
      </c>
      <c r="G1051" s="556" t="s">
        <v>32</v>
      </c>
      <c r="H1051" s="556" t="s">
        <v>33</v>
      </c>
      <c r="I1051" s="557"/>
      <c r="J1051" s="557"/>
      <c r="K1051" s="558" t="s">
        <v>3351</v>
      </c>
      <c r="L1051" s="559">
        <v>19752.21239022</v>
      </c>
      <c r="M1051" s="560">
        <v>15143.362832502</v>
      </c>
      <c r="N1051" s="561">
        <v>44531</v>
      </c>
      <c r="O1051" s="558" t="s">
        <v>3352</v>
      </c>
      <c r="P1051" s="562" t="s">
        <v>1974</v>
      </c>
      <c r="Q1051" s="562">
        <v>15103501536</v>
      </c>
      <c r="R1051" s="563" t="s">
        <v>1975</v>
      </c>
      <c r="S1051" s="168" t="s">
        <v>1736</v>
      </c>
      <c r="T1051" s="564"/>
    </row>
    <row r="1052" spans="1:20" ht="24.95" customHeight="1">
      <c r="A1052" s="155" t="s">
        <v>2369</v>
      </c>
      <c r="B1052" s="553" t="s">
        <v>3354</v>
      </c>
      <c r="C1052" s="553" t="s">
        <v>3355</v>
      </c>
      <c r="D1052" s="553" t="s">
        <v>1193</v>
      </c>
      <c r="E1052" s="554">
        <v>1</v>
      </c>
      <c r="F1052" s="555">
        <v>30.973451326999999</v>
      </c>
      <c r="G1052" s="556" t="s">
        <v>32</v>
      </c>
      <c r="H1052" s="556" t="s">
        <v>33</v>
      </c>
      <c r="I1052" s="557"/>
      <c r="J1052" s="557"/>
      <c r="K1052" s="558" t="s">
        <v>3351</v>
      </c>
      <c r="L1052" s="559">
        <v>65261.061945989</v>
      </c>
      <c r="M1052" s="560">
        <v>50033.480825258201</v>
      </c>
      <c r="N1052" s="561">
        <v>44531</v>
      </c>
      <c r="O1052" s="558" t="s">
        <v>3352</v>
      </c>
      <c r="P1052" s="562" t="s">
        <v>1974</v>
      </c>
      <c r="Q1052" s="562">
        <v>15103501536</v>
      </c>
      <c r="R1052" s="563" t="s">
        <v>1975</v>
      </c>
      <c r="S1052" s="168" t="s">
        <v>1736</v>
      </c>
      <c r="T1052" s="564"/>
    </row>
    <row r="1053" spans="1:20" ht="24.95" customHeight="1">
      <c r="A1053" s="155" t="s">
        <v>2370</v>
      </c>
      <c r="B1053" s="553" t="s">
        <v>3354</v>
      </c>
      <c r="C1053" s="553" t="s">
        <v>3356</v>
      </c>
      <c r="D1053" s="553" t="s">
        <v>1193</v>
      </c>
      <c r="E1053" s="554">
        <v>1</v>
      </c>
      <c r="F1053" s="555">
        <v>94</v>
      </c>
      <c r="G1053" s="556" t="s">
        <v>32</v>
      </c>
      <c r="H1053" s="556" t="s">
        <v>33</v>
      </c>
      <c r="I1053" s="557"/>
      <c r="J1053" s="557"/>
      <c r="K1053" s="558" t="s">
        <v>3351</v>
      </c>
      <c r="L1053" s="559">
        <v>3992.9203539639998</v>
      </c>
      <c r="M1053" s="560">
        <v>3061.23893803907</v>
      </c>
      <c r="N1053" s="561">
        <v>44531</v>
      </c>
      <c r="O1053" s="558" t="s">
        <v>3352</v>
      </c>
      <c r="P1053" s="562" t="s">
        <v>1974</v>
      </c>
      <c r="Q1053" s="562">
        <v>15103501536</v>
      </c>
      <c r="R1053" s="563" t="s">
        <v>1975</v>
      </c>
      <c r="S1053" s="168" t="s">
        <v>1736</v>
      </c>
      <c r="T1053" s="564"/>
    </row>
    <row r="1054" spans="1:20" ht="24.95" customHeight="1">
      <c r="A1054" s="155" t="s">
        <v>2372</v>
      </c>
      <c r="B1054" s="553" t="s">
        <v>1479</v>
      </c>
      <c r="C1054" s="553" t="s">
        <v>3357</v>
      </c>
      <c r="D1054" s="553" t="s">
        <v>161</v>
      </c>
      <c r="E1054" s="554">
        <v>1</v>
      </c>
      <c r="F1054" s="555">
        <v>124.7</v>
      </c>
      <c r="G1054" s="556" t="s">
        <v>32</v>
      </c>
      <c r="H1054" s="556" t="s">
        <v>33</v>
      </c>
      <c r="I1054" s="557"/>
      <c r="J1054" s="557"/>
      <c r="K1054" s="558" t="s">
        <v>3351</v>
      </c>
      <c r="L1054" s="559">
        <v>16553.097344901002</v>
      </c>
      <c r="M1054" s="560">
        <v>12690.7079644241</v>
      </c>
      <c r="N1054" s="561">
        <v>44531</v>
      </c>
      <c r="O1054" s="558" t="s">
        <v>3352</v>
      </c>
      <c r="P1054" s="562" t="s">
        <v>1974</v>
      </c>
      <c r="Q1054" s="562">
        <v>15103501536</v>
      </c>
      <c r="R1054" s="563" t="s">
        <v>1975</v>
      </c>
      <c r="S1054" s="168" t="s">
        <v>1736</v>
      </c>
      <c r="T1054" s="564"/>
    </row>
    <row r="1055" spans="1:20" ht="24.95" customHeight="1">
      <c r="A1055" s="155" t="s">
        <v>2374</v>
      </c>
      <c r="B1055" s="553" t="s">
        <v>1479</v>
      </c>
      <c r="C1055" s="553" t="s">
        <v>3358</v>
      </c>
      <c r="D1055" s="553" t="s">
        <v>161</v>
      </c>
      <c r="E1055" s="554">
        <v>1</v>
      </c>
      <c r="F1055" s="555">
        <v>78</v>
      </c>
      <c r="G1055" s="556" t="s">
        <v>32</v>
      </c>
      <c r="H1055" s="556" t="s">
        <v>33</v>
      </c>
      <c r="I1055" s="557"/>
      <c r="J1055" s="557"/>
      <c r="K1055" s="558" t="s">
        <v>3351</v>
      </c>
      <c r="L1055" s="559">
        <v>11734.51327464</v>
      </c>
      <c r="M1055" s="560">
        <v>8996.4601772240003</v>
      </c>
      <c r="N1055" s="561">
        <v>44531</v>
      </c>
      <c r="O1055" s="558" t="s">
        <v>3352</v>
      </c>
      <c r="P1055" s="562" t="s">
        <v>1974</v>
      </c>
      <c r="Q1055" s="562">
        <v>15103501536</v>
      </c>
      <c r="R1055" s="563" t="s">
        <v>1975</v>
      </c>
      <c r="S1055" s="168" t="s">
        <v>1736</v>
      </c>
      <c r="T1055" s="564"/>
    </row>
    <row r="1056" spans="1:20" ht="24.95" customHeight="1">
      <c r="A1056" s="155" t="s">
        <v>2376</v>
      </c>
      <c r="B1056" s="553" t="s">
        <v>3177</v>
      </c>
      <c r="C1056" s="553" t="s">
        <v>3359</v>
      </c>
      <c r="D1056" s="553" t="s">
        <v>1193</v>
      </c>
      <c r="E1056" s="554">
        <v>1</v>
      </c>
      <c r="F1056" s="555">
        <v>183.08</v>
      </c>
      <c r="G1056" s="556" t="s">
        <v>32</v>
      </c>
      <c r="H1056" s="556" t="s">
        <v>33</v>
      </c>
      <c r="I1056" s="557"/>
      <c r="J1056" s="557"/>
      <c r="K1056" s="558" t="s">
        <v>3351</v>
      </c>
      <c r="L1056" s="559">
        <v>42124.601769911496</v>
      </c>
      <c r="M1056" s="560">
        <v>38192.972271386403</v>
      </c>
      <c r="N1056" s="561">
        <v>44531</v>
      </c>
      <c r="O1056" s="558" t="s">
        <v>3352</v>
      </c>
      <c r="P1056" s="562" t="s">
        <v>1974</v>
      </c>
      <c r="Q1056" s="562">
        <v>15103501536</v>
      </c>
      <c r="R1056" s="563" t="s">
        <v>1975</v>
      </c>
      <c r="S1056" s="168" t="s">
        <v>1736</v>
      </c>
      <c r="T1056" s="564"/>
    </row>
    <row r="1057" spans="1:20" ht="24.95" customHeight="1">
      <c r="A1057" s="155" t="s">
        <v>2379</v>
      </c>
      <c r="B1057" s="553" t="s">
        <v>3360</v>
      </c>
      <c r="C1057" s="553" t="s">
        <v>3361</v>
      </c>
      <c r="D1057" s="553" t="s">
        <v>3061</v>
      </c>
      <c r="E1057" s="554">
        <v>1</v>
      </c>
      <c r="F1057" s="555">
        <v>62.3</v>
      </c>
      <c r="G1057" s="556" t="s">
        <v>32</v>
      </c>
      <c r="H1057" s="556" t="s">
        <v>33</v>
      </c>
      <c r="I1057" s="557"/>
      <c r="J1057" s="557"/>
      <c r="K1057" s="558" t="s">
        <v>3362</v>
      </c>
      <c r="L1057" s="559">
        <v>14334.513274634</v>
      </c>
      <c r="M1057" s="560">
        <v>4300.3539823902001</v>
      </c>
      <c r="N1057" s="561">
        <v>44562</v>
      </c>
      <c r="O1057" s="558" t="s">
        <v>3363</v>
      </c>
      <c r="P1057" s="562" t="s">
        <v>1974</v>
      </c>
      <c r="Q1057" s="562">
        <v>15103501536</v>
      </c>
      <c r="R1057" s="563" t="s">
        <v>1975</v>
      </c>
      <c r="S1057" s="168" t="s">
        <v>1736</v>
      </c>
      <c r="T1057" s="564"/>
    </row>
    <row r="1058" spans="1:20" ht="24.95" customHeight="1">
      <c r="A1058" s="155" t="s">
        <v>2382</v>
      </c>
      <c r="B1058" s="553" t="s">
        <v>3296</v>
      </c>
      <c r="C1058" s="553" t="s">
        <v>3364</v>
      </c>
      <c r="D1058" s="553" t="s">
        <v>3061</v>
      </c>
      <c r="E1058" s="554">
        <v>1</v>
      </c>
      <c r="F1058" s="555">
        <v>210</v>
      </c>
      <c r="G1058" s="556" t="s">
        <v>32</v>
      </c>
      <c r="H1058" s="556" t="s">
        <v>33</v>
      </c>
      <c r="I1058" s="557"/>
      <c r="J1058" s="557"/>
      <c r="K1058" s="558" t="s">
        <v>3362</v>
      </c>
      <c r="L1058" s="559">
        <v>42743.3628321</v>
      </c>
      <c r="M1058" s="560">
        <v>12823.00884963</v>
      </c>
      <c r="N1058" s="561">
        <v>44562</v>
      </c>
      <c r="O1058" s="565" t="s">
        <v>3363</v>
      </c>
      <c r="P1058" s="562" t="s">
        <v>1974</v>
      </c>
      <c r="Q1058" s="562">
        <v>15103501536</v>
      </c>
      <c r="R1058" s="563" t="s">
        <v>1975</v>
      </c>
      <c r="S1058" s="168" t="s">
        <v>1736</v>
      </c>
      <c r="T1058" s="564"/>
    </row>
    <row r="1059" spans="1:20" ht="24.95" customHeight="1">
      <c r="A1059" s="155" t="s">
        <v>2385</v>
      </c>
      <c r="B1059" s="553" t="s">
        <v>1391</v>
      </c>
      <c r="C1059" s="553" t="s">
        <v>3365</v>
      </c>
      <c r="D1059" s="553" t="s">
        <v>3061</v>
      </c>
      <c r="E1059" s="554">
        <v>1</v>
      </c>
      <c r="F1059" s="555">
        <v>192.03</v>
      </c>
      <c r="G1059" s="556" t="s">
        <v>32</v>
      </c>
      <c r="H1059" s="556" t="s">
        <v>33</v>
      </c>
      <c r="I1059" s="557"/>
      <c r="J1059" s="557"/>
      <c r="K1059" s="558" t="s">
        <v>3362</v>
      </c>
      <c r="L1059" s="559">
        <v>44183.893806227403</v>
      </c>
      <c r="M1059" s="560">
        <v>13255.1681418682</v>
      </c>
      <c r="N1059" s="561">
        <v>44562</v>
      </c>
      <c r="O1059" s="565" t="s">
        <v>3363</v>
      </c>
      <c r="P1059" s="562" t="s">
        <v>1974</v>
      </c>
      <c r="Q1059" s="562">
        <v>15103501536</v>
      </c>
      <c r="R1059" s="563" t="s">
        <v>1975</v>
      </c>
      <c r="S1059" s="168" t="s">
        <v>1736</v>
      </c>
      <c r="T1059" s="564"/>
    </row>
    <row r="1060" spans="1:20" ht="24.95" customHeight="1">
      <c r="A1060" s="566" t="s">
        <v>1439</v>
      </c>
      <c r="B1060" s="567" t="s">
        <v>3366</v>
      </c>
      <c r="C1060" s="550"/>
      <c r="D1060" s="568"/>
      <c r="E1060" s="569"/>
      <c r="F1060" s="569"/>
      <c r="G1060" s="568"/>
      <c r="H1060" s="568"/>
      <c r="I1060" s="569"/>
      <c r="J1060" s="569"/>
      <c r="K1060" s="569"/>
      <c r="L1060" s="570"/>
      <c r="M1060" s="570"/>
      <c r="N1060" s="174"/>
      <c r="O1060" s="571"/>
      <c r="P1060" s="568"/>
      <c r="Q1060" s="568"/>
      <c r="R1060" s="568"/>
      <c r="S1060" s="572"/>
      <c r="T1060" s="571"/>
    </row>
    <row r="1061" spans="1:20" ht="24.95" customHeight="1">
      <c r="A1061" s="573" t="s">
        <v>1731</v>
      </c>
      <c r="B1061" s="204" t="s">
        <v>3367</v>
      </c>
      <c r="C1061" s="204" t="s">
        <v>3368</v>
      </c>
      <c r="D1061" s="204" t="s">
        <v>464</v>
      </c>
      <c r="E1061" s="204"/>
      <c r="F1061" s="204">
        <v>100</v>
      </c>
      <c r="G1061" s="204" t="s">
        <v>2085</v>
      </c>
      <c r="H1061" s="203" t="s">
        <v>33</v>
      </c>
      <c r="I1061" s="203"/>
      <c r="J1061" s="203"/>
      <c r="K1061" s="204"/>
      <c r="L1061" s="204">
        <f>14743.59-4914.53</f>
        <v>9829.0600000000013</v>
      </c>
      <c r="M1061" s="574">
        <f>4423.077-1474.5</f>
        <v>2948.5770000000002</v>
      </c>
      <c r="N1061" s="204">
        <v>2017.5</v>
      </c>
      <c r="O1061" s="575" t="s">
        <v>3369</v>
      </c>
      <c r="P1061" s="204" t="s">
        <v>2087</v>
      </c>
      <c r="Q1061" s="206">
        <v>18135206600</v>
      </c>
      <c r="R1061" s="168" t="s">
        <v>2088</v>
      </c>
      <c r="S1061" s="576" t="s">
        <v>1736</v>
      </c>
      <c r="T1061" s="351"/>
    </row>
    <row r="1062" spans="1:20" ht="24.95" customHeight="1">
      <c r="A1062" s="573" t="s">
        <v>1737</v>
      </c>
      <c r="B1062" s="204" t="s">
        <v>3367</v>
      </c>
      <c r="C1062" s="204" t="s">
        <v>3370</v>
      </c>
      <c r="D1062" s="204" t="s">
        <v>464</v>
      </c>
      <c r="E1062" s="204"/>
      <c r="F1062" s="204">
        <v>146</v>
      </c>
      <c r="G1062" s="204" t="s">
        <v>2085</v>
      </c>
      <c r="H1062" s="203" t="s">
        <v>33</v>
      </c>
      <c r="I1062" s="203"/>
      <c r="J1062" s="203"/>
      <c r="K1062" s="204"/>
      <c r="L1062" s="204">
        <f>30838.54-5256.57</f>
        <v>25581.97</v>
      </c>
      <c r="M1062" s="574">
        <f>9251.562-1577.1</f>
        <v>7674.4619999999995</v>
      </c>
      <c r="N1062" s="204">
        <v>2017.5</v>
      </c>
      <c r="O1062" s="575" t="s">
        <v>3371</v>
      </c>
      <c r="P1062" s="204" t="s">
        <v>2087</v>
      </c>
      <c r="Q1062" s="206">
        <v>18135206600</v>
      </c>
      <c r="R1062" s="168" t="s">
        <v>2088</v>
      </c>
      <c r="S1062" s="576" t="s">
        <v>1736</v>
      </c>
      <c r="T1062" s="351"/>
    </row>
    <row r="1063" spans="1:20" ht="24.95" customHeight="1">
      <c r="A1063" s="573" t="s">
        <v>1740</v>
      </c>
      <c r="B1063" s="204" t="s">
        <v>3367</v>
      </c>
      <c r="C1063" s="204" t="s">
        <v>3372</v>
      </c>
      <c r="D1063" s="204" t="s">
        <v>464</v>
      </c>
      <c r="E1063" s="204"/>
      <c r="F1063" s="204">
        <v>1</v>
      </c>
      <c r="G1063" s="204" t="s">
        <v>2085</v>
      </c>
      <c r="H1063" s="203" t="s">
        <v>33</v>
      </c>
      <c r="I1063" s="203"/>
      <c r="J1063" s="203"/>
      <c r="K1063" s="204"/>
      <c r="L1063" s="204">
        <v>273.51</v>
      </c>
      <c r="M1063" s="574">
        <v>82.052999999999997</v>
      </c>
      <c r="N1063" s="204">
        <v>2017.5</v>
      </c>
      <c r="O1063" s="575" t="s">
        <v>3371</v>
      </c>
      <c r="P1063" s="204" t="s">
        <v>2087</v>
      </c>
      <c r="Q1063" s="206">
        <v>18135206600</v>
      </c>
      <c r="R1063" s="168" t="s">
        <v>2088</v>
      </c>
      <c r="S1063" s="576" t="s">
        <v>1736</v>
      </c>
      <c r="T1063" s="351"/>
    </row>
    <row r="1064" spans="1:20" ht="24.95" customHeight="1">
      <c r="A1064" s="573" t="s">
        <v>1742</v>
      </c>
      <c r="B1064" s="204" t="s">
        <v>3367</v>
      </c>
      <c r="C1064" s="204" t="s">
        <v>3368</v>
      </c>
      <c r="D1064" s="204" t="s">
        <v>464</v>
      </c>
      <c r="E1064" s="204"/>
      <c r="F1064" s="204">
        <v>16</v>
      </c>
      <c r="G1064" s="204" t="s">
        <v>2085</v>
      </c>
      <c r="H1064" s="203" t="s">
        <v>33</v>
      </c>
      <c r="I1064" s="203"/>
      <c r="J1064" s="203"/>
      <c r="K1064" s="204"/>
      <c r="L1064" s="204">
        <v>1572.82</v>
      </c>
      <c r="M1064" s="574">
        <v>471.846</v>
      </c>
      <c r="N1064" s="204">
        <v>2017.5</v>
      </c>
      <c r="O1064" s="575" t="s">
        <v>3371</v>
      </c>
      <c r="P1064" s="204" t="s">
        <v>2087</v>
      </c>
      <c r="Q1064" s="206">
        <v>18135206600</v>
      </c>
      <c r="R1064" s="168" t="s">
        <v>2088</v>
      </c>
      <c r="S1064" s="576" t="s">
        <v>1736</v>
      </c>
      <c r="T1064" s="351"/>
    </row>
    <row r="1065" spans="1:20" ht="24.95" customHeight="1">
      <c r="A1065" s="573" t="s">
        <v>1745</v>
      </c>
      <c r="B1065" s="204" t="s">
        <v>3373</v>
      </c>
      <c r="C1065" s="204" t="s">
        <v>3374</v>
      </c>
      <c r="D1065" s="204" t="s">
        <v>464</v>
      </c>
      <c r="E1065" s="204"/>
      <c r="F1065" s="204">
        <v>50</v>
      </c>
      <c r="G1065" s="204" t="s">
        <v>2085</v>
      </c>
      <c r="H1065" s="203" t="s">
        <v>33</v>
      </c>
      <c r="I1065" s="203"/>
      <c r="J1065" s="203"/>
      <c r="K1065" s="204"/>
      <c r="L1065" s="204">
        <f>1914.72-718.02</f>
        <v>1196.7</v>
      </c>
      <c r="M1065" s="574">
        <v>359.01600000000002</v>
      </c>
      <c r="N1065" s="204">
        <v>2017.5</v>
      </c>
      <c r="O1065" s="575" t="s">
        <v>3371</v>
      </c>
      <c r="P1065" s="204" t="s">
        <v>2087</v>
      </c>
      <c r="Q1065" s="206">
        <v>18135206600</v>
      </c>
      <c r="R1065" s="168" t="s">
        <v>2088</v>
      </c>
      <c r="S1065" s="576" t="s">
        <v>1736</v>
      </c>
      <c r="T1065" s="351"/>
    </row>
    <row r="1066" spans="1:20" ht="24.95" customHeight="1">
      <c r="A1066" s="573" t="s">
        <v>1747</v>
      </c>
      <c r="B1066" s="577" t="s">
        <v>3375</v>
      </c>
      <c r="C1066" s="577"/>
      <c r="D1066" s="577" t="s">
        <v>464</v>
      </c>
      <c r="E1066" s="577"/>
      <c r="F1066" s="577">
        <v>380</v>
      </c>
      <c r="G1066" s="577" t="s">
        <v>2085</v>
      </c>
      <c r="H1066" s="206" t="s">
        <v>33</v>
      </c>
      <c r="I1066" s="206"/>
      <c r="J1066" s="206"/>
      <c r="K1066" s="577"/>
      <c r="L1066" s="578">
        <v>61326.73</v>
      </c>
      <c r="M1066" s="579">
        <v>58941.81</v>
      </c>
      <c r="N1066" s="577">
        <v>2021.9</v>
      </c>
      <c r="O1066" s="580" t="s">
        <v>3369</v>
      </c>
      <c r="P1066" s="577" t="s">
        <v>2087</v>
      </c>
      <c r="Q1066" s="206">
        <v>18135206600</v>
      </c>
      <c r="R1066" s="406" t="s">
        <v>2088</v>
      </c>
      <c r="S1066" s="576"/>
      <c r="T1066" s="351"/>
    </row>
    <row r="1067" spans="1:20" ht="24.95" customHeight="1">
      <c r="A1067" s="573" t="s">
        <v>1748</v>
      </c>
      <c r="B1067" s="202" t="s">
        <v>3376</v>
      </c>
      <c r="C1067" s="202"/>
      <c r="D1067" s="202" t="s">
        <v>131</v>
      </c>
      <c r="E1067" s="203"/>
      <c r="F1067" s="202">
        <v>4</v>
      </c>
      <c r="G1067" s="204" t="s">
        <v>2085</v>
      </c>
      <c r="H1067" s="203" t="s">
        <v>33</v>
      </c>
      <c r="I1067" s="203"/>
      <c r="J1067" s="203"/>
      <c r="K1067" s="203"/>
      <c r="L1067" s="581">
        <v>3960.4</v>
      </c>
      <c r="M1067" s="582">
        <v>3421.33</v>
      </c>
      <c r="N1067" s="204">
        <v>2020.11</v>
      </c>
      <c r="O1067" s="204" t="s">
        <v>2100</v>
      </c>
      <c r="P1067" s="204" t="s">
        <v>2087</v>
      </c>
      <c r="Q1067" s="206">
        <v>18135206600</v>
      </c>
      <c r="R1067" s="207" t="s">
        <v>2088</v>
      </c>
      <c r="S1067" s="208" t="s">
        <v>1736</v>
      </c>
      <c r="T1067" s="209"/>
    </row>
    <row r="1068" spans="1:20" ht="24.95" customHeight="1">
      <c r="A1068" s="573" t="s">
        <v>1751</v>
      </c>
      <c r="B1068" s="202" t="s">
        <v>3377</v>
      </c>
      <c r="C1068" s="202"/>
      <c r="D1068" s="202" t="s">
        <v>131</v>
      </c>
      <c r="E1068" s="203"/>
      <c r="F1068" s="202">
        <v>6</v>
      </c>
      <c r="G1068" s="204" t="s">
        <v>2085</v>
      </c>
      <c r="H1068" s="203" t="s">
        <v>33</v>
      </c>
      <c r="I1068" s="203"/>
      <c r="J1068" s="203"/>
      <c r="K1068" s="203"/>
      <c r="L1068" s="581">
        <v>2970.3</v>
      </c>
      <c r="M1068" s="582">
        <v>2565.98</v>
      </c>
      <c r="N1068" s="204">
        <v>2020.11</v>
      </c>
      <c r="O1068" s="204" t="s">
        <v>2100</v>
      </c>
      <c r="P1068" s="204" t="s">
        <v>2087</v>
      </c>
      <c r="Q1068" s="206">
        <v>18135206600</v>
      </c>
      <c r="R1068" s="207" t="s">
        <v>2088</v>
      </c>
      <c r="S1068" s="208" t="s">
        <v>1736</v>
      </c>
      <c r="T1068" s="209"/>
    </row>
    <row r="1069" spans="1:20" ht="24.95" customHeight="1">
      <c r="A1069" s="573" t="s">
        <v>1752</v>
      </c>
      <c r="B1069" s="202" t="s">
        <v>699</v>
      </c>
      <c r="C1069" s="202"/>
      <c r="D1069" s="202" t="s">
        <v>2724</v>
      </c>
      <c r="E1069" s="203"/>
      <c r="F1069" s="202">
        <v>3</v>
      </c>
      <c r="G1069" s="204" t="s">
        <v>2085</v>
      </c>
      <c r="H1069" s="203" t="s">
        <v>33</v>
      </c>
      <c r="I1069" s="203"/>
      <c r="J1069" s="203"/>
      <c r="K1069" s="203"/>
      <c r="L1069" s="581">
        <v>7900.99</v>
      </c>
      <c r="M1069" s="582">
        <v>1448.53</v>
      </c>
      <c r="N1069" s="204">
        <v>2020.11</v>
      </c>
      <c r="O1069" s="204" t="s">
        <v>2100</v>
      </c>
      <c r="P1069" s="204" t="s">
        <v>2087</v>
      </c>
      <c r="Q1069" s="206">
        <v>18135206600</v>
      </c>
      <c r="R1069" s="207" t="s">
        <v>2088</v>
      </c>
      <c r="S1069" s="208" t="s">
        <v>1736</v>
      </c>
      <c r="T1069" s="209"/>
    </row>
    <row r="1070" spans="1:20" ht="24.95" customHeight="1">
      <c r="A1070" s="573" t="s">
        <v>1753</v>
      </c>
      <c r="B1070" s="202" t="s">
        <v>762</v>
      </c>
      <c r="C1070" s="202" t="s">
        <v>3378</v>
      </c>
      <c r="D1070" s="202" t="s">
        <v>464</v>
      </c>
      <c r="E1070" s="203"/>
      <c r="F1070" s="202">
        <v>1608</v>
      </c>
      <c r="G1070" s="204" t="s">
        <v>2085</v>
      </c>
      <c r="H1070" s="203" t="s">
        <v>33</v>
      </c>
      <c r="I1070" s="203"/>
      <c r="J1070" s="203"/>
      <c r="K1070" s="203"/>
      <c r="L1070" s="203">
        <v>22289.11</v>
      </c>
      <c r="M1070" s="583">
        <v>19688.71</v>
      </c>
      <c r="N1070" s="203">
        <v>2020.12</v>
      </c>
      <c r="O1070" s="204" t="s">
        <v>2100</v>
      </c>
      <c r="P1070" s="204" t="s">
        <v>2087</v>
      </c>
      <c r="Q1070" s="206">
        <v>18135206600</v>
      </c>
      <c r="R1070" s="207" t="s">
        <v>2088</v>
      </c>
      <c r="S1070" s="208" t="s">
        <v>1736</v>
      </c>
      <c r="T1070" s="209"/>
    </row>
    <row r="1071" spans="1:20" ht="24.95" customHeight="1">
      <c r="A1071" s="573" t="s">
        <v>1758</v>
      </c>
      <c r="B1071" s="202" t="s">
        <v>3379</v>
      </c>
      <c r="C1071" s="202">
        <v>425</v>
      </c>
      <c r="D1071" s="202" t="s">
        <v>131</v>
      </c>
      <c r="E1071" s="203"/>
      <c r="F1071" s="202">
        <v>300</v>
      </c>
      <c r="G1071" s="204" t="s">
        <v>2085</v>
      </c>
      <c r="H1071" s="203" t="s">
        <v>33</v>
      </c>
      <c r="I1071" s="203"/>
      <c r="J1071" s="203"/>
      <c r="K1071" s="203"/>
      <c r="L1071" s="203">
        <v>2376.2399999999998</v>
      </c>
      <c r="M1071" s="583">
        <v>2099.04</v>
      </c>
      <c r="N1071" s="203">
        <v>2020.12</v>
      </c>
      <c r="O1071" s="204" t="s">
        <v>2100</v>
      </c>
      <c r="P1071" s="204" t="s">
        <v>2087</v>
      </c>
      <c r="Q1071" s="206">
        <v>18135206600</v>
      </c>
      <c r="R1071" s="207" t="s">
        <v>2088</v>
      </c>
      <c r="S1071" s="208" t="s">
        <v>1736</v>
      </c>
      <c r="T1071" s="209"/>
    </row>
    <row r="1072" spans="1:20" ht="24.95" customHeight="1">
      <c r="A1072" s="573" t="s">
        <v>1767</v>
      </c>
      <c r="B1072" s="202" t="s">
        <v>3380</v>
      </c>
      <c r="C1072" s="202" t="s">
        <v>3381</v>
      </c>
      <c r="D1072" s="202" t="s">
        <v>131</v>
      </c>
      <c r="E1072" s="203"/>
      <c r="F1072" s="202">
        <v>5</v>
      </c>
      <c r="G1072" s="204" t="s">
        <v>2085</v>
      </c>
      <c r="H1072" s="203" t="s">
        <v>33</v>
      </c>
      <c r="I1072" s="203"/>
      <c r="J1072" s="203"/>
      <c r="K1072" s="203"/>
      <c r="L1072" s="584">
        <v>4950.5</v>
      </c>
      <c r="M1072" s="583">
        <v>4372.9399999999996</v>
      </c>
      <c r="N1072" s="203">
        <v>2020.12</v>
      </c>
      <c r="O1072" s="204" t="s">
        <v>2100</v>
      </c>
      <c r="P1072" s="204" t="s">
        <v>2087</v>
      </c>
      <c r="Q1072" s="206">
        <v>18135206600</v>
      </c>
      <c r="R1072" s="207" t="s">
        <v>2088</v>
      </c>
      <c r="S1072" s="208" t="s">
        <v>1736</v>
      </c>
      <c r="T1072" s="209"/>
    </row>
    <row r="1073" spans="1:20" ht="24.95" customHeight="1">
      <c r="A1073" s="573" t="s">
        <v>1769</v>
      </c>
      <c r="B1073" s="202" t="s">
        <v>3380</v>
      </c>
      <c r="C1073" s="202" t="s">
        <v>3382</v>
      </c>
      <c r="D1073" s="202" t="s">
        <v>131</v>
      </c>
      <c r="E1073" s="203"/>
      <c r="F1073" s="202">
        <v>2</v>
      </c>
      <c r="G1073" s="204" t="s">
        <v>2085</v>
      </c>
      <c r="H1073" s="203" t="s">
        <v>33</v>
      </c>
      <c r="I1073" s="203"/>
      <c r="J1073" s="203"/>
      <c r="K1073" s="203"/>
      <c r="L1073" s="584">
        <v>2574.2600000000002</v>
      </c>
      <c r="M1073" s="583">
        <v>2273.9</v>
      </c>
      <c r="N1073" s="203">
        <v>2020.12</v>
      </c>
      <c r="O1073" s="204" t="s">
        <v>2100</v>
      </c>
      <c r="P1073" s="204" t="s">
        <v>2087</v>
      </c>
      <c r="Q1073" s="206">
        <v>18135206600</v>
      </c>
      <c r="R1073" s="207" t="s">
        <v>2088</v>
      </c>
      <c r="S1073" s="208" t="s">
        <v>1736</v>
      </c>
      <c r="T1073" s="209"/>
    </row>
    <row r="1074" spans="1:20" ht="24.95" customHeight="1">
      <c r="A1074" s="573" t="s">
        <v>1771</v>
      </c>
      <c r="B1074" s="202" t="s">
        <v>3383</v>
      </c>
      <c r="C1074" s="202" t="s">
        <v>3384</v>
      </c>
      <c r="D1074" s="202" t="s">
        <v>131</v>
      </c>
      <c r="E1074" s="203"/>
      <c r="F1074" s="202">
        <v>3</v>
      </c>
      <c r="G1074" s="204" t="s">
        <v>2085</v>
      </c>
      <c r="H1074" s="203" t="s">
        <v>33</v>
      </c>
      <c r="I1074" s="203"/>
      <c r="J1074" s="203"/>
      <c r="K1074" s="203"/>
      <c r="L1074" s="584">
        <v>1782.18</v>
      </c>
      <c r="M1074" s="583">
        <v>1574.28</v>
      </c>
      <c r="N1074" s="203">
        <v>2020.12</v>
      </c>
      <c r="O1074" s="575" t="s">
        <v>3369</v>
      </c>
      <c r="P1074" s="204" t="s">
        <v>2087</v>
      </c>
      <c r="Q1074" s="206">
        <v>18135206600</v>
      </c>
      <c r="R1074" s="207" t="s">
        <v>2088</v>
      </c>
      <c r="S1074" s="208" t="s">
        <v>1736</v>
      </c>
      <c r="T1074" s="209"/>
    </row>
    <row r="1075" spans="1:20" ht="24.95" customHeight="1">
      <c r="A1075" s="573" t="s">
        <v>1773</v>
      </c>
      <c r="B1075" s="202" t="s">
        <v>3380</v>
      </c>
      <c r="C1075" s="202" t="s">
        <v>3381</v>
      </c>
      <c r="D1075" s="202" t="s">
        <v>131</v>
      </c>
      <c r="E1075" s="203"/>
      <c r="F1075" s="202">
        <v>2</v>
      </c>
      <c r="G1075" s="204" t="s">
        <v>2085</v>
      </c>
      <c r="H1075" s="203" t="s">
        <v>33</v>
      </c>
      <c r="I1075" s="203"/>
      <c r="J1075" s="203"/>
      <c r="K1075" s="203"/>
      <c r="L1075" s="584">
        <v>1980.2</v>
      </c>
      <c r="M1075" s="583">
        <v>1749.2</v>
      </c>
      <c r="N1075" s="203">
        <v>2020.12</v>
      </c>
      <c r="O1075" s="204" t="s">
        <v>2100</v>
      </c>
      <c r="P1075" s="204" t="s">
        <v>2087</v>
      </c>
      <c r="Q1075" s="206">
        <v>18135206600</v>
      </c>
      <c r="R1075" s="207" t="s">
        <v>2088</v>
      </c>
      <c r="S1075" s="208" t="s">
        <v>1736</v>
      </c>
      <c r="T1075" s="209"/>
    </row>
    <row r="1076" spans="1:20" ht="24.95" customHeight="1">
      <c r="A1076" s="573" t="s">
        <v>1780</v>
      </c>
      <c r="B1076" s="202" t="s">
        <v>3385</v>
      </c>
      <c r="C1076" s="202" t="s">
        <v>3386</v>
      </c>
      <c r="D1076" s="202" t="s">
        <v>464</v>
      </c>
      <c r="E1076" s="203"/>
      <c r="F1076" s="202">
        <v>345</v>
      </c>
      <c r="G1076" s="204" t="s">
        <v>2085</v>
      </c>
      <c r="H1076" s="203" t="s">
        <v>33</v>
      </c>
      <c r="I1076" s="203"/>
      <c r="J1076" s="203"/>
      <c r="K1076" s="203"/>
      <c r="L1076" s="584">
        <v>53592.23</v>
      </c>
      <c r="M1076" s="583">
        <v>47339.81</v>
      </c>
      <c r="N1076" s="203">
        <v>2020.12</v>
      </c>
      <c r="O1076" s="575" t="s">
        <v>3369</v>
      </c>
      <c r="P1076" s="204" t="s">
        <v>2087</v>
      </c>
      <c r="Q1076" s="206">
        <v>18135206600</v>
      </c>
      <c r="R1076" s="207" t="s">
        <v>2088</v>
      </c>
      <c r="S1076" s="208" t="s">
        <v>1736</v>
      </c>
      <c r="T1076" s="209"/>
    </row>
    <row r="1077" spans="1:20" ht="24.95" customHeight="1">
      <c r="A1077" s="573" t="s">
        <v>1783</v>
      </c>
      <c r="B1077" s="202" t="s">
        <v>3387</v>
      </c>
      <c r="C1077" s="202" t="s">
        <v>3388</v>
      </c>
      <c r="D1077" s="202" t="s">
        <v>31</v>
      </c>
      <c r="E1077" s="203"/>
      <c r="F1077" s="202">
        <v>88</v>
      </c>
      <c r="G1077" s="204" t="s">
        <v>2085</v>
      </c>
      <c r="H1077" s="203" t="s">
        <v>33</v>
      </c>
      <c r="I1077" s="203"/>
      <c r="J1077" s="203"/>
      <c r="K1077" s="203"/>
      <c r="L1077" s="584">
        <v>12388.35</v>
      </c>
      <c r="M1077" s="583">
        <v>10943.07</v>
      </c>
      <c r="N1077" s="203">
        <v>2020.12</v>
      </c>
      <c r="O1077" s="575" t="s">
        <v>3369</v>
      </c>
      <c r="P1077" s="204" t="s">
        <v>2087</v>
      </c>
      <c r="Q1077" s="206">
        <v>18135206600</v>
      </c>
      <c r="R1077" s="207" t="s">
        <v>2088</v>
      </c>
      <c r="S1077" s="208" t="s">
        <v>1736</v>
      </c>
      <c r="T1077" s="209"/>
    </row>
    <row r="1078" spans="1:20" ht="24.95" customHeight="1">
      <c r="A1078" s="573" t="s">
        <v>1786</v>
      </c>
      <c r="B1078" s="203" t="s">
        <v>3385</v>
      </c>
      <c r="C1078" s="203" t="s">
        <v>3386</v>
      </c>
      <c r="D1078" s="202" t="s">
        <v>464</v>
      </c>
      <c r="E1078" s="203"/>
      <c r="F1078" s="373">
        <v>305</v>
      </c>
      <c r="G1078" s="204" t="s">
        <v>2085</v>
      </c>
      <c r="H1078" s="203" t="s">
        <v>33</v>
      </c>
      <c r="I1078" s="203"/>
      <c r="J1078" s="203"/>
      <c r="K1078" s="203"/>
      <c r="L1078" s="585">
        <v>49222.77</v>
      </c>
      <c r="M1078" s="585">
        <v>47308.55</v>
      </c>
      <c r="N1078" s="203">
        <v>2021.4</v>
      </c>
      <c r="O1078" s="575" t="s">
        <v>2740</v>
      </c>
      <c r="P1078" s="204" t="s">
        <v>2087</v>
      </c>
      <c r="Q1078" s="206">
        <v>18135206600</v>
      </c>
      <c r="R1078" s="586"/>
      <c r="S1078" s="208"/>
      <c r="T1078" s="209"/>
    </row>
    <row r="1079" spans="1:20" ht="24.95" customHeight="1">
      <c r="A1079" s="573" t="s">
        <v>1789</v>
      </c>
      <c r="B1079" s="168" t="s">
        <v>3389</v>
      </c>
      <c r="C1079" s="102" t="s">
        <v>3390</v>
      </c>
      <c r="D1079" s="329" t="s">
        <v>131</v>
      </c>
      <c r="E1079" s="102">
        <v>200</v>
      </c>
      <c r="F1079" s="329"/>
      <c r="G1079" s="102" t="s">
        <v>32</v>
      </c>
      <c r="H1079" s="105" t="s">
        <v>33</v>
      </c>
      <c r="I1079" s="329"/>
      <c r="J1079" s="329"/>
      <c r="K1079" s="102" t="s">
        <v>3391</v>
      </c>
      <c r="L1079" s="113">
        <v>2300.8849557522199</v>
      </c>
      <c r="M1079" s="148">
        <v>2300.8849557522199</v>
      </c>
      <c r="N1079" s="102">
        <v>2020.06</v>
      </c>
      <c r="O1079" s="102" t="s">
        <v>2627</v>
      </c>
      <c r="P1079" s="123" t="s">
        <v>2628</v>
      </c>
      <c r="Q1079" s="102">
        <v>15735100699</v>
      </c>
      <c r="R1079" s="106" t="s">
        <v>2629</v>
      </c>
      <c r="S1079" s="576" t="s">
        <v>1736</v>
      </c>
      <c r="T1079" s="351"/>
    </row>
    <row r="1080" spans="1:20" ht="24.95" customHeight="1">
      <c r="A1080" s="573" t="s">
        <v>1796</v>
      </c>
      <c r="B1080" s="168" t="s">
        <v>3392</v>
      </c>
      <c r="C1080" s="102" t="s">
        <v>3393</v>
      </c>
      <c r="D1080" s="329" t="s">
        <v>131</v>
      </c>
      <c r="E1080" s="102">
        <v>200</v>
      </c>
      <c r="F1080" s="329"/>
      <c r="G1080" s="102" t="s">
        <v>32</v>
      </c>
      <c r="H1080" s="105" t="s">
        <v>33</v>
      </c>
      <c r="I1080" s="329"/>
      <c r="J1080" s="329"/>
      <c r="K1080" s="102" t="s">
        <v>3391</v>
      </c>
      <c r="L1080" s="113">
        <v>44247.787610619402</v>
      </c>
      <c r="M1080" s="148">
        <v>44247.787610619402</v>
      </c>
      <c r="N1080" s="102">
        <v>2020.06</v>
      </c>
      <c r="O1080" s="102" t="s">
        <v>2627</v>
      </c>
      <c r="P1080" s="123" t="s">
        <v>2628</v>
      </c>
      <c r="Q1080" s="102">
        <v>15735100699</v>
      </c>
      <c r="R1080" s="106" t="s">
        <v>2629</v>
      </c>
      <c r="S1080" s="576" t="s">
        <v>1736</v>
      </c>
      <c r="T1080" s="351"/>
    </row>
    <row r="1081" spans="1:20" ht="24.95" customHeight="1">
      <c r="A1081" s="573" t="s">
        <v>1799</v>
      </c>
      <c r="B1081" s="168" t="s">
        <v>3394</v>
      </c>
      <c r="C1081" s="102" t="s">
        <v>3395</v>
      </c>
      <c r="D1081" s="329" t="s">
        <v>131</v>
      </c>
      <c r="E1081" s="102">
        <v>200</v>
      </c>
      <c r="F1081" s="329"/>
      <c r="G1081" s="102" t="s">
        <v>32</v>
      </c>
      <c r="H1081" s="105" t="s">
        <v>33</v>
      </c>
      <c r="I1081" s="329"/>
      <c r="J1081" s="329"/>
      <c r="K1081" s="102" t="s">
        <v>3391</v>
      </c>
      <c r="L1081" s="113">
        <v>44247.787610619402</v>
      </c>
      <c r="M1081" s="148">
        <v>44247.787610619402</v>
      </c>
      <c r="N1081" s="102">
        <v>2020.06</v>
      </c>
      <c r="O1081" s="102" t="s">
        <v>2627</v>
      </c>
      <c r="P1081" s="123" t="s">
        <v>2628</v>
      </c>
      <c r="Q1081" s="102">
        <v>15735100699</v>
      </c>
      <c r="R1081" s="106" t="s">
        <v>2629</v>
      </c>
      <c r="S1081" s="576" t="s">
        <v>1736</v>
      </c>
      <c r="T1081" s="351"/>
    </row>
    <row r="1082" spans="1:20" ht="24.95" customHeight="1">
      <c r="A1082" s="573" t="s">
        <v>1801</v>
      </c>
      <c r="B1082" s="168" t="s">
        <v>3396</v>
      </c>
      <c r="C1082" s="102" t="s">
        <v>3397</v>
      </c>
      <c r="D1082" s="329" t="s">
        <v>131</v>
      </c>
      <c r="E1082" s="102">
        <v>200</v>
      </c>
      <c r="F1082" s="329"/>
      <c r="G1082" s="102" t="s">
        <v>32</v>
      </c>
      <c r="H1082" s="105" t="s">
        <v>33</v>
      </c>
      <c r="I1082" s="329"/>
      <c r="J1082" s="329"/>
      <c r="K1082" s="102" t="s">
        <v>3391</v>
      </c>
      <c r="L1082" s="113">
        <v>46902.654867256599</v>
      </c>
      <c r="M1082" s="148">
        <v>46902.654867256599</v>
      </c>
      <c r="N1082" s="102">
        <v>2020.06</v>
      </c>
      <c r="O1082" s="102" t="s">
        <v>2627</v>
      </c>
      <c r="P1082" s="123" t="s">
        <v>2628</v>
      </c>
      <c r="Q1082" s="102">
        <v>15735100699</v>
      </c>
      <c r="R1082" s="106" t="s">
        <v>2629</v>
      </c>
      <c r="S1082" s="576" t="s">
        <v>1736</v>
      </c>
      <c r="T1082" s="351"/>
    </row>
    <row r="1083" spans="1:20" ht="24.95" customHeight="1">
      <c r="A1083" s="573" t="s">
        <v>1802</v>
      </c>
      <c r="B1083" s="168" t="s">
        <v>3398</v>
      </c>
      <c r="C1083" s="102" t="s">
        <v>3399</v>
      </c>
      <c r="D1083" s="329" t="s">
        <v>131</v>
      </c>
      <c r="E1083" s="102">
        <v>400</v>
      </c>
      <c r="F1083" s="329"/>
      <c r="G1083" s="102" t="s">
        <v>32</v>
      </c>
      <c r="H1083" s="105" t="s">
        <v>33</v>
      </c>
      <c r="I1083" s="329"/>
      <c r="J1083" s="329"/>
      <c r="K1083" s="102" t="s">
        <v>3391</v>
      </c>
      <c r="L1083" s="113">
        <v>118584.07079646</v>
      </c>
      <c r="M1083" s="148">
        <v>118584.07079646</v>
      </c>
      <c r="N1083" s="102">
        <v>2020.06</v>
      </c>
      <c r="O1083" s="102" t="s">
        <v>2627</v>
      </c>
      <c r="P1083" s="123" t="s">
        <v>2628</v>
      </c>
      <c r="Q1083" s="102">
        <v>15735100699</v>
      </c>
      <c r="R1083" s="106" t="s">
        <v>2629</v>
      </c>
      <c r="S1083" s="576" t="s">
        <v>1736</v>
      </c>
      <c r="T1083" s="351"/>
    </row>
    <row r="1084" spans="1:20" ht="24.95" customHeight="1">
      <c r="A1084" s="573" t="s">
        <v>1807</v>
      </c>
      <c r="B1084" s="168" t="s">
        <v>3400</v>
      </c>
      <c r="C1084" s="102" t="s">
        <v>3401</v>
      </c>
      <c r="D1084" s="329" t="s">
        <v>131</v>
      </c>
      <c r="E1084" s="102">
        <v>260</v>
      </c>
      <c r="F1084" s="329"/>
      <c r="G1084" s="102" t="s">
        <v>32</v>
      </c>
      <c r="H1084" s="105" t="s">
        <v>33</v>
      </c>
      <c r="I1084" s="329"/>
      <c r="J1084" s="329"/>
      <c r="K1084" s="102" t="s">
        <v>3402</v>
      </c>
      <c r="L1084" s="113">
        <v>14955.7522123894</v>
      </c>
      <c r="M1084" s="148">
        <v>14955.7522123894</v>
      </c>
      <c r="N1084" s="102">
        <v>2020.06</v>
      </c>
      <c r="O1084" s="102" t="s">
        <v>2627</v>
      </c>
      <c r="P1084" s="123" t="s">
        <v>2628</v>
      </c>
      <c r="Q1084" s="102">
        <v>15735100699</v>
      </c>
      <c r="R1084" s="106" t="s">
        <v>2629</v>
      </c>
      <c r="S1084" s="576" t="s">
        <v>1736</v>
      </c>
      <c r="T1084" s="351"/>
    </row>
    <row r="1085" spans="1:20" ht="24.95" customHeight="1">
      <c r="A1085" s="573" t="s">
        <v>2624</v>
      </c>
      <c r="B1085" s="168" t="s">
        <v>3403</v>
      </c>
      <c r="C1085" s="102" t="s">
        <v>3404</v>
      </c>
      <c r="D1085" s="329" t="s">
        <v>131</v>
      </c>
      <c r="E1085" s="102">
        <v>90</v>
      </c>
      <c r="F1085" s="329"/>
      <c r="G1085" s="102" t="s">
        <v>32</v>
      </c>
      <c r="H1085" s="105" t="s">
        <v>33</v>
      </c>
      <c r="I1085" s="329"/>
      <c r="J1085" s="329"/>
      <c r="K1085" s="102" t="s">
        <v>3402</v>
      </c>
      <c r="L1085" s="113">
        <v>5176.9911504424799</v>
      </c>
      <c r="M1085" s="148">
        <v>5176.9911504424799</v>
      </c>
      <c r="N1085" s="102">
        <v>2020.06</v>
      </c>
      <c r="O1085" s="102" t="s">
        <v>2627</v>
      </c>
      <c r="P1085" s="123" t="s">
        <v>2628</v>
      </c>
      <c r="Q1085" s="102">
        <v>15735100699</v>
      </c>
      <c r="R1085" s="106" t="s">
        <v>2629</v>
      </c>
      <c r="S1085" s="576" t="s">
        <v>1736</v>
      </c>
      <c r="T1085" s="351"/>
    </row>
    <row r="1086" spans="1:20" ht="24.95" customHeight="1">
      <c r="A1086" s="573" t="s">
        <v>1808</v>
      </c>
      <c r="B1086" s="168" t="s">
        <v>3405</v>
      </c>
      <c r="C1086" s="102" t="s">
        <v>3406</v>
      </c>
      <c r="D1086" s="329" t="s">
        <v>131</v>
      </c>
      <c r="E1086" s="102">
        <v>90</v>
      </c>
      <c r="F1086" s="329"/>
      <c r="G1086" s="102" t="s">
        <v>32</v>
      </c>
      <c r="H1086" s="105" t="s">
        <v>33</v>
      </c>
      <c r="I1086" s="329"/>
      <c r="J1086" s="329"/>
      <c r="K1086" s="102" t="s">
        <v>3402</v>
      </c>
      <c r="L1086" s="113">
        <v>5176.9911504424799</v>
      </c>
      <c r="M1086" s="148">
        <v>5176.9911504424799</v>
      </c>
      <c r="N1086" s="102">
        <v>2020.06</v>
      </c>
      <c r="O1086" s="102" t="s">
        <v>2627</v>
      </c>
      <c r="P1086" s="123" t="s">
        <v>2628</v>
      </c>
      <c r="Q1086" s="102">
        <v>15735100699</v>
      </c>
      <c r="R1086" s="106" t="s">
        <v>2629</v>
      </c>
      <c r="S1086" s="576" t="s">
        <v>1736</v>
      </c>
      <c r="T1086" s="351"/>
    </row>
    <row r="1087" spans="1:20" ht="24.95" customHeight="1">
      <c r="A1087" s="573" t="s">
        <v>1814</v>
      </c>
      <c r="B1087" s="168" t="s">
        <v>3407</v>
      </c>
      <c r="C1087" s="102" t="s">
        <v>3408</v>
      </c>
      <c r="D1087" s="329" t="s">
        <v>131</v>
      </c>
      <c r="E1087" s="102">
        <v>45</v>
      </c>
      <c r="F1087" s="329"/>
      <c r="G1087" s="102" t="s">
        <v>32</v>
      </c>
      <c r="H1087" s="105" t="s">
        <v>33</v>
      </c>
      <c r="I1087" s="329"/>
      <c r="J1087" s="329"/>
      <c r="K1087" s="102" t="s">
        <v>3402</v>
      </c>
      <c r="L1087" s="113">
        <v>2588.49557522124</v>
      </c>
      <c r="M1087" s="148">
        <v>2588.49557522124</v>
      </c>
      <c r="N1087" s="102">
        <v>2020.06</v>
      </c>
      <c r="O1087" s="102" t="s">
        <v>2627</v>
      </c>
      <c r="P1087" s="123" t="s">
        <v>2628</v>
      </c>
      <c r="Q1087" s="102">
        <v>15735100699</v>
      </c>
      <c r="R1087" s="106" t="s">
        <v>2629</v>
      </c>
      <c r="S1087" s="576" t="s">
        <v>1736</v>
      </c>
      <c r="T1087" s="351"/>
    </row>
    <row r="1088" spans="1:20" ht="24.95" customHeight="1">
      <c r="A1088" s="573" t="s">
        <v>1818</v>
      </c>
      <c r="B1088" s="168" t="s">
        <v>3409</v>
      </c>
      <c r="C1088" s="102" t="s">
        <v>3410</v>
      </c>
      <c r="D1088" s="329" t="s">
        <v>131</v>
      </c>
      <c r="E1088" s="102">
        <v>260</v>
      </c>
      <c r="F1088" s="329"/>
      <c r="G1088" s="102" t="s">
        <v>32</v>
      </c>
      <c r="H1088" s="105" t="s">
        <v>33</v>
      </c>
      <c r="I1088" s="329"/>
      <c r="J1088" s="329"/>
      <c r="K1088" s="102" t="s">
        <v>3402</v>
      </c>
      <c r="L1088" s="113">
        <v>14955.7522123894</v>
      </c>
      <c r="M1088" s="148">
        <v>14955.7522123894</v>
      </c>
      <c r="N1088" s="102">
        <v>2020.06</v>
      </c>
      <c r="O1088" s="102" t="s">
        <v>2627</v>
      </c>
      <c r="P1088" s="123" t="s">
        <v>2628</v>
      </c>
      <c r="Q1088" s="102">
        <v>15735100699</v>
      </c>
      <c r="R1088" s="106" t="s">
        <v>2629</v>
      </c>
      <c r="S1088" s="576" t="s">
        <v>1736</v>
      </c>
      <c r="T1088" s="351"/>
    </row>
    <row r="1089" spans="1:20" ht="24.95" customHeight="1">
      <c r="A1089" s="573" t="s">
        <v>1820</v>
      </c>
      <c r="B1089" s="168" t="s">
        <v>3411</v>
      </c>
      <c r="C1089" s="102" t="s">
        <v>3412</v>
      </c>
      <c r="D1089" s="329" t="s">
        <v>131</v>
      </c>
      <c r="E1089" s="102">
        <v>20</v>
      </c>
      <c r="F1089" s="329"/>
      <c r="G1089" s="102" t="s">
        <v>32</v>
      </c>
      <c r="H1089" s="105" t="s">
        <v>33</v>
      </c>
      <c r="I1089" s="329"/>
      <c r="J1089" s="329"/>
      <c r="K1089" s="102" t="s">
        <v>3402</v>
      </c>
      <c r="L1089" s="113">
        <v>1150.4424778761099</v>
      </c>
      <c r="M1089" s="148">
        <v>1150.4424778761099</v>
      </c>
      <c r="N1089" s="102">
        <v>2020.06</v>
      </c>
      <c r="O1089" s="102" t="s">
        <v>2627</v>
      </c>
      <c r="P1089" s="123" t="s">
        <v>2628</v>
      </c>
      <c r="Q1089" s="102">
        <v>15735100699</v>
      </c>
      <c r="R1089" s="106" t="s">
        <v>2629</v>
      </c>
      <c r="S1089" s="576" t="s">
        <v>1736</v>
      </c>
      <c r="T1089" s="351"/>
    </row>
    <row r="1090" spans="1:20" ht="24.95" customHeight="1">
      <c r="A1090" s="573" t="s">
        <v>1823</v>
      </c>
      <c r="B1090" s="168" t="s">
        <v>3413</v>
      </c>
      <c r="C1090" s="102" t="s">
        <v>3414</v>
      </c>
      <c r="D1090" s="329" t="s">
        <v>131</v>
      </c>
      <c r="E1090" s="102">
        <v>150</v>
      </c>
      <c r="F1090" s="329"/>
      <c r="G1090" s="102" t="s">
        <v>32</v>
      </c>
      <c r="H1090" s="105" t="s">
        <v>33</v>
      </c>
      <c r="I1090" s="329"/>
      <c r="J1090" s="329"/>
      <c r="K1090" s="102" t="s">
        <v>3402</v>
      </c>
      <c r="L1090" s="113">
        <v>8628.3185840707993</v>
      </c>
      <c r="M1090" s="148">
        <v>8628.3185840707993</v>
      </c>
      <c r="N1090" s="102">
        <v>2020.06</v>
      </c>
      <c r="O1090" s="102" t="s">
        <v>2627</v>
      </c>
      <c r="P1090" s="123" t="s">
        <v>2628</v>
      </c>
      <c r="Q1090" s="102">
        <v>15735100699</v>
      </c>
      <c r="R1090" s="106" t="s">
        <v>2629</v>
      </c>
      <c r="S1090" s="576" t="s">
        <v>1736</v>
      </c>
      <c r="T1090" s="351"/>
    </row>
    <row r="1091" spans="1:20" ht="24.95" customHeight="1">
      <c r="A1091" s="573" t="s">
        <v>1825</v>
      </c>
      <c r="B1091" s="168" t="s">
        <v>3415</v>
      </c>
      <c r="C1091" s="102" t="s">
        <v>3416</v>
      </c>
      <c r="D1091" s="329" t="s">
        <v>131</v>
      </c>
      <c r="E1091" s="102">
        <v>300</v>
      </c>
      <c r="F1091" s="329"/>
      <c r="G1091" s="102" t="s">
        <v>32</v>
      </c>
      <c r="H1091" s="105" t="s">
        <v>33</v>
      </c>
      <c r="I1091" s="329"/>
      <c r="J1091" s="329"/>
      <c r="K1091" s="102" t="s">
        <v>3402</v>
      </c>
      <c r="L1091" s="113">
        <v>4778.7610619468996</v>
      </c>
      <c r="M1091" s="148">
        <v>4778.7610619468996</v>
      </c>
      <c r="N1091" s="102">
        <v>2020.06</v>
      </c>
      <c r="O1091" s="102" t="s">
        <v>2627</v>
      </c>
      <c r="P1091" s="123" t="s">
        <v>2628</v>
      </c>
      <c r="Q1091" s="102">
        <v>15735100699</v>
      </c>
      <c r="R1091" s="106" t="s">
        <v>2629</v>
      </c>
      <c r="S1091" s="576" t="s">
        <v>1736</v>
      </c>
      <c r="T1091" s="351"/>
    </row>
    <row r="1092" spans="1:20" ht="24.95" customHeight="1">
      <c r="A1092" s="573" t="s">
        <v>1829</v>
      </c>
      <c r="B1092" s="168" t="s">
        <v>3417</v>
      </c>
      <c r="C1092" s="102" t="s">
        <v>3418</v>
      </c>
      <c r="D1092" s="329" t="s">
        <v>131</v>
      </c>
      <c r="E1092" s="102">
        <v>110</v>
      </c>
      <c r="F1092" s="329"/>
      <c r="G1092" s="102" t="s">
        <v>32</v>
      </c>
      <c r="H1092" s="105" t="s">
        <v>33</v>
      </c>
      <c r="I1092" s="329"/>
      <c r="J1092" s="329"/>
      <c r="K1092" s="102" t="s">
        <v>3402</v>
      </c>
      <c r="L1092" s="113">
        <v>11681.4159292036</v>
      </c>
      <c r="M1092" s="148">
        <v>11681.4159292036</v>
      </c>
      <c r="N1092" s="102">
        <v>2020.06</v>
      </c>
      <c r="O1092" s="102" t="s">
        <v>2627</v>
      </c>
      <c r="P1092" s="123" t="s">
        <v>2628</v>
      </c>
      <c r="Q1092" s="102">
        <v>15735100699</v>
      </c>
      <c r="R1092" s="106" t="s">
        <v>2629</v>
      </c>
      <c r="S1092" s="576" t="s">
        <v>1736</v>
      </c>
      <c r="T1092" s="351"/>
    </row>
    <row r="1093" spans="1:20" ht="24.95" customHeight="1">
      <c r="A1093" s="573" t="s">
        <v>1833</v>
      </c>
      <c r="B1093" s="168" t="s">
        <v>3419</v>
      </c>
      <c r="C1093" s="102" t="s">
        <v>3416</v>
      </c>
      <c r="D1093" s="329" t="s">
        <v>131</v>
      </c>
      <c r="E1093" s="102">
        <v>220</v>
      </c>
      <c r="F1093" s="329"/>
      <c r="G1093" s="102" t="s">
        <v>32</v>
      </c>
      <c r="H1093" s="105" t="s">
        <v>33</v>
      </c>
      <c r="I1093" s="329"/>
      <c r="J1093" s="329"/>
      <c r="K1093" s="102" t="s">
        <v>3402</v>
      </c>
      <c r="L1093" s="113">
        <v>19469.026548672598</v>
      </c>
      <c r="M1093" s="148">
        <v>19469.026548672598</v>
      </c>
      <c r="N1093" s="102">
        <v>2020.06</v>
      </c>
      <c r="O1093" s="102" t="s">
        <v>2627</v>
      </c>
      <c r="P1093" s="123" t="s">
        <v>2628</v>
      </c>
      <c r="Q1093" s="102">
        <v>15735100699</v>
      </c>
      <c r="R1093" s="106" t="s">
        <v>2629</v>
      </c>
      <c r="S1093" s="576" t="s">
        <v>1736</v>
      </c>
      <c r="T1093" s="351"/>
    </row>
    <row r="1094" spans="1:20" ht="24.95" customHeight="1">
      <c r="A1094" s="573" t="s">
        <v>1835</v>
      </c>
      <c r="B1094" s="168" t="s">
        <v>3420</v>
      </c>
      <c r="C1094" s="102" t="s">
        <v>2994</v>
      </c>
      <c r="D1094" s="329" t="s">
        <v>131</v>
      </c>
      <c r="E1094" s="102">
        <v>150</v>
      </c>
      <c r="F1094" s="329"/>
      <c r="G1094" s="102" t="s">
        <v>32</v>
      </c>
      <c r="H1094" s="105" t="s">
        <v>33</v>
      </c>
      <c r="I1094" s="329"/>
      <c r="J1094" s="329"/>
      <c r="K1094" s="102" t="s">
        <v>3402</v>
      </c>
      <c r="L1094" s="113">
        <v>13274.336283185799</v>
      </c>
      <c r="M1094" s="148">
        <v>13274.336283185799</v>
      </c>
      <c r="N1094" s="102">
        <v>2020.06</v>
      </c>
      <c r="O1094" s="102" t="s">
        <v>2627</v>
      </c>
      <c r="P1094" s="123" t="s">
        <v>2628</v>
      </c>
      <c r="Q1094" s="102">
        <v>15735100699</v>
      </c>
      <c r="R1094" s="106" t="s">
        <v>2629</v>
      </c>
      <c r="S1094" s="576" t="s">
        <v>1736</v>
      </c>
      <c r="T1094" s="351"/>
    </row>
    <row r="1095" spans="1:20" ht="24.95" customHeight="1">
      <c r="A1095" s="573" t="s">
        <v>1838</v>
      </c>
      <c r="B1095" s="168" t="s">
        <v>3421</v>
      </c>
      <c r="C1095" s="102" t="s">
        <v>3422</v>
      </c>
      <c r="D1095" s="329" t="s">
        <v>131</v>
      </c>
      <c r="E1095" s="102">
        <v>75</v>
      </c>
      <c r="F1095" s="329"/>
      <c r="G1095" s="102" t="s">
        <v>32</v>
      </c>
      <c r="H1095" s="105" t="s">
        <v>33</v>
      </c>
      <c r="I1095" s="329"/>
      <c r="J1095" s="329"/>
      <c r="K1095" s="102" t="s">
        <v>3402</v>
      </c>
      <c r="L1095" s="113">
        <v>6637.1681415929197</v>
      </c>
      <c r="M1095" s="148">
        <v>6637.1681415929197</v>
      </c>
      <c r="N1095" s="102">
        <v>2020.06</v>
      </c>
      <c r="O1095" s="102" t="s">
        <v>2627</v>
      </c>
      <c r="P1095" s="123" t="s">
        <v>2628</v>
      </c>
      <c r="Q1095" s="102">
        <v>15735100699</v>
      </c>
      <c r="R1095" s="106" t="s">
        <v>2629</v>
      </c>
      <c r="S1095" s="576" t="s">
        <v>1736</v>
      </c>
      <c r="T1095" s="351"/>
    </row>
    <row r="1096" spans="1:20" ht="24.95" customHeight="1">
      <c r="A1096" s="573" t="s">
        <v>1840</v>
      </c>
      <c r="B1096" s="168" t="s">
        <v>3423</v>
      </c>
      <c r="C1096" s="102" t="s">
        <v>3424</v>
      </c>
      <c r="D1096" s="329" t="s">
        <v>131</v>
      </c>
      <c r="E1096" s="102">
        <v>75</v>
      </c>
      <c r="F1096" s="329"/>
      <c r="G1096" s="102" t="s">
        <v>32</v>
      </c>
      <c r="H1096" s="105" t="s">
        <v>33</v>
      </c>
      <c r="I1096" s="329"/>
      <c r="J1096" s="329"/>
      <c r="K1096" s="102" t="s">
        <v>3402</v>
      </c>
      <c r="L1096" s="113">
        <v>6637.1681415929197</v>
      </c>
      <c r="M1096" s="148">
        <v>6637.1681415929197</v>
      </c>
      <c r="N1096" s="102">
        <v>2020.06</v>
      </c>
      <c r="O1096" s="102" t="s">
        <v>2627</v>
      </c>
      <c r="P1096" s="123" t="s">
        <v>2628</v>
      </c>
      <c r="Q1096" s="102">
        <v>15735100699</v>
      </c>
      <c r="R1096" s="106" t="s">
        <v>2629</v>
      </c>
      <c r="S1096" s="576" t="s">
        <v>1736</v>
      </c>
      <c r="T1096" s="351"/>
    </row>
    <row r="1097" spans="1:20" ht="24.95" customHeight="1">
      <c r="A1097" s="573" t="s">
        <v>1843</v>
      </c>
      <c r="B1097" s="168" t="s">
        <v>3425</v>
      </c>
      <c r="C1097" s="102" t="s">
        <v>3426</v>
      </c>
      <c r="D1097" s="329" t="s">
        <v>131</v>
      </c>
      <c r="E1097" s="102">
        <v>180</v>
      </c>
      <c r="F1097" s="329"/>
      <c r="G1097" s="102" t="s">
        <v>32</v>
      </c>
      <c r="H1097" s="105" t="s">
        <v>33</v>
      </c>
      <c r="I1097" s="329"/>
      <c r="J1097" s="329"/>
      <c r="K1097" s="102" t="s">
        <v>3402</v>
      </c>
      <c r="L1097" s="113">
        <v>3663.7168141593002</v>
      </c>
      <c r="M1097" s="148">
        <v>3663.7168141593002</v>
      </c>
      <c r="N1097" s="102">
        <v>2020.06</v>
      </c>
      <c r="O1097" s="102" t="s">
        <v>2627</v>
      </c>
      <c r="P1097" s="123" t="s">
        <v>2628</v>
      </c>
      <c r="Q1097" s="102">
        <v>15735100699</v>
      </c>
      <c r="R1097" s="106" t="s">
        <v>2629</v>
      </c>
      <c r="S1097" s="576" t="s">
        <v>1736</v>
      </c>
      <c r="T1097" s="351"/>
    </row>
    <row r="1098" spans="1:20" ht="24.95" customHeight="1">
      <c r="A1098" s="573" t="s">
        <v>1846</v>
      </c>
      <c r="B1098" s="168" t="s">
        <v>3427</v>
      </c>
      <c r="C1098" s="102" t="s">
        <v>3426</v>
      </c>
      <c r="D1098" s="329" t="s">
        <v>131</v>
      </c>
      <c r="E1098" s="102">
        <v>180</v>
      </c>
      <c r="F1098" s="329"/>
      <c r="G1098" s="102" t="s">
        <v>32</v>
      </c>
      <c r="H1098" s="105" t="s">
        <v>33</v>
      </c>
      <c r="I1098" s="329"/>
      <c r="J1098" s="329"/>
      <c r="K1098" s="102" t="s">
        <v>3402</v>
      </c>
      <c r="L1098" s="113">
        <v>3345.1327433628398</v>
      </c>
      <c r="M1098" s="148">
        <v>3345.1327433628398</v>
      </c>
      <c r="N1098" s="102">
        <v>2020.06</v>
      </c>
      <c r="O1098" s="102" t="s">
        <v>2627</v>
      </c>
      <c r="P1098" s="123" t="s">
        <v>2628</v>
      </c>
      <c r="Q1098" s="102">
        <v>15735100699</v>
      </c>
      <c r="R1098" s="106" t="s">
        <v>2629</v>
      </c>
      <c r="S1098" s="576" t="s">
        <v>1736</v>
      </c>
      <c r="T1098" s="351"/>
    </row>
    <row r="1099" spans="1:20" ht="24.95" customHeight="1">
      <c r="A1099" s="573" t="s">
        <v>1847</v>
      </c>
      <c r="B1099" s="168" t="s">
        <v>3428</v>
      </c>
      <c r="C1099" s="102" t="s">
        <v>3429</v>
      </c>
      <c r="D1099" s="329" t="s">
        <v>131</v>
      </c>
      <c r="E1099" s="102">
        <v>125</v>
      </c>
      <c r="F1099" s="329"/>
      <c r="G1099" s="102" t="s">
        <v>32</v>
      </c>
      <c r="H1099" s="105" t="s">
        <v>33</v>
      </c>
      <c r="I1099" s="329"/>
      <c r="J1099" s="329"/>
      <c r="K1099" s="102" t="s">
        <v>3402</v>
      </c>
      <c r="L1099" s="113">
        <v>3318.5840707964599</v>
      </c>
      <c r="M1099" s="148">
        <v>3318.5840707964599</v>
      </c>
      <c r="N1099" s="102">
        <v>2020.06</v>
      </c>
      <c r="O1099" s="102" t="s">
        <v>2627</v>
      </c>
      <c r="P1099" s="123" t="s">
        <v>2628</v>
      </c>
      <c r="Q1099" s="102">
        <v>15735100699</v>
      </c>
      <c r="R1099" s="106" t="s">
        <v>2629</v>
      </c>
      <c r="S1099" s="576" t="s">
        <v>1736</v>
      </c>
      <c r="T1099" s="351"/>
    </row>
    <row r="1100" spans="1:20" ht="24.95" customHeight="1">
      <c r="A1100" s="573" t="s">
        <v>1848</v>
      </c>
      <c r="B1100" s="168" t="s">
        <v>3430</v>
      </c>
      <c r="C1100" s="102" t="s">
        <v>3431</v>
      </c>
      <c r="D1100" s="329" t="s">
        <v>131</v>
      </c>
      <c r="E1100" s="102">
        <v>550</v>
      </c>
      <c r="F1100" s="329"/>
      <c r="G1100" s="102" t="s">
        <v>32</v>
      </c>
      <c r="H1100" s="105" t="s">
        <v>33</v>
      </c>
      <c r="I1100" s="329"/>
      <c r="J1100" s="329"/>
      <c r="K1100" s="102" t="s">
        <v>3402</v>
      </c>
      <c r="L1100" s="113">
        <v>12168.141592920299</v>
      </c>
      <c r="M1100" s="148">
        <v>12168.141592920299</v>
      </c>
      <c r="N1100" s="102">
        <v>2020.06</v>
      </c>
      <c r="O1100" s="102" t="s">
        <v>2627</v>
      </c>
      <c r="P1100" s="123" t="s">
        <v>2628</v>
      </c>
      <c r="Q1100" s="102">
        <v>15735100699</v>
      </c>
      <c r="R1100" s="106" t="s">
        <v>2629</v>
      </c>
      <c r="S1100" s="576" t="s">
        <v>1736</v>
      </c>
      <c r="T1100" s="351"/>
    </row>
    <row r="1101" spans="1:20" ht="24.95" customHeight="1">
      <c r="A1101" s="573" t="s">
        <v>1852</v>
      </c>
      <c r="B1101" s="168" t="s">
        <v>3432</v>
      </c>
      <c r="C1101" s="102" t="s">
        <v>3433</v>
      </c>
      <c r="D1101" s="329" t="s">
        <v>131</v>
      </c>
      <c r="E1101" s="102">
        <v>50</v>
      </c>
      <c r="F1101" s="329"/>
      <c r="G1101" s="102" t="s">
        <v>32</v>
      </c>
      <c r="H1101" s="105" t="s">
        <v>33</v>
      </c>
      <c r="I1101" s="329"/>
      <c r="J1101" s="329"/>
      <c r="K1101" s="102" t="s">
        <v>3402</v>
      </c>
      <c r="L1101" s="113">
        <v>2654.8672566371702</v>
      </c>
      <c r="M1101" s="148">
        <v>2654.8672566371702</v>
      </c>
      <c r="N1101" s="102">
        <v>2020.06</v>
      </c>
      <c r="O1101" s="102" t="s">
        <v>2627</v>
      </c>
      <c r="P1101" s="123" t="s">
        <v>2628</v>
      </c>
      <c r="Q1101" s="102">
        <v>15735100699</v>
      </c>
      <c r="R1101" s="106" t="s">
        <v>2629</v>
      </c>
      <c r="S1101" s="576" t="s">
        <v>1736</v>
      </c>
      <c r="T1101" s="351"/>
    </row>
    <row r="1102" spans="1:20" ht="24.95" customHeight="1">
      <c r="A1102" s="573" t="s">
        <v>1855</v>
      </c>
      <c r="B1102" s="168" t="s">
        <v>3434</v>
      </c>
      <c r="C1102" s="102" t="s">
        <v>3435</v>
      </c>
      <c r="D1102" s="329" t="s">
        <v>131</v>
      </c>
      <c r="E1102" s="102">
        <v>15</v>
      </c>
      <c r="F1102" s="329"/>
      <c r="G1102" s="102" t="s">
        <v>32</v>
      </c>
      <c r="H1102" s="105" t="s">
        <v>33</v>
      </c>
      <c r="I1102" s="329"/>
      <c r="J1102" s="329"/>
      <c r="K1102" s="102" t="s">
        <v>3402</v>
      </c>
      <c r="L1102" s="113">
        <v>530.97345132743396</v>
      </c>
      <c r="M1102" s="148">
        <v>530.97345132743396</v>
      </c>
      <c r="N1102" s="102">
        <v>2020.06</v>
      </c>
      <c r="O1102" s="102" t="s">
        <v>2627</v>
      </c>
      <c r="P1102" s="123" t="s">
        <v>2628</v>
      </c>
      <c r="Q1102" s="102">
        <v>15735100699</v>
      </c>
      <c r="R1102" s="106" t="s">
        <v>2629</v>
      </c>
      <c r="S1102" s="576" t="s">
        <v>1736</v>
      </c>
      <c r="T1102" s="351"/>
    </row>
    <row r="1103" spans="1:20" ht="24.95" customHeight="1">
      <c r="A1103" s="573" t="s">
        <v>1857</v>
      </c>
      <c r="B1103" s="168" t="s">
        <v>3436</v>
      </c>
      <c r="C1103" s="102" t="s">
        <v>3437</v>
      </c>
      <c r="D1103" s="329" t="s">
        <v>131</v>
      </c>
      <c r="E1103" s="102">
        <v>30</v>
      </c>
      <c r="F1103" s="329"/>
      <c r="G1103" s="102" t="s">
        <v>32</v>
      </c>
      <c r="H1103" s="105" t="s">
        <v>33</v>
      </c>
      <c r="I1103" s="329"/>
      <c r="J1103" s="329"/>
      <c r="K1103" s="102" t="s">
        <v>3402</v>
      </c>
      <c r="L1103" s="113">
        <v>530.97345132743396</v>
      </c>
      <c r="M1103" s="148">
        <v>530.97345132743396</v>
      </c>
      <c r="N1103" s="102">
        <v>2020.06</v>
      </c>
      <c r="O1103" s="102" t="s">
        <v>2627</v>
      </c>
      <c r="P1103" s="123" t="s">
        <v>2628</v>
      </c>
      <c r="Q1103" s="102">
        <v>15735100699</v>
      </c>
      <c r="R1103" s="106" t="s">
        <v>2629</v>
      </c>
      <c r="S1103" s="576" t="s">
        <v>1736</v>
      </c>
      <c r="T1103" s="351"/>
    </row>
    <row r="1104" spans="1:20" ht="24.95" customHeight="1">
      <c r="A1104" s="573" t="s">
        <v>1858</v>
      </c>
      <c r="B1104" s="168" t="s">
        <v>3438</v>
      </c>
      <c r="C1104" s="102" t="s">
        <v>3439</v>
      </c>
      <c r="D1104" s="329" t="s">
        <v>131</v>
      </c>
      <c r="E1104" s="102">
        <v>10</v>
      </c>
      <c r="F1104" s="329"/>
      <c r="G1104" s="102" t="s">
        <v>32</v>
      </c>
      <c r="H1104" s="105" t="s">
        <v>33</v>
      </c>
      <c r="I1104" s="329"/>
      <c r="J1104" s="329"/>
      <c r="K1104" s="102" t="s">
        <v>3402</v>
      </c>
      <c r="L1104" s="113">
        <v>221.238938053097</v>
      </c>
      <c r="M1104" s="148">
        <v>221.238938053097</v>
      </c>
      <c r="N1104" s="102">
        <v>2020.06</v>
      </c>
      <c r="O1104" s="102" t="s">
        <v>2627</v>
      </c>
      <c r="P1104" s="123" t="s">
        <v>2628</v>
      </c>
      <c r="Q1104" s="102">
        <v>15735100699</v>
      </c>
      <c r="R1104" s="106" t="s">
        <v>2629</v>
      </c>
      <c r="S1104" s="576" t="s">
        <v>1736</v>
      </c>
      <c r="T1104" s="351"/>
    </row>
    <row r="1105" spans="1:26" ht="24.95" customHeight="1">
      <c r="A1105" s="573" t="s">
        <v>1859</v>
      </c>
      <c r="B1105" s="168" t="s">
        <v>3440</v>
      </c>
      <c r="C1105" s="102" t="s">
        <v>3441</v>
      </c>
      <c r="D1105" s="329" t="s">
        <v>131</v>
      </c>
      <c r="E1105" s="102">
        <v>30</v>
      </c>
      <c r="F1105" s="329"/>
      <c r="G1105" s="102" t="s">
        <v>32</v>
      </c>
      <c r="H1105" s="105" t="s">
        <v>33</v>
      </c>
      <c r="I1105" s="329"/>
      <c r="J1105" s="329"/>
      <c r="K1105" s="102" t="s">
        <v>3402</v>
      </c>
      <c r="L1105" s="113">
        <v>1592.9203539823</v>
      </c>
      <c r="M1105" s="148">
        <v>1592.9203539823</v>
      </c>
      <c r="N1105" s="102">
        <v>2020.06</v>
      </c>
      <c r="O1105" s="102" t="s">
        <v>2627</v>
      </c>
      <c r="P1105" s="123" t="s">
        <v>2628</v>
      </c>
      <c r="Q1105" s="102">
        <v>15735100699</v>
      </c>
      <c r="R1105" s="106" t="s">
        <v>2629</v>
      </c>
      <c r="S1105" s="576" t="s">
        <v>1736</v>
      </c>
      <c r="T1105" s="351"/>
    </row>
    <row r="1106" spans="1:26" ht="24.95" customHeight="1">
      <c r="A1106" s="573" t="s">
        <v>1861</v>
      </c>
      <c r="B1106" s="168" t="s">
        <v>3442</v>
      </c>
      <c r="C1106" s="102" t="s">
        <v>3443</v>
      </c>
      <c r="D1106" s="329" t="s">
        <v>131</v>
      </c>
      <c r="E1106" s="102">
        <v>10</v>
      </c>
      <c r="F1106" s="329"/>
      <c r="G1106" s="102" t="s">
        <v>32</v>
      </c>
      <c r="H1106" s="105" t="s">
        <v>33</v>
      </c>
      <c r="I1106" s="329"/>
      <c r="J1106" s="329"/>
      <c r="K1106" s="102" t="s">
        <v>3402</v>
      </c>
      <c r="L1106" s="113">
        <v>442.47787610619503</v>
      </c>
      <c r="M1106" s="148">
        <v>442.47787610619503</v>
      </c>
      <c r="N1106" s="102">
        <v>2020.06</v>
      </c>
      <c r="O1106" s="102" t="s">
        <v>2627</v>
      </c>
      <c r="P1106" s="123" t="s">
        <v>2628</v>
      </c>
      <c r="Q1106" s="102">
        <v>15735100699</v>
      </c>
      <c r="R1106" s="106" t="s">
        <v>2629</v>
      </c>
      <c r="S1106" s="576" t="s">
        <v>1736</v>
      </c>
      <c r="T1106" s="351"/>
    </row>
    <row r="1107" spans="1:26" ht="24.95" customHeight="1">
      <c r="A1107" s="573" t="s">
        <v>1862</v>
      </c>
      <c r="B1107" s="168" t="s">
        <v>3444</v>
      </c>
      <c r="C1107" s="351" t="s">
        <v>3445</v>
      </c>
      <c r="D1107" s="329" t="s">
        <v>131</v>
      </c>
      <c r="E1107" s="329">
        <v>5</v>
      </c>
      <c r="F1107" s="329"/>
      <c r="G1107" s="102" t="s">
        <v>32</v>
      </c>
      <c r="H1107" s="105" t="s">
        <v>33</v>
      </c>
      <c r="I1107" s="329"/>
      <c r="J1107" s="329"/>
      <c r="K1107" s="102" t="s">
        <v>3402</v>
      </c>
      <c r="L1107" s="343">
        <v>3761.0619469026601</v>
      </c>
      <c r="M1107" s="343">
        <v>3761.0619469026601</v>
      </c>
      <c r="N1107" s="102">
        <v>2020.06</v>
      </c>
      <c r="O1107" s="102" t="s">
        <v>2627</v>
      </c>
      <c r="P1107" s="123" t="s">
        <v>2628</v>
      </c>
      <c r="Q1107" s="102">
        <v>15735100699</v>
      </c>
      <c r="R1107" s="106" t="s">
        <v>2629</v>
      </c>
      <c r="S1107" s="576" t="s">
        <v>1736</v>
      </c>
      <c r="T1107" s="351"/>
    </row>
    <row r="1108" spans="1:26" ht="24.95" customHeight="1">
      <c r="A1108" s="573" t="s">
        <v>1863</v>
      </c>
      <c r="B1108" s="168" t="s">
        <v>3392</v>
      </c>
      <c r="C1108" s="351" t="s">
        <v>3446</v>
      </c>
      <c r="D1108" s="329" t="s">
        <v>131</v>
      </c>
      <c r="E1108" s="329">
        <v>24</v>
      </c>
      <c r="F1108" s="329"/>
      <c r="G1108" s="102" t="s">
        <v>32</v>
      </c>
      <c r="H1108" s="105" t="s">
        <v>33</v>
      </c>
      <c r="I1108" s="329"/>
      <c r="J1108" s="329"/>
      <c r="K1108" s="102" t="s">
        <v>3391</v>
      </c>
      <c r="L1108" s="343">
        <v>4672.5663716814197</v>
      </c>
      <c r="M1108" s="343">
        <v>4672.5663716814197</v>
      </c>
      <c r="N1108" s="102">
        <v>2020.08</v>
      </c>
      <c r="O1108" s="102" t="s">
        <v>2627</v>
      </c>
      <c r="P1108" s="123" t="s">
        <v>2628</v>
      </c>
      <c r="Q1108" s="102">
        <v>15735100699</v>
      </c>
      <c r="R1108" s="106" t="s">
        <v>2629</v>
      </c>
      <c r="S1108" s="576" t="s">
        <v>1736</v>
      </c>
      <c r="T1108" s="329"/>
    </row>
    <row r="1109" spans="1:26" ht="24.95" customHeight="1">
      <c r="A1109" s="573" t="s">
        <v>1864</v>
      </c>
      <c r="B1109" s="168" t="s">
        <v>3394</v>
      </c>
      <c r="C1109" s="351" t="s">
        <v>3446</v>
      </c>
      <c r="D1109" s="329" t="s">
        <v>131</v>
      </c>
      <c r="E1109" s="329">
        <v>24</v>
      </c>
      <c r="F1109" s="329"/>
      <c r="G1109" s="102" t="s">
        <v>32</v>
      </c>
      <c r="H1109" s="105" t="s">
        <v>33</v>
      </c>
      <c r="I1109" s="329"/>
      <c r="J1109" s="329"/>
      <c r="K1109" s="102" t="s">
        <v>3391</v>
      </c>
      <c r="L1109" s="343">
        <v>4247.7876106194699</v>
      </c>
      <c r="M1109" s="343">
        <v>4247.7876106194699</v>
      </c>
      <c r="N1109" s="102">
        <v>2020.08</v>
      </c>
      <c r="O1109" s="102" t="s">
        <v>2627</v>
      </c>
      <c r="P1109" s="123" t="s">
        <v>2628</v>
      </c>
      <c r="Q1109" s="102">
        <v>15735100699</v>
      </c>
      <c r="R1109" s="106" t="s">
        <v>2629</v>
      </c>
      <c r="S1109" s="576" t="s">
        <v>1736</v>
      </c>
      <c r="T1109" s="329"/>
    </row>
    <row r="1110" spans="1:26" ht="24.95" customHeight="1">
      <c r="A1110" s="573" t="s">
        <v>1865</v>
      </c>
      <c r="B1110" s="168" t="s">
        <v>2807</v>
      </c>
      <c r="C1110" s="351" t="s">
        <v>3447</v>
      </c>
      <c r="D1110" s="329" t="s">
        <v>131</v>
      </c>
      <c r="E1110" s="329">
        <v>6</v>
      </c>
      <c r="F1110" s="329"/>
      <c r="G1110" s="102" t="s">
        <v>32</v>
      </c>
      <c r="H1110" s="105" t="s">
        <v>33</v>
      </c>
      <c r="I1110" s="329"/>
      <c r="J1110" s="329"/>
      <c r="K1110" s="102" t="s">
        <v>3391</v>
      </c>
      <c r="L1110" s="343">
        <v>2113.2743362831902</v>
      </c>
      <c r="M1110" s="343">
        <v>2113.2743362831902</v>
      </c>
      <c r="N1110" s="102">
        <v>2020.08</v>
      </c>
      <c r="O1110" s="102" t="s">
        <v>2627</v>
      </c>
      <c r="P1110" s="123" t="s">
        <v>2628</v>
      </c>
      <c r="Q1110" s="102">
        <v>15735100699</v>
      </c>
      <c r="R1110" s="106" t="s">
        <v>2629</v>
      </c>
      <c r="S1110" s="576" t="s">
        <v>1736</v>
      </c>
      <c r="T1110" s="329"/>
    </row>
    <row r="1111" spans="1:26" ht="24.95" customHeight="1">
      <c r="A1111" s="573" t="s">
        <v>1867</v>
      </c>
      <c r="B1111" s="168" t="s">
        <v>2807</v>
      </c>
      <c r="C1111" s="351" t="s">
        <v>3448</v>
      </c>
      <c r="D1111" s="329" t="s">
        <v>131</v>
      </c>
      <c r="E1111" s="329">
        <v>6</v>
      </c>
      <c r="F1111" s="329"/>
      <c r="G1111" s="102" t="s">
        <v>32</v>
      </c>
      <c r="H1111" s="105" t="s">
        <v>33</v>
      </c>
      <c r="I1111" s="329"/>
      <c r="J1111" s="329"/>
      <c r="K1111" s="102" t="s">
        <v>3391</v>
      </c>
      <c r="L1111" s="343">
        <v>2113.2743362831902</v>
      </c>
      <c r="M1111" s="343">
        <v>2113.2743362831902</v>
      </c>
      <c r="N1111" s="102">
        <v>2020.08</v>
      </c>
      <c r="O1111" s="102" t="s">
        <v>2627</v>
      </c>
      <c r="P1111" s="123" t="s">
        <v>2628</v>
      </c>
      <c r="Q1111" s="102">
        <v>15735100699</v>
      </c>
      <c r="R1111" s="106" t="s">
        <v>2629</v>
      </c>
      <c r="S1111" s="576" t="s">
        <v>1736</v>
      </c>
      <c r="T1111" s="329"/>
    </row>
    <row r="1112" spans="1:26" ht="24.95" customHeight="1">
      <c r="A1112" s="573" t="s">
        <v>1869</v>
      </c>
      <c r="B1112" s="168" t="s">
        <v>2807</v>
      </c>
      <c r="C1112" s="351" t="s">
        <v>3449</v>
      </c>
      <c r="D1112" s="329" t="s">
        <v>131</v>
      </c>
      <c r="E1112" s="329">
        <v>6</v>
      </c>
      <c r="F1112" s="329"/>
      <c r="G1112" s="102" t="s">
        <v>32</v>
      </c>
      <c r="H1112" s="105" t="s">
        <v>33</v>
      </c>
      <c r="I1112" s="329"/>
      <c r="J1112" s="329"/>
      <c r="K1112" s="102" t="s">
        <v>3391</v>
      </c>
      <c r="L1112" s="343">
        <v>2113.2743362831902</v>
      </c>
      <c r="M1112" s="343">
        <v>2113.2743362831902</v>
      </c>
      <c r="N1112" s="102">
        <v>2020.08</v>
      </c>
      <c r="O1112" s="102" t="s">
        <v>2627</v>
      </c>
      <c r="P1112" s="123" t="s">
        <v>2628</v>
      </c>
      <c r="Q1112" s="102">
        <v>15735100699</v>
      </c>
      <c r="R1112" s="106" t="s">
        <v>2629</v>
      </c>
      <c r="S1112" s="576" t="s">
        <v>1736</v>
      </c>
      <c r="T1112" s="329"/>
    </row>
    <row r="1113" spans="1:26" ht="24.95" customHeight="1">
      <c r="A1113" s="573" t="s">
        <v>1870</v>
      </c>
      <c r="B1113" s="168" t="s">
        <v>2807</v>
      </c>
      <c r="C1113" s="351" t="s">
        <v>3450</v>
      </c>
      <c r="D1113" s="329" t="s">
        <v>131</v>
      </c>
      <c r="E1113" s="329">
        <v>6</v>
      </c>
      <c r="F1113" s="329"/>
      <c r="G1113" s="102" t="s">
        <v>32</v>
      </c>
      <c r="H1113" s="105" t="s">
        <v>33</v>
      </c>
      <c r="I1113" s="329"/>
      <c r="J1113" s="329"/>
      <c r="K1113" s="102" t="s">
        <v>3391</v>
      </c>
      <c r="L1113" s="343">
        <v>2113.2743362831902</v>
      </c>
      <c r="M1113" s="343">
        <v>2113.2743362831902</v>
      </c>
      <c r="N1113" s="102">
        <v>2020.08</v>
      </c>
      <c r="O1113" s="102" t="s">
        <v>2627</v>
      </c>
      <c r="P1113" s="123" t="s">
        <v>2628</v>
      </c>
      <c r="Q1113" s="102">
        <v>15735100699</v>
      </c>
      <c r="R1113" s="106" t="s">
        <v>2629</v>
      </c>
      <c r="S1113" s="576" t="s">
        <v>1736</v>
      </c>
      <c r="T1113" s="329"/>
    </row>
    <row r="1114" spans="1:26" ht="24.95" customHeight="1">
      <c r="A1114" s="573" t="s">
        <v>1871</v>
      </c>
      <c r="B1114" s="168" t="s">
        <v>3398</v>
      </c>
      <c r="C1114" s="351" t="s">
        <v>3446</v>
      </c>
      <c r="D1114" s="329" t="s">
        <v>131</v>
      </c>
      <c r="E1114" s="329">
        <v>24</v>
      </c>
      <c r="F1114" s="329"/>
      <c r="G1114" s="102" t="s">
        <v>32</v>
      </c>
      <c r="H1114" s="105" t="s">
        <v>33</v>
      </c>
      <c r="I1114" s="329"/>
      <c r="J1114" s="329"/>
      <c r="K1114" s="102" t="s">
        <v>3391</v>
      </c>
      <c r="L1114" s="343">
        <v>4672.5663716814197</v>
      </c>
      <c r="M1114" s="343">
        <v>4672.5663716814197</v>
      </c>
      <c r="N1114" s="102">
        <v>2020.08</v>
      </c>
      <c r="O1114" s="102" t="s">
        <v>2627</v>
      </c>
      <c r="P1114" s="123" t="s">
        <v>2628</v>
      </c>
      <c r="Q1114" s="102">
        <v>15735100699</v>
      </c>
      <c r="R1114" s="106" t="s">
        <v>2629</v>
      </c>
      <c r="S1114" s="576" t="s">
        <v>1736</v>
      </c>
      <c r="T1114" s="329"/>
    </row>
    <row r="1115" spans="1:26" ht="24.95" customHeight="1">
      <c r="A1115" s="573" t="s">
        <v>1872</v>
      </c>
      <c r="B1115" s="457" t="s">
        <v>728</v>
      </c>
      <c r="C1115" s="457" t="s">
        <v>3451</v>
      </c>
      <c r="D1115" s="457" t="s">
        <v>62</v>
      </c>
      <c r="E1115" s="457"/>
      <c r="F1115" s="457">
        <v>25.454999999999998</v>
      </c>
      <c r="G1115" s="457" t="s">
        <v>32</v>
      </c>
      <c r="H1115" s="105" t="s">
        <v>33</v>
      </c>
      <c r="I1115" s="457"/>
      <c r="J1115" s="457"/>
      <c r="K1115" s="457"/>
      <c r="L1115" s="457">
        <v>165221.81</v>
      </c>
      <c r="M1115" s="168">
        <v>49566.54</v>
      </c>
      <c r="N1115" s="457" t="s">
        <v>3452</v>
      </c>
      <c r="O1115" s="457" t="s">
        <v>3453</v>
      </c>
      <c r="P1115" s="457" t="s">
        <v>2304</v>
      </c>
      <c r="Q1115" s="457">
        <v>15525052220</v>
      </c>
      <c r="R1115" s="457" t="s">
        <v>2305</v>
      </c>
      <c r="S1115" s="457" t="s">
        <v>1736</v>
      </c>
      <c r="T1115" s="168" t="s">
        <v>3454</v>
      </c>
    </row>
    <row r="1116" spans="1:26" ht="24.95" customHeight="1">
      <c r="A1116" s="573" t="s">
        <v>1873</v>
      </c>
      <c r="B1116" s="457" t="s">
        <v>699</v>
      </c>
      <c r="C1116" s="457" t="s">
        <v>3455</v>
      </c>
      <c r="D1116" s="457" t="s">
        <v>62</v>
      </c>
      <c r="E1116" s="457"/>
      <c r="F1116" s="457">
        <v>2.1040000000000001</v>
      </c>
      <c r="G1116" s="457" t="s">
        <v>32</v>
      </c>
      <c r="H1116" s="105" t="s">
        <v>33</v>
      </c>
      <c r="I1116" s="457"/>
      <c r="J1116" s="457"/>
      <c r="K1116" s="457"/>
      <c r="L1116" s="457">
        <v>13228.12</v>
      </c>
      <c r="M1116" s="168">
        <v>3968.44</v>
      </c>
      <c r="N1116" s="457">
        <v>2020.7</v>
      </c>
      <c r="O1116" s="457" t="s">
        <v>3456</v>
      </c>
      <c r="P1116" s="457" t="s">
        <v>2304</v>
      </c>
      <c r="Q1116" s="457">
        <v>15525052220</v>
      </c>
      <c r="R1116" s="457" t="s">
        <v>2305</v>
      </c>
      <c r="S1116" s="457" t="s">
        <v>1736</v>
      </c>
      <c r="T1116" s="168"/>
    </row>
    <row r="1117" spans="1:26" ht="24.95" customHeight="1">
      <c r="A1117" s="573" t="s">
        <v>1874</v>
      </c>
      <c r="B1117" s="457" t="s">
        <v>699</v>
      </c>
      <c r="C1117" s="457" t="s">
        <v>3457</v>
      </c>
      <c r="D1117" s="457" t="s">
        <v>62</v>
      </c>
      <c r="E1117" s="457"/>
      <c r="F1117" s="457">
        <v>8.4160000000000004</v>
      </c>
      <c r="G1117" s="457" t="s">
        <v>32</v>
      </c>
      <c r="H1117" s="105" t="s">
        <v>33</v>
      </c>
      <c r="I1117" s="457"/>
      <c r="J1117" s="457"/>
      <c r="K1117" s="457"/>
      <c r="L1117" s="457">
        <v>52912.480000000003</v>
      </c>
      <c r="M1117" s="168">
        <v>15873.74</v>
      </c>
      <c r="N1117" s="457">
        <v>2020.7</v>
      </c>
      <c r="O1117" s="457" t="s">
        <v>3456</v>
      </c>
      <c r="P1117" s="457" t="s">
        <v>2304</v>
      </c>
      <c r="Q1117" s="457">
        <v>15525052220</v>
      </c>
      <c r="R1117" s="457" t="s">
        <v>2305</v>
      </c>
      <c r="S1117" s="457" t="s">
        <v>1736</v>
      </c>
      <c r="T1117" s="168"/>
    </row>
    <row r="1118" spans="1:26" ht="24.95" customHeight="1">
      <c r="A1118" s="573" t="s">
        <v>1875</v>
      </c>
      <c r="B1118" s="457" t="s">
        <v>699</v>
      </c>
      <c r="C1118" s="457" t="s">
        <v>3458</v>
      </c>
      <c r="D1118" s="457" t="s">
        <v>62</v>
      </c>
      <c r="E1118" s="457"/>
      <c r="F1118" s="457">
        <v>3.6640000000000001</v>
      </c>
      <c r="G1118" s="457" t="s">
        <v>32</v>
      </c>
      <c r="H1118" s="105" t="s">
        <v>33</v>
      </c>
      <c r="I1118" s="457"/>
      <c r="J1118" s="457"/>
      <c r="K1118" s="457"/>
      <c r="L1118" s="457">
        <v>23036.04</v>
      </c>
      <c r="M1118" s="168">
        <v>6910.81</v>
      </c>
      <c r="N1118" s="457">
        <v>2020.7</v>
      </c>
      <c r="O1118" s="457" t="s">
        <v>3456</v>
      </c>
      <c r="P1118" s="457" t="s">
        <v>2304</v>
      </c>
      <c r="Q1118" s="457">
        <v>15525052220</v>
      </c>
      <c r="R1118" s="457" t="s">
        <v>2305</v>
      </c>
      <c r="S1118" s="457" t="s">
        <v>1736</v>
      </c>
      <c r="T1118" s="168"/>
    </row>
    <row r="1119" spans="1:26" s="590" customFormat="1" ht="24.95" customHeight="1">
      <c r="A1119" s="573" t="s">
        <v>1878</v>
      </c>
      <c r="B1119" s="457" t="s">
        <v>699</v>
      </c>
      <c r="C1119" s="457" t="s">
        <v>3459</v>
      </c>
      <c r="D1119" s="457" t="s">
        <v>62</v>
      </c>
      <c r="E1119" s="457"/>
      <c r="F1119" s="457">
        <v>10.846</v>
      </c>
      <c r="G1119" s="457" t="s">
        <v>32</v>
      </c>
      <c r="H1119" s="105" t="s">
        <v>33</v>
      </c>
      <c r="I1119" s="457"/>
      <c r="J1119" s="457"/>
      <c r="K1119" s="457"/>
      <c r="L1119" s="457">
        <v>68190.2</v>
      </c>
      <c r="M1119" s="168">
        <v>20457.060000000001</v>
      </c>
      <c r="N1119" s="457">
        <v>2020.9</v>
      </c>
      <c r="O1119" s="457" t="s">
        <v>3456</v>
      </c>
      <c r="P1119" s="457" t="s">
        <v>2304</v>
      </c>
      <c r="Q1119" s="457">
        <v>15525052220</v>
      </c>
      <c r="R1119" s="457" t="s">
        <v>2305</v>
      </c>
      <c r="S1119" s="457" t="s">
        <v>1736</v>
      </c>
      <c r="T1119" s="587"/>
      <c r="U1119" s="588"/>
      <c r="V1119" s="588"/>
      <c r="W1119" s="588"/>
      <c r="X1119" s="588"/>
      <c r="Y1119" s="588"/>
      <c r="Z1119" s="589"/>
    </row>
    <row r="1120" spans="1:26" s="590" customFormat="1" ht="24.95" customHeight="1">
      <c r="A1120" s="573" t="s">
        <v>1882</v>
      </c>
      <c r="B1120" s="457" t="s">
        <v>699</v>
      </c>
      <c r="C1120" s="457" t="s">
        <v>3460</v>
      </c>
      <c r="D1120" s="457" t="s">
        <v>62</v>
      </c>
      <c r="E1120" s="457"/>
      <c r="F1120" s="457">
        <v>4.3380000000000001</v>
      </c>
      <c r="G1120" s="457" t="s">
        <v>32</v>
      </c>
      <c r="H1120" s="105" t="s">
        <v>33</v>
      </c>
      <c r="I1120" s="457"/>
      <c r="J1120" s="457"/>
      <c r="K1120" s="457"/>
      <c r="L1120" s="457">
        <v>27273.56</v>
      </c>
      <c r="M1120" s="168">
        <v>8182.07</v>
      </c>
      <c r="N1120" s="457">
        <v>2020.9</v>
      </c>
      <c r="O1120" s="457" t="s">
        <v>3456</v>
      </c>
      <c r="P1120" s="457" t="s">
        <v>2304</v>
      </c>
      <c r="Q1120" s="457">
        <v>15525052220</v>
      </c>
      <c r="R1120" s="457" t="s">
        <v>2305</v>
      </c>
      <c r="S1120" s="457" t="s">
        <v>1736</v>
      </c>
      <c r="T1120" s="587"/>
      <c r="U1120" s="588"/>
      <c r="V1120" s="588"/>
      <c r="W1120" s="588"/>
      <c r="X1120" s="588"/>
      <c r="Y1120" s="588"/>
      <c r="Z1120" s="589"/>
    </row>
    <row r="1121" spans="1:26" s="590" customFormat="1" ht="24.95" customHeight="1">
      <c r="A1121" s="573" t="s">
        <v>1885</v>
      </c>
      <c r="B1121" s="457" t="s">
        <v>699</v>
      </c>
      <c r="C1121" s="457" t="s">
        <v>3461</v>
      </c>
      <c r="D1121" s="457" t="s">
        <v>62</v>
      </c>
      <c r="E1121" s="457"/>
      <c r="F1121" s="457">
        <v>26.916</v>
      </c>
      <c r="G1121" s="457" t="s">
        <v>32</v>
      </c>
      <c r="H1121" s="105" t="s">
        <v>33</v>
      </c>
      <c r="I1121" s="457"/>
      <c r="J1121" s="457"/>
      <c r="K1121" s="457"/>
      <c r="L1121" s="457">
        <v>169224.36</v>
      </c>
      <c r="M1121" s="168">
        <v>50767.31</v>
      </c>
      <c r="N1121" s="457">
        <v>2020.9</v>
      </c>
      <c r="O1121" s="457" t="s">
        <v>3456</v>
      </c>
      <c r="P1121" s="457" t="s">
        <v>2304</v>
      </c>
      <c r="Q1121" s="457">
        <v>15525052220</v>
      </c>
      <c r="R1121" s="457" t="s">
        <v>2305</v>
      </c>
      <c r="S1121" s="457" t="s">
        <v>1736</v>
      </c>
      <c r="T1121" s="587"/>
      <c r="U1121" s="588"/>
      <c r="V1121" s="588"/>
      <c r="W1121" s="588"/>
      <c r="X1121" s="588"/>
      <c r="Y1121" s="588"/>
      <c r="Z1121" s="589"/>
    </row>
    <row r="1122" spans="1:26" s="590" customFormat="1" ht="24.95" customHeight="1">
      <c r="A1122" s="573" t="s">
        <v>1887</v>
      </c>
      <c r="B1122" s="457" t="s">
        <v>699</v>
      </c>
      <c r="C1122" s="457" t="s">
        <v>3459</v>
      </c>
      <c r="D1122" s="457" t="s">
        <v>62</v>
      </c>
      <c r="E1122" s="457"/>
      <c r="F1122" s="457">
        <v>7.5919999999999996</v>
      </c>
      <c r="G1122" s="457" t="s">
        <v>32</v>
      </c>
      <c r="H1122" s="105" t="s">
        <v>33</v>
      </c>
      <c r="I1122" s="457"/>
      <c r="J1122" s="457"/>
      <c r="K1122" s="457"/>
      <c r="L1122" s="457">
        <v>47731.89</v>
      </c>
      <c r="M1122" s="168">
        <v>14319.57</v>
      </c>
      <c r="N1122" s="457">
        <v>2020.9</v>
      </c>
      <c r="O1122" s="457" t="s">
        <v>3456</v>
      </c>
      <c r="P1122" s="457" t="s">
        <v>2304</v>
      </c>
      <c r="Q1122" s="457">
        <v>15525052220</v>
      </c>
      <c r="R1122" s="457" t="s">
        <v>2305</v>
      </c>
      <c r="S1122" s="457" t="s">
        <v>1736</v>
      </c>
      <c r="T1122" s="587"/>
      <c r="U1122" s="588"/>
      <c r="V1122" s="588"/>
      <c r="W1122" s="588"/>
      <c r="X1122" s="588"/>
      <c r="Y1122" s="588"/>
      <c r="Z1122" s="589"/>
    </row>
    <row r="1123" spans="1:26" s="590" customFormat="1" ht="24.95" customHeight="1">
      <c r="A1123" s="573" t="s">
        <v>1889</v>
      </c>
      <c r="B1123" s="457" t="s">
        <v>699</v>
      </c>
      <c r="C1123" s="457" t="s">
        <v>3462</v>
      </c>
      <c r="D1123" s="457" t="s">
        <v>62</v>
      </c>
      <c r="E1123" s="457"/>
      <c r="F1123" s="457">
        <v>56.853999999999999</v>
      </c>
      <c r="G1123" s="457" t="s">
        <v>32</v>
      </c>
      <c r="H1123" s="105" t="s">
        <v>33</v>
      </c>
      <c r="I1123" s="457"/>
      <c r="J1123" s="457"/>
      <c r="K1123" s="457"/>
      <c r="L1123" s="457">
        <v>357448.42</v>
      </c>
      <c r="M1123" s="168">
        <v>107234.52</v>
      </c>
      <c r="N1123" s="457">
        <v>2020.9</v>
      </c>
      <c r="O1123" s="457" t="s">
        <v>3456</v>
      </c>
      <c r="P1123" s="457" t="s">
        <v>2304</v>
      </c>
      <c r="Q1123" s="457">
        <v>15525052220</v>
      </c>
      <c r="R1123" s="457" t="s">
        <v>2305</v>
      </c>
      <c r="S1123" s="457" t="s">
        <v>1736</v>
      </c>
      <c r="T1123" s="587"/>
      <c r="U1123" s="588"/>
      <c r="V1123" s="588"/>
      <c r="W1123" s="588"/>
      <c r="X1123" s="588"/>
      <c r="Y1123" s="588"/>
      <c r="Z1123" s="589"/>
    </row>
    <row r="1124" spans="1:26" s="590" customFormat="1" ht="24.95" customHeight="1">
      <c r="A1124" s="573" t="s">
        <v>1892</v>
      </c>
      <c r="B1124" s="457" t="s">
        <v>699</v>
      </c>
      <c r="C1124" s="457" t="s">
        <v>3463</v>
      </c>
      <c r="D1124" s="457" t="s">
        <v>62</v>
      </c>
      <c r="E1124" s="457"/>
      <c r="F1124" s="457">
        <v>14.553000000000001</v>
      </c>
      <c r="G1124" s="457" t="s">
        <v>32</v>
      </c>
      <c r="H1124" s="105" t="s">
        <v>33</v>
      </c>
      <c r="I1124" s="457"/>
      <c r="J1124" s="457"/>
      <c r="K1124" s="457"/>
      <c r="L1124" s="457">
        <v>93657.919999999998</v>
      </c>
      <c r="M1124" s="168">
        <v>28097.37</v>
      </c>
      <c r="N1124" s="457">
        <v>2020.9</v>
      </c>
      <c r="O1124" s="457" t="s">
        <v>3456</v>
      </c>
      <c r="P1124" s="457" t="s">
        <v>2304</v>
      </c>
      <c r="Q1124" s="457">
        <v>15525052220</v>
      </c>
      <c r="R1124" s="457" t="s">
        <v>2305</v>
      </c>
      <c r="S1124" s="457" t="s">
        <v>1736</v>
      </c>
      <c r="T1124" s="587"/>
      <c r="U1124" s="588"/>
      <c r="V1124" s="588"/>
      <c r="W1124" s="588"/>
      <c r="X1124" s="588"/>
      <c r="Y1124" s="588"/>
      <c r="Z1124" s="589"/>
    </row>
    <row r="1125" spans="1:26" ht="24.95" customHeight="1">
      <c r="A1125" s="573" t="s">
        <v>1894</v>
      </c>
      <c r="B1125" s="457" t="s">
        <v>699</v>
      </c>
      <c r="C1125" s="457" t="s">
        <v>3464</v>
      </c>
      <c r="D1125" s="457" t="s">
        <v>62</v>
      </c>
      <c r="E1125" s="457"/>
      <c r="F1125" s="457">
        <v>5.4420000000000002</v>
      </c>
      <c r="G1125" s="457" t="s">
        <v>32</v>
      </c>
      <c r="H1125" s="105" t="s">
        <v>33</v>
      </c>
      <c r="I1125" s="457"/>
      <c r="J1125" s="457"/>
      <c r="K1125" s="457"/>
      <c r="L1125" s="457">
        <v>35022.769999999997</v>
      </c>
      <c r="M1125" s="168">
        <v>10506.83</v>
      </c>
      <c r="N1125" s="457">
        <v>2020.12</v>
      </c>
      <c r="O1125" s="457" t="s">
        <v>3456</v>
      </c>
      <c r="P1125" s="457" t="s">
        <v>2304</v>
      </c>
      <c r="Q1125" s="457">
        <v>15525052220</v>
      </c>
      <c r="R1125" s="457" t="s">
        <v>2305</v>
      </c>
      <c r="S1125" s="457" t="s">
        <v>1736</v>
      </c>
      <c r="T1125" s="168"/>
    </row>
    <row r="1126" spans="1:26" ht="24.95" customHeight="1">
      <c r="A1126" s="573" t="s">
        <v>1896</v>
      </c>
      <c r="B1126" s="457" t="s">
        <v>699</v>
      </c>
      <c r="C1126" s="457" t="s">
        <v>3465</v>
      </c>
      <c r="D1126" s="457" t="s">
        <v>62</v>
      </c>
      <c r="E1126" s="457"/>
      <c r="F1126" s="457">
        <v>13.744</v>
      </c>
      <c r="G1126" s="457" t="s">
        <v>32</v>
      </c>
      <c r="H1126" s="105" t="s">
        <v>33</v>
      </c>
      <c r="I1126" s="457"/>
      <c r="J1126" s="457"/>
      <c r="K1126" s="457"/>
      <c r="L1126" s="457">
        <v>88451.49</v>
      </c>
      <c r="M1126" s="168">
        <v>26535.45</v>
      </c>
      <c r="N1126" s="457">
        <v>2020.12</v>
      </c>
      <c r="O1126" s="457" t="s">
        <v>3456</v>
      </c>
      <c r="P1126" s="457" t="s">
        <v>2304</v>
      </c>
      <c r="Q1126" s="457">
        <v>15525052220</v>
      </c>
      <c r="R1126" s="457" t="s">
        <v>2305</v>
      </c>
      <c r="S1126" s="457" t="s">
        <v>1736</v>
      </c>
      <c r="T1126" s="168"/>
    </row>
    <row r="1127" spans="1:26" ht="24.95" customHeight="1">
      <c r="A1127" s="573" t="s">
        <v>1898</v>
      </c>
      <c r="B1127" s="457" t="s">
        <v>699</v>
      </c>
      <c r="C1127" s="457" t="s">
        <v>3466</v>
      </c>
      <c r="D1127" s="457" t="s">
        <v>62</v>
      </c>
      <c r="E1127" s="457"/>
      <c r="F1127" s="457">
        <v>15.42</v>
      </c>
      <c r="G1127" s="457" t="s">
        <v>32</v>
      </c>
      <c r="H1127" s="105" t="s">
        <v>33</v>
      </c>
      <c r="I1127" s="457"/>
      <c r="J1127" s="457"/>
      <c r="K1127" s="457"/>
      <c r="L1127" s="457">
        <v>99237.62</v>
      </c>
      <c r="M1127" s="168">
        <v>29771.29</v>
      </c>
      <c r="N1127" s="457">
        <v>2020.12</v>
      </c>
      <c r="O1127" s="457" t="s">
        <v>3456</v>
      </c>
      <c r="P1127" s="457" t="s">
        <v>2304</v>
      </c>
      <c r="Q1127" s="457">
        <v>15525052220</v>
      </c>
      <c r="R1127" s="457" t="s">
        <v>2305</v>
      </c>
      <c r="S1127" s="457" t="s">
        <v>1736</v>
      </c>
      <c r="T1127" s="168"/>
    </row>
    <row r="1128" spans="1:26" ht="24.95" customHeight="1">
      <c r="A1128" s="573" t="s">
        <v>1899</v>
      </c>
      <c r="B1128" s="457" t="s">
        <v>699</v>
      </c>
      <c r="C1128" s="457" t="s">
        <v>3467</v>
      </c>
      <c r="D1128" s="457" t="s">
        <v>62</v>
      </c>
      <c r="E1128" s="457"/>
      <c r="F1128" s="457">
        <v>11.003</v>
      </c>
      <c r="G1128" s="457" t="s">
        <v>32</v>
      </c>
      <c r="H1128" s="105" t="s">
        <v>33</v>
      </c>
      <c r="I1128" s="457"/>
      <c r="J1128" s="457"/>
      <c r="K1128" s="457"/>
      <c r="L1128" s="457">
        <v>77347.81</v>
      </c>
      <c r="M1128" s="168">
        <v>23204.34</v>
      </c>
      <c r="N1128" s="457">
        <v>2021.4</v>
      </c>
      <c r="O1128" s="457" t="s">
        <v>3456</v>
      </c>
      <c r="P1128" s="457" t="s">
        <v>2304</v>
      </c>
      <c r="Q1128" s="457">
        <v>15525052220</v>
      </c>
      <c r="R1128" s="457" t="s">
        <v>2305</v>
      </c>
      <c r="S1128" s="457" t="s">
        <v>1736</v>
      </c>
      <c r="T1128" s="168"/>
    </row>
    <row r="1129" spans="1:26" ht="24.95" customHeight="1">
      <c r="A1129" s="573" t="s">
        <v>1901</v>
      </c>
      <c r="B1129" s="174" t="s">
        <v>3468</v>
      </c>
      <c r="C1129" s="591" t="s">
        <v>3469</v>
      </c>
      <c r="D1129" s="591" t="s">
        <v>79</v>
      </c>
      <c r="E1129" s="591"/>
      <c r="F1129" s="591">
        <v>6</v>
      </c>
      <c r="G1129" s="591" t="s">
        <v>32</v>
      </c>
      <c r="H1129" s="105" t="s">
        <v>33</v>
      </c>
      <c r="I1129" s="591"/>
      <c r="J1129" s="591"/>
      <c r="K1129" s="591"/>
      <c r="L1129" s="592">
        <v>1140000</v>
      </c>
      <c r="M1129" s="168">
        <f>SUM(M1034:M1128)</f>
        <v>5867565.2929461403</v>
      </c>
      <c r="N1129" s="591"/>
      <c r="O1129" s="591" t="s">
        <v>3470</v>
      </c>
      <c r="P1129" s="591" t="s">
        <v>3471</v>
      </c>
      <c r="Q1129" s="591">
        <v>13466543203</v>
      </c>
      <c r="R1129" s="591" t="s">
        <v>1766</v>
      </c>
      <c r="S1129" s="352" t="s">
        <v>1736</v>
      </c>
      <c r="T1129" s="591">
        <v>1</v>
      </c>
    </row>
    <row r="1130" spans="1:26" ht="24.95" customHeight="1">
      <c r="A1130" s="573" t="s">
        <v>1902</v>
      </c>
      <c r="B1130" s="174" t="s">
        <v>3468</v>
      </c>
      <c r="C1130" s="591" t="s">
        <v>3472</v>
      </c>
      <c r="D1130" s="591" t="s">
        <v>79</v>
      </c>
      <c r="E1130" s="591"/>
      <c r="F1130" s="591">
        <v>6</v>
      </c>
      <c r="G1130" s="591" t="s">
        <v>32</v>
      </c>
      <c r="H1130" s="105" t="s">
        <v>33</v>
      </c>
      <c r="I1130" s="593"/>
      <c r="J1130" s="591"/>
      <c r="K1130" s="591"/>
      <c r="L1130" s="592">
        <v>454368.96</v>
      </c>
      <c r="M1130" s="592">
        <v>416504.88</v>
      </c>
      <c r="N1130" s="591"/>
      <c r="O1130" s="591" t="s">
        <v>3473</v>
      </c>
      <c r="P1130" s="591" t="s">
        <v>3471</v>
      </c>
      <c r="Q1130" s="591">
        <v>13466543203</v>
      </c>
      <c r="R1130" s="591" t="s">
        <v>1766</v>
      </c>
      <c r="S1130" s="352" t="s">
        <v>1736</v>
      </c>
      <c r="T1130" s="591">
        <v>1</v>
      </c>
    </row>
    <row r="1131" spans="1:26" ht="24.95" customHeight="1">
      <c r="A1131" s="573" t="s">
        <v>1903</v>
      </c>
      <c r="B1131" s="242" t="s">
        <v>1546</v>
      </c>
      <c r="C1131" s="313" t="s">
        <v>3474</v>
      </c>
      <c r="D1131" s="313" t="s">
        <v>3475</v>
      </c>
      <c r="E1131" s="313">
        <v>6.4</v>
      </c>
      <c r="F1131" s="594"/>
      <c r="G1131" s="591" t="s">
        <v>32</v>
      </c>
      <c r="H1131" s="105" t="s">
        <v>33</v>
      </c>
      <c r="I1131" s="168"/>
      <c r="J1131" s="168"/>
      <c r="K1131" s="168"/>
      <c r="L1131" s="247">
        <v>17600</v>
      </c>
      <c r="M1131" s="247">
        <v>1760</v>
      </c>
      <c r="N1131" s="314" t="s">
        <v>2195</v>
      </c>
      <c r="O1131" s="243" t="s">
        <v>3039</v>
      </c>
      <c r="P1131" s="243" t="s">
        <v>2189</v>
      </c>
      <c r="Q1131" s="243">
        <v>18903416067</v>
      </c>
      <c r="R1131" s="243" t="s">
        <v>2190</v>
      </c>
      <c r="S1131" s="352" t="s">
        <v>1736</v>
      </c>
      <c r="T1131" s="168"/>
    </row>
    <row r="1132" spans="1:26" ht="24.95" customHeight="1">
      <c r="A1132" s="573" t="s">
        <v>1905</v>
      </c>
      <c r="B1132" s="242" t="s">
        <v>3476</v>
      </c>
      <c r="C1132" s="313" t="s">
        <v>3477</v>
      </c>
      <c r="D1132" s="313" t="s">
        <v>464</v>
      </c>
      <c r="E1132" s="313"/>
      <c r="F1132" s="313">
        <v>500</v>
      </c>
      <c r="G1132" s="591" t="s">
        <v>32</v>
      </c>
      <c r="H1132" s="105" t="s">
        <v>33</v>
      </c>
      <c r="I1132" s="168"/>
      <c r="J1132" s="168"/>
      <c r="K1132" s="168"/>
      <c r="L1132" s="247">
        <v>5000</v>
      </c>
      <c r="M1132" s="247">
        <v>500</v>
      </c>
      <c r="N1132" s="314" t="s">
        <v>2195</v>
      </c>
      <c r="O1132" s="243" t="s">
        <v>3039</v>
      </c>
      <c r="P1132" s="243" t="s">
        <v>2189</v>
      </c>
      <c r="Q1132" s="243">
        <v>18903416067</v>
      </c>
      <c r="R1132" s="243" t="s">
        <v>2190</v>
      </c>
      <c r="S1132" s="352" t="s">
        <v>1736</v>
      </c>
      <c r="T1132" s="168"/>
    </row>
    <row r="1133" spans="1:26" ht="24.95" customHeight="1">
      <c r="A1133" s="573" t="s">
        <v>1906</v>
      </c>
      <c r="B1133" s="242" t="s">
        <v>3476</v>
      </c>
      <c r="C1133" s="313" t="s">
        <v>3478</v>
      </c>
      <c r="D1133" s="313" t="s">
        <v>464</v>
      </c>
      <c r="E1133" s="313"/>
      <c r="F1133" s="313">
        <v>1500</v>
      </c>
      <c r="G1133" s="591" t="s">
        <v>32</v>
      </c>
      <c r="H1133" s="105" t="s">
        <v>33</v>
      </c>
      <c r="I1133" s="168"/>
      <c r="J1133" s="168"/>
      <c r="K1133" s="168"/>
      <c r="L1133" s="247">
        <v>15000</v>
      </c>
      <c r="M1133" s="247">
        <v>1500</v>
      </c>
      <c r="N1133" s="314" t="s">
        <v>2195</v>
      </c>
      <c r="O1133" s="243" t="s">
        <v>3039</v>
      </c>
      <c r="P1133" s="243" t="s">
        <v>2189</v>
      </c>
      <c r="Q1133" s="243">
        <v>18903416067</v>
      </c>
      <c r="R1133" s="243" t="s">
        <v>2190</v>
      </c>
      <c r="S1133" s="352" t="s">
        <v>1736</v>
      </c>
      <c r="T1133" s="168"/>
    </row>
    <row r="1134" spans="1:26" ht="24.95" customHeight="1">
      <c r="A1134" s="573" t="s">
        <v>1907</v>
      </c>
      <c r="B1134" s="242" t="s">
        <v>3476</v>
      </c>
      <c r="C1134" s="313" t="s">
        <v>3479</v>
      </c>
      <c r="D1134" s="313" t="s">
        <v>464</v>
      </c>
      <c r="E1134" s="313"/>
      <c r="F1134" s="313">
        <v>1600</v>
      </c>
      <c r="G1134" s="591" t="s">
        <v>32</v>
      </c>
      <c r="H1134" s="105" t="s">
        <v>33</v>
      </c>
      <c r="I1134" s="168"/>
      <c r="J1134" s="168"/>
      <c r="K1134" s="168"/>
      <c r="L1134" s="247">
        <v>6400</v>
      </c>
      <c r="M1134" s="247">
        <v>640</v>
      </c>
      <c r="N1134" s="314" t="s">
        <v>2195</v>
      </c>
      <c r="O1134" s="243" t="s">
        <v>3039</v>
      </c>
      <c r="P1134" s="243" t="s">
        <v>2189</v>
      </c>
      <c r="Q1134" s="243">
        <v>18903416067</v>
      </c>
      <c r="R1134" s="243" t="s">
        <v>2190</v>
      </c>
      <c r="S1134" s="352" t="s">
        <v>1736</v>
      </c>
      <c r="T1134" s="168"/>
    </row>
    <row r="1135" spans="1:26" ht="24.95" customHeight="1">
      <c r="A1135" s="573" t="s">
        <v>1914</v>
      </c>
      <c r="B1135" s="242" t="s">
        <v>3480</v>
      </c>
      <c r="C1135" s="313" t="s">
        <v>3481</v>
      </c>
      <c r="D1135" s="313" t="s">
        <v>131</v>
      </c>
      <c r="E1135" s="313">
        <v>4</v>
      </c>
      <c r="F1135" s="313">
        <v>4</v>
      </c>
      <c r="G1135" s="591" t="s">
        <v>32</v>
      </c>
      <c r="H1135" s="105" t="s">
        <v>33</v>
      </c>
      <c r="I1135" s="168"/>
      <c r="J1135" s="168"/>
      <c r="K1135" s="168"/>
      <c r="L1135" s="247">
        <v>134400</v>
      </c>
      <c r="M1135" s="247">
        <v>13440</v>
      </c>
      <c r="N1135" s="314" t="s">
        <v>2195</v>
      </c>
      <c r="O1135" s="243" t="s">
        <v>3039</v>
      </c>
      <c r="P1135" s="243" t="s">
        <v>2189</v>
      </c>
      <c r="Q1135" s="243">
        <v>18903416067</v>
      </c>
      <c r="R1135" s="243" t="s">
        <v>2190</v>
      </c>
      <c r="S1135" s="352" t="s">
        <v>1736</v>
      </c>
      <c r="T1135" s="168"/>
    </row>
    <row r="1136" spans="1:26" ht="24.95" customHeight="1">
      <c r="A1136" s="573" t="s">
        <v>1916</v>
      </c>
      <c r="B1136" s="242" t="s">
        <v>3480</v>
      </c>
      <c r="C1136" s="313" t="s">
        <v>3482</v>
      </c>
      <c r="D1136" s="313" t="s">
        <v>131</v>
      </c>
      <c r="E1136" s="313">
        <v>4</v>
      </c>
      <c r="F1136" s="313">
        <v>4</v>
      </c>
      <c r="G1136" s="591" t="s">
        <v>32</v>
      </c>
      <c r="H1136" s="105" t="s">
        <v>33</v>
      </c>
      <c r="I1136" s="168"/>
      <c r="J1136" s="168"/>
      <c r="K1136" s="168"/>
      <c r="L1136" s="247">
        <v>92000</v>
      </c>
      <c r="M1136" s="247">
        <v>9200</v>
      </c>
      <c r="N1136" s="314" t="s">
        <v>2195</v>
      </c>
      <c r="O1136" s="243" t="s">
        <v>3039</v>
      </c>
      <c r="P1136" s="243" t="s">
        <v>2189</v>
      </c>
      <c r="Q1136" s="243">
        <v>18903416067</v>
      </c>
      <c r="R1136" s="243" t="s">
        <v>2190</v>
      </c>
      <c r="S1136" s="352" t="s">
        <v>1736</v>
      </c>
      <c r="T1136" s="168"/>
    </row>
    <row r="1137" spans="1:28" ht="24.95" customHeight="1">
      <c r="A1137" s="573" t="s">
        <v>1918</v>
      </c>
      <c r="B1137" s="595" t="s">
        <v>3480</v>
      </c>
      <c r="C1137" s="596" t="s">
        <v>3483</v>
      </c>
      <c r="D1137" s="596" t="s">
        <v>131</v>
      </c>
      <c r="E1137" s="596">
        <v>4</v>
      </c>
      <c r="F1137" s="596">
        <v>4</v>
      </c>
      <c r="G1137" s="597" t="s">
        <v>32</v>
      </c>
      <c r="H1137" s="259" t="s">
        <v>33</v>
      </c>
      <c r="I1137" s="352"/>
      <c r="J1137" s="352"/>
      <c r="K1137" s="352"/>
      <c r="L1137" s="598">
        <v>113600</v>
      </c>
      <c r="M1137" s="598">
        <v>11360</v>
      </c>
      <c r="N1137" s="599" t="s">
        <v>2195</v>
      </c>
      <c r="O1137" s="600" t="s">
        <v>3039</v>
      </c>
      <c r="P1137" s="600" t="s">
        <v>2189</v>
      </c>
      <c r="Q1137" s="600">
        <v>18903416067</v>
      </c>
      <c r="R1137" s="600" t="s">
        <v>2190</v>
      </c>
      <c r="S1137" s="352" t="s">
        <v>1736</v>
      </c>
      <c r="T1137" s="168"/>
    </row>
    <row r="1138" spans="1:28" s="590" customFormat="1" ht="24.95" customHeight="1">
      <c r="A1138" s="573" t="s">
        <v>1921</v>
      </c>
      <c r="B1138" s="435" t="s">
        <v>3484</v>
      </c>
      <c r="C1138" s="435" t="s">
        <v>3485</v>
      </c>
      <c r="D1138" s="435" t="s">
        <v>62</v>
      </c>
      <c r="E1138" s="601" t="s">
        <v>3486</v>
      </c>
      <c r="F1138" s="168">
        <v>3.18</v>
      </c>
      <c r="G1138" s="597" t="s">
        <v>32</v>
      </c>
      <c r="H1138" s="238" t="s">
        <v>33</v>
      </c>
      <c r="I1138" s="329"/>
      <c r="J1138" s="329"/>
      <c r="K1138" s="174" t="s">
        <v>3487</v>
      </c>
      <c r="L1138" s="168">
        <v>44601.769911504402</v>
      </c>
      <c r="M1138" s="168">
        <v>44601.769911504402</v>
      </c>
      <c r="N1138" s="602">
        <v>44440</v>
      </c>
      <c r="O1138" s="240" t="s">
        <v>2158</v>
      </c>
      <c r="P1138" s="240" t="s">
        <v>2153</v>
      </c>
      <c r="Q1138" s="240">
        <v>13546718283</v>
      </c>
      <c r="R1138" s="106" t="s">
        <v>2154</v>
      </c>
      <c r="S1138" s="352" t="s">
        <v>1736</v>
      </c>
      <c r="T1138" s="168"/>
      <c r="U1138" s="588"/>
      <c r="V1138" s="588"/>
      <c r="W1138" s="588"/>
      <c r="X1138" s="588"/>
      <c r="Y1138" s="588"/>
      <c r="Z1138" s="588"/>
      <c r="AA1138" s="588"/>
      <c r="AB1138" s="589"/>
    </row>
    <row r="1139" spans="1:28" s="590" customFormat="1" ht="24.95" customHeight="1">
      <c r="A1139" s="573" t="s">
        <v>1925</v>
      </c>
      <c r="B1139" s="435" t="s">
        <v>3488</v>
      </c>
      <c r="C1139" s="435" t="s">
        <v>3489</v>
      </c>
      <c r="D1139" s="435" t="s">
        <v>62</v>
      </c>
      <c r="E1139" s="601" t="s">
        <v>3490</v>
      </c>
      <c r="F1139" s="168">
        <v>0.53</v>
      </c>
      <c r="G1139" s="597" t="s">
        <v>32</v>
      </c>
      <c r="H1139" s="238" t="s">
        <v>33</v>
      </c>
      <c r="I1139" s="329"/>
      <c r="J1139" s="329"/>
      <c r="K1139" s="174" t="s">
        <v>3487</v>
      </c>
      <c r="L1139" s="168">
        <v>28230.088495575201</v>
      </c>
      <c r="M1139" s="168">
        <v>28230.088495575201</v>
      </c>
      <c r="N1139" s="602">
        <v>44441</v>
      </c>
      <c r="O1139" s="240" t="s">
        <v>2158</v>
      </c>
      <c r="P1139" s="240" t="s">
        <v>2153</v>
      </c>
      <c r="Q1139" s="240">
        <v>13546718283</v>
      </c>
      <c r="R1139" s="106" t="s">
        <v>2154</v>
      </c>
      <c r="S1139" s="352" t="s">
        <v>1736</v>
      </c>
      <c r="T1139" s="168"/>
      <c r="U1139" s="588"/>
      <c r="V1139" s="588"/>
      <c r="W1139" s="588"/>
      <c r="X1139" s="588"/>
      <c r="Y1139" s="588"/>
      <c r="Z1139" s="588"/>
      <c r="AA1139" s="588"/>
      <c r="AB1139" s="589"/>
    </row>
    <row r="1140" spans="1:28" s="590" customFormat="1" ht="24.95" customHeight="1">
      <c r="A1140" s="573" t="s">
        <v>1927</v>
      </c>
      <c r="B1140" s="435" t="s">
        <v>3488</v>
      </c>
      <c r="C1140" s="435" t="s">
        <v>3491</v>
      </c>
      <c r="D1140" s="435" t="s">
        <v>62</v>
      </c>
      <c r="E1140" s="601" t="s">
        <v>3492</v>
      </c>
      <c r="F1140" s="168">
        <v>0.65</v>
      </c>
      <c r="G1140" s="597" t="s">
        <v>32</v>
      </c>
      <c r="H1140" s="238" t="s">
        <v>33</v>
      </c>
      <c r="I1140" s="329"/>
      <c r="J1140" s="329"/>
      <c r="K1140" s="174" t="s">
        <v>3487</v>
      </c>
      <c r="L1140" s="168">
        <v>13628.318584070799</v>
      </c>
      <c r="M1140" s="168">
        <v>13628.318584070799</v>
      </c>
      <c r="N1140" s="602">
        <v>44442</v>
      </c>
      <c r="O1140" s="240" t="s">
        <v>2158</v>
      </c>
      <c r="P1140" s="240" t="s">
        <v>2153</v>
      </c>
      <c r="Q1140" s="240">
        <v>13546718283</v>
      </c>
      <c r="R1140" s="106" t="s">
        <v>2154</v>
      </c>
      <c r="S1140" s="352" t="s">
        <v>1736</v>
      </c>
      <c r="T1140" s="168"/>
      <c r="U1140" s="588"/>
      <c r="V1140" s="588"/>
      <c r="W1140" s="588"/>
      <c r="X1140" s="588"/>
      <c r="Y1140" s="588"/>
      <c r="Z1140" s="588"/>
      <c r="AA1140" s="588"/>
      <c r="AB1140" s="589"/>
    </row>
    <row r="1141" spans="1:28" s="590" customFormat="1" ht="24.95" customHeight="1">
      <c r="A1141" s="573" t="s">
        <v>1929</v>
      </c>
      <c r="B1141" s="435" t="s">
        <v>3484</v>
      </c>
      <c r="C1141" s="435" t="s">
        <v>3493</v>
      </c>
      <c r="D1141" s="435" t="s">
        <v>62</v>
      </c>
      <c r="E1141" s="601" t="s">
        <v>3494</v>
      </c>
      <c r="F1141" s="168">
        <v>6.36</v>
      </c>
      <c r="G1141" s="597" t="s">
        <v>32</v>
      </c>
      <c r="H1141" s="238" t="s">
        <v>33</v>
      </c>
      <c r="I1141" s="329"/>
      <c r="J1141" s="329"/>
      <c r="K1141" s="174" t="s">
        <v>3487</v>
      </c>
      <c r="L1141" s="168">
        <v>84247.787610619504</v>
      </c>
      <c r="M1141" s="168">
        <v>84247.787610619504</v>
      </c>
      <c r="N1141" s="602">
        <v>44443</v>
      </c>
      <c r="O1141" s="240" t="s">
        <v>2158</v>
      </c>
      <c r="P1141" s="240" t="s">
        <v>2153</v>
      </c>
      <c r="Q1141" s="240">
        <v>13546718283</v>
      </c>
      <c r="R1141" s="106" t="s">
        <v>2154</v>
      </c>
      <c r="S1141" s="352" t="s">
        <v>1736</v>
      </c>
      <c r="T1141" s="168"/>
      <c r="U1141" s="588"/>
      <c r="V1141" s="588"/>
      <c r="W1141" s="588"/>
      <c r="X1141" s="588"/>
      <c r="Y1141" s="588"/>
      <c r="Z1141" s="588"/>
      <c r="AA1141" s="588"/>
      <c r="AB1141" s="589"/>
    </row>
    <row r="1142" spans="1:28" s="590" customFormat="1" ht="24.95" customHeight="1">
      <c r="A1142" s="573" t="s">
        <v>1935</v>
      </c>
      <c r="B1142" s="435" t="s">
        <v>3484</v>
      </c>
      <c r="C1142" s="435" t="s">
        <v>3495</v>
      </c>
      <c r="D1142" s="435" t="s">
        <v>62</v>
      </c>
      <c r="E1142" s="601" t="s">
        <v>3486</v>
      </c>
      <c r="F1142" s="168">
        <v>2.12</v>
      </c>
      <c r="G1142" s="597" t="s">
        <v>32</v>
      </c>
      <c r="H1142" s="238" t="s">
        <v>33</v>
      </c>
      <c r="I1142" s="329"/>
      <c r="J1142" s="329"/>
      <c r="K1142" s="174" t="s">
        <v>3487</v>
      </c>
      <c r="L1142" s="168">
        <v>33097.345132743401</v>
      </c>
      <c r="M1142" s="168">
        <v>33097.345132743401</v>
      </c>
      <c r="N1142" s="602">
        <v>44444</v>
      </c>
      <c r="O1142" s="240" t="s">
        <v>2158</v>
      </c>
      <c r="P1142" s="240" t="s">
        <v>2153</v>
      </c>
      <c r="Q1142" s="240">
        <v>13546718283</v>
      </c>
      <c r="R1142" s="106" t="s">
        <v>2154</v>
      </c>
      <c r="S1142" s="352" t="s">
        <v>1736</v>
      </c>
      <c r="T1142" s="168"/>
      <c r="U1142" s="588"/>
      <c r="V1142" s="588"/>
      <c r="W1142" s="588"/>
      <c r="X1142" s="588"/>
      <c r="Y1142" s="588"/>
      <c r="Z1142" s="588"/>
      <c r="AA1142" s="588"/>
      <c r="AB1142" s="589"/>
    </row>
    <row r="1143" spans="1:28" s="590" customFormat="1" ht="24.95" customHeight="1">
      <c r="A1143" s="573" t="s">
        <v>1937</v>
      </c>
      <c r="B1143" s="435" t="s">
        <v>3484</v>
      </c>
      <c r="C1143" s="435" t="s">
        <v>3496</v>
      </c>
      <c r="D1143" s="435" t="s">
        <v>62</v>
      </c>
      <c r="E1143" s="601" t="s">
        <v>3486</v>
      </c>
      <c r="F1143" s="168">
        <v>1.06</v>
      </c>
      <c r="G1143" s="597" t="s">
        <v>32</v>
      </c>
      <c r="H1143" s="238" t="s">
        <v>33</v>
      </c>
      <c r="I1143" s="329"/>
      <c r="J1143" s="329"/>
      <c r="K1143" s="174" t="s">
        <v>3487</v>
      </c>
      <c r="L1143" s="168">
        <v>27079.646017699099</v>
      </c>
      <c r="M1143" s="168">
        <v>27079.646017699099</v>
      </c>
      <c r="N1143" s="602">
        <v>44444</v>
      </c>
      <c r="O1143" s="240" t="s">
        <v>2158</v>
      </c>
      <c r="P1143" s="240" t="s">
        <v>2153</v>
      </c>
      <c r="Q1143" s="240">
        <v>13546718283</v>
      </c>
      <c r="R1143" s="106" t="s">
        <v>2154</v>
      </c>
      <c r="S1143" s="352" t="s">
        <v>1736</v>
      </c>
      <c r="T1143" s="168"/>
      <c r="U1143" s="588"/>
      <c r="V1143" s="588"/>
      <c r="W1143" s="588"/>
      <c r="X1143" s="588"/>
      <c r="Y1143" s="588"/>
      <c r="Z1143" s="588"/>
      <c r="AA1143" s="588"/>
      <c r="AB1143" s="589"/>
    </row>
    <row r="1144" spans="1:28" s="590" customFormat="1" ht="24.95" customHeight="1">
      <c r="A1144" s="573" t="s">
        <v>1941</v>
      </c>
      <c r="B1144" s="435" t="s">
        <v>3484</v>
      </c>
      <c r="C1144" s="435" t="s">
        <v>3497</v>
      </c>
      <c r="D1144" s="435" t="s">
        <v>62</v>
      </c>
      <c r="E1144" s="601" t="s">
        <v>3498</v>
      </c>
      <c r="F1144" s="168">
        <v>0.65</v>
      </c>
      <c r="G1144" s="597" t="s">
        <v>32</v>
      </c>
      <c r="H1144" s="238" t="s">
        <v>33</v>
      </c>
      <c r="I1144" s="329"/>
      <c r="J1144" s="329"/>
      <c r="K1144" s="174" t="s">
        <v>3487</v>
      </c>
      <c r="L1144" s="168">
        <v>16460.176991150402</v>
      </c>
      <c r="M1144" s="168">
        <v>16460.176991150402</v>
      </c>
      <c r="N1144" s="602">
        <v>44444</v>
      </c>
      <c r="O1144" s="240" t="s">
        <v>2158</v>
      </c>
      <c r="P1144" s="240" t="s">
        <v>2153</v>
      </c>
      <c r="Q1144" s="240">
        <v>13546718283</v>
      </c>
      <c r="R1144" s="106" t="s">
        <v>2154</v>
      </c>
      <c r="S1144" s="352" t="s">
        <v>1736</v>
      </c>
      <c r="T1144" s="168"/>
      <c r="U1144" s="588"/>
      <c r="V1144" s="588"/>
      <c r="W1144" s="588"/>
      <c r="X1144" s="588"/>
      <c r="Y1144" s="588"/>
      <c r="Z1144" s="588"/>
      <c r="AA1144" s="588"/>
      <c r="AB1144" s="589"/>
    </row>
    <row r="1145" spans="1:28" s="590" customFormat="1" ht="24.95" customHeight="1">
      <c r="A1145" s="573" t="s">
        <v>1944</v>
      </c>
      <c r="B1145" s="435" t="s">
        <v>3484</v>
      </c>
      <c r="C1145" s="435" t="s">
        <v>3493</v>
      </c>
      <c r="D1145" s="435" t="s">
        <v>62</v>
      </c>
      <c r="E1145" s="601" t="s">
        <v>3486</v>
      </c>
      <c r="F1145" s="168">
        <v>3.18</v>
      </c>
      <c r="G1145" s="597" t="s">
        <v>32</v>
      </c>
      <c r="H1145" s="238" t="s">
        <v>33</v>
      </c>
      <c r="I1145" s="329"/>
      <c r="J1145" s="329"/>
      <c r="K1145" s="174" t="s">
        <v>3487</v>
      </c>
      <c r="L1145" s="168">
        <v>42123.893805309701</v>
      </c>
      <c r="M1145" s="168">
        <v>42123.893805309701</v>
      </c>
      <c r="N1145" s="602">
        <v>44444</v>
      </c>
      <c r="O1145" s="240" t="s">
        <v>2158</v>
      </c>
      <c r="P1145" s="240" t="s">
        <v>2153</v>
      </c>
      <c r="Q1145" s="240">
        <v>13546718283</v>
      </c>
      <c r="R1145" s="106" t="s">
        <v>2154</v>
      </c>
      <c r="S1145" s="352" t="s">
        <v>1736</v>
      </c>
      <c r="T1145" s="168"/>
      <c r="U1145" s="588"/>
      <c r="V1145" s="588"/>
      <c r="W1145" s="588"/>
      <c r="X1145" s="588"/>
      <c r="Y1145" s="588"/>
      <c r="Z1145" s="588"/>
      <c r="AA1145" s="588"/>
      <c r="AB1145" s="589"/>
    </row>
    <row r="1146" spans="1:28" s="590" customFormat="1" ht="24.95" customHeight="1">
      <c r="A1146" s="573" t="s">
        <v>1945</v>
      </c>
      <c r="B1146" s="435" t="s">
        <v>3484</v>
      </c>
      <c r="C1146" s="435" t="s">
        <v>3499</v>
      </c>
      <c r="D1146" s="435" t="s">
        <v>62</v>
      </c>
      <c r="E1146" s="601" t="s">
        <v>3498</v>
      </c>
      <c r="F1146" s="168">
        <v>1.3</v>
      </c>
      <c r="G1146" s="597" t="s">
        <v>32</v>
      </c>
      <c r="H1146" s="238" t="s">
        <v>33</v>
      </c>
      <c r="I1146" s="329"/>
      <c r="J1146" s="329"/>
      <c r="K1146" s="174" t="s">
        <v>3487</v>
      </c>
      <c r="L1146" s="168">
        <v>20247.7876106195</v>
      </c>
      <c r="M1146" s="168">
        <v>20247.7876106195</v>
      </c>
      <c r="N1146" s="602">
        <v>44444</v>
      </c>
      <c r="O1146" s="240" t="s">
        <v>2158</v>
      </c>
      <c r="P1146" s="240" t="s">
        <v>2153</v>
      </c>
      <c r="Q1146" s="240">
        <v>13546718283</v>
      </c>
      <c r="R1146" s="106" t="s">
        <v>2154</v>
      </c>
      <c r="S1146" s="352" t="s">
        <v>1736</v>
      </c>
      <c r="T1146" s="168"/>
      <c r="U1146" s="588"/>
      <c r="V1146" s="588"/>
      <c r="W1146" s="588"/>
      <c r="X1146" s="588"/>
      <c r="Y1146" s="588"/>
      <c r="Z1146" s="588"/>
      <c r="AA1146" s="588"/>
      <c r="AB1146" s="589"/>
    </row>
    <row r="1147" spans="1:28" s="590" customFormat="1" ht="24.95" customHeight="1">
      <c r="A1147" s="573" t="s">
        <v>1949</v>
      </c>
      <c r="B1147" s="435" t="s">
        <v>3484</v>
      </c>
      <c r="C1147" s="435" t="s">
        <v>3500</v>
      </c>
      <c r="D1147" s="435" t="s">
        <v>62</v>
      </c>
      <c r="E1147" s="601" t="s">
        <v>3498</v>
      </c>
      <c r="F1147" s="168">
        <v>1.95</v>
      </c>
      <c r="G1147" s="597" t="s">
        <v>32</v>
      </c>
      <c r="H1147" s="238" t="s">
        <v>33</v>
      </c>
      <c r="I1147" s="329"/>
      <c r="J1147" s="329"/>
      <c r="K1147" s="174" t="s">
        <v>3487</v>
      </c>
      <c r="L1147" s="168">
        <v>25796.47</v>
      </c>
      <c r="M1147" s="168">
        <v>25796.47</v>
      </c>
      <c r="N1147" s="602">
        <v>44444</v>
      </c>
      <c r="O1147" s="240" t="s">
        <v>2158</v>
      </c>
      <c r="P1147" s="240" t="s">
        <v>2153</v>
      </c>
      <c r="Q1147" s="240">
        <v>13546718283</v>
      </c>
      <c r="R1147" s="106" t="s">
        <v>2154</v>
      </c>
      <c r="S1147" s="352" t="s">
        <v>1736</v>
      </c>
      <c r="T1147" s="168"/>
      <c r="U1147" s="588"/>
      <c r="V1147" s="588"/>
      <c r="W1147" s="588"/>
      <c r="X1147" s="588"/>
      <c r="Y1147" s="588"/>
      <c r="Z1147" s="588"/>
      <c r="AA1147" s="588"/>
      <c r="AB1147" s="589"/>
    </row>
    <row r="1148" spans="1:28" s="590" customFormat="1" ht="24.95" customHeight="1">
      <c r="A1148" s="573" t="s">
        <v>1951</v>
      </c>
      <c r="B1148" s="435" t="s">
        <v>3484</v>
      </c>
      <c r="C1148" s="435" t="s">
        <v>3500</v>
      </c>
      <c r="D1148" s="435" t="s">
        <v>62</v>
      </c>
      <c r="E1148" s="603" t="s">
        <v>3501</v>
      </c>
      <c r="F1148" s="168">
        <v>5.85</v>
      </c>
      <c r="G1148" s="597" t="s">
        <v>32</v>
      </c>
      <c r="H1148" s="238" t="s">
        <v>33</v>
      </c>
      <c r="I1148" s="329"/>
      <c r="J1148" s="329"/>
      <c r="K1148" s="174" t="s">
        <v>3487</v>
      </c>
      <c r="L1148" s="168">
        <v>76539.823008849606</v>
      </c>
      <c r="M1148" s="168">
        <v>76539.823008849606</v>
      </c>
      <c r="N1148" s="602">
        <v>44444</v>
      </c>
      <c r="O1148" s="240" t="s">
        <v>2158</v>
      </c>
      <c r="P1148" s="240" t="s">
        <v>2153</v>
      </c>
      <c r="Q1148" s="240">
        <v>13546718283</v>
      </c>
      <c r="R1148" s="106" t="s">
        <v>2154</v>
      </c>
      <c r="S1148" s="352" t="s">
        <v>1736</v>
      </c>
      <c r="T1148" s="168"/>
      <c r="U1148" s="588"/>
      <c r="V1148" s="588"/>
      <c r="W1148" s="588"/>
      <c r="X1148" s="588"/>
      <c r="Y1148" s="588"/>
      <c r="Z1148" s="588"/>
      <c r="AA1148" s="588"/>
      <c r="AB1148" s="589"/>
    </row>
    <row r="1149" spans="1:28" ht="24.95" customHeight="1">
      <c r="A1149" s="573" t="s">
        <v>1953</v>
      </c>
      <c r="B1149" s="435" t="s">
        <v>3484</v>
      </c>
      <c r="C1149" s="528" t="s">
        <v>3499</v>
      </c>
      <c r="D1149" s="435" t="s">
        <v>62</v>
      </c>
      <c r="E1149" s="527" t="s">
        <v>3494</v>
      </c>
      <c r="F1149" s="168">
        <v>5.2</v>
      </c>
      <c r="G1149" s="168" t="s">
        <v>2513</v>
      </c>
      <c r="H1149" s="168" t="s">
        <v>33</v>
      </c>
      <c r="I1149" s="168"/>
      <c r="J1149" s="168"/>
      <c r="K1149" s="174" t="s">
        <v>3487</v>
      </c>
      <c r="L1149" s="168">
        <v>86902.654867256599</v>
      </c>
      <c r="M1149" s="168">
        <v>86902.654867256599</v>
      </c>
      <c r="N1149" s="602">
        <v>44475</v>
      </c>
      <c r="O1149" s="240" t="s">
        <v>2158</v>
      </c>
      <c r="P1149" s="240" t="s">
        <v>2153</v>
      </c>
      <c r="Q1149" s="240">
        <v>13546718283</v>
      </c>
      <c r="R1149" s="440" t="s">
        <v>2154</v>
      </c>
      <c r="S1149" s="352" t="s">
        <v>1736</v>
      </c>
      <c r="T1149" s="168"/>
    </row>
    <row r="1150" spans="1:28" ht="24.95" customHeight="1">
      <c r="A1150" s="573" t="s">
        <v>1955</v>
      </c>
      <c r="B1150" s="435" t="s">
        <v>3484</v>
      </c>
      <c r="C1150" s="528" t="s">
        <v>3499</v>
      </c>
      <c r="D1150" s="435" t="s">
        <v>62</v>
      </c>
      <c r="E1150" s="527" t="s">
        <v>3498</v>
      </c>
      <c r="F1150" s="168">
        <v>1.3</v>
      </c>
      <c r="G1150" s="168" t="s">
        <v>2513</v>
      </c>
      <c r="H1150" s="168" t="s">
        <v>33</v>
      </c>
      <c r="I1150" s="168"/>
      <c r="J1150" s="168"/>
      <c r="K1150" s="174" t="s">
        <v>3487</v>
      </c>
      <c r="L1150" s="168">
        <v>21725.66</v>
      </c>
      <c r="M1150" s="168">
        <v>21725.66</v>
      </c>
      <c r="N1150" s="602">
        <v>44475</v>
      </c>
      <c r="O1150" s="240" t="s">
        <v>2158</v>
      </c>
      <c r="P1150" s="240" t="s">
        <v>2153</v>
      </c>
      <c r="Q1150" s="240">
        <v>13546718283</v>
      </c>
      <c r="R1150" s="440" t="s">
        <v>2154</v>
      </c>
      <c r="S1150" s="352" t="s">
        <v>1736</v>
      </c>
      <c r="T1150" s="168"/>
    </row>
    <row r="1151" spans="1:28" ht="24.95" customHeight="1">
      <c r="A1151" s="573" t="s">
        <v>1957</v>
      </c>
      <c r="B1151" s="435" t="s">
        <v>3484</v>
      </c>
      <c r="C1151" s="528" t="s">
        <v>3502</v>
      </c>
      <c r="D1151" s="435" t="s">
        <v>62</v>
      </c>
      <c r="E1151" s="527" t="s">
        <v>3498</v>
      </c>
      <c r="F1151" s="168">
        <v>1.3</v>
      </c>
      <c r="G1151" s="168" t="s">
        <v>2513</v>
      </c>
      <c r="H1151" s="168" t="s">
        <v>33</v>
      </c>
      <c r="I1151" s="168"/>
      <c r="J1151" s="168"/>
      <c r="K1151" s="174" t="s">
        <v>3487</v>
      </c>
      <c r="L1151" s="168">
        <v>23389.38</v>
      </c>
      <c r="M1151" s="168">
        <v>23389.38</v>
      </c>
      <c r="N1151" s="602">
        <v>44475</v>
      </c>
      <c r="O1151" s="240" t="s">
        <v>2158</v>
      </c>
      <c r="P1151" s="240" t="s">
        <v>2153</v>
      </c>
      <c r="Q1151" s="240">
        <v>13546718283</v>
      </c>
      <c r="R1151" s="440" t="s">
        <v>2154</v>
      </c>
      <c r="S1151" s="352" t="s">
        <v>1736</v>
      </c>
      <c r="T1151" s="168"/>
    </row>
    <row r="1152" spans="1:28" ht="24.95" customHeight="1">
      <c r="A1152" s="573" t="s">
        <v>1958</v>
      </c>
      <c r="B1152" s="604" t="s">
        <v>3503</v>
      </c>
      <c r="C1152" s="604" t="s">
        <v>3504</v>
      </c>
      <c r="D1152" s="435" t="s">
        <v>62</v>
      </c>
      <c r="E1152" s="605" t="s">
        <v>3505</v>
      </c>
      <c r="F1152" s="168">
        <v>13.07</v>
      </c>
      <c r="G1152" s="168" t="s">
        <v>2513</v>
      </c>
      <c r="H1152" s="168" t="s">
        <v>33</v>
      </c>
      <c r="I1152" s="168"/>
      <c r="J1152" s="168"/>
      <c r="K1152" s="174" t="s">
        <v>2617</v>
      </c>
      <c r="L1152" s="168">
        <v>111376.991150442</v>
      </c>
      <c r="M1152" s="168">
        <v>111376.991150442</v>
      </c>
      <c r="N1152" s="439">
        <v>44440</v>
      </c>
      <c r="O1152" s="174" t="s">
        <v>2152</v>
      </c>
      <c r="P1152" s="240" t="s">
        <v>2153</v>
      </c>
      <c r="Q1152" s="240">
        <v>13546718283</v>
      </c>
      <c r="R1152" s="440" t="s">
        <v>2154</v>
      </c>
      <c r="S1152" s="352" t="s">
        <v>1736</v>
      </c>
      <c r="T1152" s="168"/>
    </row>
    <row r="1153" spans="1:20" ht="24.95" customHeight="1">
      <c r="A1153" s="573" t="s">
        <v>1961</v>
      </c>
      <c r="B1153" s="604" t="s">
        <v>3503</v>
      </c>
      <c r="C1153" s="604" t="s">
        <v>3506</v>
      </c>
      <c r="D1153" s="435" t="s">
        <v>62</v>
      </c>
      <c r="E1153" s="605" t="s">
        <v>3507</v>
      </c>
      <c r="F1153" s="168">
        <v>16.260000000000002</v>
      </c>
      <c r="G1153" s="168" t="s">
        <v>2513</v>
      </c>
      <c r="H1153" s="168" t="s">
        <v>33</v>
      </c>
      <c r="I1153" s="168"/>
      <c r="J1153" s="168"/>
      <c r="K1153" s="174" t="s">
        <v>2617</v>
      </c>
      <c r="L1153" s="168">
        <v>140215.92920354</v>
      </c>
      <c r="M1153" s="168">
        <v>140215.92920354</v>
      </c>
      <c r="N1153" s="439">
        <v>44440</v>
      </c>
      <c r="O1153" s="174" t="s">
        <v>2152</v>
      </c>
      <c r="P1153" s="240" t="s">
        <v>2153</v>
      </c>
      <c r="Q1153" s="240">
        <v>13546718283</v>
      </c>
      <c r="R1153" s="440" t="s">
        <v>2154</v>
      </c>
      <c r="S1153" s="352" t="s">
        <v>1736</v>
      </c>
      <c r="T1153" s="168"/>
    </row>
    <row r="1154" spans="1:20" ht="24.95" customHeight="1">
      <c r="A1154" s="573" t="s">
        <v>1963</v>
      </c>
      <c r="B1154" s="604" t="s">
        <v>3503</v>
      </c>
      <c r="C1154" s="604" t="s">
        <v>3508</v>
      </c>
      <c r="D1154" s="435" t="s">
        <v>62</v>
      </c>
      <c r="E1154" s="605" t="s">
        <v>3509</v>
      </c>
      <c r="F1154" s="168">
        <v>1.82</v>
      </c>
      <c r="G1154" s="168" t="s">
        <v>2513</v>
      </c>
      <c r="H1154" s="168" t="s">
        <v>33</v>
      </c>
      <c r="I1154" s="168"/>
      <c r="J1154" s="168"/>
      <c r="K1154" s="174" t="s">
        <v>2617</v>
      </c>
      <c r="L1154" s="168">
        <v>16405.309734513299</v>
      </c>
      <c r="M1154" s="168">
        <v>16405.309734513299</v>
      </c>
      <c r="N1154" s="439">
        <v>44440</v>
      </c>
      <c r="O1154" s="174" t="s">
        <v>2152</v>
      </c>
      <c r="P1154" s="240" t="s">
        <v>2153</v>
      </c>
      <c r="Q1154" s="240">
        <v>13546718283</v>
      </c>
      <c r="R1154" s="440" t="s">
        <v>2154</v>
      </c>
      <c r="S1154" s="352" t="s">
        <v>1736</v>
      </c>
      <c r="T1154" s="168"/>
    </row>
    <row r="1155" spans="1:20" ht="24.95" customHeight="1">
      <c r="A1155" s="573" t="s">
        <v>1964</v>
      </c>
      <c r="B1155" s="604" t="s">
        <v>3503</v>
      </c>
      <c r="C1155" s="604" t="s">
        <v>3510</v>
      </c>
      <c r="D1155" s="435" t="s">
        <v>62</v>
      </c>
      <c r="E1155" s="605" t="s">
        <v>3511</v>
      </c>
      <c r="F1155" s="168">
        <v>32.090000000000003</v>
      </c>
      <c r="G1155" s="168" t="s">
        <v>2513</v>
      </c>
      <c r="H1155" s="168" t="s">
        <v>33</v>
      </c>
      <c r="I1155" s="329"/>
      <c r="J1155" s="329"/>
      <c r="K1155" s="174" t="s">
        <v>2617</v>
      </c>
      <c r="L1155" s="168">
        <v>289474.33628318598</v>
      </c>
      <c r="M1155" s="168">
        <v>289474.33628318598</v>
      </c>
      <c r="N1155" s="439">
        <v>44440</v>
      </c>
      <c r="O1155" s="174" t="s">
        <v>2152</v>
      </c>
      <c r="P1155" s="240" t="s">
        <v>2153</v>
      </c>
      <c r="Q1155" s="240">
        <v>13546718283</v>
      </c>
      <c r="R1155" s="440" t="s">
        <v>2154</v>
      </c>
      <c r="S1155" s="352" t="s">
        <v>1736</v>
      </c>
      <c r="T1155" s="329"/>
    </row>
    <row r="1156" spans="1:20" ht="24.95" customHeight="1">
      <c r="A1156" s="573" t="s">
        <v>1965</v>
      </c>
      <c r="B1156" s="604" t="s">
        <v>3503</v>
      </c>
      <c r="C1156" s="604" t="s">
        <v>3504</v>
      </c>
      <c r="D1156" s="435" t="s">
        <v>62</v>
      </c>
      <c r="E1156" s="605" t="s">
        <v>3512</v>
      </c>
      <c r="F1156" s="168">
        <v>20.309999999999999</v>
      </c>
      <c r="G1156" s="168" t="s">
        <v>2513</v>
      </c>
      <c r="H1156" s="168" t="s">
        <v>33</v>
      </c>
      <c r="I1156" s="329"/>
      <c r="J1156" s="329"/>
      <c r="K1156" s="174" t="s">
        <v>2617</v>
      </c>
      <c r="L1156" s="168">
        <v>182230.08849557501</v>
      </c>
      <c r="M1156" s="168">
        <v>182230.08849557501</v>
      </c>
      <c r="N1156" s="439">
        <v>44440</v>
      </c>
      <c r="O1156" s="174" t="s">
        <v>2152</v>
      </c>
      <c r="P1156" s="240" t="s">
        <v>2153</v>
      </c>
      <c r="Q1156" s="240">
        <v>13546718283</v>
      </c>
      <c r="R1156" s="440" t="s">
        <v>2154</v>
      </c>
      <c r="S1156" s="352" t="s">
        <v>1736</v>
      </c>
      <c r="T1156" s="329"/>
    </row>
    <row r="1157" spans="1:20" ht="24.95" customHeight="1">
      <c r="A1157" s="573" t="s">
        <v>1966</v>
      </c>
      <c r="B1157" s="606" t="s">
        <v>3513</v>
      </c>
      <c r="C1157" s="607" t="s">
        <v>3506</v>
      </c>
      <c r="D1157" s="435" t="s">
        <v>62</v>
      </c>
      <c r="E1157" s="450" t="s">
        <v>3514</v>
      </c>
      <c r="F1157" s="168">
        <v>11.15</v>
      </c>
      <c r="G1157" s="168" t="s">
        <v>2513</v>
      </c>
      <c r="H1157" s="168" t="s">
        <v>33</v>
      </c>
      <c r="I1157" s="329"/>
      <c r="J1157" s="329"/>
      <c r="K1157" s="174" t="s">
        <v>2617</v>
      </c>
      <c r="L1157" s="168">
        <v>100548.672566372</v>
      </c>
      <c r="M1157" s="168">
        <v>100548.672566372</v>
      </c>
      <c r="N1157" s="439">
        <v>44501</v>
      </c>
      <c r="O1157" s="174" t="s">
        <v>2152</v>
      </c>
      <c r="P1157" s="240" t="s">
        <v>2153</v>
      </c>
      <c r="Q1157" s="240">
        <v>13546718283</v>
      </c>
      <c r="R1157" s="440" t="s">
        <v>2154</v>
      </c>
      <c r="S1157" s="352" t="s">
        <v>1736</v>
      </c>
      <c r="T1157" s="329"/>
    </row>
    <row r="1158" spans="1:20" ht="24.95" customHeight="1">
      <c r="A1158" s="573" t="s">
        <v>1967</v>
      </c>
      <c r="B1158" s="606" t="s">
        <v>3515</v>
      </c>
      <c r="C1158" s="607" t="s">
        <v>3506</v>
      </c>
      <c r="D1158" s="435" t="s">
        <v>62</v>
      </c>
      <c r="E1158" s="450" t="s">
        <v>3516</v>
      </c>
      <c r="F1158" s="168">
        <v>21.83</v>
      </c>
      <c r="G1158" s="168" t="s">
        <v>2513</v>
      </c>
      <c r="H1158" s="168" t="s">
        <v>33</v>
      </c>
      <c r="I1158" s="329"/>
      <c r="J1158" s="329"/>
      <c r="K1158" s="174" t="s">
        <v>2617</v>
      </c>
      <c r="L1158" s="168">
        <v>207398.230088496</v>
      </c>
      <c r="M1158" s="168">
        <v>207398.230088496</v>
      </c>
      <c r="N1158" s="439">
        <v>44501</v>
      </c>
      <c r="O1158" s="174" t="s">
        <v>2152</v>
      </c>
      <c r="P1158" s="240" t="s">
        <v>2153</v>
      </c>
      <c r="Q1158" s="240">
        <v>13546718283</v>
      </c>
      <c r="R1158" s="440" t="s">
        <v>2154</v>
      </c>
      <c r="S1158" s="352" t="s">
        <v>1736</v>
      </c>
      <c r="T1158" s="329"/>
    </row>
    <row r="1159" spans="1:20" ht="24.95" customHeight="1">
      <c r="A1159" s="573" t="s">
        <v>1968</v>
      </c>
      <c r="B1159" s="606" t="s">
        <v>3515</v>
      </c>
      <c r="C1159" s="607" t="s">
        <v>3517</v>
      </c>
      <c r="D1159" s="435" t="s">
        <v>62</v>
      </c>
      <c r="E1159" s="450" t="s">
        <v>3518</v>
      </c>
      <c r="F1159" s="168">
        <v>25.48</v>
      </c>
      <c r="G1159" s="168" t="s">
        <v>2513</v>
      </c>
      <c r="H1159" s="168" t="s">
        <v>33</v>
      </c>
      <c r="I1159" s="329"/>
      <c r="J1159" s="329"/>
      <c r="K1159" s="174" t="s">
        <v>2617</v>
      </c>
      <c r="L1159" s="168">
        <v>237760.35398230099</v>
      </c>
      <c r="M1159" s="168">
        <v>237760.35398230099</v>
      </c>
      <c r="N1159" s="439">
        <v>44501</v>
      </c>
      <c r="O1159" s="174" t="s">
        <v>3519</v>
      </c>
      <c r="P1159" s="240" t="s">
        <v>2153</v>
      </c>
      <c r="Q1159" s="240">
        <v>13546718283</v>
      </c>
      <c r="R1159" s="440" t="s">
        <v>2154</v>
      </c>
      <c r="S1159" s="352" t="s">
        <v>1736</v>
      </c>
      <c r="T1159" s="329"/>
    </row>
    <row r="1160" spans="1:20" ht="24.95" customHeight="1">
      <c r="A1160" s="573" t="s">
        <v>1969</v>
      </c>
      <c r="B1160" s="606" t="s">
        <v>3515</v>
      </c>
      <c r="C1160" s="607" t="s">
        <v>3520</v>
      </c>
      <c r="D1160" s="435" t="s">
        <v>62</v>
      </c>
      <c r="E1160" s="450" t="s">
        <v>3521</v>
      </c>
      <c r="F1160" s="168">
        <v>43.99</v>
      </c>
      <c r="G1160" s="168" t="s">
        <v>2513</v>
      </c>
      <c r="H1160" s="168" t="s">
        <v>33</v>
      </c>
      <c r="I1160" s="329"/>
      <c r="J1160" s="329"/>
      <c r="K1160" s="174" t="s">
        <v>2617</v>
      </c>
      <c r="L1160" s="168">
        <v>408361.06194690301</v>
      </c>
      <c r="M1160" s="168">
        <v>408361.06194690301</v>
      </c>
      <c r="N1160" s="439">
        <v>44501</v>
      </c>
      <c r="O1160" s="240" t="s">
        <v>3522</v>
      </c>
      <c r="P1160" s="240" t="s">
        <v>2153</v>
      </c>
      <c r="Q1160" s="240">
        <v>13546718283</v>
      </c>
      <c r="R1160" s="440" t="s">
        <v>2154</v>
      </c>
      <c r="S1160" s="352" t="s">
        <v>1736</v>
      </c>
      <c r="T1160" s="329"/>
    </row>
    <row r="1161" spans="1:20" ht="24.95" customHeight="1">
      <c r="A1161" s="573" t="s">
        <v>1970</v>
      </c>
      <c r="B1161" s="606" t="s">
        <v>3515</v>
      </c>
      <c r="C1161" s="607" t="s">
        <v>3523</v>
      </c>
      <c r="D1161" s="435" t="s">
        <v>62</v>
      </c>
      <c r="E1161" s="450" t="s">
        <v>3524</v>
      </c>
      <c r="F1161" s="168">
        <v>15.58</v>
      </c>
      <c r="G1161" s="168" t="s">
        <v>2513</v>
      </c>
      <c r="H1161" s="168" t="s">
        <v>33</v>
      </c>
      <c r="I1161" s="329"/>
      <c r="J1161" s="329"/>
      <c r="K1161" s="174" t="s">
        <v>2617</v>
      </c>
      <c r="L1161" s="168">
        <v>143911.50442477901</v>
      </c>
      <c r="M1161" s="168">
        <v>143911.50442477901</v>
      </c>
      <c r="N1161" s="439">
        <v>44501</v>
      </c>
      <c r="O1161" s="240" t="s">
        <v>3522</v>
      </c>
      <c r="P1161" s="240" t="s">
        <v>2153</v>
      </c>
      <c r="Q1161" s="240">
        <v>13546718283</v>
      </c>
      <c r="R1161" s="440" t="s">
        <v>2154</v>
      </c>
      <c r="S1161" s="352" t="s">
        <v>1736</v>
      </c>
      <c r="T1161" s="329"/>
    </row>
    <row r="1162" spans="1:20" ht="24.95" customHeight="1">
      <c r="A1162" s="573" t="s">
        <v>1977</v>
      </c>
      <c r="B1162" s="606" t="s">
        <v>699</v>
      </c>
      <c r="C1162" s="606" t="s">
        <v>3525</v>
      </c>
      <c r="D1162" s="606" t="s">
        <v>161</v>
      </c>
      <c r="E1162" s="329"/>
      <c r="F1162" s="168">
        <v>5</v>
      </c>
      <c r="G1162" s="168" t="s">
        <v>2513</v>
      </c>
      <c r="H1162" s="168" t="s">
        <v>33</v>
      </c>
      <c r="I1162" s="329"/>
      <c r="J1162" s="329"/>
      <c r="K1162" s="174" t="s">
        <v>2617</v>
      </c>
      <c r="L1162" s="168">
        <v>51191.150442477898</v>
      </c>
      <c r="M1162" s="168">
        <v>51191.150442477898</v>
      </c>
      <c r="N1162" s="439">
        <v>44593</v>
      </c>
      <c r="O1162" s="174" t="s">
        <v>2152</v>
      </c>
      <c r="P1162" s="240" t="s">
        <v>2153</v>
      </c>
      <c r="Q1162" s="240">
        <v>13546718283</v>
      </c>
      <c r="R1162" s="440" t="s">
        <v>2154</v>
      </c>
      <c r="S1162" s="352" t="s">
        <v>1736</v>
      </c>
      <c r="T1162" s="329"/>
    </row>
    <row r="1163" spans="1:20" ht="24.95" customHeight="1">
      <c r="A1163" s="573" t="s">
        <v>1979</v>
      </c>
      <c r="B1163" s="606" t="s">
        <v>699</v>
      </c>
      <c r="C1163" s="606" t="s">
        <v>3526</v>
      </c>
      <c r="D1163" s="606" t="s">
        <v>161</v>
      </c>
      <c r="E1163" s="329"/>
      <c r="F1163" s="168">
        <v>9.09</v>
      </c>
      <c r="G1163" s="168" t="s">
        <v>2513</v>
      </c>
      <c r="H1163" s="168" t="s">
        <v>33</v>
      </c>
      <c r="I1163" s="329"/>
      <c r="J1163" s="329"/>
      <c r="K1163" s="174" t="s">
        <v>2617</v>
      </c>
      <c r="L1163" s="168">
        <v>86415.929203539796</v>
      </c>
      <c r="M1163" s="168">
        <v>86415.929203539796</v>
      </c>
      <c r="N1163" s="439">
        <v>44593</v>
      </c>
      <c r="O1163" s="174" t="s">
        <v>2152</v>
      </c>
      <c r="P1163" s="240" t="s">
        <v>2153</v>
      </c>
      <c r="Q1163" s="240">
        <v>13546718283</v>
      </c>
      <c r="R1163" s="440" t="s">
        <v>2154</v>
      </c>
      <c r="S1163" s="352" t="s">
        <v>1736</v>
      </c>
      <c r="T1163" s="329"/>
    </row>
    <row r="1164" spans="1:20" ht="24.95" customHeight="1">
      <c r="A1164" s="573" t="s">
        <v>1980</v>
      </c>
      <c r="B1164" s="168" t="s">
        <v>3527</v>
      </c>
      <c r="C1164" s="168"/>
      <c r="D1164" s="168" t="s">
        <v>131</v>
      </c>
      <c r="E1164" s="168">
        <v>6</v>
      </c>
      <c r="F1164" s="168"/>
      <c r="G1164" s="168" t="s">
        <v>32</v>
      </c>
      <c r="H1164" s="168" t="s">
        <v>33</v>
      </c>
      <c r="I1164" s="168"/>
      <c r="J1164" s="168"/>
      <c r="K1164" s="158" t="s">
        <v>3528</v>
      </c>
      <c r="L1164" s="396">
        <v>33267.326732673297</v>
      </c>
      <c r="M1164" s="396">
        <v>29386.16</v>
      </c>
      <c r="N1164" s="176">
        <v>2021.9</v>
      </c>
      <c r="O1164" s="174" t="s">
        <v>2973</v>
      </c>
      <c r="P1164" s="168" t="s">
        <v>1933</v>
      </c>
      <c r="Q1164" s="168">
        <v>18335403600</v>
      </c>
      <c r="R1164" s="168" t="s">
        <v>1934</v>
      </c>
      <c r="S1164" s="168" t="s">
        <v>1736</v>
      </c>
      <c r="T1164" s="168"/>
    </row>
    <row r="1165" spans="1:20" ht="24.95" customHeight="1">
      <c r="A1165" s="573" t="s">
        <v>1984</v>
      </c>
      <c r="B1165" s="150" t="s">
        <v>1040</v>
      </c>
      <c r="C1165" s="150" t="s">
        <v>3529</v>
      </c>
      <c r="D1165" s="150" t="s">
        <v>161</v>
      </c>
      <c r="E1165" s="150">
        <v>200</v>
      </c>
      <c r="F1165" s="168"/>
      <c r="G1165" s="168" t="s">
        <v>32</v>
      </c>
      <c r="H1165" s="168" t="s">
        <v>33</v>
      </c>
      <c r="I1165" s="168"/>
      <c r="J1165" s="168"/>
      <c r="K1165" s="150" t="s">
        <v>3530</v>
      </c>
      <c r="L1165" s="154">
        <v>362831.86</v>
      </c>
      <c r="M1165" s="396">
        <v>299336.28999999998</v>
      </c>
      <c r="N1165" s="176">
        <v>2021.9</v>
      </c>
      <c r="O1165" s="174" t="s">
        <v>2973</v>
      </c>
      <c r="P1165" s="168" t="s">
        <v>1933</v>
      </c>
      <c r="Q1165" s="168">
        <v>18335403600</v>
      </c>
      <c r="R1165" s="168" t="s">
        <v>1934</v>
      </c>
      <c r="S1165" s="168" t="s">
        <v>1736</v>
      </c>
      <c r="T1165" s="168"/>
    </row>
    <row r="1166" spans="1:20" ht="24.95" customHeight="1">
      <c r="A1166" s="573" t="s">
        <v>1986</v>
      </c>
      <c r="B1166" s="450" t="s">
        <v>1040</v>
      </c>
      <c r="C1166" s="450" t="s">
        <v>3529</v>
      </c>
      <c r="D1166" s="450" t="s">
        <v>161</v>
      </c>
      <c r="E1166" s="450">
        <v>320</v>
      </c>
      <c r="F1166" s="168"/>
      <c r="G1166" s="168" t="s">
        <v>32</v>
      </c>
      <c r="H1166" s="168" t="s">
        <v>33</v>
      </c>
      <c r="I1166" s="168"/>
      <c r="J1166" s="168"/>
      <c r="K1166" s="150" t="s">
        <v>3530</v>
      </c>
      <c r="L1166" s="154">
        <v>580530.97</v>
      </c>
      <c r="M1166" s="396">
        <v>546666.66</v>
      </c>
      <c r="N1166" s="176" t="s">
        <v>1956</v>
      </c>
      <c r="O1166" s="174" t="s">
        <v>2973</v>
      </c>
      <c r="P1166" s="168" t="s">
        <v>1933</v>
      </c>
      <c r="Q1166" s="168">
        <v>18335403600</v>
      </c>
      <c r="R1166" s="168" t="s">
        <v>1934</v>
      </c>
      <c r="S1166" s="168" t="s">
        <v>1736</v>
      </c>
      <c r="T1166" s="168"/>
    </row>
    <row r="1167" spans="1:20" ht="24.95" customHeight="1">
      <c r="A1167" s="573" t="s">
        <v>1988</v>
      </c>
      <c r="B1167" s="150" t="s">
        <v>3531</v>
      </c>
      <c r="C1167" s="150"/>
      <c r="D1167" s="150" t="s">
        <v>79</v>
      </c>
      <c r="E1167" s="150">
        <v>160</v>
      </c>
      <c r="F1167" s="168"/>
      <c r="G1167" s="168" t="s">
        <v>32</v>
      </c>
      <c r="H1167" s="168" t="s">
        <v>33</v>
      </c>
      <c r="I1167" s="168"/>
      <c r="J1167" s="168"/>
      <c r="K1167" s="150" t="s">
        <v>3170</v>
      </c>
      <c r="L1167" s="154">
        <v>5544.55</v>
      </c>
      <c r="M1167" s="396">
        <v>4897.6899999999996</v>
      </c>
      <c r="N1167" s="176" t="s">
        <v>1954</v>
      </c>
      <c r="O1167" s="174" t="s">
        <v>2973</v>
      </c>
      <c r="P1167" s="168" t="s">
        <v>1933</v>
      </c>
      <c r="Q1167" s="168">
        <v>18335403600</v>
      </c>
      <c r="R1167" s="168" t="s">
        <v>1934</v>
      </c>
      <c r="S1167" s="168" t="s">
        <v>1736</v>
      </c>
      <c r="T1167" s="168"/>
    </row>
    <row r="1168" spans="1:20" ht="24.95" customHeight="1">
      <c r="A1168" s="573" t="s">
        <v>1990</v>
      </c>
      <c r="B1168" s="150" t="s">
        <v>3532</v>
      </c>
      <c r="C1168" s="150"/>
      <c r="D1168" s="150" t="s">
        <v>79</v>
      </c>
      <c r="E1168" s="150">
        <v>310</v>
      </c>
      <c r="F1168" s="168"/>
      <c r="G1168" s="168" t="s">
        <v>32</v>
      </c>
      <c r="H1168" s="168" t="s">
        <v>33</v>
      </c>
      <c r="I1168" s="168"/>
      <c r="J1168" s="168"/>
      <c r="K1168" s="150" t="s">
        <v>3170</v>
      </c>
      <c r="L1168" s="154">
        <v>51564.36</v>
      </c>
      <c r="M1168" s="396">
        <v>45548.52</v>
      </c>
      <c r="N1168" s="176" t="s">
        <v>1954</v>
      </c>
      <c r="O1168" s="174" t="s">
        <v>2973</v>
      </c>
      <c r="P1168" s="168" t="s">
        <v>1933</v>
      </c>
      <c r="Q1168" s="168">
        <v>18335403600</v>
      </c>
      <c r="R1168" s="168" t="s">
        <v>1934</v>
      </c>
      <c r="S1168" s="168" t="s">
        <v>1736</v>
      </c>
      <c r="T1168" s="168"/>
    </row>
    <row r="1169" spans="1:20" ht="24.95" customHeight="1">
      <c r="A1169" s="573" t="s">
        <v>1992</v>
      </c>
      <c r="B1169" s="150" t="s">
        <v>3533</v>
      </c>
      <c r="C1169" s="150"/>
      <c r="D1169" s="150" t="s">
        <v>79</v>
      </c>
      <c r="E1169" s="150">
        <v>120</v>
      </c>
      <c r="F1169" s="168"/>
      <c r="G1169" s="168" t="s">
        <v>32</v>
      </c>
      <c r="H1169" s="168" t="s">
        <v>33</v>
      </c>
      <c r="I1169" s="168"/>
      <c r="J1169" s="168"/>
      <c r="K1169" s="150" t="s">
        <v>3170</v>
      </c>
      <c r="L1169" s="154">
        <v>10811.88</v>
      </c>
      <c r="M1169" s="396">
        <v>9550.5</v>
      </c>
      <c r="N1169" s="176" t="s">
        <v>1954</v>
      </c>
      <c r="O1169" s="174" t="s">
        <v>2973</v>
      </c>
      <c r="P1169" s="168" t="s">
        <v>1933</v>
      </c>
      <c r="Q1169" s="168">
        <v>18335403600</v>
      </c>
      <c r="R1169" s="168" t="s">
        <v>1934</v>
      </c>
      <c r="S1169" s="168" t="s">
        <v>1736</v>
      </c>
      <c r="T1169" s="168"/>
    </row>
    <row r="1170" spans="1:20" ht="24.95" customHeight="1">
      <c r="A1170" s="573" t="s">
        <v>1994</v>
      </c>
      <c r="B1170" s="150" t="s">
        <v>3534</v>
      </c>
      <c r="C1170" s="150"/>
      <c r="D1170" s="150" t="s">
        <v>79</v>
      </c>
      <c r="E1170" s="150">
        <v>60</v>
      </c>
      <c r="F1170" s="168"/>
      <c r="G1170" s="168" t="s">
        <v>32</v>
      </c>
      <c r="H1170" s="168" t="s">
        <v>33</v>
      </c>
      <c r="I1170" s="168"/>
      <c r="J1170" s="168"/>
      <c r="K1170" s="150" t="s">
        <v>3170</v>
      </c>
      <c r="L1170" s="154">
        <v>5405.94</v>
      </c>
      <c r="M1170" s="396">
        <v>4775.24</v>
      </c>
      <c r="N1170" s="176" t="s">
        <v>1954</v>
      </c>
      <c r="O1170" s="174" t="s">
        <v>2973</v>
      </c>
      <c r="P1170" s="168" t="s">
        <v>1933</v>
      </c>
      <c r="Q1170" s="168">
        <v>18335403600</v>
      </c>
      <c r="R1170" s="168" t="s">
        <v>1934</v>
      </c>
      <c r="S1170" s="168" t="s">
        <v>1736</v>
      </c>
      <c r="T1170" s="168"/>
    </row>
    <row r="1171" spans="1:20" ht="24.95" customHeight="1">
      <c r="A1171" s="573" t="s">
        <v>1996</v>
      </c>
      <c r="B1171" s="150" t="s">
        <v>3535</v>
      </c>
      <c r="C1171" s="150"/>
      <c r="D1171" s="150" t="s">
        <v>79</v>
      </c>
      <c r="E1171" s="150">
        <v>350</v>
      </c>
      <c r="F1171" s="168"/>
      <c r="G1171" s="168" t="s">
        <v>32</v>
      </c>
      <c r="H1171" s="168" t="s">
        <v>33</v>
      </c>
      <c r="I1171" s="168"/>
      <c r="J1171" s="168"/>
      <c r="K1171" s="150" t="s">
        <v>3170</v>
      </c>
      <c r="L1171" s="154">
        <v>31534.65</v>
      </c>
      <c r="M1171" s="396">
        <v>27855.61</v>
      </c>
      <c r="N1171" s="176" t="s">
        <v>1954</v>
      </c>
      <c r="O1171" s="174" t="s">
        <v>2973</v>
      </c>
      <c r="P1171" s="168" t="s">
        <v>1933</v>
      </c>
      <c r="Q1171" s="168">
        <v>18335403600</v>
      </c>
      <c r="R1171" s="168" t="s">
        <v>1934</v>
      </c>
      <c r="S1171" s="168" t="s">
        <v>1736</v>
      </c>
      <c r="T1171" s="168"/>
    </row>
    <row r="1172" spans="1:20" ht="24.95" customHeight="1">
      <c r="A1172" s="573" t="s">
        <v>1998</v>
      </c>
      <c r="B1172" s="150" t="s">
        <v>3536</v>
      </c>
      <c r="C1172" s="150"/>
      <c r="D1172" s="150" t="s">
        <v>79</v>
      </c>
      <c r="E1172" s="150">
        <v>60</v>
      </c>
      <c r="F1172" s="168"/>
      <c r="G1172" s="168" t="s">
        <v>32</v>
      </c>
      <c r="H1172" s="168" t="s">
        <v>33</v>
      </c>
      <c r="I1172" s="168"/>
      <c r="J1172" s="168"/>
      <c r="K1172" s="150" t="s">
        <v>3170</v>
      </c>
      <c r="L1172" s="154">
        <v>4990.1000000000004</v>
      </c>
      <c r="M1172" s="396">
        <v>4407.92</v>
      </c>
      <c r="N1172" s="176" t="s">
        <v>1954</v>
      </c>
      <c r="O1172" s="174" t="s">
        <v>2973</v>
      </c>
      <c r="P1172" s="168" t="s">
        <v>1933</v>
      </c>
      <c r="Q1172" s="168">
        <v>18335403600</v>
      </c>
      <c r="R1172" s="168" t="s">
        <v>1934</v>
      </c>
      <c r="S1172" s="168" t="s">
        <v>1736</v>
      </c>
      <c r="T1172" s="168"/>
    </row>
    <row r="1173" spans="1:20" ht="24.95" customHeight="1">
      <c r="A1173" s="573" t="s">
        <v>1999</v>
      </c>
      <c r="B1173" s="150" t="s">
        <v>3537</v>
      </c>
      <c r="C1173" s="150"/>
      <c r="D1173" s="150" t="s">
        <v>79</v>
      </c>
      <c r="E1173" s="150">
        <v>20</v>
      </c>
      <c r="F1173" s="168"/>
      <c r="G1173" s="168" t="s">
        <v>32</v>
      </c>
      <c r="H1173" s="168" t="s">
        <v>33</v>
      </c>
      <c r="I1173" s="168"/>
      <c r="J1173" s="168"/>
      <c r="K1173" s="150" t="s">
        <v>3170</v>
      </c>
      <c r="L1173" s="154">
        <v>1801.98</v>
      </c>
      <c r="M1173" s="396">
        <v>1591.74</v>
      </c>
      <c r="N1173" s="176" t="s">
        <v>1954</v>
      </c>
      <c r="O1173" s="174" t="s">
        <v>2973</v>
      </c>
      <c r="P1173" s="168" t="s">
        <v>1933</v>
      </c>
      <c r="Q1173" s="168">
        <v>18335403600</v>
      </c>
      <c r="R1173" s="168" t="s">
        <v>1934</v>
      </c>
      <c r="S1173" s="168" t="s">
        <v>1736</v>
      </c>
      <c r="T1173" s="168"/>
    </row>
    <row r="1174" spans="1:20" ht="24.95" customHeight="1">
      <c r="A1174" s="573" t="s">
        <v>2001</v>
      </c>
      <c r="B1174" s="150" t="s">
        <v>3538</v>
      </c>
      <c r="C1174" s="150"/>
      <c r="D1174" s="150" t="s">
        <v>79</v>
      </c>
      <c r="E1174" s="150">
        <v>50</v>
      </c>
      <c r="F1174" s="168"/>
      <c r="G1174" s="168" t="s">
        <v>32</v>
      </c>
      <c r="H1174" s="168" t="s">
        <v>33</v>
      </c>
      <c r="I1174" s="168"/>
      <c r="J1174" s="168"/>
      <c r="K1174" s="150" t="s">
        <v>3170</v>
      </c>
      <c r="L1174" s="154">
        <v>4158.42</v>
      </c>
      <c r="M1174" s="396">
        <v>3673.27</v>
      </c>
      <c r="N1174" s="176" t="s">
        <v>1954</v>
      </c>
      <c r="O1174" s="174" t="s">
        <v>2973</v>
      </c>
      <c r="P1174" s="168" t="s">
        <v>1933</v>
      </c>
      <c r="Q1174" s="168">
        <v>18335403600</v>
      </c>
      <c r="R1174" s="168" t="s">
        <v>1934</v>
      </c>
      <c r="S1174" s="168" t="s">
        <v>1736</v>
      </c>
      <c r="T1174" s="168"/>
    </row>
    <row r="1175" spans="1:20" ht="24.95" customHeight="1">
      <c r="A1175" s="573" t="s">
        <v>2003</v>
      </c>
      <c r="B1175" s="150" t="s">
        <v>3539</v>
      </c>
      <c r="C1175" s="150"/>
      <c r="D1175" s="150" t="s">
        <v>79</v>
      </c>
      <c r="E1175" s="150">
        <v>400</v>
      </c>
      <c r="F1175" s="168"/>
      <c r="G1175" s="168" t="s">
        <v>32</v>
      </c>
      <c r="H1175" s="168" t="s">
        <v>33</v>
      </c>
      <c r="I1175" s="168"/>
      <c r="J1175" s="168"/>
      <c r="K1175" s="150" t="s">
        <v>3170</v>
      </c>
      <c r="L1175" s="154">
        <v>36039.599999999999</v>
      </c>
      <c r="M1175" s="396">
        <v>31834.98</v>
      </c>
      <c r="N1175" s="176" t="s">
        <v>1954</v>
      </c>
      <c r="O1175" s="174" t="s">
        <v>2973</v>
      </c>
      <c r="P1175" s="168" t="s">
        <v>1933</v>
      </c>
      <c r="Q1175" s="168">
        <v>18335403600</v>
      </c>
      <c r="R1175" s="168" t="s">
        <v>1934</v>
      </c>
      <c r="S1175" s="168" t="s">
        <v>1736</v>
      </c>
      <c r="T1175" s="168"/>
    </row>
    <row r="1176" spans="1:20" ht="24.95" customHeight="1">
      <c r="A1176" s="573" t="s">
        <v>2005</v>
      </c>
      <c r="B1176" s="150" t="s">
        <v>3540</v>
      </c>
      <c r="C1176" s="150"/>
      <c r="D1176" s="150" t="s">
        <v>79</v>
      </c>
      <c r="E1176" s="150">
        <v>380</v>
      </c>
      <c r="F1176" s="168"/>
      <c r="G1176" s="168" t="s">
        <v>32</v>
      </c>
      <c r="H1176" s="168" t="s">
        <v>33</v>
      </c>
      <c r="I1176" s="168"/>
      <c r="J1176" s="168"/>
      <c r="K1176" s="150" t="s">
        <v>3170</v>
      </c>
      <c r="L1176" s="154">
        <v>12039.6</v>
      </c>
      <c r="M1176" s="396">
        <v>10634.98</v>
      </c>
      <c r="N1176" s="176" t="s">
        <v>1954</v>
      </c>
      <c r="O1176" s="174" t="s">
        <v>2973</v>
      </c>
      <c r="P1176" s="168" t="s">
        <v>1933</v>
      </c>
      <c r="Q1176" s="168">
        <v>18335403600</v>
      </c>
      <c r="R1176" s="168" t="s">
        <v>1934</v>
      </c>
      <c r="S1176" s="168" t="s">
        <v>1736</v>
      </c>
      <c r="T1176" s="168"/>
    </row>
    <row r="1177" spans="1:20" ht="24.95" customHeight="1">
      <c r="A1177" s="573" t="s">
        <v>2008</v>
      </c>
      <c r="B1177" s="150" t="s">
        <v>3541</v>
      </c>
      <c r="C1177" s="150"/>
      <c r="D1177" s="150" t="s">
        <v>79</v>
      </c>
      <c r="E1177" s="150">
        <v>10</v>
      </c>
      <c r="F1177" s="168"/>
      <c r="G1177" s="168" t="s">
        <v>32</v>
      </c>
      <c r="H1177" s="168" t="s">
        <v>33</v>
      </c>
      <c r="I1177" s="168"/>
      <c r="J1177" s="168"/>
      <c r="K1177" s="150" t="s">
        <v>3170</v>
      </c>
      <c r="L1177" s="154">
        <v>346.53</v>
      </c>
      <c r="M1177" s="396">
        <v>306.10000000000002</v>
      </c>
      <c r="N1177" s="176" t="s">
        <v>1954</v>
      </c>
      <c r="O1177" s="174" t="s">
        <v>2973</v>
      </c>
      <c r="P1177" s="168" t="s">
        <v>1933</v>
      </c>
      <c r="Q1177" s="168">
        <v>18335403600</v>
      </c>
      <c r="R1177" s="168" t="s">
        <v>1934</v>
      </c>
      <c r="S1177" s="168" t="s">
        <v>1736</v>
      </c>
      <c r="T1177" s="168"/>
    </row>
    <row r="1178" spans="1:20" ht="24.95" customHeight="1">
      <c r="A1178" s="573" t="s">
        <v>2010</v>
      </c>
      <c r="B1178" s="150" t="s">
        <v>3542</v>
      </c>
      <c r="C1178" s="150"/>
      <c r="D1178" s="150" t="s">
        <v>79</v>
      </c>
      <c r="E1178" s="150">
        <v>620</v>
      </c>
      <c r="F1178" s="168"/>
      <c r="G1178" s="168" t="s">
        <v>32</v>
      </c>
      <c r="H1178" s="168" t="s">
        <v>33</v>
      </c>
      <c r="I1178" s="168"/>
      <c r="J1178" s="168"/>
      <c r="K1178" s="150" t="s">
        <v>3170</v>
      </c>
      <c r="L1178" s="154">
        <v>82871.289999999994</v>
      </c>
      <c r="M1178" s="396">
        <v>73202.97</v>
      </c>
      <c r="N1178" s="176" t="s">
        <v>1954</v>
      </c>
      <c r="O1178" s="174" t="s">
        <v>2973</v>
      </c>
      <c r="P1178" s="168" t="s">
        <v>1933</v>
      </c>
      <c r="Q1178" s="168">
        <v>18335403600</v>
      </c>
      <c r="R1178" s="168" t="s">
        <v>1934</v>
      </c>
      <c r="S1178" s="168" t="s">
        <v>1736</v>
      </c>
      <c r="T1178" s="168"/>
    </row>
    <row r="1179" spans="1:20" ht="24.95" customHeight="1">
      <c r="A1179" s="573" t="s">
        <v>2012</v>
      </c>
      <c r="B1179" s="150" t="s">
        <v>3543</v>
      </c>
      <c r="C1179" s="150"/>
      <c r="D1179" s="150" t="s">
        <v>79</v>
      </c>
      <c r="E1179" s="150">
        <v>620</v>
      </c>
      <c r="F1179" s="168"/>
      <c r="G1179" s="168" t="s">
        <v>32</v>
      </c>
      <c r="H1179" s="168" t="s">
        <v>33</v>
      </c>
      <c r="I1179" s="168"/>
      <c r="J1179" s="168"/>
      <c r="K1179" s="150" t="s">
        <v>3170</v>
      </c>
      <c r="L1179" s="154">
        <v>82871.289999999994</v>
      </c>
      <c r="M1179" s="396">
        <v>73202.97</v>
      </c>
      <c r="N1179" s="176" t="s">
        <v>1954</v>
      </c>
      <c r="O1179" s="174" t="s">
        <v>2973</v>
      </c>
      <c r="P1179" s="168" t="s">
        <v>1933</v>
      </c>
      <c r="Q1179" s="168">
        <v>18335403600</v>
      </c>
      <c r="R1179" s="168" t="s">
        <v>1934</v>
      </c>
      <c r="S1179" s="168" t="s">
        <v>1736</v>
      </c>
      <c r="T1179" s="168"/>
    </row>
    <row r="1180" spans="1:20" ht="24.95" customHeight="1">
      <c r="A1180" s="573" t="s">
        <v>2013</v>
      </c>
      <c r="B1180" s="150" t="s">
        <v>3544</v>
      </c>
      <c r="C1180" s="150"/>
      <c r="D1180" s="150" t="s">
        <v>79</v>
      </c>
      <c r="E1180" s="150">
        <v>60</v>
      </c>
      <c r="F1180" s="168"/>
      <c r="G1180" s="168" t="s">
        <v>32</v>
      </c>
      <c r="H1180" s="168" t="s">
        <v>33</v>
      </c>
      <c r="I1180" s="168"/>
      <c r="J1180" s="168"/>
      <c r="K1180" s="150" t="s">
        <v>3170</v>
      </c>
      <c r="L1180" s="154">
        <v>1663.37</v>
      </c>
      <c r="M1180" s="396">
        <v>1469.31</v>
      </c>
      <c r="N1180" s="176" t="s">
        <v>1954</v>
      </c>
      <c r="O1180" s="174" t="s">
        <v>2973</v>
      </c>
      <c r="P1180" s="168" t="s">
        <v>1933</v>
      </c>
      <c r="Q1180" s="168">
        <v>18335403600</v>
      </c>
      <c r="R1180" s="168" t="s">
        <v>1934</v>
      </c>
      <c r="S1180" s="168" t="s">
        <v>1736</v>
      </c>
      <c r="T1180" s="168"/>
    </row>
    <row r="1181" spans="1:20" ht="24.95" customHeight="1">
      <c r="A1181" s="573" t="s">
        <v>2017</v>
      </c>
      <c r="B1181" s="150" t="s">
        <v>3545</v>
      </c>
      <c r="C1181" s="150"/>
      <c r="D1181" s="150" t="s">
        <v>79</v>
      </c>
      <c r="E1181" s="150">
        <v>180</v>
      </c>
      <c r="F1181" s="168"/>
      <c r="G1181" s="168" t="s">
        <v>32</v>
      </c>
      <c r="H1181" s="168" t="s">
        <v>33</v>
      </c>
      <c r="I1181" s="168"/>
      <c r="J1181" s="168"/>
      <c r="K1181" s="150" t="s">
        <v>3170</v>
      </c>
      <c r="L1181" s="154">
        <v>16217.82</v>
      </c>
      <c r="M1181" s="396">
        <v>14325.73</v>
      </c>
      <c r="N1181" s="176" t="s">
        <v>1954</v>
      </c>
      <c r="O1181" s="174" t="s">
        <v>2973</v>
      </c>
      <c r="P1181" s="168" t="s">
        <v>1933</v>
      </c>
      <c r="Q1181" s="168">
        <v>18335403600</v>
      </c>
      <c r="R1181" s="168" t="s">
        <v>1934</v>
      </c>
      <c r="S1181" s="168" t="s">
        <v>1736</v>
      </c>
      <c r="T1181" s="168"/>
    </row>
    <row r="1182" spans="1:20" ht="24.95" customHeight="1">
      <c r="A1182" s="573" t="s">
        <v>2019</v>
      </c>
      <c r="B1182" s="150" t="s">
        <v>3546</v>
      </c>
      <c r="C1182" s="150"/>
      <c r="D1182" s="150" t="s">
        <v>79</v>
      </c>
      <c r="E1182" s="150">
        <v>620</v>
      </c>
      <c r="F1182" s="168"/>
      <c r="G1182" s="168" t="s">
        <v>32</v>
      </c>
      <c r="H1182" s="168" t="s">
        <v>33</v>
      </c>
      <c r="I1182" s="168"/>
      <c r="J1182" s="168"/>
      <c r="K1182" s="150" t="s">
        <v>3170</v>
      </c>
      <c r="L1182" s="154">
        <v>82871.289999999994</v>
      </c>
      <c r="M1182" s="396">
        <v>73202.960000000006</v>
      </c>
      <c r="N1182" s="176" t="s">
        <v>1954</v>
      </c>
      <c r="O1182" s="174" t="s">
        <v>2973</v>
      </c>
      <c r="P1182" s="168" t="s">
        <v>1933</v>
      </c>
      <c r="Q1182" s="168">
        <v>18335403600</v>
      </c>
      <c r="R1182" s="168" t="s">
        <v>1934</v>
      </c>
      <c r="S1182" s="168" t="s">
        <v>1736</v>
      </c>
      <c r="T1182" s="168"/>
    </row>
    <row r="1183" spans="1:20" ht="24.95" customHeight="1">
      <c r="A1183" s="573" t="s">
        <v>2020</v>
      </c>
      <c r="B1183" s="150" t="s">
        <v>3547</v>
      </c>
      <c r="C1183" s="150"/>
      <c r="D1183" s="150" t="s">
        <v>79</v>
      </c>
      <c r="E1183" s="150">
        <v>50</v>
      </c>
      <c r="F1183" s="168"/>
      <c r="G1183" s="168" t="s">
        <v>32</v>
      </c>
      <c r="H1183" s="168" t="s">
        <v>33</v>
      </c>
      <c r="I1183" s="168"/>
      <c r="J1183" s="168"/>
      <c r="K1183" s="150" t="s">
        <v>3170</v>
      </c>
      <c r="L1183" s="154">
        <v>1237.6199999999999</v>
      </c>
      <c r="M1183" s="396">
        <v>1093.25</v>
      </c>
      <c r="N1183" s="176" t="s">
        <v>1954</v>
      </c>
      <c r="O1183" s="174" t="s">
        <v>2973</v>
      </c>
      <c r="P1183" s="168" t="s">
        <v>1933</v>
      </c>
      <c r="Q1183" s="168">
        <v>18335403600</v>
      </c>
      <c r="R1183" s="168" t="s">
        <v>1934</v>
      </c>
      <c r="S1183" s="168" t="s">
        <v>1736</v>
      </c>
      <c r="T1183" s="168"/>
    </row>
    <row r="1184" spans="1:20" ht="24.95" customHeight="1">
      <c r="A1184" s="573" t="s">
        <v>2022</v>
      </c>
      <c r="B1184" s="150" t="s">
        <v>3548</v>
      </c>
      <c r="C1184" s="150"/>
      <c r="D1184" s="150" t="s">
        <v>79</v>
      </c>
      <c r="E1184" s="150">
        <v>120</v>
      </c>
      <c r="F1184" s="168"/>
      <c r="G1184" s="168" t="s">
        <v>32</v>
      </c>
      <c r="H1184" s="168" t="s">
        <v>33</v>
      </c>
      <c r="I1184" s="168"/>
      <c r="J1184" s="168"/>
      <c r="K1184" s="150" t="s">
        <v>3170</v>
      </c>
      <c r="L1184" s="154">
        <v>10811.88</v>
      </c>
      <c r="M1184" s="396">
        <v>9550.5</v>
      </c>
      <c r="N1184" s="176" t="s">
        <v>1954</v>
      </c>
      <c r="O1184" s="174" t="s">
        <v>2973</v>
      </c>
      <c r="P1184" s="168" t="s">
        <v>1933</v>
      </c>
      <c r="Q1184" s="168">
        <v>18335403600</v>
      </c>
      <c r="R1184" s="168" t="s">
        <v>1934</v>
      </c>
      <c r="S1184" s="168" t="s">
        <v>1736</v>
      </c>
      <c r="T1184" s="168"/>
    </row>
    <row r="1185" spans="1:20" ht="24.95" customHeight="1">
      <c r="A1185" s="573" t="s">
        <v>2024</v>
      </c>
      <c r="B1185" s="150" t="s">
        <v>3549</v>
      </c>
      <c r="C1185" s="150"/>
      <c r="D1185" s="150" t="s">
        <v>79</v>
      </c>
      <c r="E1185" s="150">
        <v>10</v>
      </c>
      <c r="F1185" s="168"/>
      <c r="G1185" s="168" t="s">
        <v>32</v>
      </c>
      <c r="H1185" s="168" t="s">
        <v>33</v>
      </c>
      <c r="I1185" s="168"/>
      <c r="J1185" s="168"/>
      <c r="K1185" s="150" t="s">
        <v>3170</v>
      </c>
      <c r="L1185" s="154">
        <v>554.46</v>
      </c>
      <c r="M1185" s="396">
        <v>489.78</v>
      </c>
      <c r="N1185" s="176" t="s">
        <v>1954</v>
      </c>
      <c r="O1185" s="174" t="s">
        <v>2973</v>
      </c>
      <c r="P1185" s="168" t="s">
        <v>1933</v>
      </c>
      <c r="Q1185" s="168">
        <v>18335403600</v>
      </c>
      <c r="R1185" s="168" t="s">
        <v>1934</v>
      </c>
      <c r="S1185" s="168" t="s">
        <v>1736</v>
      </c>
      <c r="T1185" s="168"/>
    </row>
    <row r="1186" spans="1:20" ht="24.95" customHeight="1">
      <c r="A1186" s="573" t="s">
        <v>2026</v>
      </c>
      <c r="B1186" s="150" t="s">
        <v>3550</v>
      </c>
      <c r="C1186" s="150"/>
      <c r="D1186" s="150" t="s">
        <v>79</v>
      </c>
      <c r="E1186" s="150">
        <v>500</v>
      </c>
      <c r="F1186" s="168"/>
      <c r="G1186" s="168" t="s">
        <v>32</v>
      </c>
      <c r="H1186" s="168" t="s">
        <v>33</v>
      </c>
      <c r="I1186" s="168"/>
      <c r="J1186" s="168"/>
      <c r="K1186" s="150" t="s">
        <v>3170</v>
      </c>
      <c r="L1186" s="154">
        <v>14356.44</v>
      </c>
      <c r="M1186" s="396">
        <v>12681.53</v>
      </c>
      <c r="N1186" s="176" t="s">
        <v>1954</v>
      </c>
      <c r="O1186" s="174" t="s">
        <v>2973</v>
      </c>
      <c r="P1186" s="168" t="s">
        <v>1933</v>
      </c>
      <c r="Q1186" s="168">
        <v>18335403600</v>
      </c>
      <c r="R1186" s="168" t="s">
        <v>1934</v>
      </c>
      <c r="S1186" s="168" t="s">
        <v>1736</v>
      </c>
      <c r="T1186" s="168"/>
    </row>
    <row r="1187" spans="1:20" ht="24.95" customHeight="1">
      <c r="A1187" s="573" t="s">
        <v>2027</v>
      </c>
      <c r="B1187" s="150" t="s">
        <v>3551</v>
      </c>
      <c r="C1187" s="150"/>
      <c r="D1187" s="150" t="s">
        <v>79</v>
      </c>
      <c r="E1187" s="150">
        <v>160</v>
      </c>
      <c r="F1187" s="168"/>
      <c r="G1187" s="168" t="s">
        <v>32</v>
      </c>
      <c r="H1187" s="168" t="s">
        <v>33</v>
      </c>
      <c r="I1187" s="168"/>
      <c r="J1187" s="168"/>
      <c r="K1187" s="150" t="s">
        <v>3170</v>
      </c>
      <c r="L1187" s="154">
        <v>13306.9</v>
      </c>
      <c r="M1187" s="396">
        <v>11754.44</v>
      </c>
      <c r="N1187" s="176" t="s">
        <v>1954</v>
      </c>
      <c r="O1187" s="174" t="s">
        <v>2973</v>
      </c>
      <c r="P1187" s="168" t="s">
        <v>1933</v>
      </c>
      <c r="Q1187" s="168">
        <v>18335403600</v>
      </c>
      <c r="R1187" s="168" t="s">
        <v>1934</v>
      </c>
      <c r="S1187" s="168" t="s">
        <v>1736</v>
      </c>
      <c r="T1187" s="168"/>
    </row>
    <row r="1188" spans="1:20" ht="24.95" customHeight="1">
      <c r="A1188" s="573" t="s">
        <v>2028</v>
      </c>
      <c r="B1188" s="150" t="s">
        <v>3552</v>
      </c>
      <c r="C1188" s="150"/>
      <c r="D1188" s="150" t="s">
        <v>79</v>
      </c>
      <c r="E1188" s="150">
        <v>10</v>
      </c>
      <c r="F1188" s="168"/>
      <c r="G1188" s="168" t="s">
        <v>32</v>
      </c>
      <c r="H1188" s="168" t="s">
        <v>33</v>
      </c>
      <c r="I1188" s="168"/>
      <c r="J1188" s="168"/>
      <c r="K1188" s="150" t="s">
        <v>3170</v>
      </c>
      <c r="L1188" s="154">
        <v>693.07</v>
      </c>
      <c r="M1188" s="396">
        <v>612.20000000000005</v>
      </c>
      <c r="N1188" s="176" t="s">
        <v>1954</v>
      </c>
      <c r="O1188" s="174" t="s">
        <v>2973</v>
      </c>
      <c r="P1188" s="168" t="s">
        <v>1933</v>
      </c>
      <c r="Q1188" s="168">
        <v>18335403600</v>
      </c>
      <c r="R1188" s="168" t="s">
        <v>1934</v>
      </c>
      <c r="S1188" s="168" t="s">
        <v>1736</v>
      </c>
      <c r="T1188" s="168"/>
    </row>
    <row r="1189" spans="1:20" ht="24.95" customHeight="1">
      <c r="A1189" s="573" t="s">
        <v>2029</v>
      </c>
      <c r="B1189" s="102" t="s">
        <v>3553</v>
      </c>
      <c r="C1189" s="102" t="s">
        <v>3554</v>
      </c>
      <c r="D1189" s="123" t="s">
        <v>31</v>
      </c>
      <c r="E1189" s="102">
        <v>500</v>
      </c>
      <c r="F1189" s="102"/>
      <c r="G1189" s="102" t="s">
        <v>3555</v>
      </c>
      <c r="H1189" s="105" t="s">
        <v>41</v>
      </c>
      <c r="I1189" s="123"/>
      <c r="J1189" s="102"/>
      <c r="K1189" s="102" t="s">
        <v>3170</v>
      </c>
      <c r="L1189" s="102">
        <v>120000</v>
      </c>
      <c r="M1189" s="103"/>
      <c r="N1189" s="102">
        <v>2021.6</v>
      </c>
      <c r="O1189" s="102" t="s">
        <v>3556</v>
      </c>
      <c r="P1189" s="123" t="s">
        <v>2124</v>
      </c>
      <c r="Q1189" s="102">
        <v>17534978813</v>
      </c>
      <c r="R1189" s="106" t="s">
        <v>1960</v>
      </c>
      <c r="S1189" s="125" t="s">
        <v>2405</v>
      </c>
      <c r="T1189" s="125"/>
    </row>
    <row r="1190" spans="1:20" ht="14.25">
      <c r="A1190" s="1858" t="s">
        <v>3557</v>
      </c>
      <c r="B1190" s="1858"/>
      <c r="C1190" s="1858"/>
      <c r="D1190" s="1858"/>
      <c r="E1190" s="1858"/>
      <c r="F1190" s="1858"/>
      <c r="G1190" s="1858"/>
      <c r="H1190" s="1858"/>
      <c r="I1190" s="1858"/>
      <c r="J1190" s="1858"/>
      <c r="K1190" s="1858"/>
      <c r="L1190" s="1858"/>
      <c r="M1190" s="1858"/>
      <c r="N1190" s="1858"/>
      <c r="O1190" s="1858"/>
      <c r="P1190" s="1858"/>
      <c r="Q1190" s="1858"/>
      <c r="R1190" s="1858"/>
      <c r="S1190" s="1858"/>
      <c r="T1190" s="1858"/>
    </row>
  </sheetData>
  <autoFilter ref="A5:AB5"/>
  <mergeCells count="201">
    <mergeCell ref="O1041:O1042"/>
    <mergeCell ref="P1041:P1042"/>
    <mergeCell ref="Q1041:Q1042"/>
    <mergeCell ref="R1041:R1042"/>
    <mergeCell ref="A1190:T1190"/>
    <mergeCell ref="S808:S809"/>
    <mergeCell ref="S810:S811"/>
    <mergeCell ref="S812:S813"/>
    <mergeCell ref="I935:K935"/>
    <mergeCell ref="K1016:K1019"/>
    <mergeCell ref="K1025:K1029"/>
    <mergeCell ref="Q806:Q807"/>
    <mergeCell ref="R806:R807"/>
    <mergeCell ref="S806:S807"/>
    <mergeCell ref="C785:C787"/>
    <mergeCell ref="E806:E807"/>
    <mergeCell ref="F806:F807"/>
    <mergeCell ref="K806:K807"/>
    <mergeCell ref="L806:L807"/>
    <mergeCell ref="M806:M807"/>
    <mergeCell ref="F354:F355"/>
    <mergeCell ref="L354:L355"/>
    <mergeCell ref="M354:M355"/>
    <mergeCell ref="K627:K630"/>
    <mergeCell ref="O627:O630"/>
    <mergeCell ref="P627:P630"/>
    <mergeCell ref="N806:N807"/>
    <mergeCell ref="O806:O807"/>
    <mergeCell ref="P806:P807"/>
    <mergeCell ref="R333:R339"/>
    <mergeCell ref="S333:S339"/>
    <mergeCell ref="N333:N339"/>
    <mergeCell ref="R627:R630"/>
    <mergeCell ref="S627:S630"/>
    <mergeCell ref="K673:K675"/>
    <mergeCell ref="O673:O675"/>
    <mergeCell ref="P673:P675"/>
    <mergeCell ref="Q673:Q675"/>
    <mergeCell ref="R673:R675"/>
    <mergeCell ref="R329:R332"/>
    <mergeCell ref="S329:S332"/>
    <mergeCell ref="F327:F328"/>
    <mergeCell ref="L327:L328"/>
    <mergeCell ref="M327:M328"/>
    <mergeCell ref="E341:E346"/>
    <mergeCell ref="F341:F346"/>
    <mergeCell ref="K341:K346"/>
    <mergeCell ref="L341:L346"/>
    <mergeCell ref="M341:M346"/>
    <mergeCell ref="E333:E339"/>
    <mergeCell ref="F333:F339"/>
    <mergeCell ref="K333:K339"/>
    <mergeCell ref="L333:L339"/>
    <mergeCell ref="M333:M339"/>
    <mergeCell ref="N341:N346"/>
    <mergeCell ref="O341:O346"/>
    <mergeCell ref="P341:P346"/>
    <mergeCell ref="Q341:Q346"/>
    <mergeCell ref="R341:R346"/>
    <mergeCell ref="S341:S346"/>
    <mergeCell ref="O333:O339"/>
    <mergeCell ref="P333:P339"/>
    <mergeCell ref="Q333:Q339"/>
    <mergeCell ref="E329:E332"/>
    <mergeCell ref="F329:F332"/>
    <mergeCell ref="K329:K332"/>
    <mergeCell ref="L329:L332"/>
    <mergeCell ref="M329:M332"/>
    <mergeCell ref="K280:K287"/>
    <mergeCell ref="O280:O288"/>
    <mergeCell ref="P280:P288"/>
    <mergeCell ref="Q280:Q288"/>
    <mergeCell ref="N329:N332"/>
    <mergeCell ref="O329:O332"/>
    <mergeCell ref="P329:P332"/>
    <mergeCell ref="Q329:Q332"/>
    <mergeCell ref="R280:R288"/>
    <mergeCell ref="F323:F326"/>
    <mergeCell ref="L323:L326"/>
    <mergeCell ref="M323:M326"/>
    <mergeCell ref="O241:O261"/>
    <mergeCell ref="P241:P261"/>
    <mergeCell ref="Q241:Q261"/>
    <mergeCell ref="R241:R261"/>
    <mergeCell ref="K242:K244"/>
    <mergeCell ref="K245:K246"/>
    <mergeCell ref="K247:K254"/>
    <mergeCell ref="K257:K258"/>
    <mergeCell ref="K230:K236"/>
    <mergeCell ref="O230:O240"/>
    <mergeCell ref="P230:P240"/>
    <mergeCell ref="Q230:Q240"/>
    <mergeCell ref="R230:R240"/>
    <mergeCell ref="K237:K239"/>
    <mergeCell ref="K220:K222"/>
    <mergeCell ref="O220:O222"/>
    <mergeCell ref="P220:P223"/>
    <mergeCell ref="Q220:Q223"/>
    <mergeCell ref="R220:R223"/>
    <mergeCell ref="O225:O229"/>
    <mergeCell ref="P225:P229"/>
    <mergeCell ref="Q225:Q229"/>
    <mergeCell ref="R225:R229"/>
    <mergeCell ref="C216:C217"/>
    <mergeCell ref="E216:E217"/>
    <mergeCell ref="I216:I218"/>
    <mergeCell ref="J216:J218"/>
    <mergeCell ref="P150:P151"/>
    <mergeCell ref="Q150:Q151"/>
    <mergeCell ref="R150:R151"/>
    <mergeCell ref="S150:S151"/>
    <mergeCell ref="E152:E156"/>
    <mergeCell ref="F152:F156"/>
    <mergeCell ref="L152:L156"/>
    <mergeCell ref="M152:M156"/>
    <mergeCell ref="N152:N156"/>
    <mergeCell ref="O152:O156"/>
    <mergeCell ref="S146:S149"/>
    <mergeCell ref="E150:E151"/>
    <mergeCell ref="F150:F151"/>
    <mergeCell ref="L150:L151"/>
    <mergeCell ref="M150:M151"/>
    <mergeCell ref="N150:N151"/>
    <mergeCell ref="O150:O151"/>
    <mergeCell ref="P152:P156"/>
    <mergeCell ref="Q152:Q156"/>
    <mergeCell ref="R152:R156"/>
    <mergeCell ref="S152:S156"/>
    <mergeCell ref="E146:E149"/>
    <mergeCell ref="F146:F149"/>
    <mergeCell ref="L146:L149"/>
    <mergeCell ref="M146:M149"/>
    <mergeCell ref="N146:N149"/>
    <mergeCell ref="O146:O149"/>
    <mergeCell ref="P146:P149"/>
    <mergeCell ref="Q146:Q149"/>
    <mergeCell ref="R146:R149"/>
    <mergeCell ref="S142:S143"/>
    <mergeCell ref="E144:E145"/>
    <mergeCell ref="F144:F145"/>
    <mergeCell ref="L144:L145"/>
    <mergeCell ref="M144:M145"/>
    <mergeCell ref="N144:N145"/>
    <mergeCell ref="O144:O145"/>
    <mergeCell ref="P144:P145"/>
    <mergeCell ref="Q144:Q145"/>
    <mergeCell ref="R144:R145"/>
    <mergeCell ref="S144:S145"/>
    <mergeCell ref="E142:E143"/>
    <mergeCell ref="F142:F143"/>
    <mergeCell ref="L142:L143"/>
    <mergeCell ref="M142:M143"/>
    <mergeCell ref="N142:N143"/>
    <mergeCell ref="O142:O143"/>
    <mergeCell ref="P142:P143"/>
    <mergeCell ref="Q142:Q143"/>
    <mergeCell ref="R142:R143"/>
    <mergeCell ref="P128:P131"/>
    <mergeCell ref="Q128:Q131"/>
    <mergeCell ref="R128:R131"/>
    <mergeCell ref="S128:S131"/>
    <mergeCell ref="E134:E135"/>
    <mergeCell ref="F134:F135"/>
    <mergeCell ref="L134:L135"/>
    <mergeCell ref="M134:M135"/>
    <mergeCell ref="N134:N135"/>
    <mergeCell ref="O134:O135"/>
    <mergeCell ref="E128:E131"/>
    <mergeCell ref="F128:F131"/>
    <mergeCell ref="L128:L131"/>
    <mergeCell ref="M128:M131"/>
    <mergeCell ref="N128:N131"/>
    <mergeCell ref="O128:O131"/>
    <mergeCell ref="P134:P135"/>
    <mergeCell ref="Q134:Q135"/>
    <mergeCell ref="R134:R135"/>
    <mergeCell ref="S134:S135"/>
    <mergeCell ref="O80:O83"/>
    <mergeCell ref="P80:P83"/>
    <mergeCell ref="Q80:Q83"/>
    <mergeCell ref="R80:R83"/>
    <mergeCell ref="F118:F120"/>
    <mergeCell ref="L118:L120"/>
    <mergeCell ref="M118:M120"/>
    <mergeCell ref="N4:N5"/>
    <mergeCell ref="O4:O5"/>
    <mergeCell ref="P4:P5"/>
    <mergeCell ref="Q4:Q5"/>
    <mergeCell ref="R4:R5"/>
    <mergeCell ref="A2:T2"/>
    <mergeCell ref="A3:T3"/>
    <mergeCell ref="A4:A5"/>
    <mergeCell ref="B4:B5"/>
    <mergeCell ref="C4:C5"/>
    <mergeCell ref="D4:D5"/>
    <mergeCell ref="E4:E5"/>
    <mergeCell ref="G4:G5"/>
    <mergeCell ref="H4:H5"/>
    <mergeCell ref="J4:J5"/>
    <mergeCell ref="T4:T5"/>
    <mergeCell ref="S4:S5"/>
  </mergeCells>
  <phoneticPr fontId="1" type="noConversion"/>
  <pageMargins left="0.7" right="0.7" top="0.75" bottom="0.75" header="0.3" footer="0.3"/>
  <pageSetup paperSize="9" orientation="portrait" horizontalDpi="200" verticalDpi="200" r:id="rId1"/>
  <legacyDrawing r:id="rId2"/>
</worksheet>
</file>

<file path=xl/worksheets/sheet3.xml><?xml version="1.0" encoding="utf-8"?>
<worksheet xmlns="http://schemas.openxmlformats.org/spreadsheetml/2006/main" xmlns:r="http://schemas.openxmlformats.org/officeDocument/2006/relationships">
  <dimension ref="A1:T521"/>
  <sheetViews>
    <sheetView workbookViewId="0">
      <selection activeCell="J11" sqref="J11"/>
    </sheetView>
  </sheetViews>
  <sheetFormatPr defaultColWidth="9" defaultRowHeight="14.25"/>
  <cols>
    <col min="1" max="1" width="6" style="94" customWidth="1"/>
    <col min="2" max="2" width="18" style="613" customWidth="1"/>
    <col min="3" max="3" width="21.375" style="613" customWidth="1"/>
    <col min="4" max="4" width="6.875" style="613" customWidth="1"/>
    <col min="5" max="5" width="9.375" style="94" customWidth="1"/>
    <col min="6" max="6" width="10.125" style="94" customWidth="1"/>
    <col min="7" max="7" width="7.125" style="613" customWidth="1"/>
    <col min="8" max="8" width="8.5" style="613" customWidth="1"/>
    <col min="9" max="9" width="17.375" style="613" customWidth="1"/>
    <col min="10" max="10" width="12.75" style="613" customWidth="1"/>
    <col min="11" max="11" width="13.875" style="613" customWidth="1"/>
    <col min="12" max="12" width="15.625" style="613" customWidth="1"/>
    <col min="13" max="13" width="10.625" style="94" customWidth="1"/>
    <col min="14" max="14" width="13" style="613" customWidth="1"/>
    <col min="15" max="15" width="17.625" style="613" customWidth="1"/>
    <col min="16" max="16" width="9" style="613"/>
    <col min="17" max="17" width="11.875" style="613" customWidth="1"/>
    <col min="18" max="18" width="9" style="766"/>
    <col min="19" max="16384" width="9" style="613"/>
  </cols>
  <sheetData>
    <row r="1" spans="1:20" ht="18" customHeight="1">
      <c r="A1" s="96" t="s">
        <v>0</v>
      </c>
      <c r="B1" s="608"/>
      <c r="C1" s="608"/>
      <c r="D1" s="608"/>
      <c r="E1" s="609"/>
      <c r="F1" s="609"/>
      <c r="G1" s="608"/>
      <c r="H1" s="608"/>
      <c r="I1" s="608"/>
      <c r="J1" s="608"/>
      <c r="K1" s="608"/>
      <c r="L1" s="608"/>
      <c r="M1" s="610"/>
      <c r="N1" s="608"/>
      <c r="O1" s="611"/>
      <c r="P1" s="608"/>
      <c r="Q1" s="608"/>
      <c r="R1" s="611"/>
      <c r="S1" s="612"/>
    </row>
    <row r="2" spans="1:20" s="614" customFormat="1" ht="27">
      <c r="A2" s="1867" t="s">
        <v>3558</v>
      </c>
      <c r="B2" s="1868"/>
      <c r="C2" s="1868"/>
      <c r="D2" s="1868"/>
      <c r="E2" s="1868"/>
      <c r="F2" s="1868"/>
      <c r="G2" s="1868"/>
      <c r="H2" s="1868"/>
      <c r="I2" s="1868"/>
      <c r="J2" s="1868"/>
      <c r="K2" s="1868"/>
      <c r="L2" s="1868"/>
      <c r="M2" s="1868"/>
      <c r="N2" s="1868"/>
      <c r="O2" s="1868"/>
      <c r="P2" s="1868"/>
      <c r="Q2" s="1868"/>
      <c r="R2" s="1868"/>
      <c r="S2" s="1868"/>
      <c r="T2" s="1868"/>
    </row>
    <row r="3" spans="1:20" s="614" customFormat="1" ht="24.75" customHeight="1">
      <c r="A3" s="1869"/>
      <c r="B3" s="1870"/>
      <c r="C3" s="1870"/>
      <c r="D3" s="1870"/>
      <c r="E3" s="1870"/>
      <c r="F3" s="1870"/>
      <c r="G3" s="1870"/>
      <c r="H3" s="1870"/>
      <c r="I3" s="1870"/>
      <c r="J3" s="1870"/>
      <c r="K3" s="1870"/>
      <c r="L3" s="1870"/>
      <c r="M3" s="1870"/>
      <c r="N3" s="1870"/>
      <c r="O3" s="1870"/>
      <c r="P3" s="1870"/>
      <c r="Q3" s="1870"/>
      <c r="R3" s="1870"/>
      <c r="S3" s="1870"/>
      <c r="T3" s="1870"/>
    </row>
    <row r="4" spans="1:20" ht="19.5" customHeight="1">
      <c r="A4" s="1871" t="s">
        <v>2</v>
      </c>
      <c r="B4" s="1872" t="s">
        <v>3</v>
      </c>
      <c r="C4" s="1872" t="s">
        <v>4</v>
      </c>
      <c r="D4" s="1873" t="s">
        <v>5</v>
      </c>
      <c r="E4" s="1802" t="s">
        <v>1729</v>
      </c>
      <c r="F4" s="102" t="s">
        <v>1730</v>
      </c>
      <c r="G4" s="1872" t="s">
        <v>8</v>
      </c>
      <c r="H4" s="1872" t="s">
        <v>9</v>
      </c>
      <c r="I4" s="615" t="s">
        <v>10</v>
      </c>
      <c r="J4" s="1872" t="s">
        <v>11</v>
      </c>
      <c r="K4" s="616" t="s">
        <v>12</v>
      </c>
      <c r="L4" s="616" t="s">
        <v>13</v>
      </c>
      <c r="M4" s="149" t="s">
        <v>14</v>
      </c>
      <c r="N4" s="1872" t="s">
        <v>15</v>
      </c>
      <c r="O4" s="1872" t="s">
        <v>16</v>
      </c>
      <c r="P4" s="1873" t="s">
        <v>17</v>
      </c>
      <c r="Q4" s="1872" t="s">
        <v>18</v>
      </c>
      <c r="R4" s="1872" t="s">
        <v>19</v>
      </c>
      <c r="S4" s="1874" t="s">
        <v>20</v>
      </c>
      <c r="T4" s="1874" t="s">
        <v>21</v>
      </c>
    </row>
    <row r="5" spans="1:20" ht="18" customHeight="1">
      <c r="A5" s="1871"/>
      <c r="B5" s="1872"/>
      <c r="C5" s="1872"/>
      <c r="D5" s="1873"/>
      <c r="E5" s="1802"/>
      <c r="F5" s="102" t="s">
        <v>22</v>
      </c>
      <c r="G5" s="1872"/>
      <c r="H5" s="1872"/>
      <c r="I5" s="615" t="s">
        <v>23</v>
      </c>
      <c r="J5" s="1872"/>
      <c r="K5" s="616" t="s">
        <v>24</v>
      </c>
      <c r="L5" s="617" t="s">
        <v>25</v>
      </c>
      <c r="M5" s="149" t="s">
        <v>25</v>
      </c>
      <c r="N5" s="1872"/>
      <c r="O5" s="1872"/>
      <c r="P5" s="1873"/>
      <c r="Q5" s="1872"/>
      <c r="R5" s="1872"/>
      <c r="S5" s="1874"/>
      <c r="T5" s="1874"/>
    </row>
    <row r="6" spans="1:20" ht="24.95" customHeight="1">
      <c r="A6" s="618" t="s">
        <v>26</v>
      </c>
      <c r="B6" s="619" t="s">
        <v>27</v>
      </c>
      <c r="C6" s="616"/>
      <c r="D6" s="615"/>
      <c r="E6" s="102"/>
      <c r="F6" s="102"/>
      <c r="G6" s="616"/>
      <c r="H6" s="616"/>
      <c r="I6" s="615"/>
      <c r="J6" s="616"/>
      <c r="K6" s="616"/>
      <c r="L6" s="616"/>
      <c r="M6" s="149"/>
      <c r="N6" s="616"/>
      <c r="O6" s="616"/>
      <c r="P6" s="615"/>
      <c r="Q6" s="616"/>
      <c r="R6" s="616"/>
      <c r="S6" s="620"/>
      <c r="T6" s="620"/>
    </row>
    <row r="7" spans="1:20" ht="24.95" customHeight="1">
      <c r="A7" s="621">
        <v>1</v>
      </c>
      <c r="B7" s="616" t="s">
        <v>28</v>
      </c>
      <c r="C7" s="616"/>
      <c r="D7" s="615"/>
      <c r="E7" s="102"/>
      <c r="F7" s="102"/>
      <c r="G7" s="616"/>
      <c r="H7" s="616"/>
      <c r="I7" s="615"/>
      <c r="J7" s="616"/>
      <c r="K7" s="616"/>
      <c r="L7" s="616"/>
      <c r="M7" s="149"/>
      <c r="N7" s="622"/>
      <c r="O7" s="616"/>
      <c r="P7" s="615"/>
      <c r="Q7" s="616"/>
      <c r="R7" s="616"/>
      <c r="S7" s="620"/>
      <c r="T7" s="620"/>
    </row>
    <row r="8" spans="1:20" ht="24.95" customHeight="1">
      <c r="A8" s="621">
        <v>2</v>
      </c>
      <c r="B8" s="623" t="s">
        <v>1593</v>
      </c>
      <c r="C8" s="623" t="s">
        <v>3559</v>
      </c>
      <c r="D8" s="623" t="s">
        <v>62</v>
      </c>
      <c r="E8" s="158" t="s">
        <v>34</v>
      </c>
      <c r="F8" s="158">
        <v>111</v>
      </c>
      <c r="G8" s="623" t="s">
        <v>3560</v>
      </c>
      <c r="H8" s="623" t="s">
        <v>33</v>
      </c>
      <c r="I8" s="623" t="s">
        <v>34</v>
      </c>
      <c r="J8" s="623" t="s">
        <v>34</v>
      </c>
      <c r="K8" s="623" t="s">
        <v>34</v>
      </c>
      <c r="L8" s="616"/>
      <c r="M8" s="158">
        <v>0</v>
      </c>
      <c r="N8" s="622">
        <v>2007.3</v>
      </c>
      <c r="O8" s="623" t="s">
        <v>3561</v>
      </c>
      <c r="P8" s="623" t="s">
        <v>3562</v>
      </c>
      <c r="Q8" s="623">
        <v>15222256701</v>
      </c>
      <c r="R8" s="623" t="s">
        <v>3563</v>
      </c>
      <c r="S8" s="623" t="s">
        <v>3564</v>
      </c>
      <c r="T8" s="620"/>
    </row>
    <row r="9" spans="1:20" ht="24.95" customHeight="1">
      <c r="A9" s="621">
        <v>3</v>
      </c>
      <c r="B9" s="623" t="s">
        <v>1593</v>
      </c>
      <c r="C9" s="623"/>
      <c r="D9" s="623" t="s">
        <v>62</v>
      </c>
      <c r="E9" s="158" t="s">
        <v>34</v>
      </c>
      <c r="F9" s="158">
        <v>28.359000000000002</v>
      </c>
      <c r="G9" s="623" t="s">
        <v>3560</v>
      </c>
      <c r="H9" s="623" t="s">
        <v>33</v>
      </c>
      <c r="I9" s="623" t="s">
        <v>34</v>
      </c>
      <c r="J9" s="623" t="s">
        <v>34</v>
      </c>
      <c r="K9" s="623" t="s">
        <v>34</v>
      </c>
      <c r="L9" s="616"/>
      <c r="M9" s="158">
        <v>0</v>
      </c>
      <c r="N9" s="622">
        <v>2007.3</v>
      </c>
      <c r="O9" s="623" t="s">
        <v>3561</v>
      </c>
      <c r="P9" s="623" t="s">
        <v>3562</v>
      </c>
      <c r="Q9" s="623">
        <v>15222256701</v>
      </c>
      <c r="R9" s="623" t="s">
        <v>3563</v>
      </c>
      <c r="S9" s="623" t="s">
        <v>3564</v>
      </c>
      <c r="T9" s="620"/>
    </row>
    <row r="10" spans="1:20" ht="24.95" customHeight="1">
      <c r="A10" s="621">
        <v>4</v>
      </c>
      <c r="B10" s="623" t="s">
        <v>1593</v>
      </c>
      <c r="C10" s="623" t="s">
        <v>1389</v>
      </c>
      <c r="D10" s="623" t="s">
        <v>62</v>
      </c>
      <c r="E10" s="158" t="s">
        <v>34</v>
      </c>
      <c r="F10" s="158">
        <v>33.514000000000003</v>
      </c>
      <c r="G10" s="623" t="s">
        <v>3560</v>
      </c>
      <c r="H10" s="623" t="s">
        <v>33</v>
      </c>
      <c r="I10" s="623" t="s">
        <v>34</v>
      </c>
      <c r="J10" s="623" t="s">
        <v>34</v>
      </c>
      <c r="K10" s="623" t="s">
        <v>34</v>
      </c>
      <c r="L10" s="624"/>
      <c r="M10" s="158">
        <v>0</v>
      </c>
      <c r="N10" s="622">
        <v>2009.5</v>
      </c>
      <c r="O10" s="623" t="s">
        <v>3561</v>
      </c>
      <c r="P10" s="623" t="s">
        <v>3562</v>
      </c>
      <c r="Q10" s="623">
        <v>15222256701</v>
      </c>
      <c r="R10" s="623" t="s">
        <v>3563</v>
      </c>
      <c r="S10" s="623" t="s">
        <v>3564</v>
      </c>
      <c r="T10" s="620"/>
    </row>
    <row r="11" spans="1:20" ht="24.95" customHeight="1">
      <c r="A11" s="621">
        <v>5</v>
      </c>
      <c r="B11" s="623" t="s">
        <v>1593</v>
      </c>
      <c r="C11" s="623" t="s">
        <v>3559</v>
      </c>
      <c r="D11" s="623" t="s">
        <v>62</v>
      </c>
      <c r="E11" s="158" t="s">
        <v>34</v>
      </c>
      <c r="F11" s="158">
        <v>96.24</v>
      </c>
      <c r="G11" s="623" t="s">
        <v>3560</v>
      </c>
      <c r="H11" s="623" t="s">
        <v>33</v>
      </c>
      <c r="I11" s="623" t="s">
        <v>34</v>
      </c>
      <c r="J11" s="623" t="s">
        <v>34</v>
      </c>
      <c r="K11" s="623" t="s">
        <v>34</v>
      </c>
      <c r="L11" s="624"/>
      <c r="M11" s="158">
        <v>0</v>
      </c>
      <c r="N11" s="622">
        <v>2009.6</v>
      </c>
      <c r="O11" s="623" t="s">
        <v>3561</v>
      </c>
      <c r="P11" s="623" t="s">
        <v>3562</v>
      </c>
      <c r="Q11" s="623">
        <v>15222256701</v>
      </c>
      <c r="R11" s="623" t="s">
        <v>3563</v>
      </c>
      <c r="S11" s="623" t="s">
        <v>3564</v>
      </c>
      <c r="T11" s="620"/>
    </row>
    <row r="12" spans="1:20" ht="24.95" customHeight="1">
      <c r="A12" s="621">
        <v>6</v>
      </c>
      <c r="B12" s="623" t="s">
        <v>1593</v>
      </c>
      <c r="C12" s="623">
        <v>3015</v>
      </c>
      <c r="D12" s="623" t="s">
        <v>62</v>
      </c>
      <c r="E12" s="158" t="s">
        <v>34</v>
      </c>
      <c r="F12" s="158">
        <v>1.95</v>
      </c>
      <c r="G12" s="623" t="s">
        <v>3560</v>
      </c>
      <c r="H12" s="623" t="s">
        <v>33</v>
      </c>
      <c r="I12" s="623" t="s">
        <v>34</v>
      </c>
      <c r="J12" s="623" t="s">
        <v>34</v>
      </c>
      <c r="K12" s="623" t="s">
        <v>34</v>
      </c>
      <c r="L12" s="624"/>
      <c r="M12" s="158">
        <v>0</v>
      </c>
      <c r="N12" s="622">
        <v>2009.11</v>
      </c>
      <c r="O12" s="623" t="s">
        <v>3561</v>
      </c>
      <c r="P12" s="623" t="s">
        <v>3562</v>
      </c>
      <c r="Q12" s="623">
        <v>15222256701</v>
      </c>
      <c r="R12" s="623" t="s">
        <v>3563</v>
      </c>
      <c r="S12" s="623" t="s">
        <v>3564</v>
      </c>
      <c r="T12" s="620"/>
    </row>
    <row r="13" spans="1:20" ht="24.95" customHeight="1">
      <c r="A13" s="621">
        <v>7</v>
      </c>
      <c r="B13" s="623" t="s">
        <v>1593</v>
      </c>
      <c r="C13" s="623" t="s">
        <v>3565</v>
      </c>
      <c r="D13" s="623" t="s">
        <v>62</v>
      </c>
      <c r="E13" s="158" t="s">
        <v>34</v>
      </c>
      <c r="F13" s="158">
        <v>181</v>
      </c>
      <c r="G13" s="623" t="s">
        <v>32</v>
      </c>
      <c r="H13" s="623" t="s">
        <v>33</v>
      </c>
      <c r="I13" s="623" t="s">
        <v>34</v>
      </c>
      <c r="J13" s="623" t="s">
        <v>34</v>
      </c>
      <c r="K13" s="623" t="s">
        <v>34</v>
      </c>
      <c r="L13" s="624"/>
      <c r="M13" s="158">
        <v>804924</v>
      </c>
      <c r="N13" s="622">
        <v>2013.5</v>
      </c>
      <c r="O13" s="623" t="s">
        <v>3561</v>
      </c>
      <c r="P13" s="623" t="s">
        <v>3562</v>
      </c>
      <c r="Q13" s="623">
        <v>15222256701</v>
      </c>
      <c r="R13" s="623" t="s">
        <v>3563</v>
      </c>
      <c r="S13" s="623" t="s">
        <v>3564</v>
      </c>
      <c r="T13" s="620"/>
    </row>
    <row r="14" spans="1:20" s="630" customFormat="1" ht="24.95" customHeight="1">
      <c r="A14" s="621">
        <v>8</v>
      </c>
      <c r="B14" s="625" t="s">
        <v>1593</v>
      </c>
      <c r="C14" s="626" t="s">
        <v>3566</v>
      </c>
      <c r="D14" s="625" t="s">
        <v>62</v>
      </c>
      <c r="E14" s="305" t="s">
        <v>34</v>
      </c>
      <c r="F14" s="625">
        <v>28</v>
      </c>
      <c r="G14" s="623" t="s">
        <v>32</v>
      </c>
      <c r="H14" s="627" t="s">
        <v>33</v>
      </c>
      <c r="I14" s="627" t="s">
        <v>34</v>
      </c>
      <c r="J14" s="627" t="s">
        <v>34</v>
      </c>
      <c r="K14" s="627" t="s">
        <v>34</v>
      </c>
      <c r="L14" s="628">
        <v>154867.25</v>
      </c>
      <c r="M14" s="628">
        <v>30973.45</v>
      </c>
      <c r="N14" s="629">
        <v>2020.5</v>
      </c>
      <c r="O14" s="627" t="s">
        <v>3567</v>
      </c>
      <c r="P14" s="627" t="s">
        <v>3562</v>
      </c>
      <c r="Q14" s="627">
        <v>15222256701</v>
      </c>
      <c r="R14" s="627" t="s">
        <v>3563</v>
      </c>
      <c r="S14" s="627" t="s">
        <v>3564</v>
      </c>
      <c r="T14" s="620"/>
    </row>
    <row r="15" spans="1:20" ht="24.95" customHeight="1">
      <c r="A15" s="621">
        <v>9</v>
      </c>
      <c r="B15" s="625" t="s">
        <v>1593</v>
      </c>
      <c r="C15" s="616" t="s">
        <v>3568</v>
      </c>
      <c r="D15" s="625" t="s">
        <v>62</v>
      </c>
      <c r="E15" s="305" t="s">
        <v>34</v>
      </c>
      <c r="F15" s="158">
        <v>42.2</v>
      </c>
      <c r="G15" s="623" t="s">
        <v>32</v>
      </c>
      <c r="H15" s="627" t="s">
        <v>33</v>
      </c>
      <c r="I15" s="623"/>
      <c r="J15" s="623"/>
      <c r="K15" s="623"/>
      <c r="L15" s="344">
        <v>233407.08</v>
      </c>
      <c r="M15" s="149">
        <v>46681.42</v>
      </c>
      <c r="N15" s="622" t="s">
        <v>3569</v>
      </c>
      <c r="O15" s="623" t="s">
        <v>3570</v>
      </c>
      <c r="P15" s="627" t="s">
        <v>3562</v>
      </c>
      <c r="Q15" s="627">
        <v>15222256701</v>
      </c>
      <c r="R15" s="627" t="s">
        <v>3563</v>
      </c>
      <c r="S15" s="627" t="s">
        <v>3564</v>
      </c>
      <c r="T15" s="620"/>
    </row>
    <row r="16" spans="1:20" ht="24.95" customHeight="1">
      <c r="A16" s="621">
        <v>10</v>
      </c>
      <c r="B16" s="623" t="s">
        <v>29</v>
      </c>
      <c r="C16" s="623"/>
      <c r="D16" s="623"/>
      <c r="E16" s="158"/>
      <c r="F16" s="158"/>
      <c r="G16" s="623"/>
      <c r="H16" s="623"/>
      <c r="I16" s="623"/>
      <c r="J16" s="623"/>
      <c r="K16" s="623"/>
      <c r="L16" s="624"/>
      <c r="M16" s="158">
        <v>4156.25</v>
      </c>
      <c r="N16" s="622"/>
      <c r="O16" s="631" t="s">
        <v>3571</v>
      </c>
      <c r="P16" s="623" t="s">
        <v>3572</v>
      </c>
      <c r="Q16" s="623">
        <v>13821637138</v>
      </c>
      <c r="R16" s="632" t="s">
        <v>3573</v>
      </c>
      <c r="S16" s="623" t="s">
        <v>3564</v>
      </c>
      <c r="T16" s="620"/>
    </row>
    <row r="17" spans="1:20" ht="24.95" customHeight="1">
      <c r="A17" s="621">
        <v>11</v>
      </c>
      <c r="B17" s="1875" t="s">
        <v>29</v>
      </c>
      <c r="C17" s="1875"/>
      <c r="D17" s="1875" t="s">
        <v>62</v>
      </c>
      <c r="E17" s="158">
        <f>632.97+292.35+1463.3+749.17-1000</f>
        <v>2137.79</v>
      </c>
      <c r="F17" s="158" t="s">
        <v>34</v>
      </c>
      <c r="G17" s="623" t="s">
        <v>32</v>
      </c>
      <c r="H17" s="623" t="s">
        <v>33</v>
      </c>
      <c r="I17" s="623" t="s">
        <v>34</v>
      </c>
      <c r="J17" s="623" t="s">
        <v>34</v>
      </c>
      <c r="K17" s="623" t="s">
        <v>34</v>
      </c>
      <c r="L17" s="624"/>
      <c r="M17" s="1876">
        <f>310155.3+263115.36+1448670.7+686939.95+53100</f>
        <v>2761981.3099999996</v>
      </c>
      <c r="N17" s="622">
        <v>42518</v>
      </c>
      <c r="O17" s="1877" t="s">
        <v>3574</v>
      </c>
      <c r="P17" s="623" t="s">
        <v>3575</v>
      </c>
      <c r="Q17" s="623">
        <v>18788803170</v>
      </c>
      <c r="R17" s="632" t="s">
        <v>3576</v>
      </c>
      <c r="S17" s="623" t="s">
        <v>3564</v>
      </c>
      <c r="T17" s="620"/>
    </row>
    <row r="18" spans="1:20" ht="24.95" customHeight="1">
      <c r="A18" s="621">
        <v>12</v>
      </c>
      <c r="B18" s="1875"/>
      <c r="C18" s="1875"/>
      <c r="D18" s="1875"/>
      <c r="E18" s="158">
        <v>1000</v>
      </c>
      <c r="F18" s="158" t="s">
        <v>34</v>
      </c>
      <c r="G18" s="623" t="s">
        <v>32</v>
      </c>
      <c r="H18" s="623" t="s">
        <v>33</v>
      </c>
      <c r="I18" s="623" t="s">
        <v>34</v>
      </c>
      <c r="J18" s="623" t="s">
        <v>34</v>
      </c>
      <c r="K18" s="623" t="s">
        <v>34</v>
      </c>
      <c r="L18" s="624"/>
      <c r="M18" s="1876"/>
      <c r="N18" s="622"/>
      <c r="O18" s="1878"/>
      <c r="P18" s="623" t="s">
        <v>3575</v>
      </c>
      <c r="Q18" s="623">
        <v>18788803170</v>
      </c>
      <c r="R18" s="632" t="s">
        <v>3576</v>
      </c>
      <c r="S18" s="623" t="s">
        <v>3564</v>
      </c>
      <c r="T18" s="620"/>
    </row>
    <row r="19" spans="1:20" ht="24.95" customHeight="1">
      <c r="A19" s="621">
        <v>13</v>
      </c>
      <c r="B19" s="623" t="s">
        <v>1593</v>
      </c>
      <c r="C19" s="623"/>
      <c r="D19" s="623" t="s">
        <v>62</v>
      </c>
      <c r="E19" s="158">
        <v>90.73</v>
      </c>
      <c r="F19" s="158" t="s">
        <v>34</v>
      </c>
      <c r="G19" s="623" t="s">
        <v>32</v>
      </c>
      <c r="H19" s="623" t="s">
        <v>33</v>
      </c>
      <c r="I19" s="623" t="s">
        <v>34</v>
      </c>
      <c r="J19" s="623" t="s">
        <v>34</v>
      </c>
      <c r="K19" s="623" t="s">
        <v>34</v>
      </c>
      <c r="L19" s="624"/>
      <c r="M19" s="158">
        <v>23589.8</v>
      </c>
      <c r="N19" s="622">
        <v>42571</v>
      </c>
      <c r="O19" s="623" t="s">
        <v>3574</v>
      </c>
      <c r="P19" s="623" t="s">
        <v>3575</v>
      </c>
      <c r="Q19" s="623">
        <v>18788803170</v>
      </c>
      <c r="R19" s="632" t="s">
        <v>3576</v>
      </c>
      <c r="S19" s="623" t="s">
        <v>3564</v>
      </c>
      <c r="T19" s="624"/>
    </row>
    <row r="20" spans="1:20" ht="24.95" customHeight="1">
      <c r="A20" s="621">
        <v>14</v>
      </c>
      <c r="B20" s="1875" t="s">
        <v>1593</v>
      </c>
      <c r="C20" s="623" t="s">
        <v>3577</v>
      </c>
      <c r="D20" s="623" t="s">
        <v>62</v>
      </c>
      <c r="E20" s="158">
        <v>143.12</v>
      </c>
      <c r="F20" s="158" t="s">
        <v>34</v>
      </c>
      <c r="G20" s="623" t="s">
        <v>32</v>
      </c>
      <c r="H20" s="623" t="s">
        <v>33</v>
      </c>
      <c r="I20" s="623" t="s">
        <v>34</v>
      </c>
      <c r="J20" s="623" t="s">
        <v>34</v>
      </c>
      <c r="K20" s="623" t="s">
        <v>34</v>
      </c>
      <c r="L20" s="624"/>
      <c r="M20" s="1876">
        <f>45989.45+23589.8+162288</f>
        <v>231867.25</v>
      </c>
      <c r="N20" s="622">
        <v>42723</v>
      </c>
      <c r="O20" s="623" t="s">
        <v>3574</v>
      </c>
      <c r="P20" s="623" t="s">
        <v>3575</v>
      </c>
      <c r="Q20" s="623">
        <v>18788803170</v>
      </c>
      <c r="R20" s="632" t="s">
        <v>3576</v>
      </c>
      <c r="S20" s="623" t="s">
        <v>3564</v>
      </c>
      <c r="T20" s="624"/>
    </row>
    <row r="21" spans="1:20" ht="24.95" customHeight="1">
      <c r="A21" s="621">
        <v>15</v>
      </c>
      <c r="B21" s="1875"/>
      <c r="C21" s="623" t="s">
        <v>3578</v>
      </c>
      <c r="D21" s="623" t="s">
        <v>62</v>
      </c>
      <c r="E21" s="158">
        <v>90.73</v>
      </c>
      <c r="F21" s="158" t="s">
        <v>34</v>
      </c>
      <c r="G21" s="623" t="s">
        <v>32</v>
      </c>
      <c r="H21" s="623" t="s">
        <v>33</v>
      </c>
      <c r="I21" s="623" t="s">
        <v>34</v>
      </c>
      <c r="J21" s="623" t="s">
        <v>34</v>
      </c>
      <c r="K21" s="623" t="s">
        <v>34</v>
      </c>
      <c r="L21" s="624"/>
      <c r="M21" s="1876"/>
      <c r="N21" s="622"/>
      <c r="O21" s="623" t="s">
        <v>3574</v>
      </c>
      <c r="P21" s="623" t="s">
        <v>3575</v>
      </c>
      <c r="Q21" s="623">
        <v>18788803170</v>
      </c>
      <c r="R21" s="632" t="s">
        <v>3576</v>
      </c>
      <c r="S21" s="623" t="s">
        <v>3564</v>
      </c>
      <c r="T21" s="624"/>
    </row>
    <row r="22" spans="1:20" ht="24.95" customHeight="1">
      <c r="A22" s="621">
        <v>16</v>
      </c>
      <c r="B22" s="1875"/>
      <c r="C22" s="623" t="s">
        <v>3579</v>
      </c>
      <c r="D22" s="623" t="s">
        <v>62</v>
      </c>
      <c r="E22" s="158">
        <v>138</v>
      </c>
      <c r="F22" s="158" t="s">
        <v>34</v>
      </c>
      <c r="G22" s="623" t="s">
        <v>32</v>
      </c>
      <c r="H22" s="623" t="s">
        <v>33</v>
      </c>
      <c r="I22" s="623" t="s">
        <v>34</v>
      </c>
      <c r="J22" s="623" t="s">
        <v>34</v>
      </c>
      <c r="K22" s="623" t="s">
        <v>34</v>
      </c>
      <c r="L22" s="624"/>
      <c r="M22" s="1876"/>
      <c r="N22" s="622"/>
      <c r="O22" s="623" t="s">
        <v>3574</v>
      </c>
      <c r="P22" s="623" t="s">
        <v>3575</v>
      </c>
      <c r="Q22" s="623">
        <v>18788803170</v>
      </c>
      <c r="R22" s="632" t="s">
        <v>3576</v>
      </c>
      <c r="S22" s="623" t="s">
        <v>3564</v>
      </c>
      <c r="T22" s="624"/>
    </row>
    <row r="23" spans="1:20" ht="24.95" customHeight="1">
      <c r="A23" s="621">
        <v>17</v>
      </c>
      <c r="B23" s="623" t="s">
        <v>1593</v>
      </c>
      <c r="C23" s="623" t="s">
        <v>3580</v>
      </c>
      <c r="D23" s="623" t="s">
        <v>62</v>
      </c>
      <c r="E23" s="158">
        <v>97.95</v>
      </c>
      <c r="F23" s="158" t="s">
        <v>34</v>
      </c>
      <c r="G23" s="623" t="s">
        <v>32</v>
      </c>
      <c r="H23" s="623" t="s">
        <v>33</v>
      </c>
      <c r="I23" s="623" t="s">
        <v>34</v>
      </c>
      <c r="J23" s="623" t="s">
        <v>34</v>
      </c>
      <c r="K23" s="623" t="s">
        <v>34</v>
      </c>
      <c r="L23" s="624"/>
      <c r="M23" s="158">
        <v>0</v>
      </c>
      <c r="N23" s="622" t="s">
        <v>3581</v>
      </c>
      <c r="O23" s="623" t="s">
        <v>3574</v>
      </c>
      <c r="P23" s="623" t="s">
        <v>3575</v>
      </c>
      <c r="Q23" s="623">
        <v>18788803170</v>
      </c>
      <c r="R23" s="632" t="s">
        <v>3576</v>
      </c>
      <c r="S23" s="623" t="s">
        <v>3564</v>
      </c>
      <c r="T23" s="624"/>
    </row>
    <row r="24" spans="1:20" ht="24.95" customHeight="1">
      <c r="A24" s="621">
        <v>18</v>
      </c>
      <c r="B24" s="623" t="s">
        <v>1593</v>
      </c>
      <c r="C24" s="623" t="s">
        <v>3582</v>
      </c>
      <c r="D24" s="623" t="s">
        <v>62</v>
      </c>
      <c r="E24" s="158">
        <v>1101.8399999999999</v>
      </c>
      <c r="F24" s="158" t="s">
        <v>34</v>
      </c>
      <c r="G24" s="623" t="s">
        <v>32</v>
      </c>
      <c r="H24" s="623" t="s">
        <v>33</v>
      </c>
      <c r="I24" s="623" t="s">
        <v>34</v>
      </c>
      <c r="J24" s="623" t="s">
        <v>34</v>
      </c>
      <c r="K24" s="623" t="s">
        <v>34</v>
      </c>
      <c r="L24" s="624"/>
      <c r="M24" s="158">
        <v>164154.48000000001</v>
      </c>
      <c r="N24" s="622" t="s">
        <v>3583</v>
      </c>
      <c r="O24" s="623" t="s">
        <v>3574</v>
      </c>
      <c r="P24" s="623" t="s">
        <v>3575</v>
      </c>
      <c r="Q24" s="623">
        <v>18788803170</v>
      </c>
      <c r="R24" s="632" t="s">
        <v>3576</v>
      </c>
      <c r="S24" s="623" t="s">
        <v>3564</v>
      </c>
      <c r="T24" s="624"/>
    </row>
    <row r="25" spans="1:20" ht="24.95" customHeight="1">
      <c r="A25" s="621">
        <v>19</v>
      </c>
      <c r="B25" s="623" t="s">
        <v>135</v>
      </c>
      <c r="C25" s="623" t="s">
        <v>3584</v>
      </c>
      <c r="D25" s="623" t="s">
        <v>62</v>
      </c>
      <c r="E25" s="158"/>
      <c r="F25" s="158">
        <v>43.15</v>
      </c>
      <c r="G25" s="623" t="s">
        <v>32</v>
      </c>
      <c r="H25" s="623" t="s">
        <v>33</v>
      </c>
      <c r="I25" s="623" t="s">
        <v>34</v>
      </c>
      <c r="J25" s="623" t="s">
        <v>34</v>
      </c>
      <c r="K25" s="623" t="s">
        <v>34</v>
      </c>
      <c r="L25" s="624">
        <v>337944.69</v>
      </c>
      <c r="M25" s="158">
        <v>270355.75199999998</v>
      </c>
      <c r="N25" s="633" t="s">
        <v>3585</v>
      </c>
      <c r="O25" s="623" t="s">
        <v>3574</v>
      </c>
      <c r="P25" s="623" t="s">
        <v>3575</v>
      </c>
      <c r="Q25" s="623">
        <v>18788803170</v>
      </c>
      <c r="R25" s="632" t="s">
        <v>3576</v>
      </c>
      <c r="S25" s="623" t="s">
        <v>3564</v>
      </c>
      <c r="T25" s="624"/>
    </row>
    <row r="26" spans="1:20" ht="24.95" customHeight="1">
      <c r="A26" s="621">
        <v>20</v>
      </c>
      <c r="B26" s="623" t="s">
        <v>135</v>
      </c>
      <c r="C26" s="623" t="s">
        <v>3586</v>
      </c>
      <c r="D26" s="623" t="s">
        <v>62</v>
      </c>
      <c r="E26" s="158"/>
      <c r="F26" s="158">
        <v>40.314999999999998</v>
      </c>
      <c r="G26" s="623" t="s">
        <v>32</v>
      </c>
      <c r="H26" s="623" t="s">
        <v>33</v>
      </c>
      <c r="I26" s="623" t="s">
        <v>34</v>
      </c>
      <c r="J26" s="623" t="s">
        <v>34</v>
      </c>
      <c r="K26" s="623" t="s">
        <v>34</v>
      </c>
      <c r="L26" s="624">
        <v>315741.37</v>
      </c>
      <c r="M26" s="158">
        <v>252593.09599999999</v>
      </c>
      <c r="N26" s="633" t="s">
        <v>3585</v>
      </c>
      <c r="O26" s="623" t="s">
        <v>3574</v>
      </c>
      <c r="P26" s="623" t="s">
        <v>3575</v>
      </c>
      <c r="Q26" s="623">
        <v>18788803170</v>
      </c>
      <c r="R26" s="632" t="s">
        <v>3576</v>
      </c>
      <c r="S26" s="623" t="s">
        <v>3564</v>
      </c>
      <c r="T26" s="624"/>
    </row>
    <row r="27" spans="1:20" ht="24.95" customHeight="1">
      <c r="A27" s="621">
        <v>21</v>
      </c>
      <c r="B27" s="623" t="s">
        <v>135</v>
      </c>
      <c r="C27" s="623" t="s">
        <v>3587</v>
      </c>
      <c r="D27" s="623" t="s">
        <v>62</v>
      </c>
      <c r="E27" s="158"/>
      <c r="F27" s="158">
        <v>44.95</v>
      </c>
      <c r="G27" s="623" t="s">
        <v>32</v>
      </c>
      <c r="H27" s="623" t="s">
        <v>33</v>
      </c>
      <c r="I27" s="623" t="s">
        <v>34</v>
      </c>
      <c r="J27" s="623" t="s">
        <v>34</v>
      </c>
      <c r="K27" s="623" t="s">
        <v>34</v>
      </c>
      <c r="L27" s="624">
        <v>350053.1</v>
      </c>
      <c r="M27" s="158">
        <v>280042.48</v>
      </c>
      <c r="N27" s="633" t="s">
        <v>3585</v>
      </c>
      <c r="O27" s="623" t="s">
        <v>3574</v>
      </c>
      <c r="P27" s="623" t="s">
        <v>3575</v>
      </c>
      <c r="Q27" s="623">
        <v>18788803170</v>
      </c>
      <c r="R27" s="632" t="s">
        <v>3576</v>
      </c>
      <c r="S27" s="623" t="s">
        <v>3564</v>
      </c>
      <c r="T27" s="624"/>
    </row>
    <row r="28" spans="1:20" ht="24.95" customHeight="1">
      <c r="A28" s="621">
        <v>22</v>
      </c>
      <c r="B28" s="623" t="s">
        <v>135</v>
      </c>
      <c r="C28" s="623" t="s">
        <v>3588</v>
      </c>
      <c r="D28" s="623" t="s">
        <v>62</v>
      </c>
      <c r="E28" s="158"/>
      <c r="F28" s="158">
        <v>46.234999999999999</v>
      </c>
      <c r="G28" s="623" t="s">
        <v>32</v>
      </c>
      <c r="H28" s="623" t="s">
        <v>33</v>
      </c>
      <c r="I28" s="623" t="s">
        <v>34</v>
      </c>
      <c r="J28" s="623" t="s">
        <v>34</v>
      </c>
      <c r="K28" s="623" t="s">
        <v>34</v>
      </c>
      <c r="L28" s="624">
        <v>362105.97</v>
      </c>
      <c r="M28" s="158">
        <v>289684.77600000001</v>
      </c>
      <c r="N28" s="633" t="s">
        <v>3585</v>
      </c>
      <c r="O28" s="623" t="s">
        <v>3574</v>
      </c>
      <c r="P28" s="623" t="s">
        <v>3575</v>
      </c>
      <c r="Q28" s="623">
        <v>18788803170</v>
      </c>
      <c r="R28" s="632" t="s">
        <v>3576</v>
      </c>
      <c r="S28" s="623" t="s">
        <v>3564</v>
      </c>
      <c r="T28" s="624"/>
    </row>
    <row r="29" spans="1:20" ht="24.95" customHeight="1">
      <c r="A29" s="621">
        <v>23</v>
      </c>
      <c r="B29" s="623" t="s">
        <v>135</v>
      </c>
      <c r="C29" s="623" t="s">
        <v>3589</v>
      </c>
      <c r="D29" s="623" t="s">
        <v>62</v>
      </c>
      <c r="E29" s="158"/>
      <c r="F29" s="158">
        <v>31.79</v>
      </c>
      <c r="G29" s="623" t="s">
        <v>32</v>
      </c>
      <c r="H29" s="623" t="s">
        <v>33</v>
      </c>
      <c r="I29" s="623" t="s">
        <v>34</v>
      </c>
      <c r="J29" s="623" t="s">
        <v>34</v>
      </c>
      <c r="K29" s="623" t="s">
        <v>34</v>
      </c>
      <c r="L29" s="624">
        <v>247286.81</v>
      </c>
      <c r="M29" s="158">
        <v>197829.448</v>
      </c>
      <c r="N29" s="633" t="s">
        <v>3585</v>
      </c>
      <c r="O29" s="623" t="s">
        <v>3574</v>
      </c>
      <c r="P29" s="623" t="s">
        <v>3575</v>
      </c>
      <c r="Q29" s="623">
        <v>18788803170</v>
      </c>
      <c r="R29" s="632" t="s">
        <v>3576</v>
      </c>
      <c r="S29" s="623" t="s">
        <v>3564</v>
      </c>
      <c r="T29" s="624"/>
    </row>
    <row r="30" spans="1:20" ht="24.95" customHeight="1">
      <c r="A30" s="621">
        <v>24</v>
      </c>
      <c r="B30" s="623" t="s">
        <v>135</v>
      </c>
      <c r="C30" s="623" t="s">
        <v>3589</v>
      </c>
      <c r="D30" s="623" t="s">
        <v>62</v>
      </c>
      <c r="E30" s="158"/>
      <c r="F30" s="158">
        <v>100</v>
      </c>
      <c r="G30" s="623" t="s">
        <v>32</v>
      </c>
      <c r="H30" s="623" t="s">
        <v>33</v>
      </c>
      <c r="I30" s="623" t="s">
        <v>34</v>
      </c>
      <c r="J30" s="623" t="s">
        <v>34</v>
      </c>
      <c r="K30" s="623" t="s">
        <v>34</v>
      </c>
      <c r="L30" s="624">
        <v>777876.11</v>
      </c>
      <c r="M30" s="158">
        <v>622300.88800000004</v>
      </c>
      <c r="N30" s="633" t="s">
        <v>3585</v>
      </c>
      <c r="O30" s="623" t="s">
        <v>3574</v>
      </c>
      <c r="P30" s="623" t="s">
        <v>3575</v>
      </c>
      <c r="Q30" s="623">
        <v>18788803170</v>
      </c>
      <c r="R30" s="632" t="s">
        <v>3576</v>
      </c>
      <c r="S30" s="623" t="s">
        <v>3564</v>
      </c>
      <c r="T30" s="624"/>
    </row>
    <row r="31" spans="1:20" ht="24.95" customHeight="1">
      <c r="A31" s="621">
        <v>25</v>
      </c>
      <c r="B31" s="623" t="s">
        <v>699</v>
      </c>
      <c r="C31" s="623" t="s">
        <v>3590</v>
      </c>
      <c r="D31" s="623" t="s">
        <v>62</v>
      </c>
      <c r="E31" s="158"/>
      <c r="F31" s="158">
        <v>21.12</v>
      </c>
      <c r="G31" s="623" t="s">
        <v>32</v>
      </c>
      <c r="H31" s="623" t="s">
        <v>33</v>
      </c>
      <c r="I31" s="623" t="s">
        <v>34</v>
      </c>
      <c r="J31" s="623" t="s">
        <v>34</v>
      </c>
      <c r="K31" s="623" t="s">
        <v>34</v>
      </c>
      <c r="L31" s="624">
        <v>137934.16</v>
      </c>
      <c r="M31" s="158">
        <v>110347.32799999999</v>
      </c>
      <c r="N31" s="633" t="s">
        <v>3585</v>
      </c>
      <c r="O31" s="623" t="s">
        <v>3574</v>
      </c>
      <c r="P31" s="623" t="s">
        <v>3575</v>
      </c>
      <c r="Q31" s="623">
        <v>18788803170</v>
      </c>
      <c r="R31" s="632" t="s">
        <v>3576</v>
      </c>
      <c r="S31" s="623" t="s">
        <v>3564</v>
      </c>
      <c r="T31" s="624"/>
    </row>
    <row r="32" spans="1:20" ht="24.95" customHeight="1">
      <c r="A32" s="621">
        <v>26</v>
      </c>
      <c r="B32" s="623" t="s">
        <v>699</v>
      </c>
      <c r="C32" s="623" t="s">
        <v>3591</v>
      </c>
      <c r="D32" s="623" t="s">
        <v>62</v>
      </c>
      <c r="E32" s="158"/>
      <c r="F32" s="158">
        <v>14.08</v>
      </c>
      <c r="G32" s="623" t="s">
        <v>32</v>
      </c>
      <c r="H32" s="623" t="s">
        <v>33</v>
      </c>
      <c r="I32" s="623" t="s">
        <v>34</v>
      </c>
      <c r="J32" s="623" t="s">
        <v>34</v>
      </c>
      <c r="K32" s="623" t="s">
        <v>34</v>
      </c>
      <c r="L32" s="624">
        <v>91956.11</v>
      </c>
      <c r="M32" s="158">
        <v>73564.888000000006</v>
      </c>
      <c r="N32" s="633" t="s">
        <v>3585</v>
      </c>
      <c r="O32" s="623" t="s">
        <v>3574</v>
      </c>
      <c r="P32" s="623" t="s">
        <v>3575</v>
      </c>
      <c r="Q32" s="623">
        <v>18788803170</v>
      </c>
      <c r="R32" s="632" t="s">
        <v>3576</v>
      </c>
      <c r="S32" s="623" t="s">
        <v>3564</v>
      </c>
      <c r="T32" s="624"/>
    </row>
    <row r="33" spans="1:20" ht="24.95" customHeight="1">
      <c r="A33" s="621">
        <v>27</v>
      </c>
      <c r="B33" s="623" t="s">
        <v>699</v>
      </c>
      <c r="C33" s="623" t="s">
        <v>3592</v>
      </c>
      <c r="D33" s="623" t="s">
        <v>62</v>
      </c>
      <c r="E33" s="158"/>
      <c r="F33" s="158">
        <v>13.574</v>
      </c>
      <c r="G33" s="623" t="s">
        <v>32</v>
      </c>
      <c r="H33" s="623" t="s">
        <v>33</v>
      </c>
      <c r="I33" s="623" t="s">
        <v>34</v>
      </c>
      <c r="J33" s="623" t="s">
        <v>34</v>
      </c>
      <c r="K33" s="623" t="s">
        <v>34</v>
      </c>
      <c r="L33" s="624">
        <v>85047.72</v>
      </c>
      <c r="M33" s="158">
        <v>68038.176000000007</v>
      </c>
      <c r="N33" s="633" t="s">
        <v>3585</v>
      </c>
      <c r="O33" s="623" t="s">
        <v>3574</v>
      </c>
      <c r="P33" s="623" t="s">
        <v>3575</v>
      </c>
      <c r="Q33" s="623">
        <v>18788803170</v>
      </c>
      <c r="R33" s="632" t="s">
        <v>3576</v>
      </c>
      <c r="S33" s="623" t="s">
        <v>3564</v>
      </c>
      <c r="T33" s="624"/>
    </row>
    <row r="34" spans="1:20" ht="24.95" customHeight="1">
      <c r="A34" s="621">
        <v>28</v>
      </c>
      <c r="B34" s="623" t="s">
        <v>699</v>
      </c>
      <c r="C34" s="623" t="s">
        <v>3593</v>
      </c>
      <c r="D34" s="623" t="s">
        <v>62</v>
      </c>
      <c r="E34" s="158"/>
      <c r="F34" s="158">
        <v>5.09</v>
      </c>
      <c r="G34" s="623" t="s">
        <v>32</v>
      </c>
      <c r="H34" s="623" t="s">
        <v>33</v>
      </c>
      <c r="I34" s="623" t="s">
        <v>34</v>
      </c>
      <c r="J34" s="623" t="s">
        <v>34</v>
      </c>
      <c r="K34" s="623" t="s">
        <v>34</v>
      </c>
      <c r="L34" s="624">
        <v>31891.33</v>
      </c>
      <c r="M34" s="158">
        <v>25513.063999999998</v>
      </c>
      <c r="N34" s="633" t="s">
        <v>3585</v>
      </c>
      <c r="O34" s="623" t="s">
        <v>3574</v>
      </c>
      <c r="P34" s="623" t="s">
        <v>3575</v>
      </c>
      <c r="Q34" s="623">
        <v>18788803170</v>
      </c>
      <c r="R34" s="632" t="s">
        <v>3576</v>
      </c>
      <c r="S34" s="623" t="s">
        <v>3564</v>
      </c>
      <c r="T34" s="624"/>
    </row>
    <row r="35" spans="1:20" ht="24.95" customHeight="1">
      <c r="A35" s="621">
        <v>29</v>
      </c>
      <c r="B35" s="623" t="s">
        <v>699</v>
      </c>
      <c r="C35" s="623" t="s">
        <v>3594</v>
      </c>
      <c r="D35" s="623" t="s">
        <v>62</v>
      </c>
      <c r="E35" s="158"/>
      <c r="F35" s="158">
        <v>6.3259999999999996</v>
      </c>
      <c r="G35" s="623" t="s">
        <v>32</v>
      </c>
      <c r="H35" s="623" t="s">
        <v>33</v>
      </c>
      <c r="I35" s="623" t="s">
        <v>34</v>
      </c>
      <c r="J35" s="623" t="s">
        <v>34</v>
      </c>
      <c r="K35" s="623" t="s">
        <v>34</v>
      </c>
      <c r="L35" s="624">
        <v>41314.94</v>
      </c>
      <c r="M35" s="158">
        <v>33051.951999999997</v>
      </c>
      <c r="N35" s="633" t="s">
        <v>3585</v>
      </c>
      <c r="O35" s="623" t="s">
        <v>3574</v>
      </c>
      <c r="P35" s="623" t="s">
        <v>3575</v>
      </c>
      <c r="Q35" s="623">
        <v>18788803170</v>
      </c>
      <c r="R35" s="632" t="s">
        <v>3576</v>
      </c>
      <c r="S35" s="623" t="s">
        <v>3564</v>
      </c>
      <c r="T35" s="624"/>
    </row>
    <row r="36" spans="1:20" ht="24.95" customHeight="1">
      <c r="A36" s="621">
        <v>30</v>
      </c>
      <c r="B36" s="623" t="s">
        <v>699</v>
      </c>
      <c r="C36" s="623" t="s">
        <v>3595</v>
      </c>
      <c r="D36" s="623" t="s">
        <v>62</v>
      </c>
      <c r="E36" s="158"/>
      <c r="F36" s="158">
        <v>34.18</v>
      </c>
      <c r="G36" s="623" t="s">
        <v>32</v>
      </c>
      <c r="H36" s="623" t="s">
        <v>33</v>
      </c>
      <c r="I36" s="623" t="s">
        <v>34</v>
      </c>
      <c r="J36" s="623" t="s">
        <v>34</v>
      </c>
      <c r="K36" s="623" t="s">
        <v>34</v>
      </c>
      <c r="L36" s="624">
        <v>214154.34</v>
      </c>
      <c r="M36" s="158">
        <v>171323.47200000001</v>
      </c>
      <c r="N36" s="633" t="s">
        <v>3585</v>
      </c>
      <c r="O36" s="623" t="s">
        <v>3574</v>
      </c>
      <c r="P36" s="623" t="s">
        <v>3575</v>
      </c>
      <c r="Q36" s="623">
        <v>18788803170</v>
      </c>
      <c r="R36" s="632" t="s">
        <v>3576</v>
      </c>
      <c r="S36" s="623" t="s">
        <v>3564</v>
      </c>
      <c r="T36" s="624"/>
    </row>
    <row r="37" spans="1:20" ht="24.95" customHeight="1">
      <c r="A37" s="621">
        <v>31</v>
      </c>
      <c r="B37" s="623" t="s">
        <v>699</v>
      </c>
      <c r="C37" s="623" t="s">
        <v>3596</v>
      </c>
      <c r="D37" s="623" t="s">
        <v>62</v>
      </c>
      <c r="E37" s="158"/>
      <c r="F37" s="158">
        <v>29.626000000000001</v>
      </c>
      <c r="G37" s="623" t="s">
        <v>32</v>
      </c>
      <c r="H37" s="623" t="s">
        <v>33</v>
      </c>
      <c r="I37" s="623" t="s">
        <v>34</v>
      </c>
      <c r="J37" s="623" t="s">
        <v>34</v>
      </c>
      <c r="K37" s="623" t="s">
        <v>34</v>
      </c>
      <c r="L37" s="624">
        <v>185558.65</v>
      </c>
      <c r="M37" s="158">
        <v>148446.92000000001</v>
      </c>
      <c r="N37" s="633" t="s">
        <v>3585</v>
      </c>
      <c r="O37" s="623" t="s">
        <v>3574</v>
      </c>
      <c r="P37" s="623" t="s">
        <v>3575</v>
      </c>
      <c r="Q37" s="623">
        <v>18788803170</v>
      </c>
      <c r="R37" s="632" t="s">
        <v>3576</v>
      </c>
      <c r="S37" s="623" t="s">
        <v>3564</v>
      </c>
      <c r="T37" s="624"/>
    </row>
    <row r="38" spans="1:20" ht="24.95" customHeight="1">
      <c r="A38" s="621">
        <v>32</v>
      </c>
      <c r="B38" s="623" t="s">
        <v>699</v>
      </c>
      <c r="C38" s="623" t="s">
        <v>3597</v>
      </c>
      <c r="D38" s="623" t="s">
        <v>62</v>
      </c>
      <c r="E38" s="158"/>
      <c r="F38" s="158">
        <v>51.68</v>
      </c>
      <c r="G38" s="623" t="s">
        <v>32</v>
      </c>
      <c r="H38" s="623" t="s">
        <v>33</v>
      </c>
      <c r="I38" s="623" t="s">
        <v>34</v>
      </c>
      <c r="J38" s="623" t="s">
        <v>34</v>
      </c>
      <c r="K38" s="623" t="s">
        <v>34</v>
      </c>
      <c r="L38" s="624">
        <v>337520.71</v>
      </c>
      <c r="M38" s="158">
        <v>270016.56800000003</v>
      </c>
      <c r="N38" s="633" t="s">
        <v>3585</v>
      </c>
      <c r="O38" s="623" t="s">
        <v>3574</v>
      </c>
      <c r="P38" s="623" t="s">
        <v>3575</v>
      </c>
      <c r="Q38" s="623">
        <v>18788803170</v>
      </c>
      <c r="R38" s="632" t="s">
        <v>3576</v>
      </c>
      <c r="S38" s="623" t="s">
        <v>3564</v>
      </c>
      <c r="T38" s="624"/>
    </row>
    <row r="39" spans="1:20" ht="24.95" customHeight="1">
      <c r="A39" s="621">
        <v>33</v>
      </c>
      <c r="B39" s="623" t="s">
        <v>29</v>
      </c>
      <c r="C39" s="623" t="s">
        <v>34</v>
      </c>
      <c r="D39" s="623" t="s">
        <v>62</v>
      </c>
      <c r="E39" s="158"/>
      <c r="F39" s="158">
        <v>3.0308475000000001</v>
      </c>
      <c r="G39" s="623" t="s">
        <v>32</v>
      </c>
      <c r="H39" s="623" t="s">
        <v>33</v>
      </c>
      <c r="I39" s="623" t="s">
        <v>34</v>
      </c>
      <c r="J39" s="623" t="s">
        <v>34</v>
      </c>
      <c r="K39" s="623" t="s">
        <v>34</v>
      </c>
      <c r="L39" s="624">
        <v>31649.56</v>
      </c>
      <c r="M39" s="158">
        <v>25319.648000000001</v>
      </c>
      <c r="N39" s="633" t="s">
        <v>3585</v>
      </c>
      <c r="O39" s="623" t="s">
        <v>3574</v>
      </c>
      <c r="P39" s="623" t="s">
        <v>3575</v>
      </c>
      <c r="Q39" s="623">
        <v>18788803170</v>
      </c>
      <c r="R39" s="632" t="s">
        <v>3576</v>
      </c>
      <c r="S39" s="623" t="s">
        <v>3564</v>
      </c>
      <c r="T39" s="624"/>
    </row>
    <row r="40" spans="1:20" ht="24.95" customHeight="1">
      <c r="A40" s="621">
        <v>34</v>
      </c>
      <c r="B40" s="623" t="s">
        <v>29</v>
      </c>
      <c r="C40" s="623" t="s">
        <v>34</v>
      </c>
      <c r="D40" s="623" t="s">
        <v>62</v>
      </c>
      <c r="E40" s="158"/>
      <c r="F40" s="158">
        <v>10.925000000000001</v>
      </c>
      <c r="G40" s="623" t="s">
        <v>32</v>
      </c>
      <c r="H40" s="623" t="s">
        <v>33</v>
      </c>
      <c r="I40" s="623" t="s">
        <v>34</v>
      </c>
      <c r="J40" s="623" t="s">
        <v>34</v>
      </c>
      <c r="K40" s="623" t="s">
        <v>34</v>
      </c>
      <c r="L40" s="624">
        <v>72511.06</v>
      </c>
      <c r="M40" s="158">
        <v>58008.847999999998</v>
      </c>
      <c r="N40" s="633" t="s">
        <v>3585</v>
      </c>
      <c r="O40" s="623" t="s">
        <v>3574</v>
      </c>
      <c r="P40" s="623" t="s">
        <v>3575</v>
      </c>
      <c r="Q40" s="623">
        <v>18788803170</v>
      </c>
      <c r="R40" s="632" t="s">
        <v>3576</v>
      </c>
      <c r="S40" s="623" t="s">
        <v>3564</v>
      </c>
      <c r="T40" s="624"/>
    </row>
    <row r="41" spans="1:20" ht="24.95" customHeight="1">
      <c r="A41" s="621">
        <v>35</v>
      </c>
      <c r="B41" s="623" t="s">
        <v>29</v>
      </c>
      <c r="C41" s="623" t="s">
        <v>34</v>
      </c>
      <c r="D41" s="623" t="s">
        <v>62</v>
      </c>
      <c r="E41" s="158"/>
      <c r="F41" s="158">
        <v>10.925000000000001</v>
      </c>
      <c r="G41" s="623" t="s">
        <v>32</v>
      </c>
      <c r="H41" s="623" t="s">
        <v>33</v>
      </c>
      <c r="I41" s="623" t="s">
        <v>34</v>
      </c>
      <c r="J41" s="623" t="s">
        <v>34</v>
      </c>
      <c r="K41" s="623" t="s">
        <v>34</v>
      </c>
      <c r="L41" s="624">
        <v>72511.06</v>
      </c>
      <c r="M41" s="158">
        <v>58008.847999999998</v>
      </c>
      <c r="N41" s="633" t="s">
        <v>3585</v>
      </c>
      <c r="O41" s="623" t="s">
        <v>3574</v>
      </c>
      <c r="P41" s="623" t="s">
        <v>3575</v>
      </c>
      <c r="Q41" s="623">
        <v>18788803170</v>
      </c>
      <c r="R41" s="632" t="s">
        <v>3576</v>
      </c>
      <c r="S41" s="623" t="s">
        <v>3564</v>
      </c>
      <c r="T41" s="624"/>
    </row>
    <row r="42" spans="1:20" ht="24.95" customHeight="1">
      <c r="A42" s="621">
        <v>36</v>
      </c>
      <c r="B42" s="623" t="s">
        <v>3598</v>
      </c>
      <c r="C42" s="623" t="s">
        <v>1360</v>
      </c>
      <c r="D42" s="623" t="s">
        <v>131</v>
      </c>
      <c r="E42" s="158">
        <v>7</v>
      </c>
      <c r="F42" s="158"/>
      <c r="G42" s="623" t="s">
        <v>32</v>
      </c>
      <c r="H42" s="623" t="s">
        <v>33</v>
      </c>
      <c r="I42" s="623" t="s">
        <v>34</v>
      </c>
      <c r="J42" s="623" t="s">
        <v>34</v>
      </c>
      <c r="K42" s="623" t="s">
        <v>34</v>
      </c>
      <c r="L42" s="624">
        <v>79702.97</v>
      </c>
      <c r="M42" s="158">
        <v>63762.375999999997</v>
      </c>
      <c r="N42" s="633" t="s">
        <v>3585</v>
      </c>
      <c r="O42" s="623" t="s">
        <v>3574</v>
      </c>
      <c r="P42" s="623" t="s">
        <v>3575</v>
      </c>
      <c r="Q42" s="623">
        <v>18788803170</v>
      </c>
      <c r="R42" s="632" t="s">
        <v>3576</v>
      </c>
      <c r="S42" s="623" t="s">
        <v>3564</v>
      </c>
      <c r="T42" s="624"/>
    </row>
    <row r="43" spans="1:20" ht="24.95" customHeight="1">
      <c r="A43" s="621">
        <v>37</v>
      </c>
      <c r="B43" s="623" t="s">
        <v>3598</v>
      </c>
      <c r="C43" s="623" t="s">
        <v>1360</v>
      </c>
      <c r="D43" s="623" t="s">
        <v>131</v>
      </c>
      <c r="E43" s="158">
        <v>8</v>
      </c>
      <c r="F43" s="158"/>
      <c r="G43" s="623" t="s">
        <v>32</v>
      </c>
      <c r="H43" s="623" t="s">
        <v>33</v>
      </c>
      <c r="I43" s="623" t="s">
        <v>34</v>
      </c>
      <c r="J43" s="623" t="s">
        <v>34</v>
      </c>
      <c r="K43" s="623" t="s">
        <v>34</v>
      </c>
      <c r="L43" s="624">
        <v>91089.11</v>
      </c>
      <c r="M43" s="158">
        <v>72871.288</v>
      </c>
      <c r="N43" s="633" t="s">
        <v>3585</v>
      </c>
      <c r="O43" s="623" t="s">
        <v>3574</v>
      </c>
      <c r="P43" s="623" t="s">
        <v>3575</v>
      </c>
      <c r="Q43" s="623">
        <v>18788803170</v>
      </c>
      <c r="R43" s="632" t="s">
        <v>3576</v>
      </c>
      <c r="S43" s="623" t="s">
        <v>3564</v>
      </c>
      <c r="T43" s="624"/>
    </row>
    <row r="44" spans="1:20" s="639" customFormat="1" ht="24.95" customHeight="1">
      <c r="A44" s="621">
        <v>38</v>
      </c>
      <c r="B44" s="634" t="s">
        <v>3599</v>
      </c>
      <c r="C44" s="634" t="s">
        <v>3600</v>
      </c>
      <c r="D44" s="634" t="s">
        <v>62</v>
      </c>
      <c r="E44" s="635"/>
      <c r="F44" s="635">
        <v>176.815</v>
      </c>
      <c r="G44" s="634" t="s">
        <v>32</v>
      </c>
      <c r="H44" s="634" t="s">
        <v>33</v>
      </c>
      <c r="I44" s="634" t="s">
        <v>34</v>
      </c>
      <c r="J44" s="634" t="s">
        <v>34</v>
      </c>
      <c r="K44" s="634" t="s">
        <v>34</v>
      </c>
      <c r="L44" s="636">
        <v>912240.22</v>
      </c>
      <c r="M44" s="635">
        <f t="shared" ref="M44:M49" si="0">0.8*L44</f>
        <v>729792.17599999998</v>
      </c>
      <c r="N44" s="637" t="s">
        <v>3601</v>
      </c>
      <c r="O44" s="634" t="s">
        <v>3574</v>
      </c>
      <c r="P44" s="634" t="s">
        <v>3575</v>
      </c>
      <c r="Q44" s="634">
        <v>18788803170</v>
      </c>
      <c r="R44" s="638" t="s">
        <v>3576</v>
      </c>
      <c r="S44" s="634" t="s">
        <v>3564</v>
      </c>
      <c r="T44" s="636"/>
    </row>
    <row r="45" spans="1:20" s="639" customFormat="1" ht="24.95" customHeight="1">
      <c r="A45" s="621">
        <v>39</v>
      </c>
      <c r="B45" s="634" t="s">
        <v>3602</v>
      </c>
      <c r="C45" s="634" t="s">
        <v>3603</v>
      </c>
      <c r="D45" s="634" t="s">
        <v>62</v>
      </c>
      <c r="E45" s="635"/>
      <c r="F45" s="635">
        <v>34.167000000000002</v>
      </c>
      <c r="G45" s="634" t="s">
        <v>32</v>
      </c>
      <c r="H45" s="634" t="s">
        <v>33</v>
      </c>
      <c r="I45" s="634" t="s">
        <v>34</v>
      </c>
      <c r="J45" s="634" t="s">
        <v>34</v>
      </c>
      <c r="K45" s="634" t="s">
        <v>34</v>
      </c>
      <c r="L45" s="636">
        <v>170532.64</v>
      </c>
      <c r="M45" s="635">
        <f t="shared" si="0"/>
        <v>136426.11200000002</v>
      </c>
      <c r="N45" s="637" t="s">
        <v>3601</v>
      </c>
      <c r="O45" s="634" t="s">
        <v>3574</v>
      </c>
      <c r="P45" s="634" t="s">
        <v>3575</v>
      </c>
      <c r="Q45" s="634">
        <v>18788803170</v>
      </c>
      <c r="R45" s="638" t="s">
        <v>3576</v>
      </c>
      <c r="S45" s="634" t="s">
        <v>3564</v>
      </c>
      <c r="T45" s="636"/>
    </row>
    <row r="46" spans="1:20" s="639" customFormat="1" ht="24.95" customHeight="1">
      <c r="A46" s="621">
        <v>40</v>
      </c>
      <c r="B46" s="634" t="s">
        <v>3604</v>
      </c>
      <c r="C46" s="634" t="s">
        <v>3605</v>
      </c>
      <c r="D46" s="634" t="s">
        <v>62</v>
      </c>
      <c r="E46" s="635"/>
      <c r="F46" s="635">
        <v>23.509</v>
      </c>
      <c r="G46" s="634" t="s">
        <v>32</v>
      </c>
      <c r="H46" s="634" t="s">
        <v>33</v>
      </c>
      <c r="I46" s="634" t="s">
        <v>34</v>
      </c>
      <c r="J46" s="634" t="s">
        <v>34</v>
      </c>
      <c r="K46" s="634" t="s">
        <v>34</v>
      </c>
      <c r="L46" s="636">
        <v>120249.58</v>
      </c>
      <c r="M46" s="635">
        <f t="shared" si="0"/>
        <v>96199.664000000004</v>
      </c>
      <c r="N46" s="637" t="s">
        <v>3601</v>
      </c>
      <c r="O46" s="634" t="s">
        <v>3574</v>
      </c>
      <c r="P46" s="634" t="s">
        <v>3575</v>
      </c>
      <c r="Q46" s="634">
        <v>18788803170</v>
      </c>
      <c r="R46" s="638" t="s">
        <v>3576</v>
      </c>
      <c r="S46" s="634" t="s">
        <v>3564</v>
      </c>
      <c r="T46" s="636"/>
    </row>
    <row r="47" spans="1:20" s="639" customFormat="1" ht="24.95" customHeight="1">
      <c r="A47" s="621">
        <v>41</v>
      </c>
      <c r="B47" s="634" t="s">
        <v>3606</v>
      </c>
      <c r="C47" s="634" t="s">
        <v>34</v>
      </c>
      <c r="D47" s="634" t="s">
        <v>62</v>
      </c>
      <c r="E47" s="635"/>
      <c r="F47" s="635">
        <v>81.992999999999995</v>
      </c>
      <c r="G47" s="634" t="s">
        <v>32</v>
      </c>
      <c r="H47" s="634" t="s">
        <v>33</v>
      </c>
      <c r="I47" s="634" t="s">
        <v>34</v>
      </c>
      <c r="J47" s="634" t="s">
        <v>34</v>
      </c>
      <c r="K47" s="634" t="s">
        <v>34</v>
      </c>
      <c r="L47" s="636">
        <v>397629.77</v>
      </c>
      <c r="M47" s="635">
        <f t="shared" si="0"/>
        <v>318103.81600000005</v>
      </c>
      <c r="N47" s="637" t="s">
        <v>3601</v>
      </c>
      <c r="O47" s="634" t="s">
        <v>3574</v>
      </c>
      <c r="P47" s="634" t="s">
        <v>3575</v>
      </c>
      <c r="Q47" s="634">
        <v>18788803170</v>
      </c>
      <c r="R47" s="638" t="s">
        <v>3576</v>
      </c>
      <c r="S47" s="634" t="s">
        <v>3564</v>
      </c>
      <c r="T47" s="636"/>
    </row>
    <row r="48" spans="1:20" s="639" customFormat="1" ht="24.95" customHeight="1">
      <c r="A48" s="621">
        <v>42</v>
      </c>
      <c r="B48" s="634" t="s">
        <v>135</v>
      </c>
      <c r="C48" s="634" t="s">
        <v>3607</v>
      </c>
      <c r="D48" s="634" t="s">
        <v>62</v>
      </c>
      <c r="E48" s="635"/>
      <c r="F48" s="635">
        <v>82.44</v>
      </c>
      <c r="G48" s="634" t="s">
        <v>32</v>
      </c>
      <c r="H48" s="634" t="s">
        <v>33</v>
      </c>
      <c r="I48" s="634" t="s">
        <v>34</v>
      </c>
      <c r="J48" s="634" t="s">
        <v>34</v>
      </c>
      <c r="K48" s="634" t="s">
        <v>34</v>
      </c>
      <c r="L48" s="636">
        <v>642010.62</v>
      </c>
      <c r="M48" s="635">
        <f t="shared" si="0"/>
        <v>513608.49600000004</v>
      </c>
      <c r="N48" s="637" t="s">
        <v>3601</v>
      </c>
      <c r="O48" s="634" t="s">
        <v>3574</v>
      </c>
      <c r="P48" s="634" t="s">
        <v>3575</v>
      </c>
      <c r="Q48" s="634">
        <v>18788803170</v>
      </c>
      <c r="R48" s="638" t="s">
        <v>3576</v>
      </c>
      <c r="S48" s="634" t="s">
        <v>3564</v>
      </c>
      <c r="T48" s="636"/>
    </row>
    <row r="49" spans="1:20" s="639" customFormat="1" ht="24.95" customHeight="1">
      <c r="A49" s="621">
        <v>43</v>
      </c>
      <c r="B49" s="634" t="s">
        <v>135</v>
      </c>
      <c r="C49" s="634" t="s">
        <v>3608</v>
      </c>
      <c r="D49" s="634" t="s">
        <v>62</v>
      </c>
      <c r="E49" s="635"/>
      <c r="F49" s="635">
        <v>22.3</v>
      </c>
      <c r="G49" s="634" t="s">
        <v>32</v>
      </c>
      <c r="H49" s="634" t="s">
        <v>33</v>
      </c>
      <c r="I49" s="634" t="s">
        <v>34</v>
      </c>
      <c r="J49" s="634" t="s">
        <v>34</v>
      </c>
      <c r="K49" s="634" t="s">
        <v>34</v>
      </c>
      <c r="L49" s="636">
        <v>154323.89000000001</v>
      </c>
      <c r="M49" s="635">
        <f t="shared" si="0"/>
        <v>123459.11200000002</v>
      </c>
      <c r="N49" s="637" t="s">
        <v>3601</v>
      </c>
      <c r="O49" s="634" t="s">
        <v>3574</v>
      </c>
      <c r="P49" s="634" t="s">
        <v>3575</v>
      </c>
      <c r="Q49" s="634">
        <v>18788803170</v>
      </c>
      <c r="R49" s="638" t="s">
        <v>3576</v>
      </c>
      <c r="S49" s="634" t="s">
        <v>3564</v>
      </c>
      <c r="T49" s="636"/>
    </row>
    <row r="50" spans="1:20" ht="24.95" customHeight="1">
      <c r="A50" s="621">
        <v>44</v>
      </c>
      <c r="B50" s="1875" t="s">
        <v>3609</v>
      </c>
      <c r="C50" s="640" t="s">
        <v>3610</v>
      </c>
      <c r="D50" s="623" t="s">
        <v>62</v>
      </c>
      <c r="E50" s="158">
        <v>72</v>
      </c>
      <c r="F50" s="158" t="s">
        <v>34</v>
      </c>
      <c r="G50" s="623" t="s">
        <v>32</v>
      </c>
      <c r="H50" s="623" t="s">
        <v>33</v>
      </c>
      <c r="I50" s="623" t="s">
        <v>34</v>
      </c>
      <c r="J50" s="623" t="s">
        <v>34</v>
      </c>
      <c r="K50" s="623" t="s">
        <v>34</v>
      </c>
      <c r="L50" s="624"/>
      <c r="M50" s="158">
        <v>259600</v>
      </c>
      <c r="N50" s="622">
        <v>42822</v>
      </c>
      <c r="O50" s="623" t="s">
        <v>3574</v>
      </c>
      <c r="P50" s="623" t="s">
        <v>3575</v>
      </c>
      <c r="Q50" s="623">
        <v>18788803170</v>
      </c>
      <c r="R50" s="632" t="s">
        <v>3576</v>
      </c>
      <c r="S50" s="623" t="s">
        <v>3564</v>
      </c>
      <c r="T50" s="624"/>
    </row>
    <row r="51" spans="1:20" ht="24.95" customHeight="1">
      <c r="A51" s="621">
        <v>45</v>
      </c>
      <c r="B51" s="1875"/>
      <c r="C51" s="640" t="s">
        <v>3611</v>
      </c>
      <c r="D51" s="623" t="s">
        <v>62</v>
      </c>
      <c r="E51" s="158">
        <v>148</v>
      </c>
      <c r="F51" s="158" t="s">
        <v>34</v>
      </c>
      <c r="G51" s="623" t="s">
        <v>32</v>
      </c>
      <c r="H51" s="623" t="s">
        <v>33</v>
      </c>
      <c r="I51" s="623" t="s">
        <v>34</v>
      </c>
      <c r="J51" s="623" t="s">
        <v>34</v>
      </c>
      <c r="K51" s="623" t="s">
        <v>34</v>
      </c>
      <c r="L51" s="624"/>
      <c r="M51" s="158"/>
      <c r="N51" s="622"/>
      <c r="O51" s="623" t="s">
        <v>3574</v>
      </c>
      <c r="P51" s="623" t="s">
        <v>3575</v>
      </c>
      <c r="Q51" s="623">
        <v>18788803170</v>
      </c>
      <c r="R51" s="632" t="s">
        <v>3576</v>
      </c>
      <c r="S51" s="623" t="s">
        <v>3564</v>
      </c>
      <c r="T51" s="624"/>
    </row>
    <row r="52" spans="1:20" s="623" customFormat="1" ht="24.95" customHeight="1">
      <c r="A52" s="621">
        <v>46</v>
      </c>
      <c r="B52" s="623" t="s">
        <v>3612</v>
      </c>
      <c r="C52" s="623" t="s">
        <v>3613</v>
      </c>
      <c r="D52" s="623" t="s">
        <v>62</v>
      </c>
      <c r="E52" s="158">
        <v>169</v>
      </c>
      <c r="F52" s="158" t="s">
        <v>34</v>
      </c>
      <c r="G52" s="623" t="s">
        <v>32</v>
      </c>
      <c r="H52" s="623" t="s">
        <v>33</v>
      </c>
      <c r="I52" s="623" t="s">
        <v>34</v>
      </c>
      <c r="J52" s="623" t="s">
        <v>34</v>
      </c>
      <c r="K52" s="623" t="s">
        <v>34</v>
      </c>
      <c r="M52" s="158">
        <v>1910584.06</v>
      </c>
      <c r="N52" s="622">
        <v>43388</v>
      </c>
      <c r="O52" s="623" t="s">
        <v>3574</v>
      </c>
      <c r="P52" s="623" t="s">
        <v>3575</v>
      </c>
      <c r="Q52" s="623">
        <v>18788803170</v>
      </c>
      <c r="R52" s="623" t="s">
        <v>3576</v>
      </c>
      <c r="S52" s="623" t="s">
        <v>3564</v>
      </c>
    </row>
    <row r="53" spans="1:20" ht="24.95" customHeight="1">
      <c r="A53" s="621">
        <v>47</v>
      </c>
      <c r="B53" s="623" t="s">
        <v>29</v>
      </c>
      <c r="C53" s="623" t="s">
        <v>3614</v>
      </c>
      <c r="D53" s="623" t="s">
        <v>62</v>
      </c>
      <c r="E53" s="641">
        <v>330.28</v>
      </c>
      <c r="F53" s="158" t="s">
        <v>34</v>
      </c>
      <c r="G53" s="623" t="s">
        <v>32</v>
      </c>
      <c r="H53" s="623" t="s">
        <v>33</v>
      </c>
      <c r="I53" s="623" t="s">
        <v>34</v>
      </c>
      <c r="J53" s="623" t="s">
        <v>34</v>
      </c>
      <c r="K53" s="623" t="s">
        <v>34</v>
      </c>
      <c r="L53" s="624"/>
      <c r="M53" s="158">
        <v>1961918.25</v>
      </c>
      <c r="N53" s="622">
        <v>43544</v>
      </c>
      <c r="O53" s="623" t="s">
        <v>3574</v>
      </c>
      <c r="P53" s="623" t="s">
        <v>3575</v>
      </c>
      <c r="Q53" s="623">
        <v>18788803170</v>
      </c>
      <c r="R53" s="632" t="s">
        <v>3576</v>
      </c>
      <c r="S53" s="623" t="s">
        <v>3564</v>
      </c>
      <c r="T53" s="624"/>
    </row>
    <row r="54" spans="1:20" ht="24.95" customHeight="1">
      <c r="A54" s="621">
        <v>48</v>
      </c>
      <c r="B54" s="623" t="s">
        <v>29</v>
      </c>
      <c r="C54" s="623" t="s">
        <v>494</v>
      </c>
      <c r="D54" s="623" t="s">
        <v>62</v>
      </c>
      <c r="E54" s="641">
        <v>152.78</v>
      </c>
      <c r="F54" s="158" t="s">
        <v>34</v>
      </c>
      <c r="G54" s="623" t="s">
        <v>32</v>
      </c>
      <c r="H54" s="623" t="s">
        <v>33</v>
      </c>
      <c r="I54" s="623" t="s">
        <v>34</v>
      </c>
      <c r="J54" s="623" t="s">
        <v>34</v>
      </c>
      <c r="K54" s="623" t="s">
        <v>34</v>
      </c>
      <c r="L54" s="624"/>
      <c r="M54" s="158">
        <v>1100016</v>
      </c>
      <c r="N54" s="622">
        <v>43575</v>
      </c>
      <c r="O54" s="623" t="s">
        <v>3574</v>
      </c>
      <c r="P54" s="623" t="s">
        <v>3575</v>
      </c>
      <c r="Q54" s="623">
        <v>18788803170</v>
      </c>
      <c r="R54" s="632" t="s">
        <v>3576</v>
      </c>
      <c r="S54" s="623" t="s">
        <v>3564</v>
      </c>
      <c r="T54" s="624"/>
    </row>
    <row r="55" spans="1:20" ht="24.95" customHeight="1">
      <c r="A55" s="621">
        <v>49</v>
      </c>
      <c r="B55" s="623" t="s">
        <v>29</v>
      </c>
      <c r="C55" s="623" t="s">
        <v>3615</v>
      </c>
      <c r="D55" s="623" t="s">
        <v>62</v>
      </c>
      <c r="E55" s="641">
        <v>54.36</v>
      </c>
      <c r="F55" s="158" t="s">
        <v>34</v>
      </c>
      <c r="G55" s="623" t="s">
        <v>32</v>
      </c>
      <c r="H55" s="623" t="s">
        <v>33</v>
      </c>
      <c r="I55" s="623" t="s">
        <v>34</v>
      </c>
      <c r="J55" s="623" t="s">
        <v>34</v>
      </c>
      <c r="K55" s="623" t="s">
        <v>34</v>
      </c>
      <c r="L55" s="624"/>
      <c r="M55" s="158">
        <v>370000</v>
      </c>
      <c r="N55" s="622">
        <v>43570</v>
      </c>
      <c r="O55" s="623" t="s">
        <v>3574</v>
      </c>
      <c r="P55" s="623" t="s">
        <v>3575</v>
      </c>
      <c r="Q55" s="623">
        <v>18788803170</v>
      </c>
      <c r="R55" s="632" t="s">
        <v>3576</v>
      </c>
      <c r="S55" s="623" t="s">
        <v>3564</v>
      </c>
      <c r="T55" s="624"/>
    </row>
    <row r="56" spans="1:20" ht="24.95" customHeight="1">
      <c r="A56" s="621">
        <v>50</v>
      </c>
      <c r="B56" s="623" t="s">
        <v>29</v>
      </c>
      <c r="C56" s="623" t="s">
        <v>341</v>
      </c>
      <c r="D56" s="623" t="s">
        <v>62</v>
      </c>
      <c r="E56" s="641">
        <f>1045.5-E54</f>
        <v>892.72</v>
      </c>
      <c r="F56" s="158" t="s">
        <v>34</v>
      </c>
      <c r="G56" s="623" t="s">
        <v>32</v>
      </c>
      <c r="H56" s="623" t="s">
        <v>33</v>
      </c>
      <c r="I56" s="623" t="s">
        <v>34</v>
      </c>
      <c r="J56" s="623" t="s">
        <v>34</v>
      </c>
      <c r="K56" s="623" t="s">
        <v>34</v>
      </c>
      <c r="L56" s="624"/>
      <c r="M56" s="158">
        <v>2091000</v>
      </c>
      <c r="N56" s="622">
        <v>43600</v>
      </c>
      <c r="O56" s="623" t="s">
        <v>3574</v>
      </c>
      <c r="P56" s="623" t="s">
        <v>3575</v>
      </c>
      <c r="Q56" s="623">
        <v>18788803170</v>
      </c>
      <c r="R56" s="632" t="s">
        <v>3576</v>
      </c>
      <c r="S56" s="623" t="s">
        <v>3564</v>
      </c>
      <c r="T56" s="624"/>
    </row>
    <row r="57" spans="1:20" ht="24.95" customHeight="1">
      <c r="A57" s="621">
        <v>51</v>
      </c>
      <c r="B57" s="623" t="s">
        <v>3612</v>
      </c>
      <c r="C57" s="623" t="s">
        <v>34</v>
      </c>
      <c r="D57" s="623" t="s">
        <v>62</v>
      </c>
      <c r="E57" s="641">
        <v>4</v>
      </c>
      <c r="F57" s="158">
        <v>245</v>
      </c>
      <c r="G57" s="623" t="s">
        <v>32</v>
      </c>
      <c r="H57" s="623" t="s">
        <v>33</v>
      </c>
      <c r="I57" s="623" t="s">
        <v>34</v>
      </c>
      <c r="J57" s="623" t="s">
        <v>34</v>
      </c>
      <c r="K57" s="623" t="s">
        <v>34</v>
      </c>
      <c r="L57" s="624"/>
      <c r="M57" s="158">
        <v>2510000</v>
      </c>
      <c r="N57" s="622" t="s">
        <v>3616</v>
      </c>
      <c r="O57" s="623" t="s">
        <v>3574</v>
      </c>
      <c r="P57" s="623" t="s">
        <v>3575</v>
      </c>
      <c r="Q57" s="623">
        <v>18788803170</v>
      </c>
      <c r="R57" s="632" t="s">
        <v>3576</v>
      </c>
      <c r="S57" s="623" t="s">
        <v>3564</v>
      </c>
      <c r="T57" s="624"/>
    </row>
    <row r="58" spans="1:20" ht="24.95" customHeight="1">
      <c r="A58" s="621">
        <v>52</v>
      </c>
      <c r="B58" s="642" t="s">
        <v>29</v>
      </c>
      <c r="C58" s="642"/>
      <c r="D58" s="642" t="s">
        <v>62</v>
      </c>
      <c r="E58" s="643">
        <v>49.122807000000002</v>
      </c>
      <c r="F58" s="643">
        <v>49.122807000000002</v>
      </c>
      <c r="G58" s="623" t="s">
        <v>32</v>
      </c>
      <c r="H58" s="623" t="s">
        <v>33</v>
      </c>
      <c r="I58" s="623" t="s">
        <v>34</v>
      </c>
      <c r="J58" s="623" t="s">
        <v>34</v>
      </c>
      <c r="K58" s="623" t="s">
        <v>34</v>
      </c>
      <c r="L58" s="624"/>
      <c r="M58" s="158">
        <v>120689.66</v>
      </c>
      <c r="N58" s="622" t="s">
        <v>3617</v>
      </c>
      <c r="O58" s="623" t="s">
        <v>3618</v>
      </c>
      <c r="P58" s="623" t="s">
        <v>3619</v>
      </c>
      <c r="Q58" s="623">
        <v>13752429150</v>
      </c>
      <c r="R58" s="632" t="s">
        <v>3620</v>
      </c>
      <c r="S58" s="623" t="s">
        <v>3564</v>
      </c>
      <c r="T58" s="624"/>
    </row>
    <row r="59" spans="1:20" ht="24.95" customHeight="1">
      <c r="A59" s="621">
        <v>53</v>
      </c>
      <c r="B59" s="642" t="s">
        <v>29</v>
      </c>
      <c r="C59" s="642"/>
      <c r="D59" s="642" t="s">
        <v>62</v>
      </c>
      <c r="E59" s="643">
        <v>24.876000000000001</v>
      </c>
      <c r="F59" s="643">
        <v>24.876000000000001</v>
      </c>
      <c r="G59" s="623" t="s">
        <v>32</v>
      </c>
      <c r="H59" s="623" t="s">
        <v>33</v>
      </c>
      <c r="I59" s="623" t="s">
        <v>34</v>
      </c>
      <c r="J59" s="623" t="s">
        <v>34</v>
      </c>
      <c r="K59" s="623" t="s">
        <v>34</v>
      </c>
      <c r="L59" s="624"/>
      <c r="M59" s="158">
        <v>10885.39</v>
      </c>
      <c r="N59" s="622" t="s">
        <v>3617</v>
      </c>
      <c r="O59" s="623" t="s">
        <v>3618</v>
      </c>
      <c r="P59" s="623" t="s">
        <v>3619</v>
      </c>
      <c r="Q59" s="623">
        <v>13752429150</v>
      </c>
      <c r="R59" s="632" t="s">
        <v>3620</v>
      </c>
      <c r="S59" s="623" t="s">
        <v>3564</v>
      </c>
      <c r="T59" s="624"/>
    </row>
    <row r="60" spans="1:20" ht="24.95" customHeight="1">
      <c r="A60" s="621">
        <v>54</v>
      </c>
      <c r="B60" s="642" t="s">
        <v>29</v>
      </c>
      <c r="C60" s="642"/>
      <c r="D60" s="642" t="s">
        <v>62</v>
      </c>
      <c r="E60" s="643">
        <v>36.728999999999999</v>
      </c>
      <c r="F60" s="643">
        <v>36.728999999999999</v>
      </c>
      <c r="G60" s="623" t="s">
        <v>32</v>
      </c>
      <c r="H60" s="623" t="s">
        <v>33</v>
      </c>
      <c r="I60" s="623" t="s">
        <v>34</v>
      </c>
      <c r="J60" s="623" t="s">
        <v>34</v>
      </c>
      <c r="K60" s="623" t="s">
        <v>34</v>
      </c>
      <c r="L60" s="624"/>
      <c r="M60" s="643">
        <v>44644.733999999997</v>
      </c>
      <c r="N60" s="622" t="s">
        <v>3621</v>
      </c>
      <c r="O60" s="623" t="s">
        <v>3618</v>
      </c>
      <c r="P60" s="623" t="s">
        <v>3619</v>
      </c>
      <c r="Q60" s="623">
        <v>13752429150</v>
      </c>
      <c r="R60" s="632" t="s">
        <v>3620</v>
      </c>
      <c r="S60" s="623" t="s">
        <v>3564</v>
      </c>
      <c r="T60" s="624"/>
    </row>
    <row r="61" spans="1:20" ht="24.95" customHeight="1">
      <c r="A61" s="621">
        <v>55</v>
      </c>
      <c r="B61" s="642" t="s">
        <v>29</v>
      </c>
      <c r="C61" s="642"/>
      <c r="D61" s="642" t="s">
        <v>62</v>
      </c>
      <c r="E61" s="643">
        <v>54.103999999999999</v>
      </c>
      <c r="F61" s="643">
        <v>54.103999999999999</v>
      </c>
      <c r="G61" s="623" t="s">
        <v>32</v>
      </c>
      <c r="H61" s="623" t="s">
        <v>33</v>
      </c>
      <c r="I61" s="623" t="s">
        <v>34</v>
      </c>
      <c r="J61" s="623" t="s">
        <v>34</v>
      </c>
      <c r="K61" s="623" t="s">
        <v>34</v>
      </c>
      <c r="L61" s="624"/>
      <c r="M61" s="643">
        <v>67510.304000000004</v>
      </c>
      <c r="N61" s="622" t="s">
        <v>3621</v>
      </c>
      <c r="O61" s="623" t="s">
        <v>3618</v>
      </c>
      <c r="P61" s="623" t="s">
        <v>3619</v>
      </c>
      <c r="Q61" s="623">
        <v>13752429150</v>
      </c>
      <c r="R61" s="632" t="s">
        <v>3620</v>
      </c>
      <c r="S61" s="623" t="s">
        <v>3564</v>
      </c>
      <c r="T61" s="624"/>
    </row>
    <row r="62" spans="1:20" ht="24.95" customHeight="1">
      <c r="A62" s="621">
        <v>56</v>
      </c>
      <c r="B62" s="642" t="s">
        <v>29</v>
      </c>
      <c r="C62" s="642"/>
      <c r="D62" s="642" t="s">
        <v>62</v>
      </c>
      <c r="E62" s="643">
        <v>42.214799999999997</v>
      </c>
      <c r="F62" s="643">
        <v>42.214799999999997</v>
      </c>
      <c r="G62" s="623" t="s">
        <v>32</v>
      </c>
      <c r="H62" s="623" t="s">
        <v>33</v>
      </c>
      <c r="I62" s="623" t="s">
        <v>34</v>
      </c>
      <c r="J62" s="623" t="s">
        <v>34</v>
      </c>
      <c r="K62" s="623" t="s">
        <v>34</v>
      </c>
      <c r="L62" s="624"/>
      <c r="M62" s="643">
        <v>111055.13</v>
      </c>
      <c r="N62" s="622" t="s">
        <v>3617</v>
      </c>
      <c r="O62" s="623" t="s">
        <v>3618</v>
      </c>
      <c r="P62" s="623" t="s">
        <v>3619</v>
      </c>
      <c r="Q62" s="623">
        <v>13752429150</v>
      </c>
      <c r="R62" s="632" t="s">
        <v>3620</v>
      </c>
      <c r="S62" s="623" t="s">
        <v>3564</v>
      </c>
      <c r="T62" s="624"/>
    </row>
    <row r="63" spans="1:20" ht="24.95" customHeight="1">
      <c r="A63" s="621">
        <v>57</v>
      </c>
      <c r="B63" s="642" t="s">
        <v>29</v>
      </c>
      <c r="C63" s="642"/>
      <c r="D63" s="642" t="s">
        <v>62</v>
      </c>
      <c r="E63" s="643">
        <v>76.777699999999996</v>
      </c>
      <c r="F63" s="643">
        <v>76.777699999999996</v>
      </c>
      <c r="G63" s="623" t="s">
        <v>32</v>
      </c>
      <c r="H63" s="623" t="s">
        <v>33</v>
      </c>
      <c r="I63" s="623" t="s">
        <v>34</v>
      </c>
      <c r="J63" s="623" t="s">
        <v>34</v>
      </c>
      <c r="K63" s="623" t="s">
        <v>34</v>
      </c>
      <c r="L63" s="624"/>
      <c r="M63" s="643">
        <v>93329.063999999998</v>
      </c>
      <c r="N63" s="622" t="s">
        <v>3621</v>
      </c>
      <c r="O63" s="623" t="s">
        <v>3618</v>
      </c>
      <c r="P63" s="623" t="s">
        <v>3619</v>
      </c>
      <c r="Q63" s="623">
        <v>13752429150</v>
      </c>
      <c r="R63" s="632" t="s">
        <v>3620</v>
      </c>
      <c r="S63" s="623" t="s">
        <v>3564</v>
      </c>
      <c r="T63" s="624"/>
    </row>
    <row r="64" spans="1:20" ht="24.95" customHeight="1">
      <c r="A64" s="621">
        <v>58</v>
      </c>
      <c r="B64" s="642" t="s">
        <v>29</v>
      </c>
      <c r="C64" s="642"/>
      <c r="D64" s="642" t="s">
        <v>62</v>
      </c>
      <c r="E64" s="644">
        <v>98.775000000000006</v>
      </c>
      <c r="F64" s="644">
        <v>98.775000000000006</v>
      </c>
      <c r="G64" s="623" t="s">
        <v>32</v>
      </c>
      <c r="H64" s="623" t="s">
        <v>33</v>
      </c>
      <c r="I64" s="623" t="s">
        <v>34</v>
      </c>
      <c r="J64" s="623" t="s">
        <v>34</v>
      </c>
      <c r="K64" s="623" t="s">
        <v>34</v>
      </c>
      <c r="L64" s="624"/>
      <c r="M64" s="643">
        <v>122376.102</v>
      </c>
      <c r="N64" s="622" t="s">
        <v>3622</v>
      </c>
      <c r="O64" s="623" t="s">
        <v>3618</v>
      </c>
      <c r="P64" s="623" t="s">
        <v>3619</v>
      </c>
      <c r="Q64" s="623">
        <v>13752429150</v>
      </c>
      <c r="R64" s="632" t="s">
        <v>3620</v>
      </c>
      <c r="S64" s="623" t="s">
        <v>3564</v>
      </c>
      <c r="T64" s="624"/>
    </row>
    <row r="65" spans="1:20" ht="24.95" customHeight="1">
      <c r="A65" s="621">
        <v>59</v>
      </c>
      <c r="B65" s="642" t="s">
        <v>29</v>
      </c>
      <c r="C65" s="624"/>
      <c r="D65" s="642" t="s">
        <v>62</v>
      </c>
      <c r="E65" s="644">
        <v>10.56</v>
      </c>
      <c r="F65" s="644">
        <v>10.56</v>
      </c>
      <c r="G65" s="623" t="s">
        <v>32</v>
      </c>
      <c r="H65" s="623" t="s">
        <v>33</v>
      </c>
      <c r="I65" s="623" t="s">
        <v>34</v>
      </c>
      <c r="J65" s="623" t="s">
        <v>34</v>
      </c>
      <c r="K65" s="623" t="s">
        <v>34</v>
      </c>
      <c r="L65" s="624"/>
      <c r="M65" s="643">
        <v>12836.474</v>
      </c>
      <c r="N65" s="622" t="s">
        <v>3623</v>
      </c>
      <c r="O65" s="623" t="s">
        <v>3618</v>
      </c>
      <c r="P65" s="623" t="s">
        <v>3619</v>
      </c>
      <c r="Q65" s="623">
        <v>13752429150</v>
      </c>
      <c r="R65" s="632" t="s">
        <v>3620</v>
      </c>
      <c r="S65" s="623" t="s">
        <v>3564</v>
      </c>
      <c r="T65" s="624"/>
    </row>
    <row r="66" spans="1:20" ht="24.95" customHeight="1">
      <c r="A66" s="621">
        <v>60</v>
      </c>
      <c r="B66" s="645" t="s">
        <v>29</v>
      </c>
      <c r="C66" s="645"/>
      <c r="D66" s="645" t="s">
        <v>62</v>
      </c>
      <c r="E66" s="644">
        <v>44.082099999999997</v>
      </c>
      <c r="F66" s="644">
        <v>44.082099999999997</v>
      </c>
      <c r="G66" s="623" t="s">
        <v>32</v>
      </c>
      <c r="H66" s="645" t="s">
        <v>33</v>
      </c>
      <c r="I66" s="645" t="s">
        <v>34</v>
      </c>
      <c r="J66" s="645" t="s">
        <v>34</v>
      </c>
      <c r="K66" s="645" t="s">
        <v>34</v>
      </c>
      <c r="L66" s="624"/>
      <c r="M66" s="644">
        <v>54615.040000000001</v>
      </c>
      <c r="N66" s="622">
        <v>2019.9</v>
      </c>
      <c r="O66" s="645" t="s">
        <v>3618</v>
      </c>
      <c r="P66" s="645" t="s">
        <v>3619</v>
      </c>
      <c r="Q66" s="623">
        <v>13752429150</v>
      </c>
      <c r="R66" s="632" t="s">
        <v>3620</v>
      </c>
      <c r="S66" s="623" t="s">
        <v>3564</v>
      </c>
      <c r="T66" s="624"/>
    </row>
    <row r="67" spans="1:20" ht="24.95" customHeight="1">
      <c r="A67" s="621">
        <v>61</v>
      </c>
      <c r="B67" s="645" t="s">
        <v>29</v>
      </c>
      <c r="C67" s="645"/>
      <c r="D67" s="645" t="s">
        <v>62</v>
      </c>
      <c r="E67" s="646">
        <v>33.76</v>
      </c>
      <c r="F67" s="646">
        <v>33.76</v>
      </c>
      <c r="G67" s="623" t="s">
        <v>32</v>
      </c>
      <c r="H67" s="645" t="s">
        <v>33</v>
      </c>
      <c r="I67" s="645"/>
      <c r="J67" s="645"/>
      <c r="K67" s="645"/>
      <c r="L67" s="624"/>
      <c r="M67" s="647">
        <v>42125.31</v>
      </c>
      <c r="N67" s="622" t="s">
        <v>2216</v>
      </c>
      <c r="O67" s="623" t="s">
        <v>3618</v>
      </c>
      <c r="P67" s="623" t="s">
        <v>3619</v>
      </c>
      <c r="Q67" s="623">
        <v>13752429150</v>
      </c>
      <c r="R67" s="632" t="s">
        <v>3620</v>
      </c>
      <c r="S67" s="623" t="s">
        <v>3564</v>
      </c>
      <c r="T67" s="624"/>
    </row>
    <row r="68" spans="1:20" ht="24.95" customHeight="1">
      <c r="A68" s="621">
        <v>62</v>
      </c>
      <c r="B68" s="645" t="s">
        <v>29</v>
      </c>
      <c r="C68" s="645"/>
      <c r="D68" s="645" t="s">
        <v>62</v>
      </c>
      <c r="E68" s="646">
        <v>10.199999999999999</v>
      </c>
      <c r="F68" s="646">
        <v>10.199999999999999</v>
      </c>
      <c r="G68" s="623" t="s">
        <v>32</v>
      </c>
      <c r="H68" s="645" t="s">
        <v>33</v>
      </c>
      <c r="I68" s="645"/>
      <c r="J68" s="645"/>
      <c r="K68" s="645"/>
      <c r="L68" s="624"/>
      <c r="M68" s="647">
        <v>25725.66</v>
      </c>
      <c r="N68" s="622" t="s">
        <v>2216</v>
      </c>
      <c r="O68" s="623" t="s">
        <v>3618</v>
      </c>
      <c r="P68" s="623" t="s">
        <v>3619</v>
      </c>
      <c r="Q68" s="623">
        <v>13752429150</v>
      </c>
      <c r="R68" s="632" t="s">
        <v>3620</v>
      </c>
      <c r="S68" s="623" t="s">
        <v>3564</v>
      </c>
      <c r="T68" s="624"/>
    </row>
    <row r="69" spans="1:20" ht="24.95" customHeight="1">
      <c r="A69" s="621">
        <v>63</v>
      </c>
      <c r="B69" s="645" t="s">
        <v>29</v>
      </c>
      <c r="C69" s="645"/>
      <c r="D69" s="645" t="s">
        <v>62</v>
      </c>
      <c r="E69" s="646">
        <v>514.93179999999995</v>
      </c>
      <c r="F69" s="644">
        <v>514.93179999999995</v>
      </c>
      <c r="G69" s="623" t="s">
        <v>32</v>
      </c>
      <c r="H69" s="645" t="s">
        <v>33</v>
      </c>
      <c r="I69" s="645"/>
      <c r="J69" s="645"/>
      <c r="K69" s="645"/>
      <c r="L69" s="624"/>
      <c r="M69" s="644">
        <v>623386.5</v>
      </c>
      <c r="N69" s="622">
        <v>2019.11</v>
      </c>
      <c r="O69" s="623" t="s">
        <v>3618</v>
      </c>
      <c r="P69" s="623" t="s">
        <v>3619</v>
      </c>
      <c r="Q69" s="623">
        <v>13752429150</v>
      </c>
      <c r="R69" s="632" t="s">
        <v>3620</v>
      </c>
      <c r="S69" s="623" t="s">
        <v>3564</v>
      </c>
      <c r="T69" s="624"/>
    </row>
    <row r="70" spans="1:20" ht="24.95" customHeight="1">
      <c r="A70" s="621">
        <v>64</v>
      </c>
      <c r="B70" s="645" t="s">
        <v>29</v>
      </c>
      <c r="C70" s="645"/>
      <c r="D70" s="645" t="s">
        <v>62</v>
      </c>
      <c r="E70" s="648">
        <v>14.68</v>
      </c>
      <c r="F70" s="648">
        <v>14.68</v>
      </c>
      <c r="G70" s="623" t="s">
        <v>32</v>
      </c>
      <c r="H70" s="645" t="s">
        <v>33</v>
      </c>
      <c r="I70" s="645"/>
      <c r="J70" s="645"/>
      <c r="K70" s="645"/>
      <c r="L70" s="624"/>
      <c r="M70" s="644">
        <v>16498.761999999999</v>
      </c>
      <c r="N70" s="622" t="s">
        <v>3624</v>
      </c>
      <c r="O70" s="623" t="s">
        <v>3618</v>
      </c>
      <c r="P70" s="623" t="s">
        <v>3619</v>
      </c>
      <c r="Q70" s="623">
        <v>13752429150</v>
      </c>
      <c r="R70" s="632" t="s">
        <v>3620</v>
      </c>
      <c r="S70" s="623" t="s">
        <v>3564</v>
      </c>
      <c r="T70" s="624"/>
    </row>
    <row r="71" spans="1:20" ht="24.95" customHeight="1">
      <c r="A71" s="621">
        <v>65</v>
      </c>
      <c r="B71" s="645" t="s">
        <v>29</v>
      </c>
      <c r="C71" s="645"/>
      <c r="D71" s="645" t="s">
        <v>62</v>
      </c>
      <c r="E71" s="649"/>
      <c r="F71" s="649">
        <v>577.44000000000005</v>
      </c>
      <c r="G71" s="623" t="s">
        <v>32</v>
      </c>
      <c r="H71" s="645" t="s">
        <v>33</v>
      </c>
      <c r="I71" s="645"/>
      <c r="J71" s="645"/>
      <c r="K71" s="645"/>
      <c r="L71" s="624"/>
      <c r="M71" s="644">
        <v>683715.04599999997</v>
      </c>
      <c r="N71" s="622" t="s">
        <v>3624</v>
      </c>
      <c r="O71" s="623" t="s">
        <v>3618</v>
      </c>
      <c r="P71" s="623" t="s">
        <v>3619</v>
      </c>
      <c r="Q71" s="623">
        <v>13752429150</v>
      </c>
      <c r="R71" s="632" t="s">
        <v>3620</v>
      </c>
      <c r="S71" s="623" t="s">
        <v>3564</v>
      </c>
      <c r="T71" s="624"/>
    </row>
    <row r="72" spans="1:20" ht="24.95" customHeight="1">
      <c r="A72" s="621">
        <v>66</v>
      </c>
      <c r="B72" s="650" t="s">
        <v>29</v>
      </c>
      <c r="C72" s="650"/>
      <c r="D72" s="650" t="s">
        <v>62</v>
      </c>
      <c r="E72" s="643" t="s">
        <v>34</v>
      </c>
      <c r="F72" s="650">
        <v>21.52</v>
      </c>
      <c r="G72" s="651" t="s">
        <v>32</v>
      </c>
      <c r="H72" s="651" t="s">
        <v>33</v>
      </c>
      <c r="I72" s="651" t="s">
        <v>3625</v>
      </c>
      <c r="J72" s="651" t="s">
        <v>34</v>
      </c>
      <c r="K72" s="651" t="s">
        <v>34</v>
      </c>
      <c r="L72" s="652">
        <v>131271.99830000001</v>
      </c>
      <c r="M72" s="653">
        <v>72199.599065000002</v>
      </c>
      <c r="N72" s="654">
        <v>2020.5</v>
      </c>
      <c r="O72" s="651" t="s">
        <v>3626</v>
      </c>
      <c r="P72" s="651" t="s">
        <v>3627</v>
      </c>
      <c r="Q72" s="651">
        <v>18522251335</v>
      </c>
      <c r="R72" s="651" t="s">
        <v>3628</v>
      </c>
      <c r="S72" s="651" t="s">
        <v>3564</v>
      </c>
      <c r="T72" s="642"/>
    </row>
    <row r="73" spans="1:20" s="630" customFormat="1" ht="24.95" customHeight="1">
      <c r="A73" s="621">
        <v>67</v>
      </c>
      <c r="B73" s="655" t="s">
        <v>3629</v>
      </c>
      <c r="C73" s="656"/>
      <c r="D73" s="655" t="s">
        <v>62</v>
      </c>
      <c r="E73" s="643" t="s">
        <v>34</v>
      </c>
      <c r="F73" s="655">
        <v>130</v>
      </c>
      <c r="G73" s="651" t="s">
        <v>32</v>
      </c>
      <c r="H73" s="651" t="s">
        <v>33</v>
      </c>
      <c r="I73" s="651" t="s">
        <v>3630</v>
      </c>
      <c r="J73" s="651" t="s">
        <v>34</v>
      </c>
      <c r="K73" s="651" t="s">
        <v>34</v>
      </c>
      <c r="L73" s="657">
        <v>812500</v>
      </c>
      <c r="M73" s="657">
        <f>L73*0.55</f>
        <v>446875.00000000006</v>
      </c>
      <c r="N73" s="658">
        <v>2020.9</v>
      </c>
      <c r="O73" s="651" t="s">
        <v>3626</v>
      </c>
      <c r="P73" s="651" t="s">
        <v>3627</v>
      </c>
      <c r="Q73" s="651">
        <v>18522251336</v>
      </c>
      <c r="R73" s="651" t="s">
        <v>3628</v>
      </c>
      <c r="S73" s="651" t="s">
        <v>3564</v>
      </c>
      <c r="T73" s="642"/>
    </row>
    <row r="74" spans="1:20" ht="24.95" customHeight="1">
      <c r="A74" s="621">
        <v>68</v>
      </c>
      <c r="B74" s="616" t="s">
        <v>84</v>
      </c>
      <c r="C74" s="616"/>
      <c r="D74" s="615"/>
      <c r="E74" s="102"/>
      <c r="F74" s="102"/>
      <c r="G74" s="616"/>
      <c r="H74" s="616"/>
      <c r="I74" s="615"/>
      <c r="J74" s="616"/>
      <c r="K74" s="616"/>
      <c r="L74" s="616"/>
      <c r="M74" s="149"/>
      <c r="N74" s="622"/>
      <c r="O74" s="616"/>
      <c r="P74" s="615"/>
      <c r="Q74" s="616"/>
      <c r="R74" s="616"/>
      <c r="S74" s="620"/>
      <c r="T74" s="620"/>
    </row>
    <row r="75" spans="1:20" ht="24.95" customHeight="1">
      <c r="A75" s="621">
        <v>69</v>
      </c>
      <c r="B75" s="623" t="s">
        <v>3631</v>
      </c>
      <c r="C75" s="623" t="s">
        <v>34</v>
      </c>
      <c r="D75" s="623" t="s">
        <v>62</v>
      </c>
      <c r="E75" s="158" t="s">
        <v>34</v>
      </c>
      <c r="F75" s="158">
        <v>3</v>
      </c>
      <c r="G75" s="623" t="s">
        <v>3560</v>
      </c>
      <c r="H75" s="645" t="s">
        <v>33</v>
      </c>
      <c r="I75" s="623" t="s">
        <v>34</v>
      </c>
      <c r="J75" s="623" t="s">
        <v>34</v>
      </c>
      <c r="K75" s="623" t="s">
        <v>34</v>
      </c>
      <c r="L75" s="624"/>
      <c r="M75" s="158">
        <v>0</v>
      </c>
      <c r="N75" s="622">
        <v>2015.9</v>
      </c>
      <c r="O75" s="623" t="s">
        <v>3561</v>
      </c>
      <c r="P75" s="623" t="s">
        <v>3562</v>
      </c>
      <c r="Q75" s="623">
        <v>15222256701</v>
      </c>
      <c r="R75" s="623" t="s">
        <v>3563</v>
      </c>
      <c r="S75" s="623" t="s">
        <v>3564</v>
      </c>
      <c r="T75" s="620"/>
    </row>
    <row r="76" spans="1:20" ht="24.95" customHeight="1">
      <c r="A76" s="621">
        <v>70</v>
      </c>
      <c r="B76" s="616" t="s">
        <v>134</v>
      </c>
      <c r="C76" s="616"/>
      <c r="D76" s="615"/>
      <c r="E76" s="102"/>
      <c r="F76" s="102"/>
      <c r="G76" s="623" t="s">
        <v>3560</v>
      </c>
      <c r="H76" s="645" t="s">
        <v>33</v>
      </c>
      <c r="I76" s="615"/>
      <c r="J76" s="616"/>
      <c r="K76" s="616"/>
      <c r="L76" s="616"/>
      <c r="M76" s="149"/>
      <c r="N76" s="622"/>
      <c r="O76" s="616"/>
      <c r="P76" s="615"/>
      <c r="Q76" s="616"/>
      <c r="R76" s="616"/>
      <c r="S76" s="620"/>
      <c r="T76" s="620"/>
    </row>
    <row r="77" spans="1:20" ht="24.95" customHeight="1">
      <c r="A77" s="621">
        <v>71</v>
      </c>
      <c r="B77" s="642" t="s">
        <v>135</v>
      </c>
      <c r="C77" s="642"/>
      <c r="D77" s="642" t="s">
        <v>62</v>
      </c>
      <c r="E77" s="643">
        <v>33.200000000000003</v>
      </c>
      <c r="F77" s="643">
        <v>33.200000000000003</v>
      </c>
      <c r="G77" s="623" t="s">
        <v>3632</v>
      </c>
      <c r="H77" s="623" t="s">
        <v>41</v>
      </c>
      <c r="I77" s="623" t="s">
        <v>34</v>
      </c>
      <c r="J77" s="623" t="s">
        <v>34</v>
      </c>
      <c r="K77" s="623" t="s">
        <v>34</v>
      </c>
      <c r="L77" s="624"/>
      <c r="M77" s="158">
        <v>17495.259999999998</v>
      </c>
      <c r="N77" s="622" t="s">
        <v>3633</v>
      </c>
      <c r="O77" s="623" t="s">
        <v>3618</v>
      </c>
      <c r="P77" s="623" t="s">
        <v>3619</v>
      </c>
      <c r="Q77" s="623">
        <v>13752429150</v>
      </c>
      <c r="R77" s="632" t="s">
        <v>3620</v>
      </c>
      <c r="S77" s="623" t="s">
        <v>3564</v>
      </c>
      <c r="T77" s="624"/>
    </row>
    <row r="78" spans="1:20" ht="24.95" customHeight="1">
      <c r="A78" s="621">
        <v>72</v>
      </c>
      <c r="B78" s="642" t="s">
        <v>135</v>
      </c>
      <c r="C78" s="642"/>
      <c r="D78" s="642" t="s">
        <v>62</v>
      </c>
      <c r="E78" s="643">
        <v>41.02</v>
      </c>
      <c r="F78" s="643">
        <v>41.02</v>
      </c>
      <c r="G78" s="623" t="s">
        <v>3632</v>
      </c>
      <c r="H78" s="623" t="s">
        <v>41</v>
      </c>
      <c r="I78" s="623" t="s">
        <v>34</v>
      </c>
      <c r="J78" s="623" t="s">
        <v>34</v>
      </c>
      <c r="K78" s="623" t="s">
        <v>34</v>
      </c>
      <c r="L78" s="624"/>
      <c r="M78" s="158">
        <v>15480.1</v>
      </c>
      <c r="N78" s="622" t="s">
        <v>3633</v>
      </c>
      <c r="O78" s="623" t="s">
        <v>3618</v>
      </c>
      <c r="P78" s="623" t="s">
        <v>3619</v>
      </c>
      <c r="Q78" s="623">
        <v>13752429150</v>
      </c>
      <c r="R78" s="632" t="s">
        <v>3620</v>
      </c>
      <c r="S78" s="623" t="s">
        <v>3564</v>
      </c>
      <c r="T78" s="624"/>
    </row>
    <row r="79" spans="1:20" ht="24.95" customHeight="1">
      <c r="A79" s="621">
        <v>73</v>
      </c>
      <c r="B79" s="642" t="s">
        <v>202</v>
      </c>
      <c r="C79" s="642"/>
      <c r="D79" s="642" t="s">
        <v>62</v>
      </c>
      <c r="E79" s="643">
        <v>12.2</v>
      </c>
      <c r="F79" s="643">
        <v>12.2</v>
      </c>
      <c r="G79" s="623" t="s">
        <v>3632</v>
      </c>
      <c r="H79" s="623" t="s">
        <v>41</v>
      </c>
      <c r="I79" s="623" t="s">
        <v>34</v>
      </c>
      <c r="J79" s="623" t="s">
        <v>34</v>
      </c>
      <c r="K79" s="623" t="s">
        <v>34</v>
      </c>
      <c r="L79" s="624"/>
      <c r="M79" s="158">
        <v>5482.4300000000103</v>
      </c>
      <c r="N79" s="622" t="s">
        <v>3633</v>
      </c>
      <c r="O79" s="623" t="s">
        <v>3618</v>
      </c>
      <c r="P79" s="623" t="s">
        <v>3619</v>
      </c>
      <c r="Q79" s="623">
        <v>13752429150</v>
      </c>
      <c r="R79" s="632" t="s">
        <v>3620</v>
      </c>
      <c r="S79" s="623" t="s">
        <v>3564</v>
      </c>
      <c r="T79" s="624"/>
    </row>
    <row r="80" spans="1:20" s="662" customFormat="1" ht="24.95" customHeight="1">
      <c r="A80" s="621">
        <v>74</v>
      </c>
      <c r="B80" s="659" t="s">
        <v>29</v>
      </c>
      <c r="C80" s="660"/>
      <c r="D80" s="632" t="s">
        <v>62</v>
      </c>
      <c r="E80" s="661"/>
      <c r="F80" s="643">
        <v>430.18</v>
      </c>
      <c r="G80" s="645" t="s">
        <v>33</v>
      </c>
      <c r="H80" s="645" t="s">
        <v>33</v>
      </c>
      <c r="I80" s="624"/>
      <c r="J80" s="624"/>
      <c r="K80" s="624"/>
      <c r="L80" s="624"/>
      <c r="M80" s="305">
        <f>2474486.72-1979589.38</f>
        <v>494897.34000000032</v>
      </c>
      <c r="N80" s="622" t="s">
        <v>208</v>
      </c>
      <c r="O80" s="623" t="s">
        <v>3618</v>
      </c>
      <c r="P80" s="623" t="s">
        <v>3619</v>
      </c>
      <c r="Q80" s="623">
        <v>13752429150</v>
      </c>
      <c r="R80" s="632" t="s">
        <v>3620</v>
      </c>
      <c r="S80" s="623" t="s">
        <v>3564</v>
      </c>
      <c r="T80" s="624"/>
    </row>
    <row r="81" spans="1:20" s="662" customFormat="1" ht="24.95" customHeight="1">
      <c r="A81" s="621">
        <v>75</v>
      </c>
      <c r="B81" s="659" t="s">
        <v>29</v>
      </c>
      <c r="C81" s="660"/>
      <c r="D81" s="632" t="s">
        <v>62</v>
      </c>
      <c r="E81" s="661"/>
      <c r="F81" s="643">
        <v>294.37</v>
      </c>
      <c r="G81" s="645" t="s">
        <v>33</v>
      </c>
      <c r="H81" s="645" t="s">
        <v>33</v>
      </c>
      <c r="I81" s="624"/>
      <c r="J81" s="624"/>
      <c r="K81" s="624"/>
      <c r="L81" s="624"/>
      <c r="M81" s="305">
        <f>1654203.03-1323362.42</f>
        <v>330840.6100000001</v>
      </c>
      <c r="N81" s="622" t="s">
        <v>2219</v>
      </c>
      <c r="O81" s="623" t="s">
        <v>3618</v>
      </c>
      <c r="P81" s="623" t="s">
        <v>3619</v>
      </c>
      <c r="Q81" s="623">
        <v>13752429150</v>
      </c>
      <c r="R81" s="632" t="s">
        <v>3620</v>
      </c>
      <c r="S81" s="623" t="s">
        <v>3564</v>
      </c>
      <c r="T81" s="624"/>
    </row>
    <row r="82" spans="1:20" s="662" customFormat="1" ht="24.95" customHeight="1">
      <c r="A82" s="621">
        <v>76</v>
      </c>
      <c r="B82" s="659" t="s">
        <v>29</v>
      </c>
      <c r="C82" s="659" t="s">
        <v>1036</v>
      </c>
      <c r="D82" s="659" t="s">
        <v>62</v>
      </c>
      <c r="E82" s="661"/>
      <c r="F82" s="663">
        <v>715.44</v>
      </c>
      <c r="G82" s="645" t="s">
        <v>33</v>
      </c>
      <c r="H82" s="645" t="s">
        <v>33</v>
      </c>
      <c r="I82" s="624"/>
      <c r="J82" s="624"/>
      <c r="K82" s="624"/>
      <c r="L82" s="624"/>
      <c r="M82" s="305">
        <v>823072.56599999999</v>
      </c>
      <c r="N82" s="622" t="s">
        <v>3634</v>
      </c>
      <c r="O82" s="623" t="s">
        <v>3618</v>
      </c>
      <c r="P82" s="623" t="s">
        <v>3619</v>
      </c>
      <c r="Q82" s="623">
        <v>13752429150</v>
      </c>
      <c r="R82" s="632" t="s">
        <v>3620</v>
      </c>
      <c r="S82" s="623" t="s">
        <v>3564</v>
      </c>
      <c r="T82" s="624"/>
    </row>
    <row r="83" spans="1:20" s="662" customFormat="1" ht="24.95" customHeight="1">
      <c r="A83" s="621">
        <v>77</v>
      </c>
      <c r="B83" s="659" t="s">
        <v>29</v>
      </c>
      <c r="C83" s="659" t="s">
        <v>1036</v>
      </c>
      <c r="D83" s="659" t="s">
        <v>62</v>
      </c>
      <c r="E83" s="661"/>
      <c r="F83" s="663">
        <v>219.93</v>
      </c>
      <c r="G83" s="645" t="s">
        <v>33</v>
      </c>
      <c r="H83" s="645" t="s">
        <v>33</v>
      </c>
      <c r="I83" s="624"/>
      <c r="J83" s="624"/>
      <c r="K83" s="624"/>
      <c r="L83" s="624"/>
      <c r="M83" s="305">
        <v>247177.97200000001</v>
      </c>
      <c r="N83" s="622" t="s">
        <v>3634</v>
      </c>
      <c r="O83" s="623" t="s">
        <v>3618</v>
      </c>
      <c r="P83" s="623" t="s">
        <v>3619</v>
      </c>
      <c r="Q83" s="623">
        <v>13752429150</v>
      </c>
      <c r="R83" s="632" t="s">
        <v>3620</v>
      </c>
      <c r="S83" s="623" t="s">
        <v>3564</v>
      </c>
      <c r="T83" s="624"/>
    </row>
    <row r="84" spans="1:20" s="662" customFormat="1" ht="24.95" customHeight="1">
      <c r="A84" s="621">
        <v>78</v>
      </c>
      <c r="B84" s="664" t="s">
        <v>29</v>
      </c>
      <c r="C84" s="665" t="s">
        <v>1036</v>
      </c>
      <c r="D84" s="664" t="s">
        <v>62</v>
      </c>
      <c r="E84" s="661"/>
      <c r="F84" s="663">
        <v>577.44000000000005</v>
      </c>
      <c r="G84" s="645" t="s">
        <v>33</v>
      </c>
      <c r="H84" s="645" t="s">
        <v>33</v>
      </c>
      <c r="I84" s="624"/>
      <c r="J84" s="624"/>
      <c r="K84" s="624"/>
      <c r="L84" s="624"/>
      <c r="M84" s="305">
        <v>664311.51</v>
      </c>
      <c r="N84" s="622" t="s">
        <v>3585</v>
      </c>
      <c r="O84" s="623" t="s">
        <v>3618</v>
      </c>
      <c r="P84" s="623" t="s">
        <v>3619</v>
      </c>
      <c r="Q84" s="623">
        <v>13752429150</v>
      </c>
      <c r="R84" s="632" t="s">
        <v>3620</v>
      </c>
      <c r="S84" s="623" t="s">
        <v>3564</v>
      </c>
      <c r="T84" s="624"/>
    </row>
    <row r="85" spans="1:20" s="662" customFormat="1" ht="24.95" customHeight="1">
      <c r="A85" s="621">
        <v>79</v>
      </c>
      <c r="B85" s="664" t="s">
        <v>29</v>
      </c>
      <c r="C85" s="665" t="s">
        <v>1036</v>
      </c>
      <c r="D85" s="664" t="s">
        <v>62</v>
      </c>
      <c r="E85" s="664"/>
      <c r="F85" s="664">
        <v>204.12</v>
      </c>
      <c r="G85" s="645" t="s">
        <v>33</v>
      </c>
      <c r="H85" s="645" t="s">
        <v>33</v>
      </c>
      <c r="I85" s="624"/>
      <c r="J85" s="624"/>
      <c r="K85" s="624"/>
      <c r="L85" s="624"/>
      <c r="M85" s="305">
        <v>246750.36</v>
      </c>
      <c r="N85" s="622" t="s">
        <v>3635</v>
      </c>
      <c r="O85" s="623" t="s">
        <v>3618</v>
      </c>
      <c r="P85" s="623" t="s">
        <v>3619</v>
      </c>
      <c r="Q85" s="623">
        <v>13752429150</v>
      </c>
      <c r="R85" s="632" t="s">
        <v>3620</v>
      </c>
      <c r="S85" s="623" t="s">
        <v>3564</v>
      </c>
      <c r="T85" s="624"/>
    </row>
    <row r="86" spans="1:20" s="662" customFormat="1" ht="24.95" customHeight="1">
      <c r="A86" s="621">
        <v>80</v>
      </c>
      <c r="B86" s="664" t="s">
        <v>29</v>
      </c>
      <c r="C86" s="665" t="s">
        <v>1036</v>
      </c>
      <c r="D86" s="664" t="s">
        <v>62</v>
      </c>
      <c r="E86" s="661"/>
      <c r="F86" s="664">
        <f>14.36+45.18</f>
        <v>59.54</v>
      </c>
      <c r="G86" s="645" t="s">
        <v>33</v>
      </c>
      <c r="H86" s="645" t="s">
        <v>33</v>
      </c>
      <c r="I86" s="624"/>
      <c r="J86" s="624"/>
      <c r="K86" s="624"/>
      <c r="L86" s="624"/>
      <c r="M86" s="666">
        <v>68497.346000000005</v>
      </c>
      <c r="N86" s="622" t="s">
        <v>3635</v>
      </c>
      <c r="O86" s="623" t="s">
        <v>3618</v>
      </c>
      <c r="P86" s="623" t="s">
        <v>3619</v>
      </c>
      <c r="Q86" s="623">
        <v>13752429150</v>
      </c>
      <c r="R86" s="632" t="s">
        <v>3620</v>
      </c>
      <c r="S86" s="623" t="s">
        <v>3564</v>
      </c>
      <c r="T86" s="624"/>
    </row>
    <row r="87" spans="1:20" s="662" customFormat="1" ht="24.95" customHeight="1">
      <c r="A87" s="621">
        <v>81</v>
      </c>
      <c r="B87" s="664" t="s">
        <v>29</v>
      </c>
      <c r="C87" s="667"/>
      <c r="D87" s="664" t="s">
        <v>62</v>
      </c>
      <c r="E87" s="661"/>
      <c r="F87" s="668">
        <v>49.5</v>
      </c>
      <c r="G87" s="645" t="s">
        <v>33</v>
      </c>
      <c r="H87" s="645" t="s">
        <v>33</v>
      </c>
      <c r="I87" s="624"/>
      <c r="J87" s="624"/>
      <c r="K87" s="624"/>
      <c r="L87" s="624"/>
      <c r="M87" s="666">
        <v>59838.053999999996</v>
      </c>
      <c r="N87" s="622" t="s">
        <v>3636</v>
      </c>
      <c r="O87" s="623" t="s">
        <v>3618</v>
      </c>
      <c r="P87" s="623" t="s">
        <v>3619</v>
      </c>
      <c r="Q87" s="623">
        <v>13752429150</v>
      </c>
      <c r="R87" s="632" t="s">
        <v>3620</v>
      </c>
      <c r="S87" s="623" t="s">
        <v>3564</v>
      </c>
      <c r="T87" s="624"/>
    </row>
    <row r="88" spans="1:20" s="662" customFormat="1" ht="24.95" customHeight="1">
      <c r="A88" s="621">
        <v>82</v>
      </c>
      <c r="B88" s="664" t="s">
        <v>29</v>
      </c>
      <c r="C88" s="667" t="s">
        <v>3637</v>
      </c>
      <c r="D88" s="664" t="s">
        <v>62</v>
      </c>
      <c r="E88" s="661"/>
      <c r="F88" s="669">
        <f>68+25.68</f>
        <v>93.68</v>
      </c>
      <c r="G88" s="645" t="s">
        <v>33</v>
      </c>
      <c r="H88" s="645" t="s">
        <v>33</v>
      </c>
      <c r="I88" s="624"/>
      <c r="J88" s="624"/>
      <c r="K88" s="624"/>
      <c r="L88" s="305">
        <f>397168.15+149989.38</f>
        <v>547157.53</v>
      </c>
      <c r="M88" s="305">
        <v>503384.93</v>
      </c>
      <c r="N88" s="622" t="s">
        <v>3638</v>
      </c>
      <c r="O88" s="623" t="s">
        <v>3639</v>
      </c>
      <c r="P88" s="623" t="s">
        <v>3640</v>
      </c>
      <c r="Q88" s="623">
        <v>15822939827</v>
      </c>
      <c r="R88" s="632" t="s">
        <v>3641</v>
      </c>
      <c r="S88" s="623" t="s">
        <v>3564</v>
      </c>
      <c r="T88" s="624"/>
    </row>
    <row r="89" spans="1:20" s="662" customFormat="1" ht="24.95" customHeight="1">
      <c r="A89" s="621">
        <v>83</v>
      </c>
      <c r="B89" s="664" t="s">
        <v>29</v>
      </c>
      <c r="C89" s="667" t="s">
        <v>3637</v>
      </c>
      <c r="D89" s="664" t="s">
        <v>62</v>
      </c>
      <c r="E89" s="661"/>
      <c r="F89" s="669">
        <v>151.96</v>
      </c>
      <c r="G89" s="645" t="s">
        <v>33</v>
      </c>
      <c r="H89" s="645" t="s">
        <v>33</v>
      </c>
      <c r="I89" s="624"/>
      <c r="J89" s="624"/>
      <c r="K89" s="624"/>
      <c r="L89" s="305">
        <v>927867.76</v>
      </c>
      <c r="M89" s="305">
        <v>853638.36</v>
      </c>
      <c r="N89" s="622" t="s">
        <v>3638</v>
      </c>
      <c r="O89" s="623" t="s">
        <v>3639</v>
      </c>
      <c r="P89" s="623" t="s">
        <v>3640</v>
      </c>
      <c r="Q89" s="623">
        <v>15822939827</v>
      </c>
      <c r="R89" s="632" t="s">
        <v>3641</v>
      </c>
      <c r="S89" s="623" t="s">
        <v>3564</v>
      </c>
      <c r="T89" s="624"/>
    </row>
    <row r="90" spans="1:20" s="662" customFormat="1" ht="24.95" customHeight="1">
      <c r="A90" s="621">
        <v>84</v>
      </c>
      <c r="B90" s="664" t="s">
        <v>29</v>
      </c>
      <c r="C90" s="667" t="s">
        <v>3637</v>
      </c>
      <c r="D90" s="664" t="s">
        <v>62</v>
      </c>
      <c r="E90" s="661"/>
      <c r="F90" s="669">
        <v>29.87</v>
      </c>
      <c r="G90" s="645" t="s">
        <v>33</v>
      </c>
      <c r="H90" s="645" t="s">
        <v>33</v>
      </c>
      <c r="I90" s="624"/>
      <c r="J90" s="624"/>
      <c r="K90" s="624"/>
      <c r="L90" s="305">
        <v>226462.11</v>
      </c>
      <c r="M90" s="305">
        <v>208345.11</v>
      </c>
      <c r="N90" s="622" t="s">
        <v>3638</v>
      </c>
      <c r="O90" s="623" t="s">
        <v>3639</v>
      </c>
      <c r="P90" s="623" t="s">
        <v>3640</v>
      </c>
      <c r="Q90" s="623">
        <v>15822939827</v>
      </c>
      <c r="R90" s="632" t="s">
        <v>3641</v>
      </c>
      <c r="S90" s="623" t="s">
        <v>3564</v>
      </c>
      <c r="T90" s="624"/>
    </row>
    <row r="91" spans="1:20" ht="24.95" customHeight="1">
      <c r="A91" s="621">
        <v>85</v>
      </c>
      <c r="B91" s="616" t="s">
        <v>29</v>
      </c>
      <c r="C91" s="616" t="s">
        <v>3642</v>
      </c>
      <c r="D91" s="615" t="s">
        <v>62</v>
      </c>
      <c r="E91" s="102"/>
      <c r="F91" s="102">
        <v>76.918000000000006</v>
      </c>
      <c r="G91" s="616" t="s">
        <v>32</v>
      </c>
      <c r="H91" s="623" t="s">
        <v>33</v>
      </c>
      <c r="I91" s="615"/>
      <c r="J91" s="616"/>
      <c r="K91" s="616"/>
      <c r="L91" s="616"/>
      <c r="M91" s="149"/>
      <c r="N91" s="622" t="s">
        <v>3638</v>
      </c>
      <c r="O91" s="616" t="s">
        <v>3643</v>
      </c>
      <c r="P91" s="615" t="s">
        <v>3644</v>
      </c>
      <c r="Q91" s="616"/>
      <c r="R91" s="616" t="s">
        <v>3645</v>
      </c>
      <c r="S91" s="620"/>
      <c r="T91" s="620"/>
    </row>
    <row r="92" spans="1:20" ht="24.95" customHeight="1">
      <c r="A92" s="621">
        <v>86</v>
      </c>
      <c r="B92" s="623" t="s">
        <v>1593</v>
      </c>
      <c r="C92" s="616" t="s">
        <v>3646</v>
      </c>
      <c r="D92" s="623" t="s">
        <v>62</v>
      </c>
      <c r="E92" s="158" t="s">
        <v>34</v>
      </c>
      <c r="F92" s="158">
        <v>90.075000000000003</v>
      </c>
      <c r="G92" s="616" t="s">
        <v>32</v>
      </c>
      <c r="H92" s="623" t="s">
        <v>33</v>
      </c>
      <c r="I92" s="623" t="s">
        <v>34</v>
      </c>
      <c r="J92" s="623" t="s">
        <v>34</v>
      </c>
      <c r="K92" s="623" t="s">
        <v>34</v>
      </c>
      <c r="L92" s="616"/>
      <c r="M92" s="158">
        <v>0</v>
      </c>
      <c r="N92" s="622" t="s">
        <v>3638</v>
      </c>
      <c r="O92" s="616" t="s">
        <v>3643</v>
      </c>
      <c r="P92" s="615" t="s">
        <v>3644</v>
      </c>
      <c r="Q92" s="623">
        <v>18322298014</v>
      </c>
      <c r="R92" s="616" t="s">
        <v>3645</v>
      </c>
      <c r="S92" s="623" t="s">
        <v>3564</v>
      </c>
      <c r="T92" s="620"/>
    </row>
    <row r="93" spans="1:20" ht="24.95" customHeight="1">
      <c r="A93" s="621">
        <v>87</v>
      </c>
      <c r="B93" s="623" t="s">
        <v>1593</v>
      </c>
      <c r="C93" s="616" t="s">
        <v>3647</v>
      </c>
      <c r="D93" s="623" t="s">
        <v>62</v>
      </c>
      <c r="E93" s="158" t="s">
        <v>34</v>
      </c>
      <c r="F93" s="158">
        <v>4.6619999999999999</v>
      </c>
      <c r="G93" s="616" t="s">
        <v>32</v>
      </c>
      <c r="H93" s="623" t="s">
        <v>33</v>
      </c>
      <c r="I93" s="623" t="s">
        <v>34</v>
      </c>
      <c r="J93" s="623" t="s">
        <v>34</v>
      </c>
      <c r="K93" s="623" t="s">
        <v>34</v>
      </c>
      <c r="L93" s="616"/>
      <c r="M93" s="158">
        <v>0</v>
      </c>
      <c r="N93" s="622" t="s">
        <v>3638</v>
      </c>
      <c r="O93" s="616" t="s">
        <v>3643</v>
      </c>
      <c r="P93" s="615" t="s">
        <v>3644</v>
      </c>
      <c r="Q93" s="623">
        <v>18322298014</v>
      </c>
      <c r="R93" s="616" t="s">
        <v>3645</v>
      </c>
      <c r="S93" s="623" t="s">
        <v>3564</v>
      </c>
      <c r="T93" s="620"/>
    </row>
    <row r="94" spans="1:20" ht="24.95" customHeight="1">
      <c r="A94" s="621">
        <v>88</v>
      </c>
      <c r="B94" s="623" t="s">
        <v>1593</v>
      </c>
      <c r="C94" s="623" t="s">
        <v>3648</v>
      </c>
      <c r="D94" s="623" t="s">
        <v>62</v>
      </c>
      <c r="E94" s="158" t="s">
        <v>34</v>
      </c>
      <c r="F94" s="158">
        <v>256.05</v>
      </c>
      <c r="G94" s="616" t="s">
        <v>32</v>
      </c>
      <c r="H94" s="623" t="s">
        <v>33</v>
      </c>
      <c r="I94" s="623" t="s">
        <v>34</v>
      </c>
      <c r="J94" s="623" t="s">
        <v>34</v>
      </c>
      <c r="K94" s="623" t="s">
        <v>34</v>
      </c>
      <c r="L94" s="616"/>
      <c r="M94" s="158">
        <v>0</v>
      </c>
      <c r="N94" s="622" t="s">
        <v>3638</v>
      </c>
      <c r="O94" s="616" t="s">
        <v>3643</v>
      </c>
      <c r="P94" s="615" t="s">
        <v>3644</v>
      </c>
      <c r="Q94" s="623">
        <v>18322298014</v>
      </c>
      <c r="R94" s="616" t="s">
        <v>3645</v>
      </c>
      <c r="S94" s="623" t="s">
        <v>3564</v>
      </c>
      <c r="T94" s="620"/>
    </row>
    <row r="95" spans="1:20" ht="24.95" customHeight="1">
      <c r="A95" s="621">
        <v>89</v>
      </c>
      <c r="B95" s="623" t="s">
        <v>1593</v>
      </c>
      <c r="C95" s="623" t="s">
        <v>3649</v>
      </c>
      <c r="D95" s="623" t="s">
        <v>62</v>
      </c>
      <c r="E95" s="158" t="s">
        <v>34</v>
      </c>
      <c r="F95" s="158">
        <v>26.19</v>
      </c>
      <c r="G95" s="616" t="s">
        <v>32</v>
      </c>
      <c r="H95" s="623" t="s">
        <v>33</v>
      </c>
      <c r="I95" s="623" t="s">
        <v>34</v>
      </c>
      <c r="J95" s="623" t="s">
        <v>34</v>
      </c>
      <c r="K95" s="623" t="s">
        <v>34</v>
      </c>
      <c r="L95" s="616"/>
      <c r="M95" s="158">
        <v>0</v>
      </c>
      <c r="N95" s="622" t="s">
        <v>3638</v>
      </c>
      <c r="O95" s="616" t="s">
        <v>3643</v>
      </c>
      <c r="P95" s="615" t="s">
        <v>3644</v>
      </c>
      <c r="Q95" s="623">
        <v>15222256701</v>
      </c>
      <c r="R95" s="616" t="s">
        <v>3645</v>
      </c>
      <c r="S95" s="623" t="s">
        <v>3564</v>
      </c>
      <c r="T95" s="620"/>
    </row>
    <row r="96" spans="1:20" ht="24.95" customHeight="1">
      <c r="A96" s="621">
        <v>90</v>
      </c>
      <c r="B96" s="623" t="s">
        <v>1593</v>
      </c>
      <c r="C96" s="623" t="s">
        <v>3650</v>
      </c>
      <c r="D96" s="623" t="s">
        <v>62</v>
      </c>
      <c r="E96" s="158" t="s">
        <v>34</v>
      </c>
      <c r="F96" s="158">
        <v>27.335000000000001</v>
      </c>
      <c r="G96" s="616" t="s">
        <v>32</v>
      </c>
      <c r="H96" s="623" t="s">
        <v>33</v>
      </c>
      <c r="I96" s="623" t="s">
        <v>34</v>
      </c>
      <c r="J96" s="623" t="s">
        <v>34</v>
      </c>
      <c r="K96" s="623" t="s">
        <v>34</v>
      </c>
      <c r="L96" s="616"/>
      <c r="M96" s="158">
        <v>0</v>
      </c>
      <c r="N96" s="622" t="s">
        <v>3638</v>
      </c>
      <c r="O96" s="616" t="s">
        <v>3643</v>
      </c>
      <c r="P96" s="615" t="s">
        <v>3644</v>
      </c>
      <c r="Q96" s="623">
        <v>15222256701</v>
      </c>
      <c r="R96" s="616" t="s">
        <v>3645</v>
      </c>
      <c r="S96" s="623" t="s">
        <v>3564</v>
      </c>
      <c r="T96" s="620"/>
    </row>
    <row r="97" spans="1:20" ht="24.95" customHeight="1">
      <c r="A97" s="621">
        <v>91</v>
      </c>
      <c r="B97" s="623" t="s">
        <v>526</v>
      </c>
      <c r="C97" s="623">
        <v>14</v>
      </c>
      <c r="D97" s="623" t="s">
        <v>62</v>
      </c>
      <c r="E97" s="158"/>
      <c r="F97" s="158">
        <v>86.39</v>
      </c>
      <c r="G97" s="616" t="s">
        <v>32</v>
      </c>
      <c r="H97" s="623" t="s">
        <v>33</v>
      </c>
      <c r="I97" s="623" t="s">
        <v>34</v>
      </c>
      <c r="J97" s="623" t="s">
        <v>34</v>
      </c>
      <c r="K97" s="623" t="s">
        <v>34</v>
      </c>
      <c r="L97" s="616"/>
      <c r="M97" s="158">
        <v>0</v>
      </c>
      <c r="N97" s="622" t="s">
        <v>3651</v>
      </c>
      <c r="O97" s="616" t="s">
        <v>3643</v>
      </c>
      <c r="P97" s="615" t="s">
        <v>3652</v>
      </c>
      <c r="Q97" s="623">
        <v>18519748333</v>
      </c>
      <c r="R97" s="616" t="s">
        <v>3645</v>
      </c>
      <c r="S97" s="623" t="s">
        <v>3564</v>
      </c>
      <c r="T97" s="620"/>
    </row>
    <row r="98" spans="1:20" ht="24.95" customHeight="1">
      <c r="A98" s="621">
        <v>92</v>
      </c>
      <c r="B98" s="623" t="s">
        <v>3653</v>
      </c>
      <c r="C98" s="623" t="s">
        <v>3654</v>
      </c>
      <c r="D98" s="623" t="s">
        <v>62</v>
      </c>
      <c r="E98" s="158"/>
      <c r="F98" s="158">
        <v>18.72</v>
      </c>
      <c r="G98" s="616" t="s">
        <v>32</v>
      </c>
      <c r="H98" s="623" t="s">
        <v>33</v>
      </c>
      <c r="I98" s="623" t="s">
        <v>34</v>
      </c>
      <c r="J98" s="623" t="s">
        <v>34</v>
      </c>
      <c r="K98" s="623" t="s">
        <v>34</v>
      </c>
      <c r="L98" s="616"/>
      <c r="M98" s="158">
        <v>0</v>
      </c>
      <c r="N98" s="622" t="s">
        <v>3651</v>
      </c>
      <c r="O98" s="616" t="s">
        <v>3643</v>
      </c>
      <c r="P98" s="615" t="s">
        <v>3652</v>
      </c>
      <c r="Q98" s="623">
        <v>18519748333</v>
      </c>
      <c r="R98" s="616" t="s">
        <v>3645</v>
      </c>
      <c r="S98" s="623" t="s">
        <v>3564</v>
      </c>
      <c r="T98" s="620"/>
    </row>
    <row r="99" spans="1:20" ht="24.95" customHeight="1">
      <c r="A99" s="621">
        <v>93</v>
      </c>
      <c r="B99" s="623" t="s">
        <v>3655</v>
      </c>
      <c r="C99" s="670">
        <v>0.6</v>
      </c>
      <c r="D99" s="623" t="s">
        <v>62</v>
      </c>
      <c r="E99" s="158"/>
      <c r="F99" s="158">
        <v>45.55</v>
      </c>
      <c r="G99" s="616" t="s">
        <v>32</v>
      </c>
      <c r="H99" s="623" t="s">
        <v>33</v>
      </c>
      <c r="I99" s="623" t="s">
        <v>34</v>
      </c>
      <c r="J99" s="623" t="s">
        <v>34</v>
      </c>
      <c r="K99" s="623" t="s">
        <v>34</v>
      </c>
      <c r="L99" s="616"/>
      <c r="M99" s="158">
        <v>0</v>
      </c>
      <c r="N99" s="622" t="s">
        <v>3651</v>
      </c>
      <c r="O99" s="616" t="s">
        <v>3643</v>
      </c>
      <c r="P99" s="615" t="s">
        <v>3652</v>
      </c>
      <c r="Q99" s="623">
        <v>18519748333</v>
      </c>
      <c r="R99" s="616" t="s">
        <v>3645</v>
      </c>
      <c r="S99" s="623" t="s">
        <v>3564</v>
      </c>
      <c r="T99" s="620"/>
    </row>
    <row r="100" spans="1:20" ht="24.95" customHeight="1">
      <c r="A100" s="621">
        <v>94</v>
      </c>
      <c r="B100" s="623" t="s">
        <v>3656</v>
      </c>
      <c r="C100" s="670">
        <v>0.6</v>
      </c>
      <c r="D100" s="623" t="s">
        <v>62</v>
      </c>
      <c r="E100" s="158"/>
      <c r="F100" s="158">
        <v>40.15</v>
      </c>
      <c r="G100" s="616" t="s">
        <v>32</v>
      </c>
      <c r="H100" s="623" t="s">
        <v>33</v>
      </c>
      <c r="I100" s="623" t="s">
        <v>34</v>
      </c>
      <c r="J100" s="623" t="s">
        <v>34</v>
      </c>
      <c r="K100" s="623" t="s">
        <v>34</v>
      </c>
      <c r="L100" s="616"/>
      <c r="M100" s="158">
        <v>0</v>
      </c>
      <c r="N100" s="622" t="s">
        <v>3651</v>
      </c>
      <c r="O100" s="616" t="s">
        <v>3643</v>
      </c>
      <c r="P100" s="615" t="s">
        <v>3652</v>
      </c>
      <c r="Q100" s="623">
        <v>18519748333</v>
      </c>
      <c r="R100" s="616" t="s">
        <v>3645</v>
      </c>
      <c r="S100" s="623" t="s">
        <v>3564</v>
      </c>
      <c r="T100" s="620"/>
    </row>
    <row r="101" spans="1:20" ht="24.95" customHeight="1">
      <c r="A101" s="621">
        <v>95</v>
      </c>
      <c r="B101" s="623" t="s">
        <v>3657</v>
      </c>
      <c r="C101" s="670">
        <v>0.2</v>
      </c>
      <c r="D101" s="623" t="s">
        <v>62</v>
      </c>
      <c r="E101" s="158"/>
      <c r="F101" s="158">
        <v>3.12</v>
      </c>
      <c r="G101" s="616" t="s">
        <v>32</v>
      </c>
      <c r="H101" s="623" t="s">
        <v>33</v>
      </c>
      <c r="I101" s="623" t="s">
        <v>34</v>
      </c>
      <c r="J101" s="623" t="s">
        <v>34</v>
      </c>
      <c r="K101" s="623" t="s">
        <v>34</v>
      </c>
      <c r="L101" s="616"/>
      <c r="M101" s="158">
        <v>0</v>
      </c>
      <c r="N101" s="622" t="s">
        <v>3651</v>
      </c>
      <c r="O101" s="616" t="s">
        <v>3643</v>
      </c>
      <c r="P101" s="615" t="s">
        <v>3652</v>
      </c>
      <c r="Q101" s="623">
        <v>18519748333</v>
      </c>
      <c r="R101" s="616" t="s">
        <v>3645</v>
      </c>
      <c r="S101" s="623" t="s">
        <v>3564</v>
      </c>
      <c r="T101" s="620"/>
    </row>
    <row r="102" spans="1:20" ht="24.95" customHeight="1">
      <c r="A102" s="621">
        <v>96</v>
      </c>
      <c r="B102" s="623" t="s">
        <v>3658</v>
      </c>
      <c r="C102" s="670" t="s">
        <v>3659</v>
      </c>
      <c r="D102" s="623" t="s">
        <v>62</v>
      </c>
      <c r="E102" s="158"/>
      <c r="F102" s="158">
        <v>11.67</v>
      </c>
      <c r="G102" s="616" t="s">
        <v>32</v>
      </c>
      <c r="H102" s="623" t="s">
        <v>33</v>
      </c>
      <c r="I102" s="623" t="s">
        <v>34</v>
      </c>
      <c r="J102" s="623" t="s">
        <v>34</v>
      </c>
      <c r="K102" s="623" t="s">
        <v>34</v>
      </c>
      <c r="L102" s="616"/>
      <c r="M102" s="158">
        <v>0</v>
      </c>
      <c r="N102" s="622" t="s">
        <v>3651</v>
      </c>
      <c r="O102" s="616" t="s">
        <v>3643</v>
      </c>
      <c r="P102" s="615" t="s">
        <v>3652</v>
      </c>
      <c r="Q102" s="623">
        <v>18519748333</v>
      </c>
      <c r="R102" s="616" t="s">
        <v>3645</v>
      </c>
      <c r="S102" s="623" t="s">
        <v>3564</v>
      </c>
      <c r="T102" s="620"/>
    </row>
    <row r="103" spans="1:20" ht="24.95" customHeight="1">
      <c r="A103" s="621">
        <v>97</v>
      </c>
      <c r="B103" s="623" t="s">
        <v>3660</v>
      </c>
      <c r="C103" s="670" t="s">
        <v>3661</v>
      </c>
      <c r="D103" s="623" t="s">
        <v>62</v>
      </c>
      <c r="E103" s="158"/>
      <c r="F103" s="154">
        <v>102.3</v>
      </c>
      <c r="G103" s="616" t="s">
        <v>32</v>
      </c>
      <c r="H103" s="623" t="s">
        <v>33</v>
      </c>
      <c r="I103" s="623" t="s">
        <v>34</v>
      </c>
      <c r="J103" s="623" t="s">
        <v>34</v>
      </c>
      <c r="K103" s="623" t="s">
        <v>34</v>
      </c>
      <c r="L103" s="616"/>
      <c r="M103" s="158">
        <v>0</v>
      </c>
      <c r="N103" s="622" t="s">
        <v>3651</v>
      </c>
      <c r="O103" s="616" t="s">
        <v>3643</v>
      </c>
      <c r="P103" s="615" t="s">
        <v>3652</v>
      </c>
      <c r="Q103" s="623">
        <v>18519748333</v>
      </c>
      <c r="R103" s="616" t="s">
        <v>3645</v>
      </c>
      <c r="S103" s="623" t="s">
        <v>3564</v>
      </c>
      <c r="T103" s="620"/>
    </row>
    <row r="104" spans="1:20" ht="24.95" customHeight="1">
      <c r="A104" s="621">
        <v>98</v>
      </c>
      <c r="B104" s="623" t="s">
        <v>3662</v>
      </c>
      <c r="C104" s="670" t="s">
        <v>3661</v>
      </c>
      <c r="D104" s="623" t="s">
        <v>62</v>
      </c>
      <c r="E104" s="158"/>
      <c r="F104" s="158">
        <v>108.52</v>
      </c>
      <c r="G104" s="616" t="s">
        <v>32</v>
      </c>
      <c r="H104" s="623" t="s">
        <v>33</v>
      </c>
      <c r="I104" s="623" t="s">
        <v>34</v>
      </c>
      <c r="J104" s="623" t="s">
        <v>34</v>
      </c>
      <c r="K104" s="623" t="s">
        <v>34</v>
      </c>
      <c r="L104" s="616"/>
      <c r="M104" s="158">
        <v>0</v>
      </c>
      <c r="N104" s="622" t="s">
        <v>3651</v>
      </c>
      <c r="O104" s="616" t="s">
        <v>3643</v>
      </c>
      <c r="P104" s="615" t="s">
        <v>3652</v>
      </c>
      <c r="Q104" s="623">
        <v>18519748333</v>
      </c>
      <c r="R104" s="616" t="s">
        <v>3645</v>
      </c>
      <c r="S104" s="623" t="s">
        <v>3564</v>
      </c>
      <c r="T104" s="620"/>
    </row>
    <row r="105" spans="1:20" ht="24.95" customHeight="1">
      <c r="A105" s="621">
        <v>99</v>
      </c>
      <c r="B105" s="623" t="s">
        <v>3662</v>
      </c>
      <c r="C105" s="670" t="s">
        <v>1449</v>
      </c>
      <c r="D105" s="623" t="s">
        <v>62</v>
      </c>
      <c r="E105" s="158"/>
      <c r="F105" s="158">
        <v>229.87</v>
      </c>
      <c r="G105" s="616" t="s">
        <v>32</v>
      </c>
      <c r="H105" s="623" t="s">
        <v>33</v>
      </c>
      <c r="I105" s="623" t="s">
        <v>34</v>
      </c>
      <c r="J105" s="623" t="s">
        <v>34</v>
      </c>
      <c r="K105" s="623" t="s">
        <v>34</v>
      </c>
      <c r="L105" s="616"/>
      <c r="M105" s="158">
        <v>0</v>
      </c>
      <c r="N105" s="622" t="s">
        <v>3651</v>
      </c>
      <c r="O105" s="616" t="s">
        <v>3643</v>
      </c>
      <c r="P105" s="615" t="s">
        <v>3652</v>
      </c>
      <c r="Q105" s="623">
        <v>18519748333</v>
      </c>
      <c r="R105" s="616" t="s">
        <v>3645</v>
      </c>
      <c r="S105" s="623" t="s">
        <v>3564</v>
      </c>
      <c r="T105" s="620"/>
    </row>
    <row r="106" spans="1:20" ht="24.95" customHeight="1">
      <c r="A106" s="621">
        <v>100</v>
      </c>
      <c r="B106" s="623" t="s">
        <v>3662</v>
      </c>
      <c r="C106" s="670" t="s">
        <v>196</v>
      </c>
      <c r="D106" s="623" t="s">
        <v>62</v>
      </c>
      <c r="E106" s="158"/>
      <c r="F106" s="158">
        <v>17.77</v>
      </c>
      <c r="G106" s="616" t="s">
        <v>32</v>
      </c>
      <c r="H106" s="623" t="s">
        <v>33</v>
      </c>
      <c r="I106" s="623" t="s">
        <v>34</v>
      </c>
      <c r="J106" s="623" t="s">
        <v>34</v>
      </c>
      <c r="K106" s="623" t="s">
        <v>34</v>
      </c>
      <c r="L106" s="616"/>
      <c r="M106" s="158">
        <v>0</v>
      </c>
      <c r="N106" s="622" t="s">
        <v>3651</v>
      </c>
      <c r="O106" s="616" t="s">
        <v>3643</v>
      </c>
      <c r="P106" s="615" t="s">
        <v>3652</v>
      </c>
      <c r="Q106" s="623">
        <v>18519748333</v>
      </c>
      <c r="R106" s="616" t="s">
        <v>3645</v>
      </c>
      <c r="S106" s="623" t="s">
        <v>3564</v>
      </c>
      <c r="T106" s="620"/>
    </row>
    <row r="107" spans="1:20" ht="24.95" customHeight="1">
      <c r="A107" s="621">
        <v>101</v>
      </c>
      <c r="B107" s="623" t="s">
        <v>3662</v>
      </c>
      <c r="C107" s="670" t="s">
        <v>3663</v>
      </c>
      <c r="D107" s="623" t="s">
        <v>62</v>
      </c>
      <c r="E107" s="158"/>
      <c r="F107" s="158">
        <v>19.149999999999999</v>
      </c>
      <c r="G107" s="616" t="s">
        <v>32</v>
      </c>
      <c r="H107" s="623" t="s">
        <v>33</v>
      </c>
      <c r="I107" s="623" t="s">
        <v>34</v>
      </c>
      <c r="J107" s="623" t="s">
        <v>34</v>
      </c>
      <c r="K107" s="623" t="s">
        <v>34</v>
      </c>
      <c r="L107" s="616"/>
      <c r="M107" s="158">
        <v>0</v>
      </c>
      <c r="N107" s="622" t="s">
        <v>3651</v>
      </c>
      <c r="O107" s="616" t="s">
        <v>3643</v>
      </c>
      <c r="P107" s="615" t="s">
        <v>3652</v>
      </c>
      <c r="Q107" s="623">
        <v>18519748333</v>
      </c>
      <c r="R107" s="616" t="s">
        <v>3645</v>
      </c>
      <c r="S107" s="623" t="s">
        <v>3564</v>
      </c>
      <c r="T107" s="620"/>
    </row>
    <row r="108" spans="1:20" ht="24.95" customHeight="1">
      <c r="A108" s="621">
        <v>102</v>
      </c>
      <c r="B108" s="623" t="s">
        <v>3662</v>
      </c>
      <c r="C108" s="670" t="s">
        <v>3664</v>
      </c>
      <c r="D108" s="623" t="s">
        <v>62</v>
      </c>
      <c r="E108" s="158"/>
      <c r="F108" s="158">
        <v>8.7100000000000009</v>
      </c>
      <c r="G108" s="616" t="s">
        <v>32</v>
      </c>
      <c r="H108" s="623" t="s">
        <v>33</v>
      </c>
      <c r="I108" s="623" t="s">
        <v>34</v>
      </c>
      <c r="J108" s="623" t="s">
        <v>34</v>
      </c>
      <c r="K108" s="623" t="s">
        <v>34</v>
      </c>
      <c r="L108" s="616"/>
      <c r="M108" s="158">
        <v>0</v>
      </c>
      <c r="N108" s="622" t="s">
        <v>3651</v>
      </c>
      <c r="O108" s="616" t="s">
        <v>3643</v>
      </c>
      <c r="P108" s="615" t="s">
        <v>3652</v>
      </c>
      <c r="Q108" s="623">
        <v>18519748333</v>
      </c>
      <c r="R108" s="616" t="s">
        <v>3645</v>
      </c>
      <c r="S108" s="623" t="s">
        <v>3564</v>
      </c>
      <c r="T108" s="620"/>
    </row>
    <row r="109" spans="1:20" ht="24.95" customHeight="1">
      <c r="A109" s="621">
        <v>103</v>
      </c>
      <c r="B109" s="623" t="s">
        <v>3665</v>
      </c>
      <c r="C109" s="670" t="s">
        <v>3666</v>
      </c>
      <c r="D109" s="623" t="s">
        <v>62</v>
      </c>
      <c r="E109" s="158"/>
      <c r="F109" s="158">
        <v>4.5199999999999996</v>
      </c>
      <c r="G109" s="616" t="s">
        <v>32</v>
      </c>
      <c r="H109" s="623" t="s">
        <v>33</v>
      </c>
      <c r="I109" s="623" t="s">
        <v>34</v>
      </c>
      <c r="J109" s="623" t="s">
        <v>34</v>
      </c>
      <c r="K109" s="623" t="s">
        <v>34</v>
      </c>
      <c r="L109" s="616"/>
      <c r="M109" s="158">
        <v>0</v>
      </c>
      <c r="N109" s="622" t="s">
        <v>3651</v>
      </c>
      <c r="O109" s="616" t="s">
        <v>3643</v>
      </c>
      <c r="P109" s="615" t="s">
        <v>3652</v>
      </c>
      <c r="Q109" s="623">
        <v>18519748333</v>
      </c>
      <c r="R109" s="616" t="s">
        <v>3645</v>
      </c>
      <c r="S109" s="623" t="s">
        <v>3564</v>
      </c>
      <c r="T109" s="620"/>
    </row>
    <row r="110" spans="1:20" ht="24.95" customHeight="1">
      <c r="A110" s="621">
        <v>104</v>
      </c>
      <c r="B110" s="623" t="s">
        <v>3667</v>
      </c>
      <c r="C110" s="670" t="s">
        <v>3668</v>
      </c>
      <c r="D110" s="623" t="s">
        <v>62</v>
      </c>
      <c r="E110" s="158"/>
      <c r="F110" s="158">
        <v>44.86</v>
      </c>
      <c r="G110" s="616" t="s">
        <v>32</v>
      </c>
      <c r="H110" s="623" t="s">
        <v>33</v>
      </c>
      <c r="I110" s="623" t="s">
        <v>34</v>
      </c>
      <c r="J110" s="623" t="s">
        <v>34</v>
      </c>
      <c r="K110" s="623" t="s">
        <v>34</v>
      </c>
      <c r="L110" s="616"/>
      <c r="M110" s="158">
        <v>0</v>
      </c>
      <c r="N110" s="622" t="s">
        <v>3651</v>
      </c>
      <c r="O110" s="616" t="s">
        <v>3643</v>
      </c>
      <c r="P110" s="615" t="s">
        <v>3652</v>
      </c>
      <c r="Q110" s="623">
        <v>18519748333</v>
      </c>
      <c r="R110" s="616" t="s">
        <v>3645</v>
      </c>
      <c r="S110" s="623" t="s">
        <v>3564</v>
      </c>
      <c r="T110" s="620"/>
    </row>
    <row r="111" spans="1:20" ht="24.95" customHeight="1">
      <c r="A111" s="621">
        <v>105</v>
      </c>
      <c r="B111" s="623" t="s">
        <v>3669</v>
      </c>
      <c r="C111" s="670" t="s">
        <v>3510</v>
      </c>
      <c r="D111" s="623" t="s">
        <v>62</v>
      </c>
      <c r="E111" s="158"/>
      <c r="F111" s="158">
        <v>266.52</v>
      </c>
      <c r="G111" s="616" t="s">
        <v>32</v>
      </c>
      <c r="H111" s="623" t="s">
        <v>33</v>
      </c>
      <c r="I111" s="623" t="s">
        <v>34</v>
      </c>
      <c r="J111" s="623" t="s">
        <v>34</v>
      </c>
      <c r="K111" s="623" t="s">
        <v>34</v>
      </c>
      <c r="L111" s="616"/>
      <c r="M111" s="158">
        <v>0</v>
      </c>
      <c r="N111" s="622" t="s">
        <v>3651</v>
      </c>
      <c r="O111" s="616" t="s">
        <v>3643</v>
      </c>
      <c r="P111" s="615" t="s">
        <v>3652</v>
      </c>
      <c r="Q111" s="623">
        <v>18519748333</v>
      </c>
      <c r="R111" s="616" t="s">
        <v>3645</v>
      </c>
      <c r="S111" s="623" t="s">
        <v>3564</v>
      </c>
      <c r="T111" s="620"/>
    </row>
    <row r="112" spans="1:20" ht="24.95" customHeight="1">
      <c r="A112" s="621">
        <v>106</v>
      </c>
      <c r="B112" s="623" t="s">
        <v>3669</v>
      </c>
      <c r="C112" s="623" t="s">
        <v>3670</v>
      </c>
      <c r="D112" s="623" t="s">
        <v>62</v>
      </c>
      <c r="E112" s="158"/>
      <c r="F112" s="158">
        <v>112.99</v>
      </c>
      <c r="G112" s="616" t="s">
        <v>32</v>
      </c>
      <c r="H112" s="623" t="s">
        <v>33</v>
      </c>
      <c r="I112" s="623" t="s">
        <v>34</v>
      </c>
      <c r="J112" s="623" t="s">
        <v>34</v>
      </c>
      <c r="K112" s="623" t="s">
        <v>34</v>
      </c>
      <c r="L112" s="616"/>
      <c r="M112" s="158">
        <v>0</v>
      </c>
      <c r="N112" s="622" t="s">
        <v>3651</v>
      </c>
      <c r="O112" s="616" t="s">
        <v>3643</v>
      </c>
      <c r="P112" s="615" t="s">
        <v>3652</v>
      </c>
      <c r="Q112" s="623">
        <v>18519748333</v>
      </c>
      <c r="R112" s="616" t="s">
        <v>3645</v>
      </c>
      <c r="S112" s="623" t="s">
        <v>3564</v>
      </c>
      <c r="T112" s="620"/>
    </row>
    <row r="113" spans="1:20" ht="24.95" customHeight="1">
      <c r="A113" s="621">
        <v>107</v>
      </c>
      <c r="B113" s="623" t="s">
        <v>3669</v>
      </c>
      <c r="C113" s="623" t="s">
        <v>3671</v>
      </c>
      <c r="D113" s="623" t="s">
        <v>62</v>
      </c>
      <c r="E113" s="158"/>
      <c r="F113" s="158">
        <v>134.36000000000001</v>
      </c>
      <c r="G113" s="616" t="s">
        <v>32</v>
      </c>
      <c r="H113" s="623" t="s">
        <v>33</v>
      </c>
      <c r="I113" s="623" t="s">
        <v>34</v>
      </c>
      <c r="J113" s="623" t="s">
        <v>34</v>
      </c>
      <c r="K113" s="623" t="s">
        <v>34</v>
      </c>
      <c r="L113" s="616"/>
      <c r="M113" s="158">
        <v>0</v>
      </c>
      <c r="N113" s="622" t="s">
        <v>3651</v>
      </c>
      <c r="O113" s="616" t="s">
        <v>3643</v>
      </c>
      <c r="P113" s="615" t="s">
        <v>3652</v>
      </c>
      <c r="Q113" s="623">
        <v>18519748333</v>
      </c>
      <c r="R113" s="616" t="s">
        <v>3645</v>
      </c>
      <c r="S113" s="623" t="s">
        <v>3564</v>
      </c>
      <c r="T113" s="620"/>
    </row>
    <row r="114" spans="1:20" ht="24.95" customHeight="1">
      <c r="A114" s="621">
        <v>108</v>
      </c>
      <c r="B114" s="623" t="s">
        <v>3672</v>
      </c>
      <c r="C114" s="623" t="s">
        <v>3673</v>
      </c>
      <c r="D114" s="623" t="s">
        <v>62</v>
      </c>
      <c r="E114" s="158"/>
      <c r="F114" s="158">
        <v>138.11000000000001</v>
      </c>
      <c r="G114" s="616" t="s">
        <v>32</v>
      </c>
      <c r="H114" s="623" t="s">
        <v>33</v>
      </c>
      <c r="I114" s="623" t="s">
        <v>34</v>
      </c>
      <c r="J114" s="623" t="s">
        <v>34</v>
      </c>
      <c r="K114" s="623" t="s">
        <v>34</v>
      </c>
      <c r="L114" s="616"/>
      <c r="M114" s="158">
        <v>0</v>
      </c>
      <c r="N114" s="622" t="s">
        <v>3651</v>
      </c>
      <c r="O114" s="616" t="s">
        <v>3643</v>
      </c>
      <c r="P114" s="615" t="s">
        <v>3652</v>
      </c>
      <c r="Q114" s="623">
        <v>18519748333</v>
      </c>
      <c r="R114" s="616" t="s">
        <v>3645</v>
      </c>
      <c r="S114" s="623" t="s">
        <v>3564</v>
      </c>
      <c r="T114" s="620"/>
    </row>
    <row r="115" spans="1:20" ht="24.95" customHeight="1">
      <c r="A115" s="621">
        <v>109</v>
      </c>
      <c r="B115" s="623" t="s">
        <v>3672</v>
      </c>
      <c r="C115" s="623" t="s">
        <v>3674</v>
      </c>
      <c r="D115" s="623" t="s">
        <v>62</v>
      </c>
      <c r="E115" s="158"/>
      <c r="F115" s="158">
        <v>63.14</v>
      </c>
      <c r="G115" s="616" t="s">
        <v>32</v>
      </c>
      <c r="H115" s="623" t="s">
        <v>33</v>
      </c>
      <c r="I115" s="623" t="s">
        <v>34</v>
      </c>
      <c r="J115" s="623" t="s">
        <v>34</v>
      </c>
      <c r="K115" s="623" t="s">
        <v>34</v>
      </c>
      <c r="L115" s="616"/>
      <c r="M115" s="158">
        <v>0</v>
      </c>
      <c r="N115" s="622" t="s">
        <v>3651</v>
      </c>
      <c r="O115" s="616" t="s">
        <v>3643</v>
      </c>
      <c r="P115" s="615" t="s">
        <v>3652</v>
      </c>
      <c r="Q115" s="623">
        <v>18519748333</v>
      </c>
      <c r="R115" s="616" t="s">
        <v>3645</v>
      </c>
      <c r="S115" s="623" t="s">
        <v>3564</v>
      </c>
      <c r="T115" s="620"/>
    </row>
    <row r="116" spans="1:20" ht="24.95" customHeight="1">
      <c r="A116" s="621">
        <v>110</v>
      </c>
      <c r="B116" s="623" t="s">
        <v>3672</v>
      </c>
      <c r="C116" s="623" t="s">
        <v>3675</v>
      </c>
      <c r="D116" s="623" t="s">
        <v>62</v>
      </c>
      <c r="E116" s="158"/>
      <c r="F116" s="158">
        <v>120.06</v>
      </c>
      <c r="G116" s="616" t="s">
        <v>32</v>
      </c>
      <c r="H116" s="623" t="s">
        <v>33</v>
      </c>
      <c r="I116" s="623" t="s">
        <v>34</v>
      </c>
      <c r="J116" s="623" t="s">
        <v>34</v>
      </c>
      <c r="K116" s="623" t="s">
        <v>34</v>
      </c>
      <c r="L116" s="616"/>
      <c r="M116" s="158">
        <v>0</v>
      </c>
      <c r="N116" s="622" t="s">
        <v>3651</v>
      </c>
      <c r="O116" s="616" t="s">
        <v>3643</v>
      </c>
      <c r="P116" s="615" t="s">
        <v>3652</v>
      </c>
      <c r="Q116" s="623">
        <v>18519748333</v>
      </c>
      <c r="R116" s="616" t="s">
        <v>3645</v>
      </c>
      <c r="S116" s="623" t="s">
        <v>3564</v>
      </c>
      <c r="T116" s="620"/>
    </row>
    <row r="117" spans="1:20" ht="24.95" customHeight="1">
      <c r="A117" s="621">
        <v>111</v>
      </c>
      <c r="B117" s="623" t="s">
        <v>3676</v>
      </c>
      <c r="C117" s="623">
        <v>14</v>
      </c>
      <c r="D117" s="623" t="s">
        <v>62</v>
      </c>
      <c r="E117" s="158"/>
      <c r="F117" s="671">
        <v>8.4</v>
      </c>
      <c r="G117" s="616" t="s">
        <v>32</v>
      </c>
      <c r="H117" s="623" t="s">
        <v>33</v>
      </c>
      <c r="I117" s="623" t="s">
        <v>34</v>
      </c>
      <c r="J117" s="623" t="s">
        <v>34</v>
      </c>
      <c r="K117" s="623" t="s">
        <v>34</v>
      </c>
      <c r="L117" s="616"/>
      <c r="M117" s="158">
        <v>0</v>
      </c>
      <c r="N117" s="622" t="s">
        <v>3651</v>
      </c>
      <c r="O117" s="616" t="s">
        <v>3643</v>
      </c>
      <c r="P117" s="615" t="s">
        <v>3652</v>
      </c>
      <c r="Q117" s="623">
        <v>18519748333</v>
      </c>
      <c r="R117" s="616" t="s">
        <v>3645</v>
      </c>
      <c r="S117" s="623" t="s">
        <v>3564</v>
      </c>
      <c r="T117" s="620"/>
    </row>
    <row r="118" spans="1:20" s="630" customFormat="1" ht="24.95" customHeight="1">
      <c r="A118" s="621">
        <v>112</v>
      </c>
      <c r="B118" s="655" t="s">
        <v>353</v>
      </c>
      <c r="C118" s="656" t="s">
        <v>3677</v>
      </c>
      <c r="D118" s="655" t="s">
        <v>62</v>
      </c>
      <c r="E118" s="643" t="s">
        <v>34</v>
      </c>
      <c r="F118" s="655">
        <v>31</v>
      </c>
      <c r="G118" s="651" t="s">
        <v>32</v>
      </c>
      <c r="H118" s="651" t="s">
        <v>33</v>
      </c>
      <c r="I118" s="651" t="s">
        <v>34</v>
      </c>
      <c r="J118" s="651" t="s">
        <v>34</v>
      </c>
      <c r="K118" s="651" t="s">
        <v>34</v>
      </c>
      <c r="L118" s="672">
        <f>178318.58*1.13</f>
        <v>201499.99539999996</v>
      </c>
      <c r="M118" s="672">
        <f>L118*0.55</f>
        <v>110824.99746999999</v>
      </c>
      <c r="N118" s="673">
        <v>2020.1</v>
      </c>
      <c r="O118" s="651" t="s">
        <v>3626</v>
      </c>
      <c r="P118" s="651" t="s">
        <v>3627</v>
      </c>
      <c r="Q118" s="651">
        <v>18522251337</v>
      </c>
      <c r="R118" s="651" t="s">
        <v>3628</v>
      </c>
      <c r="S118" s="651" t="s">
        <v>3564</v>
      </c>
      <c r="T118" s="642"/>
    </row>
    <row r="119" spans="1:20" s="630" customFormat="1" ht="24.95" customHeight="1">
      <c r="A119" s="621">
        <v>113</v>
      </c>
      <c r="B119" s="655" t="s">
        <v>353</v>
      </c>
      <c r="C119" s="656" t="s">
        <v>3678</v>
      </c>
      <c r="D119" s="655" t="s">
        <v>62</v>
      </c>
      <c r="E119" s="643" t="s">
        <v>34</v>
      </c>
      <c r="F119" s="655">
        <v>12</v>
      </c>
      <c r="G119" s="651" t="s">
        <v>32</v>
      </c>
      <c r="H119" s="651" t="s">
        <v>33</v>
      </c>
      <c r="I119" s="651" t="s">
        <v>34</v>
      </c>
      <c r="J119" s="651" t="s">
        <v>34</v>
      </c>
      <c r="K119" s="651" t="s">
        <v>34</v>
      </c>
      <c r="L119" s="672">
        <f>69026.55*1.13</f>
        <v>78000.001499999998</v>
      </c>
      <c r="M119" s="672">
        <f>L119*0.55</f>
        <v>42900.000825000003</v>
      </c>
      <c r="N119" s="673">
        <v>2021.1</v>
      </c>
      <c r="O119" s="651" t="s">
        <v>3626</v>
      </c>
      <c r="P119" s="651" t="s">
        <v>3627</v>
      </c>
      <c r="Q119" s="651">
        <v>18522251338</v>
      </c>
      <c r="R119" s="651" t="s">
        <v>3628</v>
      </c>
      <c r="S119" s="651" t="s">
        <v>3564</v>
      </c>
      <c r="T119" s="642"/>
    </row>
    <row r="120" spans="1:20" s="630" customFormat="1" ht="24.95" customHeight="1">
      <c r="A120" s="621">
        <v>114</v>
      </c>
      <c r="B120" s="655" t="s">
        <v>353</v>
      </c>
      <c r="C120" s="656" t="s">
        <v>3679</v>
      </c>
      <c r="D120" s="655" t="s">
        <v>62</v>
      </c>
      <c r="E120" s="643" t="s">
        <v>34</v>
      </c>
      <c r="F120" s="655">
        <v>120</v>
      </c>
      <c r="G120" s="651" t="s">
        <v>32</v>
      </c>
      <c r="H120" s="651" t="s">
        <v>33</v>
      </c>
      <c r="I120" s="651" t="s">
        <v>34</v>
      </c>
      <c r="J120" s="651" t="s">
        <v>34</v>
      </c>
      <c r="K120" s="651" t="s">
        <v>34</v>
      </c>
      <c r="L120" s="672">
        <f>1001327.43*1.13</f>
        <v>1131499.9959</v>
      </c>
      <c r="M120" s="672">
        <f>L120*0.55</f>
        <v>622324.99774500006</v>
      </c>
      <c r="N120" s="673">
        <v>2022.1</v>
      </c>
      <c r="O120" s="651" t="s">
        <v>3626</v>
      </c>
      <c r="P120" s="651" t="s">
        <v>3627</v>
      </c>
      <c r="Q120" s="651">
        <v>18522251339</v>
      </c>
      <c r="R120" s="651" t="s">
        <v>3628</v>
      </c>
      <c r="S120" s="651" t="s">
        <v>3564</v>
      </c>
      <c r="T120" s="642"/>
    </row>
    <row r="121" spans="1:20" ht="24.95" customHeight="1">
      <c r="A121" s="621">
        <v>115</v>
      </c>
      <c r="B121" s="623" t="s">
        <v>3680</v>
      </c>
      <c r="C121" s="623"/>
      <c r="D121" s="623" t="s">
        <v>62</v>
      </c>
      <c r="E121" s="158" t="s">
        <v>34</v>
      </c>
      <c r="F121" s="158">
        <v>1642</v>
      </c>
      <c r="G121" s="623" t="s">
        <v>3560</v>
      </c>
      <c r="H121" s="623" t="s">
        <v>33</v>
      </c>
      <c r="I121" s="623" t="s">
        <v>34</v>
      </c>
      <c r="J121" s="623" t="s">
        <v>34</v>
      </c>
      <c r="K121" s="623" t="s">
        <v>34</v>
      </c>
      <c r="L121" s="624"/>
      <c r="M121" s="158">
        <v>448819</v>
      </c>
      <c r="N121" s="622">
        <v>42489</v>
      </c>
      <c r="O121" s="623" t="s">
        <v>3574</v>
      </c>
      <c r="P121" s="623" t="s">
        <v>3575</v>
      </c>
      <c r="Q121" s="623">
        <v>18788803170</v>
      </c>
      <c r="R121" s="632" t="s">
        <v>3576</v>
      </c>
      <c r="S121" s="623" t="s">
        <v>3564</v>
      </c>
      <c r="T121" s="620"/>
    </row>
    <row r="122" spans="1:20" ht="24.95" customHeight="1">
      <c r="A122" s="621">
        <v>116</v>
      </c>
      <c r="B122" s="623" t="s">
        <v>3681</v>
      </c>
      <c r="C122" s="623"/>
      <c r="D122" s="623" t="s">
        <v>62</v>
      </c>
      <c r="E122" s="158">
        <v>143.12</v>
      </c>
      <c r="F122" s="158" t="s">
        <v>34</v>
      </c>
      <c r="G122" s="623" t="s">
        <v>3560</v>
      </c>
      <c r="H122" s="623" t="s">
        <v>33</v>
      </c>
      <c r="I122" s="623" t="s">
        <v>34</v>
      </c>
      <c r="J122" s="623" t="s">
        <v>34</v>
      </c>
      <c r="K122" s="623" t="s">
        <v>34</v>
      </c>
      <c r="L122" s="624"/>
      <c r="M122" s="158">
        <v>45989.45</v>
      </c>
      <c r="N122" s="622">
        <v>42600</v>
      </c>
      <c r="O122" s="623" t="s">
        <v>3574</v>
      </c>
      <c r="P122" s="623" t="s">
        <v>3575</v>
      </c>
      <c r="Q122" s="623">
        <v>18788803170</v>
      </c>
      <c r="R122" s="632" t="s">
        <v>3576</v>
      </c>
      <c r="S122" s="623" t="s">
        <v>3564</v>
      </c>
      <c r="T122" s="624"/>
    </row>
    <row r="123" spans="1:20" s="677" customFormat="1" ht="24.95" customHeight="1">
      <c r="A123" s="621">
        <v>117</v>
      </c>
      <c r="B123" s="674" t="s">
        <v>29</v>
      </c>
      <c r="C123" s="674"/>
      <c r="D123" s="675" t="s">
        <v>62</v>
      </c>
      <c r="E123" s="676"/>
      <c r="F123" s="676">
        <v>1016.83</v>
      </c>
      <c r="G123" s="623" t="s">
        <v>3560</v>
      </c>
      <c r="H123" s="674" t="s">
        <v>33</v>
      </c>
      <c r="I123" s="675" t="s">
        <v>34</v>
      </c>
      <c r="J123" s="674" t="s">
        <v>34</v>
      </c>
      <c r="K123" s="674" t="s">
        <v>34</v>
      </c>
      <c r="L123" s="644">
        <v>5932451.4500000002</v>
      </c>
      <c r="M123" s="242">
        <v>4722825.28</v>
      </c>
      <c r="N123" s="622" t="s">
        <v>3682</v>
      </c>
      <c r="O123" s="102" t="s">
        <v>3683</v>
      </c>
      <c r="P123" s="675" t="s">
        <v>3684</v>
      </c>
      <c r="Q123" s="623">
        <v>18649012127</v>
      </c>
      <c r="R123" s="674" t="s">
        <v>3685</v>
      </c>
      <c r="S123" s="659" t="s">
        <v>3564</v>
      </c>
      <c r="T123" s="659"/>
    </row>
    <row r="124" spans="1:20" s="677" customFormat="1" ht="24.95" customHeight="1">
      <c r="A124" s="621">
        <v>118</v>
      </c>
      <c r="B124" s="674" t="s">
        <v>29</v>
      </c>
      <c r="C124" s="674"/>
      <c r="D124" s="675" t="s">
        <v>62</v>
      </c>
      <c r="E124" s="676"/>
      <c r="F124" s="676">
        <v>38.01</v>
      </c>
      <c r="G124" s="623" t="s">
        <v>3560</v>
      </c>
      <c r="H124" s="674" t="s">
        <v>33</v>
      </c>
      <c r="I124" s="675" t="s">
        <v>34</v>
      </c>
      <c r="J124" s="674" t="s">
        <v>34</v>
      </c>
      <c r="K124" s="674" t="s">
        <v>34</v>
      </c>
      <c r="L124" s="674">
        <v>222358.5</v>
      </c>
      <c r="M124" s="141">
        <v>222358.5</v>
      </c>
      <c r="N124" s="622" t="s">
        <v>3686</v>
      </c>
      <c r="O124" s="102" t="s">
        <v>3683</v>
      </c>
      <c r="P124" s="675" t="s">
        <v>3684</v>
      </c>
      <c r="Q124" s="623">
        <v>18649012127</v>
      </c>
      <c r="R124" s="674" t="s">
        <v>3685</v>
      </c>
      <c r="S124" s="659" t="s">
        <v>3564</v>
      </c>
      <c r="T124" s="659"/>
    </row>
    <row r="125" spans="1:20" s="677" customFormat="1" ht="24.95" customHeight="1">
      <c r="A125" s="621">
        <v>119</v>
      </c>
      <c r="B125" s="674" t="s">
        <v>29</v>
      </c>
      <c r="C125" s="674"/>
      <c r="D125" s="675" t="s">
        <v>62</v>
      </c>
      <c r="E125" s="676"/>
      <c r="F125" s="676">
        <v>34.5</v>
      </c>
      <c r="G125" s="623" t="s">
        <v>3560</v>
      </c>
      <c r="H125" s="674" t="s">
        <v>33</v>
      </c>
      <c r="I125" s="675" t="s">
        <v>34</v>
      </c>
      <c r="J125" s="674" t="s">
        <v>34</v>
      </c>
      <c r="K125" s="674" t="s">
        <v>34</v>
      </c>
      <c r="L125" s="674">
        <v>201825</v>
      </c>
      <c r="M125" s="141">
        <v>201825</v>
      </c>
      <c r="N125" s="622" t="s">
        <v>3687</v>
      </c>
      <c r="O125" s="102" t="s">
        <v>3683</v>
      </c>
      <c r="P125" s="675" t="s">
        <v>3684</v>
      </c>
      <c r="Q125" s="623">
        <v>18649012127</v>
      </c>
      <c r="R125" s="674" t="s">
        <v>3685</v>
      </c>
      <c r="S125" s="659" t="s">
        <v>3564</v>
      </c>
      <c r="T125" s="659"/>
    </row>
    <row r="126" spans="1:20" s="677" customFormat="1" ht="24.95" customHeight="1">
      <c r="A126" s="621">
        <v>120</v>
      </c>
      <c r="B126" s="674" t="s">
        <v>29</v>
      </c>
      <c r="C126" s="674"/>
      <c r="D126" s="675" t="s">
        <v>62</v>
      </c>
      <c r="E126" s="676"/>
      <c r="F126" s="676">
        <v>12.7</v>
      </c>
      <c r="G126" s="623" t="s">
        <v>3560</v>
      </c>
      <c r="H126" s="674" t="s">
        <v>33</v>
      </c>
      <c r="I126" s="675" t="s">
        <v>34</v>
      </c>
      <c r="J126" s="674" t="s">
        <v>34</v>
      </c>
      <c r="K126" s="674" t="s">
        <v>34</v>
      </c>
      <c r="L126" s="674">
        <v>74290</v>
      </c>
      <c r="M126" s="141">
        <v>74290</v>
      </c>
      <c r="N126" s="622" t="s">
        <v>3140</v>
      </c>
      <c r="O126" s="102" t="s">
        <v>3683</v>
      </c>
      <c r="P126" s="675" t="s">
        <v>3684</v>
      </c>
      <c r="Q126" s="623">
        <v>18649012127</v>
      </c>
      <c r="R126" s="674" t="s">
        <v>3685</v>
      </c>
      <c r="S126" s="659" t="s">
        <v>3564</v>
      </c>
      <c r="T126" s="659"/>
    </row>
    <row r="127" spans="1:20" s="677" customFormat="1" ht="24.95" customHeight="1">
      <c r="A127" s="621">
        <v>121</v>
      </c>
      <c r="B127" s="674" t="s">
        <v>3688</v>
      </c>
      <c r="C127" s="674"/>
      <c r="D127" s="675" t="s">
        <v>79</v>
      </c>
      <c r="E127" s="676">
        <v>10</v>
      </c>
      <c r="F127" s="676">
        <v>168</v>
      </c>
      <c r="G127" s="674" t="s">
        <v>3560</v>
      </c>
      <c r="H127" s="623" t="s">
        <v>41</v>
      </c>
      <c r="I127" s="675"/>
      <c r="J127" s="674"/>
      <c r="K127" s="674"/>
      <c r="L127" s="678">
        <v>2796460.12</v>
      </c>
      <c r="M127" s="242">
        <v>1677876.07</v>
      </c>
      <c r="N127" s="622" t="s">
        <v>3689</v>
      </c>
      <c r="O127" s="674" t="s">
        <v>3690</v>
      </c>
      <c r="P127" s="675" t="s">
        <v>3691</v>
      </c>
      <c r="Q127" s="679">
        <v>18394477200</v>
      </c>
      <c r="R127" s="674" t="s">
        <v>3692</v>
      </c>
      <c r="S127" s="659" t="s">
        <v>3564</v>
      </c>
      <c r="T127" s="659"/>
    </row>
    <row r="128" spans="1:20" s="677" customFormat="1" ht="24.95" customHeight="1">
      <c r="A128" s="621">
        <v>122</v>
      </c>
      <c r="B128" s="680" t="s">
        <v>29</v>
      </c>
      <c r="C128" s="674"/>
      <c r="D128" s="623" t="s">
        <v>62</v>
      </c>
      <c r="E128" s="676"/>
      <c r="F128" s="681">
        <v>220</v>
      </c>
      <c r="G128" s="623" t="s">
        <v>32</v>
      </c>
      <c r="H128" s="623" t="s">
        <v>41</v>
      </c>
      <c r="I128" s="675"/>
      <c r="J128" s="674"/>
      <c r="K128" s="674"/>
      <c r="L128" s="643">
        <v>1359759.64</v>
      </c>
      <c r="M128" s="242">
        <v>815855.78</v>
      </c>
      <c r="N128" s="622" t="s">
        <v>3689</v>
      </c>
      <c r="O128" s="674" t="s">
        <v>3690</v>
      </c>
      <c r="P128" s="675" t="s">
        <v>3691</v>
      </c>
      <c r="Q128" s="679">
        <v>18394477200</v>
      </c>
      <c r="R128" s="674" t="s">
        <v>3692</v>
      </c>
      <c r="S128" s="659" t="s">
        <v>3564</v>
      </c>
      <c r="T128" s="659"/>
    </row>
    <row r="129" spans="1:20" s="677" customFormat="1" ht="24.95" customHeight="1">
      <c r="A129" s="621">
        <v>123</v>
      </c>
      <c r="B129" s="680" t="s">
        <v>29</v>
      </c>
      <c r="C129" s="674"/>
      <c r="D129" s="623" t="s">
        <v>62</v>
      </c>
      <c r="E129" s="676"/>
      <c r="F129" s="681">
        <v>66.150000000000006</v>
      </c>
      <c r="G129" s="623" t="s">
        <v>32</v>
      </c>
      <c r="H129" s="623" t="s">
        <v>41</v>
      </c>
      <c r="I129" s="675"/>
      <c r="J129" s="674"/>
      <c r="K129" s="674"/>
      <c r="L129" s="643">
        <v>421991.38</v>
      </c>
      <c r="M129" s="242">
        <v>168796.55</v>
      </c>
      <c r="N129" s="622" t="s">
        <v>3693</v>
      </c>
      <c r="O129" s="674" t="s">
        <v>3690</v>
      </c>
      <c r="P129" s="675" t="s">
        <v>3691</v>
      </c>
      <c r="Q129" s="679">
        <v>18394477200</v>
      </c>
      <c r="R129" s="674" t="s">
        <v>3692</v>
      </c>
      <c r="S129" s="659" t="s">
        <v>3564</v>
      </c>
      <c r="T129" s="659"/>
    </row>
    <row r="130" spans="1:20" s="677" customFormat="1" ht="24.95" customHeight="1">
      <c r="A130" s="621">
        <v>124</v>
      </c>
      <c r="B130" s="680" t="s">
        <v>29</v>
      </c>
      <c r="C130" s="674"/>
      <c r="D130" s="623" t="s">
        <v>62</v>
      </c>
      <c r="E130" s="676"/>
      <c r="F130" s="681">
        <v>68.69</v>
      </c>
      <c r="G130" s="623" t="s">
        <v>32</v>
      </c>
      <c r="H130" s="623" t="s">
        <v>41</v>
      </c>
      <c r="I130" s="675"/>
      <c r="J130" s="674"/>
      <c r="K130" s="674"/>
      <c r="L130" s="643">
        <v>438194.83</v>
      </c>
      <c r="M130" s="242">
        <v>219097.42</v>
      </c>
      <c r="N130" s="622" t="s">
        <v>3689</v>
      </c>
      <c r="O130" s="674" t="s">
        <v>3690</v>
      </c>
      <c r="P130" s="675" t="s">
        <v>3691</v>
      </c>
      <c r="Q130" s="679">
        <v>18394477200</v>
      </c>
      <c r="R130" s="674" t="s">
        <v>3692</v>
      </c>
      <c r="S130" s="659" t="s">
        <v>3564</v>
      </c>
      <c r="T130" s="659"/>
    </row>
    <row r="131" spans="1:20" s="677" customFormat="1" ht="24.95" customHeight="1">
      <c r="A131" s="621">
        <v>125</v>
      </c>
      <c r="B131" s="680" t="s">
        <v>29</v>
      </c>
      <c r="C131" s="674"/>
      <c r="D131" s="623" t="s">
        <v>62</v>
      </c>
      <c r="E131" s="676"/>
      <c r="F131" s="681">
        <v>117</v>
      </c>
      <c r="G131" s="623" t="s">
        <v>32</v>
      </c>
      <c r="H131" s="623" t="s">
        <v>41</v>
      </c>
      <c r="I131" s="675"/>
      <c r="J131" s="674"/>
      <c r="K131" s="674"/>
      <c r="L131" s="643">
        <v>690905.18</v>
      </c>
      <c r="M131" s="242">
        <v>345452.59</v>
      </c>
      <c r="N131" s="622" t="s">
        <v>3689</v>
      </c>
      <c r="O131" s="674" t="s">
        <v>3690</v>
      </c>
      <c r="P131" s="675" t="s">
        <v>3691</v>
      </c>
      <c r="Q131" s="679">
        <v>18394477200</v>
      </c>
      <c r="R131" s="674" t="s">
        <v>3692</v>
      </c>
      <c r="S131" s="659" t="s">
        <v>3564</v>
      </c>
      <c r="T131" s="659"/>
    </row>
    <row r="132" spans="1:20" s="677" customFormat="1" ht="24.95" customHeight="1">
      <c r="A132" s="621">
        <v>126</v>
      </c>
      <c r="B132" s="643" t="s">
        <v>164</v>
      </c>
      <c r="C132" s="643" t="s">
        <v>3694</v>
      </c>
      <c r="D132" s="623" t="s">
        <v>62</v>
      </c>
      <c r="E132" s="676"/>
      <c r="F132" s="682">
        <v>46.87</v>
      </c>
      <c r="G132" s="623" t="s">
        <v>3560</v>
      </c>
      <c r="H132" s="623" t="s">
        <v>41</v>
      </c>
      <c r="I132" s="675"/>
      <c r="J132" s="674"/>
      <c r="K132" s="674"/>
      <c r="L132" s="643">
        <v>290345.13</v>
      </c>
      <c r="M132" s="242">
        <v>203241.59</v>
      </c>
      <c r="N132" s="622" t="s">
        <v>3689</v>
      </c>
      <c r="O132" s="674" t="s">
        <v>3690</v>
      </c>
      <c r="P132" s="675" t="s">
        <v>3691</v>
      </c>
      <c r="Q132" s="679">
        <v>18394477201</v>
      </c>
      <c r="R132" s="674" t="s">
        <v>3692</v>
      </c>
      <c r="S132" s="659" t="s">
        <v>3564</v>
      </c>
      <c r="T132" s="659"/>
    </row>
    <row r="133" spans="1:20" s="677" customFormat="1" ht="24.95" customHeight="1">
      <c r="A133" s="621">
        <v>127</v>
      </c>
      <c r="B133" s="643" t="s">
        <v>164</v>
      </c>
      <c r="C133" s="683"/>
      <c r="D133" s="623" t="s">
        <v>62</v>
      </c>
      <c r="E133" s="676"/>
      <c r="F133" s="682">
        <v>71.428571000000005</v>
      </c>
      <c r="G133" s="623" t="s">
        <v>3560</v>
      </c>
      <c r="H133" s="623" t="s">
        <v>41</v>
      </c>
      <c r="I133" s="675"/>
      <c r="J133" s="674"/>
      <c r="K133" s="674"/>
      <c r="L133" s="643">
        <v>442477.88</v>
      </c>
      <c r="M133" s="242">
        <v>309734.52</v>
      </c>
      <c r="N133" s="622" t="s">
        <v>3689</v>
      </c>
      <c r="O133" s="674" t="s">
        <v>3690</v>
      </c>
      <c r="P133" s="675" t="s">
        <v>3691</v>
      </c>
      <c r="Q133" s="679">
        <v>18394477202</v>
      </c>
      <c r="R133" s="674" t="s">
        <v>3692</v>
      </c>
      <c r="S133" s="659" t="s">
        <v>3564</v>
      </c>
      <c r="T133" s="659"/>
    </row>
    <row r="134" spans="1:20" s="677" customFormat="1" ht="24.95" customHeight="1">
      <c r="A134" s="621">
        <v>128</v>
      </c>
      <c r="B134" s="643" t="s">
        <v>164</v>
      </c>
      <c r="C134" s="683"/>
      <c r="D134" s="623" t="s">
        <v>62</v>
      </c>
      <c r="E134" s="676"/>
      <c r="F134" s="682">
        <v>28.571428999999998</v>
      </c>
      <c r="G134" s="623" t="s">
        <v>3560</v>
      </c>
      <c r="H134" s="623" t="s">
        <v>41</v>
      </c>
      <c r="I134" s="675"/>
      <c r="J134" s="674"/>
      <c r="K134" s="674"/>
      <c r="L134" s="643">
        <v>176991.15</v>
      </c>
      <c r="M134" s="242">
        <v>123893.81</v>
      </c>
      <c r="N134" s="622" t="s">
        <v>3689</v>
      </c>
      <c r="O134" s="674" t="s">
        <v>3690</v>
      </c>
      <c r="P134" s="675" t="s">
        <v>3691</v>
      </c>
      <c r="Q134" s="679">
        <v>18394477203</v>
      </c>
      <c r="R134" s="674" t="s">
        <v>3692</v>
      </c>
      <c r="S134" s="659" t="s">
        <v>3564</v>
      </c>
      <c r="T134" s="659"/>
    </row>
    <row r="135" spans="1:20" s="677" customFormat="1" ht="24.95" customHeight="1">
      <c r="A135" s="621">
        <v>129</v>
      </c>
      <c r="B135" s="643" t="s">
        <v>29</v>
      </c>
      <c r="C135" s="683"/>
      <c r="D135" s="623" t="s">
        <v>62</v>
      </c>
      <c r="E135" s="676"/>
      <c r="F135" s="682">
        <v>106.76424</v>
      </c>
      <c r="G135" s="623" t="s">
        <v>3560</v>
      </c>
      <c r="H135" s="623" t="s">
        <v>41</v>
      </c>
      <c r="I135" s="675"/>
      <c r="J135" s="674"/>
      <c r="K135" s="674"/>
      <c r="L135" s="643">
        <v>651377.16</v>
      </c>
      <c r="M135" s="242">
        <v>390826.3</v>
      </c>
      <c r="N135" s="622" t="s">
        <v>3689</v>
      </c>
      <c r="O135" s="674" t="s">
        <v>3690</v>
      </c>
      <c r="P135" s="675" t="s">
        <v>3691</v>
      </c>
      <c r="Q135" s="679">
        <v>18394477204</v>
      </c>
      <c r="R135" s="674" t="s">
        <v>3692</v>
      </c>
      <c r="S135" s="659" t="s">
        <v>3564</v>
      </c>
      <c r="T135" s="659"/>
    </row>
    <row r="136" spans="1:20" s="677" customFormat="1" ht="24.95" customHeight="1">
      <c r="A136" s="621">
        <v>130</v>
      </c>
      <c r="B136" s="643" t="s">
        <v>164</v>
      </c>
      <c r="C136" s="643"/>
      <c r="D136" s="623" t="s">
        <v>62</v>
      </c>
      <c r="E136" s="676"/>
      <c r="F136" s="643">
        <v>28.990615399999999</v>
      </c>
      <c r="G136" s="623" t="s">
        <v>3560</v>
      </c>
      <c r="H136" s="623" t="s">
        <v>41</v>
      </c>
      <c r="I136" s="675"/>
      <c r="J136" s="674"/>
      <c r="K136" s="674"/>
      <c r="L136" s="643">
        <v>166760.18</v>
      </c>
      <c r="M136" s="242">
        <v>133408.14000000001</v>
      </c>
      <c r="N136" s="622" t="s">
        <v>3695</v>
      </c>
      <c r="O136" s="674" t="s">
        <v>3690</v>
      </c>
      <c r="P136" s="675" t="s">
        <v>3691</v>
      </c>
      <c r="Q136" s="679">
        <v>18394477205</v>
      </c>
      <c r="R136" s="674" t="s">
        <v>3692</v>
      </c>
      <c r="S136" s="659" t="s">
        <v>3564</v>
      </c>
      <c r="T136" s="659"/>
    </row>
    <row r="137" spans="1:20" s="677" customFormat="1" ht="24.95" customHeight="1">
      <c r="A137" s="621">
        <v>131</v>
      </c>
      <c r="B137" s="680" t="s">
        <v>3688</v>
      </c>
      <c r="C137" s="643" t="s">
        <v>3696</v>
      </c>
      <c r="D137" s="675" t="s">
        <v>79</v>
      </c>
      <c r="E137" s="676">
        <v>2</v>
      </c>
      <c r="F137" s="681">
        <v>29</v>
      </c>
      <c r="G137" s="623" t="s">
        <v>3560</v>
      </c>
      <c r="H137" s="623" t="s">
        <v>41</v>
      </c>
      <c r="I137" s="675"/>
      <c r="J137" s="674"/>
      <c r="K137" s="674"/>
      <c r="L137" s="643">
        <v>566371.68000000005</v>
      </c>
      <c r="M137" s="242">
        <v>453097.34</v>
      </c>
      <c r="N137" s="622" t="s">
        <v>3695</v>
      </c>
      <c r="O137" s="674" t="s">
        <v>3690</v>
      </c>
      <c r="P137" s="675" t="s">
        <v>3691</v>
      </c>
      <c r="Q137" s="679">
        <v>18394477206</v>
      </c>
      <c r="R137" s="674" t="s">
        <v>3692</v>
      </c>
      <c r="S137" s="659" t="s">
        <v>3564</v>
      </c>
      <c r="T137" s="659"/>
    </row>
    <row r="138" spans="1:20" s="677" customFormat="1" ht="24.95" customHeight="1">
      <c r="A138" s="621">
        <v>132</v>
      </c>
      <c r="B138" s="643" t="s">
        <v>164</v>
      </c>
      <c r="C138" s="643" t="s">
        <v>3694</v>
      </c>
      <c r="D138" s="675" t="s">
        <v>62</v>
      </c>
      <c r="E138" s="676"/>
      <c r="F138" s="681">
        <v>22.701429000000001</v>
      </c>
      <c r="G138" s="623" t="s">
        <v>3560</v>
      </c>
      <c r="H138" s="623" t="s">
        <v>41</v>
      </c>
      <c r="I138" s="675"/>
      <c r="J138" s="674"/>
      <c r="K138" s="674"/>
      <c r="L138" s="643">
        <v>140628.32</v>
      </c>
      <c r="M138" s="242">
        <v>112502.66</v>
      </c>
      <c r="N138" s="622" t="s">
        <v>3695</v>
      </c>
      <c r="O138" s="674" t="s">
        <v>3690</v>
      </c>
      <c r="P138" s="675" t="s">
        <v>3691</v>
      </c>
      <c r="Q138" s="679">
        <v>18394477207</v>
      </c>
      <c r="R138" s="674" t="s">
        <v>3692</v>
      </c>
      <c r="S138" s="659" t="s">
        <v>3564</v>
      </c>
      <c r="T138" s="659"/>
    </row>
    <row r="139" spans="1:20" s="677" customFormat="1" ht="24.95" customHeight="1">
      <c r="A139" s="621">
        <v>133</v>
      </c>
      <c r="B139" s="643" t="s">
        <v>164</v>
      </c>
      <c r="C139" s="643" t="s">
        <v>3697</v>
      </c>
      <c r="D139" s="675" t="s">
        <v>62</v>
      </c>
      <c r="E139" s="676"/>
      <c r="F139" s="681">
        <v>38.382570999999999</v>
      </c>
      <c r="G139" s="623" t="s">
        <v>3560</v>
      </c>
      <c r="H139" s="623" t="s">
        <v>41</v>
      </c>
      <c r="I139" s="675"/>
      <c r="J139" s="674"/>
      <c r="K139" s="674"/>
      <c r="L139" s="643">
        <v>237768.14</v>
      </c>
      <c r="M139" s="242">
        <v>190214.51</v>
      </c>
      <c r="N139" s="622" t="s">
        <v>3695</v>
      </c>
      <c r="O139" s="674" t="s">
        <v>3690</v>
      </c>
      <c r="P139" s="675" t="s">
        <v>3691</v>
      </c>
      <c r="Q139" s="679">
        <v>18394477208</v>
      </c>
      <c r="R139" s="674" t="s">
        <v>3692</v>
      </c>
      <c r="S139" s="659" t="s">
        <v>3564</v>
      </c>
      <c r="T139" s="659"/>
    </row>
    <row r="140" spans="1:20" s="677" customFormat="1" ht="24.95" customHeight="1">
      <c r="A140" s="621">
        <v>134</v>
      </c>
      <c r="B140" s="643" t="s">
        <v>3698</v>
      </c>
      <c r="C140" s="643"/>
      <c r="D140" s="675" t="s">
        <v>62</v>
      </c>
      <c r="E140" s="676"/>
      <c r="F140" s="681">
        <v>52.72</v>
      </c>
      <c r="G140" s="623" t="s">
        <v>3560</v>
      </c>
      <c r="H140" s="623" t="s">
        <v>41</v>
      </c>
      <c r="I140" s="675"/>
      <c r="J140" s="674"/>
      <c r="K140" s="674"/>
      <c r="L140" s="643">
        <v>307922.13</v>
      </c>
      <c r="M140" s="242">
        <v>246337.7</v>
      </c>
      <c r="N140" s="622" t="s">
        <v>3695</v>
      </c>
      <c r="O140" s="674" t="s">
        <v>3690</v>
      </c>
      <c r="P140" s="675" t="s">
        <v>3691</v>
      </c>
      <c r="Q140" s="679">
        <v>18394477209</v>
      </c>
      <c r="R140" s="674" t="s">
        <v>3692</v>
      </c>
      <c r="S140" s="659" t="s">
        <v>3564</v>
      </c>
      <c r="T140" s="659"/>
    </row>
    <row r="141" spans="1:20" s="662" customFormat="1" ht="24.95" customHeight="1">
      <c r="A141" s="621">
        <v>135</v>
      </c>
      <c r="B141" s="643" t="s">
        <v>1605</v>
      </c>
      <c r="C141" s="643" t="s">
        <v>3699</v>
      </c>
      <c r="D141" s="643" t="s">
        <v>888</v>
      </c>
      <c r="E141" s="643">
        <v>12189.995999999999</v>
      </c>
      <c r="F141" s="643">
        <v>12189.995999999999</v>
      </c>
      <c r="G141" s="645" t="s">
        <v>33</v>
      </c>
      <c r="H141" s="645" t="s">
        <v>33</v>
      </c>
      <c r="I141" s="624"/>
      <c r="J141" s="624"/>
      <c r="K141" s="624"/>
      <c r="L141" s="624"/>
      <c r="M141" s="684">
        <v>0</v>
      </c>
      <c r="N141" s="622" t="s">
        <v>3634</v>
      </c>
      <c r="O141" s="623" t="s">
        <v>3618</v>
      </c>
      <c r="P141" s="623" t="s">
        <v>3619</v>
      </c>
      <c r="Q141" s="623">
        <v>13752429150</v>
      </c>
      <c r="R141" s="632" t="s">
        <v>3620</v>
      </c>
      <c r="S141" s="623" t="s">
        <v>3564</v>
      </c>
      <c r="T141" s="624"/>
    </row>
    <row r="142" spans="1:20" s="662" customFormat="1" ht="24.95" customHeight="1">
      <c r="A142" s="621">
        <v>136</v>
      </c>
      <c r="B142" s="643" t="s">
        <v>1605</v>
      </c>
      <c r="C142" s="643" t="s">
        <v>3699</v>
      </c>
      <c r="D142" s="643" t="s">
        <v>888</v>
      </c>
      <c r="E142" s="643">
        <v>13127.688</v>
      </c>
      <c r="F142" s="643">
        <v>13127.688</v>
      </c>
      <c r="G142" s="645" t="s">
        <v>33</v>
      </c>
      <c r="H142" s="645" t="s">
        <v>33</v>
      </c>
      <c r="I142" s="624"/>
      <c r="J142" s="624"/>
      <c r="K142" s="624"/>
      <c r="L142" s="624"/>
      <c r="M142" s="684">
        <v>0</v>
      </c>
      <c r="N142" s="622" t="s">
        <v>3634</v>
      </c>
      <c r="O142" s="623" t="s">
        <v>3618</v>
      </c>
      <c r="P142" s="623" t="s">
        <v>3619</v>
      </c>
      <c r="Q142" s="623">
        <v>13752429150</v>
      </c>
      <c r="R142" s="632" t="s">
        <v>3620</v>
      </c>
      <c r="S142" s="623" t="s">
        <v>3564</v>
      </c>
      <c r="T142" s="624"/>
    </row>
    <row r="143" spans="1:20" s="662" customFormat="1" ht="24.95" customHeight="1">
      <c r="A143" s="621">
        <v>137</v>
      </c>
      <c r="B143" s="643" t="s">
        <v>1605</v>
      </c>
      <c r="C143" s="643" t="s">
        <v>3699</v>
      </c>
      <c r="D143" s="643" t="s">
        <v>888</v>
      </c>
      <c r="E143" s="643">
        <v>28577</v>
      </c>
      <c r="F143" s="643">
        <v>28577</v>
      </c>
      <c r="G143" s="645" t="s">
        <v>33</v>
      </c>
      <c r="H143" s="645" t="s">
        <v>33</v>
      </c>
      <c r="I143" s="624"/>
      <c r="J143" s="624"/>
      <c r="K143" s="624"/>
      <c r="L143" s="624"/>
      <c r="M143" s="684">
        <v>0</v>
      </c>
      <c r="N143" s="622" t="s">
        <v>3634</v>
      </c>
      <c r="O143" s="623" t="s">
        <v>3618</v>
      </c>
      <c r="P143" s="623" t="s">
        <v>3619</v>
      </c>
      <c r="Q143" s="623">
        <v>13752429150</v>
      </c>
      <c r="R143" s="632" t="s">
        <v>3620</v>
      </c>
      <c r="S143" s="623" t="s">
        <v>3564</v>
      </c>
      <c r="T143" s="624"/>
    </row>
    <row r="144" spans="1:20" s="662" customFormat="1" ht="24.95" customHeight="1">
      <c r="A144" s="621">
        <v>138</v>
      </c>
      <c r="B144" s="685" t="s">
        <v>1605</v>
      </c>
      <c r="C144" s="665" t="s">
        <v>3699</v>
      </c>
      <c r="D144" s="664" t="s">
        <v>888</v>
      </c>
      <c r="E144" s="669"/>
      <c r="F144" s="669">
        <v>4643.8100000000004</v>
      </c>
      <c r="G144" s="645" t="s">
        <v>33</v>
      </c>
      <c r="H144" s="645" t="s">
        <v>33</v>
      </c>
      <c r="I144" s="624"/>
      <c r="J144" s="624"/>
      <c r="K144" s="624"/>
      <c r="L144" s="643">
        <v>147944.39000000001</v>
      </c>
      <c r="M144" s="684">
        <v>0</v>
      </c>
      <c r="N144" s="622" t="s">
        <v>3700</v>
      </c>
      <c r="O144" s="623" t="s">
        <v>3618</v>
      </c>
      <c r="P144" s="623" t="s">
        <v>3619</v>
      </c>
      <c r="Q144" s="623">
        <v>13752429150</v>
      </c>
      <c r="R144" s="632" t="s">
        <v>3620</v>
      </c>
      <c r="S144" s="623" t="s">
        <v>3564</v>
      </c>
      <c r="T144" s="624"/>
    </row>
    <row r="145" spans="1:20" s="662" customFormat="1" ht="24.95" customHeight="1">
      <c r="A145" s="621">
        <v>139</v>
      </c>
      <c r="B145" s="664" t="s">
        <v>1605</v>
      </c>
      <c r="C145" s="665" t="s">
        <v>3699</v>
      </c>
      <c r="D145" s="664" t="s">
        <v>3701</v>
      </c>
      <c r="E145" s="663">
        <v>1586</v>
      </c>
      <c r="F145" s="663"/>
      <c r="G145" s="645" t="s">
        <v>33</v>
      </c>
      <c r="H145" s="645" t="s">
        <v>33</v>
      </c>
      <c r="I145" s="624"/>
      <c r="J145" s="624"/>
      <c r="K145" s="624"/>
      <c r="L145" s="624"/>
      <c r="M145" s="684">
        <v>0</v>
      </c>
      <c r="N145" s="622" t="s">
        <v>3702</v>
      </c>
      <c r="O145" s="623" t="s">
        <v>3618</v>
      </c>
      <c r="P145" s="623" t="s">
        <v>3619</v>
      </c>
      <c r="Q145" s="623">
        <v>13752429150</v>
      </c>
      <c r="R145" s="632" t="s">
        <v>3620</v>
      </c>
      <c r="S145" s="623" t="s">
        <v>3564</v>
      </c>
      <c r="T145" s="624"/>
    </row>
    <row r="146" spans="1:20" s="662" customFormat="1" ht="24.95" customHeight="1">
      <c r="A146" s="621">
        <v>140</v>
      </c>
      <c r="B146" s="664" t="s">
        <v>1605</v>
      </c>
      <c r="C146" s="665" t="s">
        <v>3699</v>
      </c>
      <c r="D146" s="664" t="s">
        <v>888</v>
      </c>
      <c r="E146" s="669">
        <v>9347.15</v>
      </c>
      <c r="F146" s="663"/>
      <c r="G146" s="645" t="s">
        <v>33</v>
      </c>
      <c r="H146" s="645" t="s">
        <v>33</v>
      </c>
      <c r="I146" s="624"/>
      <c r="J146" s="624"/>
      <c r="K146" s="624"/>
      <c r="L146" s="624"/>
      <c r="M146" s="684">
        <v>0</v>
      </c>
      <c r="N146" s="622" t="s">
        <v>3702</v>
      </c>
      <c r="O146" s="623" t="s">
        <v>3618</v>
      </c>
      <c r="P146" s="623" t="s">
        <v>3619</v>
      </c>
      <c r="Q146" s="623">
        <v>13752429150</v>
      </c>
      <c r="R146" s="632" t="s">
        <v>3620</v>
      </c>
      <c r="S146" s="623" t="s">
        <v>3564</v>
      </c>
      <c r="T146" s="624"/>
    </row>
    <row r="147" spans="1:20" s="662" customFormat="1" ht="24.95" customHeight="1">
      <c r="A147" s="621">
        <v>141</v>
      </c>
      <c r="B147" s="668" t="s">
        <v>1605</v>
      </c>
      <c r="C147" s="667" t="s">
        <v>3699</v>
      </c>
      <c r="D147" s="668" t="s">
        <v>888</v>
      </c>
      <c r="E147" s="669">
        <v>9972.2800000000007</v>
      </c>
      <c r="F147" s="669"/>
      <c r="G147" s="645" t="s">
        <v>33</v>
      </c>
      <c r="H147" s="645" t="s">
        <v>33</v>
      </c>
      <c r="I147" s="624"/>
      <c r="J147" s="624"/>
      <c r="K147" s="624"/>
      <c r="L147" s="624"/>
      <c r="M147" s="684">
        <v>0</v>
      </c>
      <c r="N147" s="622" t="s">
        <v>3635</v>
      </c>
      <c r="O147" s="623" t="s">
        <v>3618</v>
      </c>
      <c r="P147" s="623" t="s">
        <v>3619</v>
      </c>
      <c r="Q147" s="623">
        <v>13752429150</v>
      </c>
      <c r="R147" s="632" t="s">
        <v>3620</v>
      </c>
      <c r="S147" s="623" t="s">
        <v>3564</v>
      </c>
      <c r="T147" s="624"/>
    </row>
    <row r="148" spans="1:20" s="662" customFormat="1" ht="24.95" customHeight="1">
      <c r="A148" s="621">
        <v>142</v>
      </c>
      <c r="B148" s="668" t="s">
        <v>1605</v>
      </c>
      <c r="C148" s="667" t="s">
        <v>3699</v>
      </c>
      <c r="D148" s="668" t="s">
        <v>603</v>
      </c>
      <c r="E148" s="664">
        <v>6550</v>
      </c>
      <c r="F148" s="669"/>
      <c r="G148" s="645" t="s">
        <v>33</v>
      </c>
      <c r="H148" s="645" t="s">
        <v>33</v>
      </c>
      <c r="I148" s="624"/>
      <c r="J148" s="624"/>
      <c r="K148" s="624"/>
      <c r="L148" s="624"/>
      <c r="M148" s="684">
        <v>0</v>
      </c>
      <c r="N148" s="622" t="s">
        <v>3635</v>
      </c>
      <c r="O148" s="623" t="s">
        <v>3618</v>
      </c>
      <c r="P148" s="623" t="s">
        <v>3619</v>
      </c>
      <c r="Q148" s="623">
        <v>13752429150</v>
      </c>
      <c r="R148" s="632" t="s">
        <v>3620</v>
      </c>
      <c r="S148" s="623" t="s">
        <v>3564</v>
      </c>
      <c r="T148" s="624"/>
    </row>
    <row r="149" spans="1:20" s="662" customFormat="1" ht="24.95" customHeight="1">
      <c r="A149" s="621">
        <v>143</v>
      </c>
      <c r="B149" s="685" t="s">
        <v>1560</v>
      </c>
      <c r="C149" s="665" t="s">
        <v>3703</v>
      </c>
      <c r="D149" s="664" t="s">
        <v>31</v>
      </c>
      <c r="E149" s="669">
        <v>400</v>
      </c>
      <c r="F149" s="663"/>
      <c r="G149" s="645" t="s">
        <v>33</v>
      </c>
      <c r="H149" s="645" t="s">
        <v>33</v>
      </c>
      <c r="I149" s="624"/>
      <c r="J149" s="624"/>
      <c r="K149" s="624"/>
      <c r="L149" s="643">
        <v>31504.42</v>
      </c>
      <c r="M149" s="684">
        <v>0</v>
      </c>
      <c r="N149" s="622" t="s">
        <v>3700</v>
      </c>
      <c r="O149" s="623" t="s">
        <v>3618</v>
      </c>
      <c r="P149" s="623" t="s">
        <v>3619</v>
      </c>
      <c r="Q149" s="623">
        <v>13752429150</v>
      </c>
      <c r="R149" s="632" t="s">
        <v>3620</v>
      </c>
      <c r="S149" s="623" t="s">
        <v>3564</v>
      </c>
      <c r="T149" s="624"/>
    </row>
    <row r="150" spans="1:20" s="662" customFormat="1" ht="24.95" customHeight="1">
      <c r="A150" s="621">
        <v>144</v>
      </c>
      <c r="B150" s="664" t="s">
        <v>3704</v>
      </c>
      <c r="C150" s="664" t="s">
        <v>3705</v>
      </c>
      <c r="D150" s="664" t="s">
        <v>603</v>
      </c>
      <c r="E150" s="664">
        <v>1500</v>
      </c>
      <c r="F150" s="643"/>
      <c r="G150" s="623" t="s">
        <v>32</v>
      </c>
      <c r="H150" s="623" t="s">
        <v>33</v>
      </c>
      <c r="I150" s="624"/>
      <c r="J150" s="624"/>
      <c r="K150" s="624"/>
      <c r="L150" s="624"/>
      <c r="M150" s="684">
        <v>0</v>
      </c>
      <c r="N150" s="622" t="s">
        <v>3624</v>
      </c>
      <c r="O150" s="623" t="s">
        <v>3618</v>
      </c>
      <c r="P150" s="623" t="s">
        <v>3619</v>
      </c>
      <c r="Q150" s="623">
        <v>13752429150</v>
      </c>
      <c r="R150" s="632" t="s">
        <v>3620</v>
      </c>
      <c r="S150" s="623" t="s">
        <v>3564</v>
      </c>
      <c r="T150" s="624"/>
    </row>
    <row r="151" spans="1:20" s="662" customFormat="1" ht="24.95" customHeight="1">
      <c r="A151" s="621">
        <v>145</v>
      </c>
      <c r="B151" s="668" t="s">
        <v>3704</v>
      </c>
      <c r="C151" s="668" t="s">
        <v>3705</v>
      </c>
      <c r="D151" s="668" t="s">
        <v>603</v>
      </c>
      <c r="E151" s="668">
        <v>1530</v>
      </c>
      <c r="F151" s="643"/>
      <c r="G151" s="623" t="s">
        <v>32</v>
      </c>
      <c r="H151" s="623" t="s">
        <v>33</v>
      </c>
      <c r="I151" s="624"/>
      <c r="J151" s="624"/>
      <c r="K151" s="624"/>
      <c r="L151" s="154">
        <v>147584.07999999999</v>
      </c>
      <c r="M151" s="684">
        <v>0</v>
      </c>
      <c r="N151" s="622" t="s">
        <v>3195</v>
      </c>
      <c r="O151" s="623" t="s">
        <v>3618</v>
      </c>
      <c r="P151" s="623" t="s">
        <v>3619</v>
      </c>
      <c r="Q151" s="623">
        <v>13752429150</v>
      </c>
      <c r="R151" s="632" t="s">
        <v>3620</v>
      </c>
      <c r="S151" s="623" t="s">
        <v>3564</v>
      </c>
      <c r="T151" s="624"/>
    </row>
    <row r="152" spans="1:20" s="662" customFormat="1" ht="24.95" customHeight="1">
      <c r="A152" s="621">
        <v>146</v>
      </c>
      <c r="B152" s="664" t="s">
        <v>3704</v>
      </c>
      <c r="C152" s="664" t="s">
        <v>3705</v>
      </c>
      <c r="D152" s="664" t="s">
        <v>603</v>
      </c>
      <c r="E152" s="664">
        <v>1500</v>
      </c>
      <c r="F152" s="643"/>
      <c r="G152" s="623" t="s">
        <v>32</v>
      </c>
      <c r="H152" s="623" t="s">
        <v>33</v>
      </c>
      <c r="I152" s="624"/>
      <c r="J152" s="624"/>
      <c r="K152" s="624"/>
      <c r="L152" s="154"/>
      <c r="M152" s="684">
        <v>0</v>
      </c>
      <c r="N152" s="622" t="s">
        <v>3636</v>
      </c>
      <c r="O152" s="623" t="s">
        <v>3618</v>
      </c>
      <c r="P152" s="623" t="s">
        <v>3619</v>
      </c>
      <c r="Q152" s="623">
        <v>13752429150</v>
      </c>
      <c r="R152" s="632" t="s">
        <v>3620</v>
      </c>
      <c r="S152" s="623" t="s">
        <v>3564</v>
      </c>
      <c r="T152" s="624"/>
    </row>
    <row r="153" spans="1:20" s="662" customFormat="1" ht="24.95" customHeight="1">
      <c r="A153" s="621">
        <v>147</v>
      </c>
      <c r="B153" s="668" t="s">
        <v>3704</v>
      </c>
      <c r="C153" s="668" t="s">
        <v>3705</v>
      </c>
      <c r="D153" s="668" t="s">
        <v>603</v>
      </c>
      <c r="E153" s="668">
        <v>1560</v>
      </c>
      <c r="F153" s="643"/>
      <c r="G153" s="623" t="s">
        <v>32</v>
      </c>
      <c r="H153" s="623" t="s">
        <v>33</v>
      </c>
      <c r="I153" s="624"/>
      <c r="J153" s="624"/>
      <c r="K153" s="624"/>
      <c r="L153" s="154"/>
      <c r="M153" s="684">
        <v>0</v>
      </c>
      <c r="N153" s="622" t="s">
        <v>3706</v>
      </c>
      <c r="O153" s="623" t="s">
        <v>3618</v>
      </c>
      <c r="P153" s="623" t="s">
        <v>3619</v>
      </c>
      <c r="Q153" s="623">
        <v>13752429150</v>
      </c>
      <c r="R153" s="632" t="s">
        <v>3620</v>
      </c>
      <c r="S153" s="623" t="s">
        <v>3564</v>
      </c>
      <c r="T153" s="624"/>
    </row>
    <row r="154" spans="1:20" s="677" customFormat="1" ht="24.95" customHeight="1">
      <c r="A154" s="621">
        <v>148</v>
      </c>
      <c r="B154" s="668" t="s">
        <v>3704</v>
      </c>
      <c r="C154" s="668" t="s">
        <v>3705</v>
      </c>
      <c r="D154" s="668" t="s">
        <v>603</v>
      </c>
      <c r="E154" s="676">
        <v>1320</v>
      </c>
      <c r="F154" s="676"/>
      <c r="G154" s="623" t="s">
        <v>32</v>
      </c>
      <c r="H154" s="623" t="s">
        <v>33</v>
      </c>
      <c r="I154" s="675"/>
      <c r="J154" s="674"/>
      <c r="K154" s="674"/>
      <c r="L154" s="648">
        <v>142455.45000000001</v>
      </c>
      <c r="M154" s="242">
        <v>0</v>
      </c>
      <c r="N154" s="622" t="s">
        <v>3707</v>
      </c>
      <c r="O154" s="623" t="s">
        <v>3618</v>
      </c>
      <c r="P154" s="623" t="s">
        <v>3619</v>
      </c>
      <c r="Q154" s="623">
        <v>13752429150</v>
      </c>
      <c r="R154" s="632" t="s">
        <v>3620</v>
      </c>
      <c r="S154" s="623" t="s">
        <v>3564</v>
      </c>
      <c r="T154" s="659"/>
    </row>
    <row r="155" spans="1:20" s="677" customFormat="1" ht="24.95" customHeight="1">
      <c r="A155" s="621">
        <v>149</v>
      </c>
      <c r="B155" s="668" t="s">
        <v>3704</v>
      </c>
      <c r="C155" s="668" t="s">
        <v>3705</v>
      </c>
      <c r="D155" s="668" t="s">
        <v>603</v>
      </c>
      <c r="E155" s="676">
        <v>220</v>
      </c>
      <c r="F155" s="676"/>
      <c r="G155" s="623" t="s">
        <v>32</v>
      </c>
      <c r="H155" s="623" t="s">
        <v>33</v>
      </c>
      <c r="I155" s="675"/>
      <c r="J155" s="674"/>
      <c r="K155" s="674"/>
      <c r="L155" s="648">
        <v>23742.57</v>
      </c>
      <c r="M155" s="242">
        <v>0</v>
      </c>
      <c r="N155" s="622" t="s">
        <v>1954</v>
      </c>
      <c r="O155" s="623" t="s">
        <v>3618</v>
      </c>
      <c r="P155" s="623" t="s">
        <v>3619</v>
      </c>
      <c r="Q155" s="623">
        <v>13752429150</v>
      </c>
      <c r="R155" s="632" t="s">
        <v>3620</v>
      </c>
      <c r="S155" s="623" t="s">
        <v>3564</v>
      </c>
      <c r="T155" s="659"/>
    </row>
    <row r="156" spans="1:20" s="677" customFormat="1" ht="24.95" customHeight="1">
      <c r="A156" s="621">
        <v>150</v>
      </c>
      <c r="B156" s="668" t="s">
        <v>3704</v>
      </c>
      <c r="C156" s="668" t="s">
        <v>3705</v>
      </c>
      <c r="D156" s="668" t="s">
        <v>603</v>
      </c>
      <c r="E156" s="676">
        <v>2810</v>
      </c>
      <c r="F156" s="676"/>
      <c r="G156" s="623" t="s">
        <v>32</v>
      </c>
      <c r="H156" s="623" t="s">
        <v>33</v>
      </c>
      <c r="I156" s="675"/>
      <c r="J156" s="674"/>
      <c r="K156" s="674"/>
      <c r="L156" s="649">
        <v>303257.43</v>
      </c>
      <c r="M156" s="242">
        <v>0</v>
      </c>
      <c r="N156" s="622" t="s">
        <v>3687</v>
      </c>
      <c r="O156" s="623" t="s">
        <v>3618</v>
      </c>
      <c r="P156" s="623" t="s">
        <v>3619</v>
      </c>
      <c r="Q156" s="623">
        <v>13752429150</v>
      </c>
      <c r="R156" s="632" t="s">
        <v>3620</v>
      </c>
      <c r="S156" s="623" t="s">
        <v>3564</v>
      </c>
      <c r="T156" s="659"/>
    </row>
    <row r="157" spans="1:20" s="662" customFormat="1" ht="24.95" customHeight="1">
      <c r="A157" s="621">
        <v>151</v>
      </c>
      <c r="B157" s="668" t="s">
        <v>134</v>
      </c>
      <c r="C157" s="668"/>
      <c r="D157" s="668" t="s">
        <v>62</v>
      </c>
      <c r="E157" s="668"/>
      <c r="F157" s="643">
        <v>651.52</v>
      </c>
      <c r="G157" s="623" t="s">
        <v>32</v>
      </c>
      <c r="H157" s="623" t="s">
        <v>33</v>
      </c>
      <c r="I157" s="624"/>
      <c r="J157" s="624"/>
      <c r="K157" s="624"/>
      <c r="L157" s="154">
        <f>F157*9100</f>
        <v>5928832</v>
      </c>
      <c r="M157" s="684"/>
      <c r="N157" s="622" t="s">
        <v>3195</v>
      </c>
      <c r="O157" s="623" t="s">
        <v>3708</v>
      </c>
      <c r="P157" s="623" t="s">
        <v>3709</v>
      </c>
      <c r="Q157" s="623">
        <v>18222837007</v>
      </c>
      <c r="R157" s="632" t="s">
        <v>3710</v>
      </c>
      <c r="S157" s="623" t="s">
        <v>3564</v>
      </c>
      <c r="T157" s="624"/>
    </row>
    <row r="158" spans="1:20" s="662" customFormat="1" ht="24.95" customHeight="1">
      <c r="A158" s="621">
        <v>152</v>
      </c>
      <c r="B158" s="668" t="s">
        <v>3711</v>
      </c>
      <c r="C158" s="668"/>
      <c r="D158" s="668" t="s">
        <v>62</v>
      </c>
      <c r="E158" s="668">
        <v>6</v>
      </c>
      <c r="F158" s="643">
        <v>665.57</v>
      </c>
      <c r="G158" s="623" t="s">
        <v>32</v>
      </c>
      <c r="H158" s="623" t="s">
        <v>33</v>
      </c>
      <c r="I158" s="624"/>
      <c r="J158" s="624"/>
      <c r="K158" s="624"/>
      <c r="L158" s="154">
        <v>6162317.5</v>
      </c>
      <c r="M158" s="684"/>
      <c r="N158" s="622" t="s">
        <v>3195</v>
      </c>
      <c r="O158" s="623" t="s">
        <v>3708</v>
      </c>
      <c r="P158" s="623" t="s">
        <v>3709</v>
      </c>
      <c r="Q158" s="623">
        <v>18222837008</v>
      </c>
      <c r="R158" s="632" t="s">
        <v>3710</v>
      </c>
      <c r="S158" s="623" t="s">
        <v>3564</v>
      </c>
      <c r="T158" s="624"/>
    </row>
    <row r="159" spans="1:20" s="662" customFormat="1" ht="24.95" customHeight="1">
      <c r="A159" s="621">
        <v>153</v>
      </c>
      <c r="B159" s="668" t="s">
        <v>29</v>
      </c>
      <c r="C159" s="668"/>
      <c r="D159" s="668" t="s">
        <v>62</v>
      </c>
      <c r="E159" s="668">
        <v>8</v>
      </c>
      <c r="F159" s="643">
        <v>152.66999999999999</v>
      </c>
      <c r="G159" s="623" t="s">
        <v>32</v>
      </c>
      <c r="H159" s="623" t="s">
        <v>33</v>
      </c>
      <c r="I159" s="624"/>
      <c r="J159" s="624"/>
      <c r="K159" s="686" t="s">
        <v>3712</v>
      </c>
      <c r="L159" s="154">
        <v>1037193.2</v>
      </c>
      <c r="M159" s="687">
        <f>L159*0.2</f>
        <v>207438.64</v>
      </c>
      <c r="N159" s="622" t="s">
        <v>3713</v>
      </c>
      <c r="O159" s="623" t="s">
        <v>3714</v>
      </c>
      <c r="P159" s="623" t="s">
        <v>3715</v>
      </c>
      <c r="Q159" s="623">
        <v>13512878353</v>
      </c>
      <c r="R159" s="632" t="s">
        <v>3716</v>
      </c>
      <c r="S159" s="623" t="s">
        <v>3564</v>
      </c>
      <c r="T159" s="624"/>
    </row>
    <row r="160" spans="1:20" ht="24.95" customHeight="1">
      <c r="A160" s="123"/>
      <c r="B160" s="616" t="s">
        <v>3717</v>
      </c>
      <c r="C160" s="616"/>
      <c r="D160" s="615"/>
      <c r="E160" s="102"/>
      <c r="F160" s="102"/>
      <c r="G160" s="616"/>
      <c r="H160" s="616"/>
      <c r="I160" s="615"/>
      <c r="J160" s="616"/>
      <c r="K160" s="616"/>
      <c r="L160" s="616"/>
      <c r="M160" s="149"/>
      <c r="N160" s="622"/>
      <c r="O160" s="616"/>
      <c r="P160" s="615"/>
      <c r="Q160" s="616"/>
      <c r="R160" s="616"/>
      <c r="S160" s="620"/>
      <c r="T160" s="620"/>
    </row>
    <row r="161" spans="1:20" s="662" customFormat="1" ht="24.95" customHeight="1">
      <c r="A161" s="688" t="s">
        <v>511</v>
      </c>
      <c r="B161" s="689" t="s">
        <v>512</v>
      </c>
      <c r="C161" s="660"/>
      <c r="D161" s="624"/>
      <c r="E161" s="661"/>
      <c r="F161" s="661"/>
      <c r="G161" s="624"/>
      <c r="H161" s="624"/>
      <c r="I161" s="624"/>
      <c r="J161" s="624"/>
      <c r="K161" s="624"/>
      <c r="L161" s="624"/>
      <c r="M161" s="661"/>
      <c r="N161" s="622"/>
      <c r="O161" s="624"/>
      <c r="P161" s="624"/>
      <c r="Q161" s="624"/>
      <c r="R161" s="624"/>
      <c r="S161" s="624"/>
      <c r="T161" s="624"/>
    </row>
    <row r="162" spans="1:20" s="662" customFormat="1" ht="24.95" customHeight="1">
      <c r="A162" s="621">
        <v>1</v>
      </c>
      <c r="B162" s="690" t="s">
        <v>513</v>
      </c>
      <c r="C162" s="659" t="s">
        <v>2586</v>
      </c>
      <c r="D162" s="624"/>
      <c r="E162" s="661"/>
      <c r="F162" s="661"/>
      <c r="G162" s="624"/>
      <c r="H162" s="624"/>
      <c r="I162" s="624"/>
      <c r="J162" s="624"/>
      <c r="K162" s="624"/>
      <c r="L162" s="624"/>
      <c r="M162" s="661"/>
      <c r="N162" s="622"/>
      <c r="O162" s="624"/>
      <c r="P162" s="624"/>
      <c r="Q162" s="624"/>
      <c r="R162" s="624"/>
      <c r="S162" s="624"/>
      <c r="T162" s="624"/>
    </row>
    <row r="163" spans="1:20" s="662" customFormat="1" ht="24.95" customHeight="1">
      <c r="A163" s="621">
        <v>2</v>
      </c>
      <c r="B163" s="623" t="s">
        <v>526</v>
      </c>
      <c r="C163" s="623" t="s">
        <v>3718</v>
      </c>
      <c r="D163" s="623" t="s">
        <v>62</v>
      </c>
      <c r="E163" s="158" t="s">
        <v>34</v>
      </c>
      <c r="F163" s="158">
        <v>216.25299999999999</v>
      </c>
      <c r="G163" s="623" t="s">
        <v>32</v>
      </c>
      <c r="H163" s="623" t="s">
        <v>33</v>
      </c>
      <c r="I163" s="623" t="s">
        <v>34</v>
      </c>
      <c r="J163" s="623" t="s">
        <v>34</v>
      </c>
      <c r="K163" s="623" t="s">
        <v>34</v>
      </c>
      <c r="L163" s="624"/>
      <c r="M163" s="158">
        <v>0</v>
      </c>
      <c r="N163" s="622">
        <v>2010.4</v>
      </c>
      <c r="O163" s="623" t="s">
        <v>3561</v>
      </c>
      <c r="P163" s="623" t="s">
        <v>3562</v>
      </c>
      <c r="Q163" s="623">
        <v>15222256701</v>
      </c>
      <c r="R163" s="623" t="s">
        <v>3563</v>
      </c>
      <c r="S163" s="623" t="s">
        <v>3564</v>
      </c>
      <c r="T163" s="624"/>
    </row>
    <row r="164" spans="1:20" s="662" customFormat="1" ht="24.95" customHeight="1">
      <c r="A164" s="621">
        <v>3</v>
      </c>
      <c r="B164" s="623" t="s">
        <v>526</v>
      </c>
      <c r="C164" s="623" t="s">
        <v>2664</v>
      </c>
      <c r="D164" s="623" t="s">
        <v>62</v>
      </c>
      <c r="E164" s="158" t="s">
        <v>34</v>
      </c>
      <c r="F164" s="158">
        <v>200</v>
      </c>
      <c r="G164" s="623" t="s">
        <v>32</v>
      </c>
      <c r="H164" s="623" t="s">
        <v>33</v>
      </c>
      <c r="I164" s="623" t="s">
        <v>34</v>
      </c>
      <c r="J164" s="623" t="s">
        <v>34</v>
      </c>
      <c r="K164" s="623" t="s">
        <v>34</v>
      </c>
      <c r="L164" s="624"/>
      <c r="M164" s="158">
        <v>27500</v>
      </c>
      <c r="N164" s="622">
        <v>42501</v>
      </c>
      <c r="O164" s="623" t="s">
        <v>3574</v>
      </c>
      <c r="P164" s="623" t="s">
        <v>3575</v>
      </c>
      <c r="Q164" s="623">
        <v>18788803170</v>
      </c>
      <c r="R164" s="632" t="s">
        <v>3576</v>
      </c>
      <c r="S164" s="623" t="s">
        <v>3564</v>
      </c>
      <c r="T164" s="624"/>
    </row>
    <row r="165" spans="1:20" ht="24.95" customHeight="1">
      <c r="A165" s="621">
        <v>4</v>
      </c>
      <c r="B165" s="623" t="s">
        <v>526</v>
      </c>
      <c r="C165" s="623" t="s">
        <v>3719</v>
      </c>
      <c r="D165" s="623" t="s">
        <v>161</v>
      </c>
      <c r="E165" s="158">
        <v>7</v>
      </c>
      <c r="F165" s="158">
        <v>0.7</v>
      </c>
      <c r="G165" s="623" t="s">
        <v>32</v>
      </c>
      <c r="H165" s="623" t="s">
        <v>33</v>
      </c>
      <c r="I165" s="623" t="s">
        <v>34</v>
      </c>
      <c r="J165" s="623" t="s">
        <v>34</v>
      </c>
      <c r="K165" s="623" t="s">
        <v>34</v>
      </c>
      <c r="L165" s="624"/>
      <c r="M165" s="158">
        <v>234</v>
      </c>
      <c r="N165" s="622">
        <v>2016.5</v>
      </c>
      <c r="O165" s="623" t="s">
        <v>3561</v>
      </c>
      <c r="P165" s="623" t="s">
        <v>3720</v>
      </c>
      <c r="Q165" s="623">
        <v>13920821940</v>
      </c>
      <c r="R165" s="624"/>
      <c r="S165" s="623" t="s">
        <v>3564</v>
      </c>
      <c r="T165" s="624"/>
    </row>
    <row r="166" spans="1:20" ht="24.95" customHeight="1">
      <c r="A166" s="621">
        <v>5</v>
      </c>
      <c r="B166" s="623" t="s">
        <v>526</v>
      </c>
      <c r="C166" s="623" t="s">
        <v>3721</v>
      </c>
      <c r="D166" s="623" t="s">
        <v>161</v>
      </c>
      <c r="E166" s="158">
        <v>340</v>
      </c>
      <c r="F166" s="158">
        <v>33</v>
      </c>
      <c r="G166" s="623" t="s">
        <v>32</v>
      </c>
      <c r="H166" s="623" t="s">
        <v>33</v>
      </c>
      <c r="I166" s="623" t="s">
        <v>34</v>
      </c>
      <c r="J166" s="623" t="s">
        <v>34</v>
      </c>
      <c r="K166" s="623" t="s">
        <v>34</v>
      </c>
      <c r="L166" s="624"/>
      <c r="M166" s="158">
        <v>11172.92</v>
      </c>
      <c r="N166" s="622">
        <v>2016.5</v>
      </c>
      <c r="O166" s="623" t="s">
        <v>3561</v>
      </c>
      <c r="P166" s="623" t="s">
        <v>3720</v>
      </c>
      <c r="Q166" s="623">
        <v>13920821940</v>
      </c>
      <c r="R166" s="624"/>
      <c r="S166" s="623" t="s">
        <v>3564</v>
      </c>
      <c r="T166" s="624"/>
    </row>
    <row r="167" spans="1:20" ht="24.95" customHeight="1">
      <c r="A167" s="621">
        <v>6</v>
      </c>
      <c r="B167" s="623" t="s">
        <v>526</v>
      </c>
      <c r="C167" s="623" t="s">
        <v>3722</v>
      </c>
      <c r="D167" s="623" t="s">
        <v>161</v>
      </c>
      <c r="E167" s="158">
        <v>640</v>
      </c>
      <c r="F167" s="158">
        <v>57</v>
      </c>
      <c r="G167" s="623" t="s">
        <v>32</v>
      </c>
      <c r="H167" s="623" t="s">
        <v>33</v>
      </c>
      <c r="I167" s="623" t="s">
        <v>34</v>
      </c>
      <c r="J167" s="623" t="s">
        <v>34</v>
      </c>
      <c r="K167" s="623" t="s">
        <v>34</v>
      </c>
      <c r="L167" s="624"/>
      <c r="M167" s="158">
        <v>19200</v>
      </c>
      <c r="N167" s="622">
        <v>2016.5</v>
      </c>
      <c r="O167" s="623" t="s">
        <v>3561</v>
      </c>
      <c r="P167" s="623" t="s">
        <v>3720</v>
      </c>
      <c r="Q167" s="623">
        <v>13920821940</v>
      </c>
      <c r="R167" s="624"/>
      <c r="S167" s="623" t="s">
        <v>3564</v>
      </c>
      <c r="T167" s="624"/>
    </row>
    <row r="168" spans="1:20" ht="24.95" customHeight="1">
      <c r="A168" s="621">
        <v>7</v>
      </c>
      <c r="B168" s="623" t="s">
        <v>526</v>
      </c>
      <c r="C168" s="623" t="s">
        <v>3723</v>
      </c>
      <c r="D168" s="623" t="s">
        <v>161</v>
      </c>
      <c r="E168" s="158">
        <v>879</v>
      </c>
      <c r="F168" s="158">
        <v>70</v>
      </c>
      <c r="G168" s="623" t="s">
        <v>32</v>
      </c>
      <c r="H168" s="623" t="s">
        <v>33</v>
      </c>
      <c r="I168" s="623" t="s">
        <v>34</v>
      </c>
      <c r="J168" s="623" t="s">
        <v>34</v>
      </c>
      <c r="K168" s="623" t="s">
        <v>34</v>
      </c>
      <c r="L168" s="624"/>
      <c r="M168" s="158">
        <v>29576.26</v>
      </c>
      <c r="N168" s="622">
        <v>2016.5</v>
      </c>
      <c r="O168" s="623" t="s">
        <v>3561</v>
      </c>
      <c r="P168" s="623" t="s">
        <v>3720</v>
      </c>
      <c r="Q168" s="623">
        <v>13920821940</v>
      </c>
      <c r="R168" s="624"/>
      <c r="S168" s="623" t="s">
        <v>3564</v>
      </c>
      <c r="T168" s="624"/>
    </row>
    <row r="169" spans="1:20" ht="24.95" customHeight="1">
      <c r="A169" s="621">
        <v>8</v>
      </c>
      <c r="B169" s="623" t="s">
        <v>526</v>
      </c>
      <c r="C169" s="623" t="s">
        <v>3724</v>
      </c>
      <c r="D169" s="623" t="s">
        <v>161</v>
      </c>
      <c r="E169" s="158">
        <v>387</v>
      </c>
      <c r="F169" s="158">
        <v>25</v>
      </c>
      <c r="G169" s="623" t="s">
        <v>32</v>
      </c>
      <c r="H169" s="623" t="s">
        <v>33</v>
      </c>
      <c r="I169" s="623" t="s">
        <v>34</v>
      </c>
      <c r="J169" s="623" t="s">
        <v>34</v>
      </c>
      <c r="K169" s="623" t="s">
        <v>34</v>
      </c>
      <c r="L169" s="624"/>
      <c r="M169" s="158">
        <v>7830.1</v>
      </c>
      <c r="N169" s="622">
        <v>2016.5</v>
      </c>
      <c r="O169" s="623" t="s">
        <v>3561</v>
      </c>
      <c r="P169" s="623" t="s">
        <v>3720</v>
      </c>
      <c r="Q169" s="623">
        <v>13920821940</v>
      </c>
      <c r="R169" s="624"/>
      <c r="S169" s="623" t="s">
        <v>3564</v>
      </c>
      <c r="T169" s="624"/>
    </row>
    <row r="170" spans="1:20" ht="24.95" customHeight="1">
      <c r="A170" s="621">
        <v>9</v>
      </c>
      <c r="B170" s="623" t="s">
        <v>526</v>
      </c>
      <c r="C170" s="623" t="s">
        <v>3724</v>
      </c>
      <c r="D170" s="623" t="s">
        <v>161</v>
      </c>
      <c r="E170" s="158">
        <v>122</v>
      </c>
      <c r="F170" s="158">
        <v>7.8</v>
      </c>
      <c r="G170" s="623" t="s">
        <v>32</v>
      </c>
      <c r="H170" s="623" t="s">
        <v>33</v>
      </c>
      <c r="I170" s="623" t="s">
        <v>34</v>
      </c>
      <c r="J170" s="623" t="s">
        <v>34</v>
      </c>
      <c r="K170" s="623" t="s">
        <v>34</v>
      </c>
      <c r="L170" s="624"/>
      <c r="M170" s="158">
        <v>2025.2</v>
      </c>
      <c r="N170" s="622">
        <v>2016.5</v>
      </c>
      <c r="O170" s="623" t="s">
        <v>3561</v>
      </c>
      <c r="P170" s="623" t="s">
        <v>3720</v>
      </c>
      <c r="Q170" s="623">
        <v>13920821940</v>
      </c>
      <c r="R170" s="624"/>
      <c r="S170" s="623" t="s">
        <v>3564</v>
      </c>
      <c r="T170" s="624"/>
    </row>
    <row r="171" spans="1:20" ht="24.95" customHeight="1">
      <c r="A171" s="621">
        <v>10</v>
      </c>
      <c r="B171" s="623" t="s">
        <v>526</v>
      </c>
      <c r="C171" s="623" t="s">
        <v>3725</v>
      </c>
      <c r="D171" s="623" t="s">
        <v>161</v>
      </c>
      <c r="E171" s="158">
        <v>16</v>
      </c>
      <c r="F171" s="158">
        <v>0.8</v>
      </c>
      <c r="G171" s="623" t="s">
        <v>32</v>
      </c>
      <c r="H171" s="623" t="s">
        <v>33</v>
      </c>
      <c r="I171" s="623" t="s">
        <v>34</v>
      </c>
      <c r="J171" s="623" t="s">
        <v>34</v>
      </c>
      <c r="K171" s="623" t="s">
        <v>34</v>
      </c>
      <c r="L171" s="624"/>
      <c r="M171" s="158">
        <v>49.15</v>
      </c>
      <c r="N171" s="622">
        <v>2016.5</v>
      </c>
      <c r="O171" s="623" t="s">
        <v>3561</v>
      </c>
      <c r="P171" s="623" t="s">
        <v>3720</v>
      </c>
      <c r="Q171" s="623">
        <v>13920821940</v>
      </c>
      <c r="R171" s="624"/>
      <c r="S171" s="623" t="s">
        <v>3564</v>
      </c>
      <c r="T171" s="624"/>
    </row>
    <row r="172" spans="1:20" ht="24.95" customHeight="1">
      <c r="A172" s="621">
        <v>11</v>
      </c>
      <c r="B172" s="623" t="s">
        <v>526</v>
      </c>
      <c r="C172" s="623" t="s">
        <v>3726</v>
      </c>
      <c r="D172" s="623" t="s">
        <v>161</v>
      </c>
      <c r="E172" s="158">
        <v>36</v>
      </c>
      <c r="F172" s="158">
        <v>1.4</v>
      </c>
      <c r="G172" s="623" t="s">
        <v>32</v>
      </c>
      <c r="H172" s="623" t="s">
        <v>33</v>
      </c>
      <c r="I172" s="623" t="s">
        <v>34</v>
      </c>
      <c r="J172" s="623" t="s">
        <v>34</v>
      </c>
      <c r="K172" s="623" t="s">
        <v>34</v>
      </c>
      <c r="L172" s="624"/>
      <c r="M172" s="158">
        <v>430.73999999999899</v>
      </c>
      <c r="N172" s="622">
        <v>2016.5</v>
      </c>
      <c r="O172" s="623" t="s">
        <v>3561</v>
      </c>
      <c r="P172" s="623" t="s">
        <v>3720</v>
      </c>
      <c r="Q172" s="623">
        <v>13920821940</v>
      </c>
      <c r="R172" s="624"/>
      <c r="S172" s="623" t="s">
        <v>3564</v>
      </c>
      <c r="T172" s="624"/>
    </row>
    <row r="173" spans="1:20" ht="24.95" customHeight="1">
      <c r="A173" s="621">
        <v>12</v>
      </c>
      <c r="B173" s="691" t="s">
        <v>526</v>
      </c>
      <c r="C173" s="691" t="s">
        <v>3727</v>
      </c>
      <c r="D173" s="691" t="s">
        <v>62</v>
      </c>
      <c r="E173" s="692"/>
      <c r="F173" s="158">
        <v>34.209000000000003</v>
      </c>
      <c r="G173" s="623" t="s">
        <v>32</v>
      </c>
      <c r="H173" s="623" t="s">
        <v>33</v>
      </c>
      <c r="I173" s="623" t="s">
        <v>34</v>
      </c>
      <c r="J173" s="623" t="s">
        <v>34</v>
      </c>
      <c r="K173" s="623" t="s">
        <v>34</v>
      </c>
      <c r="L173" s="624"/>
      <c r="M173" s="158">
        <v>83127.87</v>
      </c>
      <c r="N173" s="622" t="s">
        <v>3621</v>
      </c>
      <c r="O173" s="623" t="s">
        <v>3728</v>
      </c>
      <c r="P173" s="623" t="s">
        <v>3729</v>
      </c>
      <c r="Q173" s="623">
        <v>13820997044</v>
      </c>
      <c r="R173" s="632" t="s">
        <v>1376</v>
      </c>
      <c r="S173" s="623" t="s">
        <v>3564</v>
      </c>
      <c r="T173" s="624"/>
    </row>
    <row r="174" spans="1:20" ht="24.95" customHeight="1">
      <c r="A174" s="621">
        <v>13</v>
      </c>
      <c r="B174" s="691" t="s">
        <v>526</v>
      </c>
      <c r="C174" s="691" t="s">
        <v>3730</v>
      </c>
      <c r="D174" s="691" t="s">
        <v>62</v>
      </c>
      <c r="E174" s="692"/>
      <c r="F174" s="693">
        <v>4.9189999999999996</v>
      </c>
      <c r="G174" s="623" t="s">
        <v>32</v>
      </c>
      <c r="H174" s="623" t="s">
        <v>33</v>
      </c>
      <c r="I174" s="623" t="s">
        <v>34</v>
      </c>
      <c r="J174" s="623" t="s">
        <v>34</v>
      </c>
      <c r="K174" s="623" t="s">
        <v>34</v>
      </c>
      <c r="L174" s="624"/>
      <c r="M174" s="694">
        <v>11953.17</v>
      </c>
      <c r="N174" s="622">
        <v>2018.3</v>
      </c>
      <c r="O174" s="623" t="s">
        <v>3728</v>
      </c>
      <c r="P174" s="623" t="s">
        <v>3729</v>
      </c>
      <c r="Q174" s="623">
        <v>13820997044</v>
      </c>
      <c r="R174" s="632" t="s">
        <v>1376</v>
      </c>
      <c r="S174" s="623" t="s">
        <v>3564</v>
      </c>
      <c r="T174" s="624"/>
    </row>
    <row r="175" spans="1:20" ht="24.95" customHeight="1">
      <c r="A175" s="621">
        <v>14</v>
      </c>
      <c r="B175" s="691" t="s">
        <v>526</v>
      </c>
      <c r="C175" s="691" t="s">
        <v>2752</v>
      </c>
      <c r="D175" s="691" t="s">
        <v>62</v>
      </c>
      <c r="E175" s="692"/>
      <c r="F175" s="693">
        <v>0.96699999999999997</v>
      </c>
      <c r="G175" s="623" t="s">
        <v>32</v>
      </c>
      <c r="H175" s="623" t="s">
        <v>33</v>
      </c>
      <c r="I175" s="623" t="s">
        <v>34</v>
      </c>
      <c r="J175" s="623" t="s">
        <v>34</v>
      </c>
      <c r="K175" s="623" t="s">
        <v>34</v>
      </c>
      <c r="L175" s="624"/>
      <c r="M175" s="694">
        <v>986.92</v>
      </c>
      <c r="N175" s="622">
        <v>2018.3</v>
      </c>
      <c r="O175" s="623" t="s">
        <v>3728</v>
      </c>
      <c r="P175" s="623" t="s">
        <v>3729</v>
      </c>
      <c r="Q175" s="623">
        <v>13820997044</v>
      </c>
      <c r="R175" s="632" t="s">
        <v>1376</v>
      </c>
      <c r="S175" s="623" t="s">
        <v>3564</v>
      </c>
      <c r="T175" s="624"/>
    </row>
    <row r="176" spans="1:20" ht="24.95" customHeight="1">
      <c r="A176" s="621">
        <v>15</v>
      </c>
      <c r="B176" s="691" t="s">
        <v>526</v>
      </c>
      <c r="C176" s="691" t="s">
        <v>3731</v>
      </c>
      <c r="D176" s="691" t="s">
        <v>62</v>
      </c>
      <c r="E176" s="692"/>
      <c r="F176" s="693">
        <v>24</v>
      </c>
      <c r="G176" s="623" t="s">
        <v>32</v>
      </c>
      <c r="H176" s="623" t="s">
        <v>33</v>
      </c>
      <c r="I176" s="623" t="s">
        <v>34</v>
      </c>
      <c r="J176" s="623" t="s">
        <v>34</v>
      </c>
      <c r="K176" s="623" t="s">
        <v>34</v>
      </c>
      <c r="L176" s="624"/>
      <c r="M176" s="694">
        <v>15854.4</v>
      </c>
      <c r="N176" s="622">
        <v>2018.3</v>
      </c>
      <c r="O176" s="623" t="s">
        <v>3728</v>
      </c>
      <c r="P176" s="623" t="s">
        <v>3729</v>
      </c>
      <c r="Q176" s="623">
        <v>13820997044</v>
      </c>
      <c r="R176" s="632" t="s">
        <v>1376</v>
      </c>
      <c r="S176" s="623" t="s">
        <v>3564</v>
      </c>
      <c r="T176" s="624"/>
    </row>
    <row r="177" spans="1:20" ht="24.95" customHeight="1">
      <c r="A177" s="621">
        <v>16</v>
      </c>
      <c r="B177" s="691" t="s">
        <v>526</v>
      </c>
      <c r="C177" s="691" t="s">
        <v>2752</v>
      </c>
      <c r="D177" s="691" t="s">
        <v>62</v>
      </c>
      <c r="E177" s="692"/>
      <c r="F177" s="693">
        <v>10.007</v>
      </c>
      <c r="G177" s="623" t="s">
        <v>32</v>
      </c>
      <c r="H177" s="623" t="s">
        <v>33</v>
      </c>
      <c r="I177" s="623" t="s">
        <v>34</v>
      </c>
      <c r="J177" s="623" t="s">
        <v>34</v>
      </c>
      <c r="K177" s="623" t="s">
        <v>34</v>
      </c>
      <c r="L177" s="624"/>
      <c r="M177" s="694">
        <v>10284.58</v>
      </c>
      <c r="N177" s="622">
        <v>2018.3</v>
      </c>
      <c r="O177" s="623" t="s">
        <v>3728</v>
      </c>
      <c r="P177" s="623" t="s">
        <v>3729</v>
      </c>
      <c r="Q177" s="623">
        <v>13820997044</v>
      </c>
      <c r="R177" s="632" t="s">
        <v>1376</v>
      </c>
      <c r="S177" s="623" t="s">
        <v>3564</v>
      </c>
      <c r="T177" s="624"/>
    </row>
    <row r="178" spans="1:20" ht="24.95" customHeight="1">
      <c r="A178" s="621">
        <v>17</v>
      </c>
      <c r="B178" s="691" t="s">
        <v>526</v>
      </c>
      <c r="C178" s="691" t="s">
        <v>3732</v>
      </c>
      <c r="D178" s="691" t="s">
        <v>62</v>
      </c>
      <c r="E178" s="692"/>
      <c r="F178" s="693">
        <v>10.288</v>
      </c>
      <c r="G178" s="623" t="s">
        <v>32</v>
      </c>
      <c r="H178" s="623" t="s">
        <v>33</v>
      </c>
      <c r="I178" s="623" t="s">
        <v>34</v>
      </c>
      <c r="J178" s="623" t="s">
        <v>34</v>
      </c>
      <c r="K178" s="623" t="s">
        <v>34</v>
      </c>
      <c r="L178" s="624"/>
      <c r="M178" s="694">
        <v>13333.25</v>
      </c>
      <c r="N178" s="622">
        <v>2018.3</v>
      </c>
      <c r="O178" s="623" t="s">
        <v>3728</v>
      </c>
      <c r="P178" s="623" t="s">
        <v>3729</v>
      </c>
      <c r="Q178" s="623">
        <v>13820997044</v>
      </c>
      <c r="R178" s="632" t="s">
        <v>1376</v>
      </c>
      <c r="S178" s="623" t="s">
        <v>3564</v>
      </c>
      <c r="T178" s="624"/>
    </row>
    <row r="179" spans="1:20" ht="24.95" customHeight="1">
      <c r="A179" s="621">
        <v>18</v>
      </c>
      <c r="B179" s="691" t="s">
        <v>526</v>
      </c>
      <c r="C179" s="691" t="s">
        <v>3733</v>
      </c>
      <c r="D179" s="691" t="s">
        <v>62</v>
      </c>
      <c r="E179" s="692"/>
      <c r="F179" s="693">
        <v>21.876999999999999</v>
      </c>
      <c r="G179" s="623" t="s">
        <v>32</v>
      </c>
      <c r="H179" s="623" t="s">
        <v>33</v>
      </c>
      <c r="I179" s="623" t="s">
        <v>34</v>
      </c>
      <c r="J179" s="623" t="s">
        <v>34</v>
      </c>
      <c r="K179" s="623" t="s">
        <v>34</v>
      </c>
      <c r="L179" s="624"/>
      <c r="M179" s="694">
        <v>28352.59</v>
      </c>
      <c r="N179" s="622">
        <v>2018.3</v>
      </c>
      <c r="O179" s="623" t="s">
        <v>3728</v>
      </c>
      <c r="P179" s="623" t="s">
        <v>3729</v>
      </c>
      <c r="Q179" s="623">
        <v>13820997044</v>
      </c>
      <c r="R179" s="632" t="s">
        <v>1376</v>
      </c>
      <c r="S179" s="623" t="s">
        <v>3564</v>
      </c>
      <c r="T179" s="624"/>
    </row>
    <row r="180" spans="1:20" ht="24.95" customHeight="1">
      <c r="A180" s="621">
        <v>19</v>
      </c>
      <c r="B180" s="691" t="s">
        <v>890</v>
      </c>
      <c r="C180" s="691" t="s">
        <v>3734</v>
      </c>
      <c r="D180" s="691" t="s">
        <v>464</v>
      </c>
      <c r="E180" s="692"/>
      <c r="F180" s="693">
        <v>26</v>
      </c>
      <c r="G180" s="623" t="s">
        <v>32</v>
      </c>
      <c r="H180" s="623" t="s">
        <v>33</v>
      </c>
      <c r="I180" s="623" t="s">
        <v>34</v>
      </c>
      <c r="J180" s="623" t="s">
        <v>34</v>
      </c>
      <c r="K180" s="623" t="s">
        <v>34</v>
      </c>
      <c r="L180" s="624"/>
      <c r="M180" s="694">
        <v>52780</v>
      </c>
      <c r="N180" s="622">
        <v>2018.3</v>
      </c>
      <c r="O180" s="623" t="s">
        <v>3728</v>
      </c>
      <c r="P180" s="623" t="s">
        <v>3729</v>
      </c>
      <c r="Q180" s="623">
        <v>13820997044</v>
      </c>
      <c r="R180" s="632" t="s">
        <v>1376</v>
      </c>
      <c r="S180" s="623" t="s">
        <v>3564</v>
      </c>
      <c r="T180" s="624"/>
    </row>
    <row r="181" spans="1:20" s="662" customFormat="1" ht="24.95" customHeight="1">
      <c r="A181" s="621">
        <v>20</v>
      </c>
      <c r="B181" s="623" t="s">
        <v>3735</v>
      </c>
      <c r="C181" s="623" t="s">
        <v>3736</v>
      </c>
      <c r="D181" s="623" t="s">
        <v>31</v>
      </c>
      <c r="E181" s="158" t="s">
        <v>34</v>
      </c>
      <c r="F181" s="158">
        <v>244</v>
      </c>
      <c r="G181" s="623" t="s">
        <v>3560</v>
      </c>
      <c r="H181" s="623" t="s">
        <v>33</v>
      </c>
      <c r="I181" s="623" t="s">
        <v>34</v>
      </c>
      <c r="J181" s="623" t="s">
        <v>34</v>
      </c>
      <c r="K181" s="623" t="s">
        <v>34</v>
      </c>
      <c r="L181" s="624"/>
      <c r="M181" s="158">
        <v>0</v>
      </c>
      <c r="N181" s="622">
        <v>2010.6</v>
      </c>
      <c r="O181" s="623" t="s">
        <v>3561</v>
      </c>
      <c r="P181" s="623" t="s">
        <v>3562</v>
      </c>
      <c r="Q181" s="623">
        <v>15222256701</v>
      </c>
      <c r="R181" s="623" t="s">
        <v>3563</v>
      </c>
      <c r="S181" s="623" t="s">
        <v>3564</v>
      </c>
      <c r="T181" s="624"/>
    </row>
    <row r="182" spans="1:20" ht="24.95" customHeight="1">
      <c r="A182" s="621">
        <v>21</v>
      </c>
      <c r="B182" s="623" t="s">
        <v>526</v>
      </c>
      <c r="C182" s="623" t="s">
        <v>3737</v>
      </c>
      <c r="D182" s="623" t="s">
        <v>161</v>
      </c>
      <c r="E182" s="158">
        <v>3004</v>
      </c>
      <c r="F182" s="158">
        <v>240</v>
      </c>
      <c r="G182" s="623" t="s">
        <v>32</v>
      </c>
      <c r="H182" s="623" t="s">
        <v>33</v>
      </c>
      <c r="I182" s="623" t="s">
        <v>34</v>
      </c>
      <c r="J182" s="623" t="s">
        <v>34</v>
      </c>
      <c r="K182" s="623" t="s">
        <v>34</v>
      </c>
      <c r="L182" s="624"/>
      <c r="M182" s="158">
        <v>38767.129999999997</v>
      </c>
      <c r="N182" s="622">
        <v>2016.5</v>
      </c>
      <c r="O182" s="623" t="s">
        <v>3561</v>
      </c>
      <c r="P182" s="623" t="s">
        <v>3720</v>
      </c>
      <c r="Q182" s="623">
        <v>13920821940</v>
      </c>
      <c r="R182" s="624"/>
      <c r="S182" s="623" t="s">
        <v>3564</v>
      </c>
      <c r="T182" s="624"/>
    </row>
    <row r="183" spans="1:20" s="662" customFormat="1" ht="24.95" customHeight="1">
      <c r="A183" s="621">
        <v>22</v>
      </c>
      <c r="B183" s="623" t="s">
        <v>596</v>
      </c>
      <c r="C183" s="623" t="s">
        <v>3738</v>
      </c>
      <c r="D183" s="623" t="s">
        <v>62</v>
      </c>
      <c r="E183" s="158" t="s">
        <v>34</v>
      </c>
      <c r="F183" s="158">
        <v>35</v>
      </c>
      <c r="G183" s="623" t="s">
        <v>32</v>
      </c>
      <c r="H183" s="623" t="s">
        <v>33</v>
      </c>
      <c r="I183" s="623" t="s">
        <v>34</v>
      </c>
      <c r="J183" s="623" t="s">
        <v>34</v>
      </c>
      <c r="K183" s="623" t="s">
        <v>34</v>
      </c>
      <c r="L183" s="624"/>
      <c r="M183" s="158">
        <v>0</v>
      </c>
      <c r="N183" s="622">
        <v>2012.2</v>
      </c>
      <c r="O183" s="623" t="s">
        <v>3561</v>
      </c>
      <c r="P183" s="623" t="s">
        <v>3562</v>
      </c>
      <c r="Q183" s="623">
        <v>15222256701</v>
      </c>
      <c r="R183" s="623" t="s">
        <v>3563</v>
      </c>
      <c r="S183" s="623" t="s">
        <v>3564</v>
      </c>
      <c r="T183" s="624"/>
    </row>
    <row r="184" spans="1:20" ht="24.95" customHeight="1">
      <c r="A184" s="621">
        <v>23</v>
      </c>
      <c r="B184" s="623" t="s">
        <v>596</v>
      </c>
      <c r="C184" s="623" t="s">
        <v>3739</v>
      </c>
      <c r="D184" s="623" t="s">
        <v>62</v>
      </c>
      <c r="E184" s="158">
        <v>32</v>
      </c>
      <c r="F184" s="158" t="s">
        <v>34</v>
      </c>
      <c r="G184" s="623" t="s">
        <v>32</v>
      </c>
      <c r="H184" s="623" t="s">
        <v>33</v>
      </c>
      <c r="I184" s="623" t="s">
        <v>34</v>
      </c>
      <c r="J184" s="623" t="s">
        <v>34</v>
      </c>
      <c r="K184" s="623" t="s">
        <v>34</v>
      </c>
      <c r="L184" s="624"/>
      <c r="M184" s="242">
        <v>9100.7999999999993</v>
      </c>
      <c r="N184" s="622">
        <v>2016.5</v>
      </c>
      <c r="O184" s="623" t="s">
        <v>3740</v>
      </c>
      <c r="P184" s="623" t="s">
        <v>3572</v>
      </c>
      <c r="Q184" s="623">
        <v>13821637138</v>
      </c>
      <c r="R184" s="632" t="s">
        <v>3573</v>
      </c>
      <c r="S184" s="623" t="s">
        <v>3564</v>
      </c>
      <c r="T184" s="624"/>
    </row>
    <row r="185" spans="1:20" ht="24.95" customHeight="1">
      <c r="A185" s="621">
        <v>24</v>
      </c>
      <c r="B185" s="623" t="s">
        <v>593</v>
      </c>
      <c r="C185" s="623" t="s">
        <v>601</v>
      </c>
      <c r="D185" s="623" t="s">
        <v>62</v>
      </c>
      <c r="E185" s="158">
        <v>28.8</v>
      </c>
      <c r="F185" s="158" t="s">
        <v>34</v>
      </c>
      <c r="G185" s="623" t="s">
        <v>32</v>
      </c>
      <c r="H185" s="623" t="s">
        <v>33</v>
      </c>
      <c r="I185" s="623" t="s">
        <v>34</v>
      </c>
      <c r="J185" s="623" t="s">
        <v>34</v>
      </c>
      <c r="K185" s="623" t="s">
        <v>34</v>
      </c>
      <c r="L185" s="624"/>
      <c r="M185" s="242">
        <v>959.4</v>
      </c>
      <c r="N185" s="622">
        <v>2011.6</v>
      </c>
      <c r="O185" s="623" t="s">
        <v>3740</v>
      </c>
      <c r="P185" s="623" t="s">
        <v>3572</v>
      </c>
      <c r="Q185" s="623">
        <v>13821637138</v>
      </c>
      <c r="R185" s="632" t="s">
        <v>3573</v>
      </c>
      <c r="S185" s="623" t="s">
        <v>3564</v>
      </c>
      <c r="T185" s="624"/>
    </row>
    <row r="186" spans="1:20" ht="24.95" customHeight="1">
      <c r="A186" s="621">
        <v>25</v>
      </c>
      <c r="B186" s="623" t="s">
        <v>593</v>
      </c>
      <c r="C186" s="623" t="s">
        <v>3741</v>
      </c>
      <c r="D186" s="623" t="s">
        <v>161</v>
      </c>
      <c r="E186" s="158">
        <v>151.84</v>
      </c>
      <c r="F186" s="158">
        <v>2.5</v>
      </c>
      <c r="G186" s="623" t="s">
        <v>32</v>
      </c>
      <c r="H186" s="623" t="s">
        <v>33</v>
      </c>
      <c r="I186" s="623" t="s">
        <v>34</v>
      </c>
      <c r="J186" s="623" t="s">
        <v>34</v>
      </c>
      <c r="K186" s="623" t="s">
        <v>34</v>
      </c>
      <c r="L186" s="624"/>
      <c r="M186" s="158">
        <v>188.43</v>
      </c>
      <c r="N186" s="622">
        <v>2016.5</v>
      </c>
      <c r="O186" s="623" t="s">
        <v>3561</v>
      </c>
      <c r="P186" s="623" t="s">
        <v>3720</v>
      </c>
      <c r="Q186" s="623">
        <v>13920821940</v>
      </c>
      <c r="R186" s="624"/>
      <c r="S186" s="623" t="s">
        <v>3564</v>
      </c>
      <c r="T186" s="624"/>
    </row>
    <row r="187" spans="1:20" ht="24.95" customHeight="1">
      <c r="A187" s="621">
        <v>26</v>
      </c>
      <c r="B187" s="623" t="s">
        <v>514</v>
      </c>
      <c r="C187" s="623" t="s">
        <v>2597</v>
      </c>
      <c r="D187" s="623" t="s">
        <v>2084</v>
      </c>
      <c r="E187" s="158"/>
      <c r="F187" s="158">
        <v>15.6</v>
      </c>
      <c r="G187" s="623" t="s">
        <v>3560</v>
      </c>
      <c r="H187" s="623" t="s">
        <v>33</v>
      </c>
      <c r="I187" s="623"/>
      <c r="J187" s="623"/>
      <c r="K187" s="623"/>
      <c r="L187" s="624"/>
      <c r="M187" s="158">
        <v>2533.1999999999998</v>
      </c>
      <c r="N187" s="622"/>
      <c r="O187" s="623" t="s">
        <v>3742</v>
      </c>
      <c r="P187" s="623" t="s">
        <v>3572</v>
      </c>
      <c r="Q187" s="623">
        <v>13821637138</v>
      </c>
      <c r="R187" s="632" t="s">
        <v>3573</v>
      </c>
      <c r="S187" s="623" t="s">
        <v>3564</v>
      </c>
      <c r="T187" s="624"/>
    </row>
    <row r="188" spans="1:20" ht="24.95" customHeight="1">
      <c r="A188" s="621">
        <v>27</v>
      </c>
      <c r="B188" s="695" t="s">
        <v>514</v>
      </c>
      <c r="C188" s="695" t="s">
        <v>3743</v>
      </c>
      <c r="D188" s="695" t="s">
        <v>62</v>
      </c>
      <c r="E188" s="696"/>
      <c r="F188" s="696">
        <v>50</v>
      </c>
      <c r="G188" s="697" t="s">
        <v>32</v>
      </c>
      <c r="H188" s="695" t="s">
        <v>33</v>
      </c>
      <c r="I188" s="623" t="s">
        <v>34</v>
      </c>
      <c r="J188" s="623" t="s">
        <v>34</v>
      </c>
      <c r="K188" s="623" t="s">
        <v>34</v>
      </c>
      <c r="L188" s="616"/>
      <c r="M188" s="158">
        <v>0</v>
      </c>
      <c r="N188" s="622" t="s">
        <v>3707</v>
      </c>
      <c r="O188" s="616" t="s">
        <v>3643</v>
      </c>
      <c r="P188" s="615" t="s">
        <v>3652</v>
      </c>
      <c r="Q188" s="623">
        <v>18519748334</v>
      </c>
      <c r="R188" s="616" t="s">
        <v>3645</v>
      </c>
      <c r="S188" s="623" t="s">
        <v>3564</v>
      </c>
      <c r="T188" s="620"/>
    </row>
    <row r="189" spans="1:20" ht="24.95" customHeight="1">
      <c r="A189" s="621">
        <v>28</v>
      </c>
      <c r="B189" s="623" t="s">
        <v>514</v>
      </c>
      <c r="C189" s="623" t="s">
        <v>3744</v>
      </c>
      <c r="D189" s="623" t="s">
        <v>31</v>
      </c>
      <c r="E189" s="158">
        <v>100</v>
      </c>
      <c r="F189" s="158">
        <v>188.4</v>
      </c>
      <c r="G189" s="623" t="s">
        <v>3560</v>
      </c>
      <c r="H189" s="623" t="s">
        <v>33</v>
      </c>
      <c r="I189" s="623" t="s">
        <v>34</v>
      </c>
      <c r="J189" s="623" t="s">
        <v>34</v>
      </c>
      <c r="K189" s="623" t="s">
        <v>34</v>
      </c>
      <c r="L189" s="624"/>
      <c r="M189" s="158">
        <v>30520.799999999999</v>
      </c>
      <c r="N189" s="622">
        <v>42495</v>
      </c>
      <c r="O189" s="623" t="s">
        <v>3574</v>
      </c>
      <c r="P189" s="623" t="s">
        <v>3575</v>
      </c>
      <c r="Q189" s="623">
        <v>18788803170</v>
      </c>
      <c r="R189" s="632" t="s">
        <v>3576</v>
      </c>
      <c r="S189" s="623" t="s">
        <v>3564</v>
      </c>
      <c r="T189" s="624"/>
    </row>
    <row r="190" spans="1:20" ht="24.95" customHeight="1">
      <c r="A190" s="621">
        <v>29</v>
      </c>
      <c r="B190" s="623" t="s">
        <v>514</v>
      </c>
      <c r="C190" s="623" t="s">
        <v>3744</v>
      </c>
      <c r="D190" s="623" t="s">
        <v>31</v>
      </c>
      <c r="E190" s="158">
        <v>100</v>
      </c>
      <c r="F190" s="158">
        <v>188.4</v>
      </c>
      <c r="G190" s="623" t="s">
        <v>3560</v>
      </c>
      <c r="H190" s="623" t="s">
        <v>33</v>
      </c>
      <c r="I190" s="623" t="s">
        <v>34</v>
      </c>
      <c r="J190" s="623" t="s">
        <v>34</v>
      </c>
      <c r="K190" s="623" t="s">
        <v>34</v>
      </c>
      <c r="L190" s="624"/>
      <c r="M190" s="158">
        <v>29578.799999999999</v>
      </c>
      <c r="N190" s="622">
        <v>42517</v>
      </c>
      <c r="O190" s="623" t="s">
        <v>3574</v>
      </c>
      <c r="P190" s="623" t="s">
        <v>3575</v>
      </c>
      <c r="Q190" s="623">
        <v>18788803170</v>
      </c>
      <c r="R190" s="632" t="s">
        <v>3576</v>
      </c>
      <c r="S190" s="623" t="s">
        <v>3564</v>
      </c>
      <c r="T190" s="624"/>
    </row>
    <row r="191" spans="1:20" ht="24.95" customHeight="1">
      <c r="A191" s="621">
        <v>30</v>
      </c>
      <c r="B191" s="1875" t="s">
        <v>513</v>
      </c>
      <c r="C191" s="623" t="s">
        <v>3745</v>
      </c>
      <c r="D191" s="623" t="s">
        <v>62</v>
      </c>
      <c r="E191" s="158">
        <v>72.66</v>
      </c>
      <c r="F191" s="158" t="s">
        <v>34</v>
      </c>
      <c r="G191" s="623" t="s">
        <v>3560</v>
      </c>
      <c r="H191" s="623" t="s">
        <v>33</v>
      </c>
      <c r="I191" s="623" t="s">
        <v>34</v>
      </c>
      <c r="J191" s="623" t="s">
        <v>34</v>
      </c>
      <c r="K191" s="623" t="s">
        <v>34</v>
      </c>
      <c r="L191" s="624"/>
      <c r="M191" s="158">
        <v>16351.3</v>
      </c>
      <c r="N191" s="622">
        <v>42450</v>
      </c>
      <c r="O191" s="623" t="s">
        <v>3574</v>
      </c>
      <c r="P191" s="623" t="s">
        <v>3575</v>
      </c>
      <c r="Q191" s="623">
        <v>18788803170</v>
      </c>
      <c r="R191" s="632" t="s">
        <v>3576</v>
      </c>
      <c r="S191" s="623" t="s">
        <v>3564</v>
      </c>
      <c r="T191" s="624"/>
    </row>
    <row r="192" spans="1:20" ht="24.95" customHeight="1">
      <c r="A192" s="621">
        <v>31</v>
      </c>
      <c r="B192" s="1875"/>
      <c r="C192" s="623" t="s">
        <v>3746</v>
      </c>
      <c r="D192" s="623" t="s">
        <v>62</v>
      </c>
      <c r="E192" s="158">
        <v>9.82</v>
      </c>
      <c r="F192" s="158" t="s">
        <v>34</v>
      </c>
      <c r="G192" s="623" t="s">
        <v>3560</v>
      </c>
      <c r="H192" s="623" t="s">
        <v>33</v>
      </c>
      <c r="I192" s="623" t="s">
        <v>34</v>
      </c>
      <c r="J192" s="623" t="s">
        <v>34</v>
      </c>
      <c r="K192" s="623" t="s">
        <v>34</v>
      </c>
      <c r="L192" s="624"/>
      <c r="M192" s="158"/>
      <c r="N192" s="622"/>
      <c r="O192" s="623" t="s">
        <v>3574</v>
      </c>
      <c r="P192" s="623" t="s">
        <v>3575</v>
      </c>
      <c r="Q192" s="623">
        <v>18788803170</v>
      </c>
      <c r="R192" s="632" t="s">
        <v>3576</v>
      </c>
      <c r="S192" s="623" t="s">
        <v>3564</v>
      </c>
      <c r="T192" s="624"/>
    </row>
    <row r="193" spans="1:20" ht="24.95" customHeight="1">
      <c r="A193" s="621">
        <v>32</v>
      </c>
      <c r="B193" s="1875"/>
      <c r="C193" s="623" t="s">
        <v>3747</v>
      </c>
      <c r="D193" s="623" t="s">
        <v>62</v>
      </c>
      <c r="E193" s="158">
        <v>10.56</v>
      </c>
      <c r="F193" s="158" t="s">
        <v>34</v>
      </c>
      <c r="G193" s="623" t="s">
        <v>3560</v>
      </c>
      <c r="H193" s="623" t="s">
        <v>33</v>
      </c>
      <c r="I193" s="623" t="s">
        <v>34</v>
      </c>
      <c r="J193" s="623" t="s">
        <v>34</v>
      </c>
      <c r="K193" s="623" t="s">
        <v>34</v>
      </c>
      <c r="L193" s="624"/>
      <c r="M193" s="158"/>
      <c r="N193" s="622"/>
      <c r="O193" s="623" t="s">
        <v>3574</v>
      </c>
      <c r="P193" s="623" t="s">
        <v>3575</v>
      </c>
      <c r="Q193" s="623">
        <v>18788803170</v>
      </c>
      <c r="R193" s="632" t="s">
        <v>3576</v>
      </c>
      <c r="S193" s="623" t="s">
        <v>3564</v>
      </c>
      <c r="T193" s="624"/>
    </row>
    <row r="194" spans="1:20" ht="24.95" customHeight="1">
      <c r="A194" s="621">
        <v>33</v>
      </c>
      <c r="B194" s="1875"/>
      <c r="C194" s="623" t="s">
        <v>3748</v>
      </c>
      <c r="D194" s="623" t="s">
        <v>888</v>
      </c>
      <c r="E194" s="158">
        <v>1800</v>
      </c>
      <c r="F194" s="158">
        <v>78.84</v>
      </c>
      <c r="G194" s="623" t="s">
        <v>3560</v>
      </c>
      <c r="H194" s="623" t="s">
        <v>33</v>
      </c>
      <c r="I194" s="623" t="s">
        <v>34</v>
      </c>
      <c r="J194" s="623" t="s">
        <v>34</v>
      </c>
      <c r="K194" s="623" t="s">
        <v>34</v>
      </c>
      <c r="L194" s="624"/>
      <c r="M194" s="158"/>
      <c r="N194" s="622"/>
      <c r="O194" s="623" t="s">
        <v>3574</v>
      </c>
      <c r="P194" s="623" t="s">
        <v>3575</v>
      </c>
      <c r="Q194" s="623">
        <v>18788803170</v>
      </c>
      <c r="R194" s="632" t="s">
        <v>3576</v>
      </c>
      <c r="S194" s="623" t="s">
        <v>3564</v>
      </c>
      <c r="T194" s="624"/>
    </row>
    <row r="195" spans="1:20" ht="24.95" customHeight="1">
      <c r="A195" s="621">
        <v>34</v>
      </c>
      <c r="B195" s="1875" t="s">
        <v>514</v>
      </c>
      <c r="C195" s="623" t="s">
        <v>3749</v>
      </c>
      <c r="D195" s="623" t="s">
        <v>62</v>
      </c>
      <c r="E195" s="158">
        <v>169.56</v>
      </c>
      <c r="F195" s="158" t="s">
        <v>34</v>
      </c>
      <c r="G195" s="623" t="s">
        <v>3560</v>
      </c>
      <c r="H195" s="623" t="s">
        <v>33</v>
      </c>
      <c r="I195" s="623" t="s">
        <v>34</v>
      </c>
      <c r="J195" s="623" t="s">
        <v>34</v>
      </c>
      <c r="K195" s="623" t="s">
        <v>34</v>
      </c>
      <c r="L195" s="624"/>
      <c r="M195" s="158">
        <v>36214.175000000003</v>
      </c>
      <c r="N195" s="622">
        <v>42450</v>
      </c>
      <c r="O195" s="623" t="s">
        <v>3574</v>
      </c>
      <c r="P195" s="623" t="s">
        <v>3575</v>
      </c>
      <c r="Q195" s="623">
        <v>18788803170</v>
      </c>
      <c r="R195" s="632" t="s">
        <v>3576</v>
      </c>
      <c r="S195" s="623" t="s">
        <v>3564</v>
      </c>
      <c r="T195" s="624"/>
    </row>
    <row r="196" spans="1:20" ht="24.95" customHeight="1">
      <c r="A196" s="621">
        <v>35</v>
      </c>
      <c r="B196" s="1875"/>
      <c r="C196" s="623" t="s">
        <v>3750</v>
      </c>
      <c r="D196" s="623" t="s">
        <v>62</v>
      </c>
      <c r="E196" s="158">
        <v>67.91</v>
      </c>
      <c r="F196" s="158" t="s">
        <v>34</v>
      </c>
      <c r="G196" s="623" t="s">
        <v>3560</v>
      </c>
      <c r="H196" s="623" t="s">
        <v>33</v>
      </c>
      <c r="I196" s="623" t="s">
        <v>34</v>
      </c>
      <c r="J196" s="623" t="s">
        <v>34</v>
      </c>
      <c r="K196" s="623" t="s">
        <v>34</v>
      </c>
      <c r="L196" s="624"/>
      <c r="M196" s="158"/>
      <c r="N196" s="622"/>
      <c r="O196" s="623" t="s">
        <v>3574</v>
      </c>
      <c r="P196" s="623" t="s">
        <v>3575</v>
      </c>
      <c r="Q196" s="623">
        <v>18788803170</v>
      </c>
      <c r="R196" s="632" t="s">
        <v>3576</v>
      </c>
      <c r="S196" s="623" t="s">
        <v>3564</v>
      </c>
      <c r="T196" s="624"/>
    </row>
    <row r="197" spans="1:20" ht="24.95" customHeight="1">
      <c r="A197" s="621">
        <v>36</v>
      </c>
      <c r="B197" s="623" t="s">
        <v>514</v>
      </c>
      <c r="C197" s="623" t="s">
        <v>378</v>
      </c>
      <c r="D197" s="623" t="s">
        <v>2084</v>
      </c>
      <c r="E197" s="158" t="s">
        <v>34</v>
      </c>
      <c r="F197" s="158">
        <v>22</v>
      </c>
      <c r="G197" s="623" t="s">
        <v>3560</v>
      </c>
      <c r="H197" s="623" t="s">
        <v>33</v>
      </c>
      <c r="I197" s="623" t="s">
        <v>34</v>
      </c>
      <c r="J197" s="623" t="s">
        <v>34</v>
      </c>
      <c r="K197" s="623" t="s">
        <v>34</v>
      </c>
      <c r="L197" s="624"/>
      <c r="M197" s="158">
        <v>0</v>
      </c>
      <c r="N197" s="622">
        <v>2016.5</v>
      </c>
      <c r="O197" s="623" t="s">
        <v>3751</v>
      </c>
      <c r="P197" s="623" t="s">
        <v>3752</v>
      </c>
      <c r="Q197" s="623">
        <v>18526538836</v>
      </c>
      <c r="R197" s="632" t="s">
        <v>3753</v>
      </c>
      <c r="S197" s="623" t="s">
        <v>3564</v>
      </c>
      <c r="T197" s="624"/>
    </row>
    <row r="198" spans="1:20" ht="24.95" customHeight="1">
      <c r="A198" s="621">
        <v>37</v>
      </c>
      <c r="B198" s="1875" t="s">
        <v>3754</v>
      </c>
      <c r="C198" s="623" t="s">
        <v>3755</v>
      </c>
      <c r="D198" s="623" t="s">
        <v>62</v>
      </c>
      <c r="E198" s="158">
        <v>239.74700000000001</v>
      </c>
      <c r="F198" s="158" t="s">
        <v>34</v>
      </c>
      <c r="G198" s="623" t="s">
        <v>3560</v>
      </c>
      <c r="H198" s="623" t="s">
        <v>33</v>
      </c>
      <c r="I198" s="623" t="s">
        <v>34</v>
      </c>
      <c r="J198" s="623" t="s">
        <v>34</v>
      </c>
      <c r="K198" s="623" t="s">
        <v>34</v>
      </c>
      <c r="L198" s="624"/>
      <c r="M198" s="1876">
        <v>943203.79500000004</v>
      </c>
      <c r="N198" s="622">
        <v>42556</v>
      </c>
      <c r="O198" s="623" t="s">
        <v>3574</v>
      </c>
      <c r="P198" s="623" t="s">
        <v>3575</v>
      </c>
      <c r="Q198" s="623">
        <v>18788803170</v>
      </c>
      <c r="R198" s="632" t="s">
        <v>3576</v>
      </c>
      <c r="S198" s="623" t="s">
        <v>3564</v>
      </c>
      <c r="T198" s="624"/>
    </row>
    <row r="199" spans="1:20" ht="24.95" customHeight="1">
      <c r="A199" s="621">
        <v>38</v>
      </c>
      <c r="B199" s="1875"/>
      <c r="C199" s="623" t="s">
        <v>3756</v>
      </c>
      <c r="D199" s="623" t="s">
        <v>62</v>
      </c>
      <c r="E199" s="158">
        <v>99.123999999999995</v>
      </c>
      <c r="F199" s="158" t="s">
        <v>34</v>
      </c>
      <c r="G199" s="623" t="s">
        <v>3560</v>
      </c>
      <c r="H199" s="623" t="s">
        <v>33</v>
      </c>
      <c r="I199" s="623" t="s">
        <v>34</v>
      </c>
      <c r="J199" s="623" t="s">
        <v>34</v>
      </c>
      <c r="K199" s="623" t="s">
        <v>34</v>
      </c>
      <c r="L199" s="624"/>
      <c r="M199" s="1876"/>
      <c r="N199" s="622"/>
      <c r="O199" s="623" t="s">
        <v>3574</v>
      </c>
      <c r="P199" s="623" t="s">
        <v>3575</v>
      </c>
      <c r="Q199" s="623">
        <v>18788803170</v>
      </c>
      <c r="R199" s="632" t="s">
        <v>3576</v>
      </c>
      <c r="S199" s="623" t="s">
        <v>3564</v>
      </c>
      <c r="T199" s="624"/>
    </row>
    <row r="200" spans="1:20" ht="24.95" customHeight="1">
      <c r="A200" s="621">
        <v>39</v>
      </c>
      <c r="B200" s="1875"/>
      <c r="C200" s="623" t="s">
        <v>2745</v>
      </c>
      <c r="D200" s="623" t="s">
        <v>62</v>
      </c>
      <c r="E200" s="158">
        <v>128.583</v>
      </c>
      <c r="F200" s="158" t="s">
        <v>34</v>
      </c>
      <c r="G200" s="623" t="s">
        <v>3560</v>
      </c>
      <c r="H200" s="623" t="s">
        <v>33</v>
      </c>
      <c r="I200" s="623" t="s">
        <v>34</v>
      </c>
      <c r="J200" s="623" t="s">
        <v>34</v>
      </c>
      <c r="K200" s="623" t="s">
        <v>34</v>
      </c>
      <c r="L200" s="624"/>
      <c r="M200" s="1876"/>
      <c r="N200" s="622"/>
      <c r="O200" s="623" t="s">
        <v>3574</v>
      </c>
      <c r="P200" s="623" t="s">
        <v>3575</v>
      </c>
      <c r="Q200" s="623">
        <v>18788803170</v>
      </c>
      <c r="R200" s="632" t="s">
        <v>3576</v>
      </c>
      <c r="S200" s="623" t="s">
        <v>3564</v>
      </c>
      <c r="T200" s="624"/>
    </row>
    <row r="201" spans="1:20" ht="24.95" customHeight="1">
      <c r="A201" s="621">
        <v>40</v>
      </c>
      <c r="B201" s="1875"/>
      <c r="C201" s="623" t="s">
        <v>3757</v>
      </c>
      <c r="D201" s="623" t="s">
        <v>62</v>
      </c>
      <c r="E201" s="158">
        <v>141.64099999999999</v>
      </c>
      <c r="F201" s="158" t="s">
        <v>34</v>
      </c>
      <c r="G201" s="623" t="s">
        <v>3560</v>
      </c>
      <c r="H201" s="623" t="s">
        <v>33</v>
      </c>
      <c r="I201" s="623" t="s">
        <v>34</v>
      </c>
      <c r="J201" s="623" t="s">
        <v>34</v>
      </c>
      <c r="K201" s="623" t="s">
        <v>34</v>
      </c>
      <c r="L201" s="624"/>
      <c r="M201" s="1876"/>
      <c r="N201" s="622"/>
      <c r="O201" s="623" t="s">
        <v>3574</v>
      </c>
      <c r="P201" s="623" t="s">
        <v>3575</v>
      </c>
      <c r="Q201" s="623">
        <v>18788803170</v>
      </c>
      <c r="R201" s="632" t="s">
        <v>3576</v>
      </c>
      <c r="S201" s="623" t="s">
        <v>3564</v>
      </c>
      <c r="T201" s="624"/>
    </row>
    <row r="202" spans="1:20" ht="24.95" customHeight="1">
      <c r="A202" s="621">
        <v>41</v>
      </c>
      <c r="B202" s="1875"/>
      <c r="C202" s="623" t="s">
        <v>3758</v>
      </c>
      <c r="D202" s="623" t="s">
        <v>62</v>
      </c>
      <c r="E202" s="158">
        <v>46.2624</v>
      </c>
      <c r="F202" s="158" t="s">
        <v>34</v>
      </c>
      <c r="G202" s="623" t="s">
        <v>3560</v>
      </c>
      <c r="H202" s="623" t="s">
        <v>33</v>
      </c>
      <c r="I202" s="623" t="s">
        <v>34</v>
      </c>
      <c r="J202" s="623" t="s">
        <v>34</v>
      </c>
      <c r="K202" s="623" t="s">
        <v>34</v>
      </c>
      <c r="L202" s="624"/>
      <c r="M202" s="1876"/>
      <c r="N202" s="622"/>
      <c r="O202" s="623" t="s">
        <v>3574</v>
      </c>
      <c r="P202" s="623" t="s">
        <v>3575</v>
      </c>
      <c r="Q202" s="623">
        <v>18788803170</v>
      </c>
      <c r="R202" s="632" t="s">
        <v>3576</v>
      </c>
      <c r="S202" s="623" t="s">
        <v>3564</v>
      </c>
      <c r="T202" s="624"/>
    </row>
    <row r="203" spans="1:20" ht="24.95" customHeight="1">
      <c r="A203" s="621">
        <v>42</v>
      </c>
      <c r="B203" s="1875"/>
      <c r="C203" s="623" t="s">
        <v>3759</v>
      </c>
      <c r="D203" s="623" t="s">
        <v>62</v>
      </c>
      <c r="E203" s="158">
        <v>6.54</v>
      </c>
      <c r="F203" s="158" t="s">
        <v>34</v>
      </c>
      <c r="G203" s="623" t="s">
        <v>3560</v>
      </c>
      <c r="H203" s="623" t="s">
        <v>33</v>
      </c>
      <c r="I203" s="623" t="s">
        <v>34</v>
      </c>
      <c r="J203" s="623" t="s">
        <v>34</v>
      </c>
      <c r="K203" s="623" t="s">
        <v>34</v>
      </c>
      <c r="L203" s="624"/>
      <c r="M203" s="1876"/>
      <c r="N203" s="622"/>
      <c r="O203" s="623" t="s">
        <v>3574</v>
      </c>
      <c r="P203" s="623" t="s">
        <v>3575</v>
      </c>
      <c r="Q203" s="623">
        <v>18788803170</v>
      </c>
      <c r="R203" s="632" t="s">
        <v>3576</v>
      </c>
      <c r="S203" s="623" t="s">
        <v>3564</v>
      </c>
      <c r="T203" s="624"/>
    </row>
    <row r="204" spans="1:20" s="662" customFormat="1" ht="24.95" customHeight="1">
      <c r="A204" s="621">
        <v>43</v>
      </c>
      <c r="B204" s="659" t="s">
        <v>890</v>
      </c>
      <c r="C204" s="660"/>
      <c r="D204" s="624"/>
      <c r="E204" s="661"/>
      <c r="F204" s="661"/>
      <c r="G204" s="624"/>
      <c r="H204" s="624"/>
      <c r="I204" s="624"/>
      <c r="J204" s="624"/>
      <c r="K204" s="624"/>
      <c r="L204" s="624"/>
      <c r="M204" s="661"/>
      <c r="N204" s="622"/>
      <c r="O204" s="624"/>
      <c r="P204" s="624"/>
      <c r="Q204" s="624"/>
      <c r="R204" s="624"/>
      <c r="S204" s="624"/>
      <c r="T204" s="624"/>
    </row>
    <row r="205" spans="1:20" s="662" customFormat="1" ht="24.95" customHeight="1">
      <c r="A205" s="621">
        <v>44</v>
      </c>
      <c r="B205" s="659" t="s">
        <v>3717</v>
      </c>
      <c r="C205" s="660"/>
      <c r="D205" s="624"/>
      <c r="E205" s="661"/>
      <c r="F205" s="661"/>
      <c r="G205" s="624"/>
      <c r="H205" s="624"/>
      <c r="I205" s="624"/>
      <c r="J205" s="624"/>
      <c r="K205" s="624"/>
      <c r="L205" s="624"/>
      <c r="M205" s="661"/>
      <c r="N205" s="622"/>
      <c r="O205" s="624"/>
      <c r="P205" s="624"/>
      <c r="Q205" s="624"/>
      <c r="R205" s="624"/>
      <c r="S205" s="624"/>
      <c r="T205" s="624"/>
    </row>
    <row r="206" spans="1:20" s="662" customFormat="1" ht="24.95" customHeight="1">
      <c r="A206" s="621">
        <v>45</v>
      </c>
      <c r="B206" s="659" t="s">
        <v>981</v>
      </c>
      <c r="C206" s="660"/>
      <c r="D206" s="624"/>
      <c r="E206" s="661"/>
      <c r="F206" s="661"/>
      <c r="G206" s="624"/>
      <c r="H206" s="624"/>
      <c r="I206" s="624"/>
      <c r="J206" s="624"/>
      <c r="K206" s="624"/>
      <c r="L206" s="624"/>
      <c r="M206" s="661"/>
      <c r="N206" s="622"/>
      <c r="O206" s="624"/>
      <c r="P206" s="624"/>
      <c r="Q206" s="624"/>
      <c r="R206" s="624"/>
      <c r="S206" s="624"/>
      <c r="T206" s="624"/>
    </row>
    <row r="207" spans="1:20" s="662" customFormat="1" ht="24.95" customHeight="1">
      <c r="A207" s="621">
        <v>46</v>
      </c>
      <c r="B207" s="659" t="s">
        <v>3717</v>
      </c>
      <c r="C207" s="660"/>
      <c r="D207" s="624"/>
      <c r="E207" s="661"/>
      <c r="F207" s="661"/>
      <c r="G207" s="624"/>
      <c r="H207" s="624"/>
      <c r="I207" s="624"/>
      <c r="J207" s="624"/>
      <c r="K207" s="624"/>
      <c r="L207" s="624"/>
      <c r="M207" s="661"/>
      <c r="N207" s="622"/>
      <c r="O207" s="624"/>
      <c r="P207" s="624"/>
      <c r="Q207" s="624"/>
      <c r="R207" s="624"/>
      <c r="S207" s="624"/>
      <c r="T207" s="624"/>
    </row>
    <row r="208" spans="1:20" s="662" customFormat="1" ht="24.95" customHeight="1">
      <c r="A208" s="621">
        <v>47</v>
      </c>
      <c r="B208" s="659" t="s">
        <v>982</v>
      </c>
      <c r="C208" s="660"/>
      <c r="D208" s="624"/>
      <c r="E208" s="661"/>
      <c r="F208" s="661"/>
      <c r="G208" s="624"/>
      <c r="H208" s="624"/>
      <c r="I208" s="624"/>
      <c r="J208" s="624"/>
      <c r="K208" s="624"/>
      <c r="L208" s="624"/>
      <c r="M208" s="661"/>
      <c r="N208" s="622"/>
      <c r="O208" s="624"/>
      <c r="P208" s="624"/>
      <c r="Q208" s="624"/>
      <c r="R208" s="624"/>
      <c r="S208" s="624"/>
      <c r="T208" s="624"/>
    </row>
    <row r="209" spans="1:20" s="662" customFormat="1" ht="24.95" customHeight="1">
      <c r="A209" s="621">
        <v>48</v>
      </c>
      <c r="B209" s="659" t="s">
        <v>621</v>
      </c>
      <c r="C209" s="660"/>
      <c r="D209" s="624"/>
      <c r="E209" s="661"/>
      <c r="F209" s="661"/>
      <c r="G209" s="624"/>
      <c r="H209" s="624"/>
      <c r="I209" s="624"/>
      <c r="J209" s="624"/>
      <c r="K209" s="624"/>
      <c r="L209" s="624"/>
      <c r="M209" s="661"/>
      <c r="N209" s="622"/>
      <c r="O209" s="624"/>
      <c r="P209" s="624"/>
      <c r="Q209" s="624"/>
      <c r="R209" s="624"/>
      <c r="S209" s="624"/>
      <c r="T209" s="624"/>
    </row>
    <row r="210" spans="1:20" ht="24.95" customHeight="1">
      <c r="A210" s="621">
        <v>49</v>
      </c>
      <c r="B210" s="1875" t="s">
        <v>699</v>
      </c>
      <c r="C210" s="623" t="s">
        <v>3760</v>
      </c>
      <c r="D210" s="623" t="s">
        <v>464</v>
      </c>
      <c r="E210" s="158">
        <v>21</v>
      </c>
      <c r="F210" s="158">
        <v>72.468059999999994</v>
      </c>
      <c r="G210" s="623" t="s">
        <v>3560</v>
      </c>
      <c r="H210" s="623" t="s">
        <v>33</v>
      </c>
      <c r="I210" s="623" t="s">
        <v>34</v>
      </c>
      <c r="J210" s="623" t="s">
        <v>34</v>
      </c>
      <c r="K210" s="623" t="s">
        <v>34</v>
      </c>
      <c r="L210" s="624"/>
      <c r="M210" s="1876">
        <v>248380</v>
      </c>
      <c r="N210" s="622">
        <v>42522</v>
      </c>
      <c r="O210" s="623" t="s">
        <v>3574</v>
      </c>
      <c r="P210" s="623" t="s">
        <v>3575</v>
      </c>
      <c r="Q210" s="623">
        <v>18788803170</v>
      </c>
      <c r="R210" s="632" t="s">
        <v>3576</v>
      </c>
      <c r="S210" s="623" t="s">
        <v>3564</v>
      </c>
      <c r="T210" s="624"/>
    </row>
    <row r="211" spans="1:20" ht="24.95" customHeight="1">
      <c r="A211" s="621">
        <v>50</v>
      </c>
      <c r="B211" s="1875"/>
      <c r="C211" s="623" t="s">
        <v>3761</v>
      </c>
      <c r="D211" s="623" t="s">
        <v>464</v>
      </c>
      <c r="E211" s="158">
        <v>3</v>
      </c>
      <c r="F211" s="158">
        <v>13.310460000000001</v>
      </c>
      <c r="G211" s="623" t="s">
        <v>3560</v>
      </c>
      <c r="H211" s="623" t="s">
        <v>33</v>
      </c>
      <c r="I211" s="623" t="s">
        <v>34</v>
      </c>
      <c r="J211" s="623" t="s">
        <v>34</v>
      </c>
      <c r="K211" s="623" t="s">
        <v>34</v>
      </c>
      <c r="L211" s="624"/>
      <c r="M211" s="1876"/>
      <c r="N211" s="622"/>
      <c r="O211" s="623" t="s">
        <v>3574</v>
      </c>
      <c r="P211" s="623" t="s">
        <v>3575</v>
      </c>
      <c r="Q211" s="623">
        <v>18788803170</v>
      </c>
      <c r="R211" s="632" t="s">
        <v>3576</v>
      </c>
      <c r="S211" s="623" t="s">
        <v>3564</v>
      </c>
      <c r="T211" s="624"/>
    </row>
    <row r="212" spans="1:20" ht="24.95" customHeight="1">
      <c r="A212" s="621">
        <v>51</v>
      </c>
      <c r="B212" s="1875"/>
      <c r="C212" s="623" t="s">
        <v>3762</v>
      </c>
      <c r="D212" s="623" t="s">
        <v>464</v>
      </c>
      <c r="E212" s="158">
        <v>2</v>
      </c>
      <c r="F212" s="158">
        <v>16.268339999999998</v>
      </c>
      <c r="G212" s="623" t="s">
        <v>3560</v>
      </c>
      <c r="H212" s="623" t="s">
        <v>33</v>
      </c>
      <c r="I212" s="623" t="s">
        <v>34</v>
      </c>
      <c r="J212" s="623" t="s">
        <v>34</v>
      </c>
      <c r="K212" s="623" t="s">
        <v>34</v>
      </c>
      <c r="L212" s="624"/>
      <c r="M212" s="1876"/>
      <c r="N212" s="622"/>
      <c r="O212" s="623" t="s">
        <v>3574</v>
      </c>
      <c r="P212" s="623" t="s">
        <v>3575</v>
      </c>
      <c r="Q212" s="623">
        <v>18788803170</v>
      </c>
      <c r="R212" s="632" t="s">
        <v>3576</v>
      </c>
      <c r="S212" s="623" t="s">
        <v>3564</v>
      </c>
      <c r="T212" s="624"/>
    </row>
    <row r="213" spans="1:20" ht="24.95" customHeight="1">
      <c r="A213" s="621">
        <v>52</v>
      </c>
      <c r="B213" s="1875"/>
      <c r="C213" s="623" t="s">
        <v>3763</v>
      </c>
      <c r="D213" s="623" t="s">
        <v>464</v>
      </c>
      <c r="E213" s="158">
        <v>33</v>
      </c>
      <c r="F213" s="158">
        <v>187.899327</v>
      </c>
      <c r="G213" s="623" t="s">
        <v>3560</v>
      </c>
      <c r="H213" s="623" t="s">
        <v>33</v>
      </c>
      <c r="I213" s="623" t="s">
        <v>34</v>
      </c>
      <c r="J213" s="623" t="s">
        <v>34</v>
      </c>
      <c r="K213" s="623" t="s">
        <v>34</v>
      </c>
      <c r="L213" s="624"/>
      <c r="M213" s="1876"/>
      <c r="N213" s="622"/>
      <c r="O213" s="623" t="s">
        <v>3574</v>
      </c>
      <c r="P213" s="623" t="s">
        <v>3575</v>
      </c>
      <c r="Q213" s="623">
        <v>18788803170</v>
      </c>
      <c r="R213" s="632" t="s">
        <v>3576</v>
      </c>
      <c r="S213" s="623" t="s">
        <v>3564</v>
      </c>
      <c r="T213" s="624"/>
    </row>
    <row r="214" spans="1:20" ht="24.95" customHeight="1">
      <c r="A214" s="621">
        <v>53</v>
      </c>
      <c r="B214" s="1875"/>
      <c r="C214" s="623" t="s">
        <v>3764</v>
      </c>
      <c r="D214" s="623" t="s">
        <v>464</v>
      </c>
      <c r="E214" s="158">
        <v>5</v>
      </c>
      <c r="F214" s="158">
        <v>36.603765000000003</v>
      </c>
      <c r="G214" s="623" t="s">
        <v>3560</v>
      </c>
      <c r="H214" s="623" t="s">
        <v>33</v>
      </c>
      <c r="I214" s="623" t="s">
        <v>34</v>
      </c>
      <c r="J214" s="623" t="s">
        <v>34</v>
      </c>
      <c r="K214" s="623" t="s">
        <v>34</v>
      </c>
      <c r="L214" s="624"/>
      <c r="M214" s="1876"/>
      <c r="N214" s="622"/>
      <c r="O214" s="623" t="s">
        <v>3574</v>
      </c>
      <c r="P214" s="623" t="s">
        <v>3575</v>
      </c>
      <c r="Q214" s="623">
        <v>18788803170</v>
      </c>
      <c r="R214" s="632" t="s">
        <v>3576</v>
      </c>
      <c r="S214" s="623" t="s">
        <v>3564</v>
      </c>
      <c r="T214" s="624"/>
    </row>
    <row r="215" spans="1:20" ht="24.95" customHeight="1">
      <c r="A215" s="621">
        <v>54</v>
      </c>
      <c r="B215" s="1875"/>
      <c r="C215" s="623" t="s">
        <v>3765</v>
      </c>
      <c r="D215" s="623" t="s">
        <v>464</v>
      </c>
      <c r="E215" s="158">
        <v>11</v>
      </c>
      <c r="F215" s="158">
        <v>147.63518550000001</v>
      </c>
      <c r="G215" s="623" t="s">
        <v>3560</v>
      </c>
      <c r="H215" s="623" t="s">
        <v>33</v>
      </c>
      <c r="I215" s="623" t="s">
        <v>34</v>
      </c>
      <c r="J215" s="623" t="s">
        <v>34</v>
      </c>
      <c r="K215" s="623" t="s">
        <v>34</v>
      </c>
      <c r="L215" s="624"/>
      <c r="M215" s="1876"/>
      <c r="N215" s="622"/>
      <c r="O215" s="623" t="s">
        <v>3574</v>
      </c>
      <c r="P215" s="623" t="s">
        <v>3575</v>
      </c>
      <c r="Q215" s="623">
        <v>18788803170</v>
      </c>
      <c r="R215" s="632" t="s">
        <v>3576</v>
      </c>
      <c r="S215" s="623" t="s">
        <v>3564</v>
      </c>
      <c r="T215" s="624"/>
    </row>
    <row r="216" spans="1:20" ht="24.95" customHeight="1">
      <c r="A216" s="621">
        <v>55</v>
      </c>
      <c r="B216" s="1875" t="s">
        <v>621</v>
      </c>
      <c r="C216" s="640" t="s">
        <v>3760</v>
      </c>
      <c r="D216" s="623" t="s">
        <v>464</v>
      </c>
      <c r="E216" s="158">
        <v>21</v>
      </c>
      <c r="F216" s="158">
        <v>72.468025999999995</v>
      </c>
      <c r="G216" s="623" t="s">
        <v>3560</v>
      </c>
      <c r="H216" s="623" t="s">
        <v>33</v>
      </c>
      <c r="I216" s="623" t="s">
        <v>34</v>
      </c>
      <c r="J216" s="623" t="s">
        <v>34</v>
      </c>
      <c r="K216" s="623" t="s">
        <v>34</v>
      </c>
      <c r="L216" s="624"/>
      <c r="M216" s="1876">
        <v>69002.63</v>
      </c>
      <c r="N216" s="622">
        <v>42619</v>
      </c>
      <c r="O216" s="623" t="s">
        <v>3574</v>
      </c>
      <c r="P216" s="623" t="s">
        <v>3575</v>
      </c>
      <c r="Q216" s="623">
        <v>18788803170</v>
      </c>
      <c r="R216" s="632" t="s">
        <v>3576</v>
      </c>
      <c r="S216" s="623" t="s">
        <v>3564</v>
      </c>
      <c r="T216" s="624"/>
    </row>
    <row r="217" spans="1:20" ht="24.95" customHeight="1">
      <c r="A217" s="621">
        <v>56</v>
      </c>
      <c r="B217" s="1875"/>
      <c r="C217" s="640" t="s">
        <v>3761</v>
      </c>
      <c r="D217" s="623" t="s">
        <v>464</v>
      </c>
      <c r="E217" s="158">
        <v>3</v>
      </c>
      <c r="F217" s="158">
        <v>13.310460000000001</v>
      </c>
      <c r="G217" s="623" t="s">
        <v>3560</v>
      </c>
      <c r="H217" s="623" t="s">
        <v>33</v>
      </c>
      <c r="I217" s="623" t="s">
        <v>34</v>
      </c>
      <c r="J217" s="623" t="s">
        <v>34</v>
      </c>
      <c r="K217" s="623" t="s">
        <v>34</v>
      </c>
      <c r="L217" s="624"/>
      <c r="M217" s="1876"/>
      <c r="N217" s="622"/>
      <c r="O217" s="623" t="s">
        <v>3574</v>
      </c>
      <c r="P217" s="623" t="s">
        <v>3575</v>
      </c>
      <c r="Q217" s="623">
        <v>18788803170</v>
      </c>
      <c r="R217" s="632" t="s">
        <v>3576</v>
      </c>
      <c r="S217" s="623" t="s">
        <v>3564</v>
      </c>
      <c r="T217" s="624"/>
    </row>
    <row r="218" spans="1:20" ht="24.95" customHeight="1">
      <c r="A218" s="621">
        <v>57</v>
      </c>
      <c r="B218" s="1875"/>
      <c r="C218" s="640" t="s">
        <v>3762</v>
      </c>
      <c r="D218" s="623" t="s">
        <v>464</v>
      </c>
      <c r="E218" s="158">
        <v>1</v>
      </c>
      <c r="F218" s="158">
        <v>8.1341699999999992</v>
      </c>
      <c r="G218" s="623" t="s">
        <v>3560</v>
      </c>
      <c r="H218" s="623" t="s">
        <v>33</v>
      </c>
      <c r="I218" s="623" t="s">
        <v>34</v>
      </c>
      <c r="J218" s="623" t="s">
        <v>34</v>
      </c>
      <c r="K218" s="623" t="s">
        <v>34</v>
      </c>
      <c r="L218" s="624"/>
      <c r="M218" s="1876"/>
      <c r="N218" s="622"/>
      <c r="O218" s="623" t="s">
        <v>3574</v>
      </c>
      <c r="P218" s="623" t="s">
        <v>3575</v>
      </c>
      <c r="Q218" s="623">
        <v>18788803170</v>
      </c>
      <c r="R218" s="632" t="s">
        <v>3576</v>
      </c>
      <c r="S218" s="623" t="s">
        <v>3564</v>
      </c>
      <c r="T218" s="624"/>
    </row>
    <row r="219" spans="1:20" ht="24.95" customHeight="1">
      <c r="A219" s="621">
        <v>58</v>
      </c>
      <c r="B219" s="1875"/>
      <c r="C219" s="640" t="s">
        <v>3763</v>
      </c>
      <c r="D219" s="623" t="s">
        <v>464</v>
      </c>
      <c r="E219" s="158">
        <v>33</v>
      </c>
      <c r="F219" s="158">
        <v>187.899327</v>
      </c>
      <c r="G219" s="623" t="s">
        <v>3560</v>
      </c>
      <c r="H219" s="623" t="s">
        <v>33</v>
      </c>
      <c r="I219" s="623" t="s">
        <v>34</v>
      </c>
      <c r="J219" s="623" t="s">
        <v>34</v>
      </c>
      <c r="K219" s="623" t="s">
        <v>34</v>
      </c>
      <c r="L219" s="624"/>
      <c r="M219" s="1876"/>
      <c r="N219" s="622"/>
      <c r="O219" s="623" t="s">
        <v>3574</v>
      </c>
      <c r="P219" s="623" t="s">
        <v>3575</v>
      </c>
      <c r="Q219" s="623">
        <v>18788803170</v>
      </c>
      <c r="R219" s="632" t="s">
        <v>3576</v>
      </c>
      <c r="S219" s="623" t="s">
        <v>3564</v>
      </c>
      <c r="T219" s="624"/>
    </row>
    <row r="220" spans="1:20" ht="24.95" customHeight="1">
      <c r="A220" s="621">
        <v>59</v>
      </c>
      <c r="B220" s="1875"/>
      <c r="C220" s="640" t="s">
        <v>3764</v>
      </c>
      <c r="D220" s="623" t="s">
        <v>464</v>
      </c>
      <c r="E220" s="158">
        <v>5</v>
      </c>
      <c r="F220" s="158">
        <v>36.603765000000003</v>
      </c>
      <c r="G220" s="623" t="s">
        <v>3560</v>
      </c>
      <c r="H220" s="623" t="s">
        <v>33</v>
      </c>
      <c r="I220" s="623" t="s">
        <v>34</v>
      </c>
      <c r="J220" s="623" t="s">
        <v>34</v>
      </c>
      <c r="K220" s="623" t="s">
        <v>34</v>
      </c>
      <c r="L220" s="624"/>
      <c r="M220" s="1876"/>
      <c r="N220" s="622"/>
      <c r="O220" s="623" t="s">
        <v>3574</v>
      </c>
      <c r="P220" s="623" t="s">
        <v>3575</v>
      </c>
      <c r="Q220" s="623">
        <v>18788803170</v>
      </c>
      <c r="R220" s="632" t="s">
        <v>3576</v>
      </c>
      <c r="S220" s="623" t="s">
        <v>3564</v>
      </c>
      <c r="T220" s="624"/>
    </row>
    <row r="221" spans="1:20" ht="24.95" customHeight="1">
      <c r="A221" s="621">
        <v>60</v>
      </c>
      <c r="B221" s="1875"/>
      <c r="C221" s="640" t="s">
        <v>3765</v>
      </c>
      <c r="D221" s="623" t="s">
        <v>464</v>
      </c>
      <c r="E221" s="158">
        <v>11</v>
      </c>
      <c r="F221" s="158">
        <v>147.63518550000001</v>
      </c>
      <c r="G221" s="623" t="s">
        <v>3560</v>
      </c>
      <c r="H221" s="623" t="s">
        <v>33</v>
      </c>
      <c r="I221" s="623" t="s">
        <v>34</v>
      </c>
      <c r="J221" s="623" t="s">
        <v>34</v>
      </c>
      <c r="K221" s="623" t="s">
        <v>34</v>
      </c>
      <c r="L221" s="624"/>
      <c r="M221" s="1876"/>
      <c r="N221" s="622"/>
      <c r="O221" s="623" t="s">
        <v>3574</v>
      </c>
      <c r="P221" s="623" t="s">
        <v>3575</v>
      </c>
      <c r="Q221" s="623">
        <v>18788803170</v>
      </c>
      <c r="R221" s="632" t="s">
        <v>3576</v>
      </c>
      <c r="S221" s="623" t="s">
        <v>3564</v>
      </c>
      <c r="T221" s="624"/>
    </row>
    <row r="222" spans="1:20" ht="24.95" customHeight="1">
      <c r="A222" s="621">
        <v>61</v>
      </c>
      <c r="B222" s="698" t="s">
        <v>699</v>
      </c>
      <c r="C222" s="698" t="s">
        <v>3766</v>
      </c>
      <c r="D222" s="623" t="s">
        <v>62</v>
      </c>
      <c r="E222" s="641">
        <v>49.28</v>
      </c>
      <c r="F222" s="158" t="s">
        <v>34</v>
      </c>
      <c r="G222" s="623" t="s">
        <v>32</v>
      </c>
      <c r="H222" s="623" t="s">
        <v>33</v>
      </c>
      <c r="I222" s="623" t="s">
        <v>34</v>
      </c>
      <c r="J222" s="623" t="s">
        <v>34</v>
      </c>
      <c r="K222" s="623" t="s">
        <v>34</v>
      </c>
      <c r="L222" s="624"/>
      <c r="M222" s="158">
        <v>293216</v>
      </c>
      <c r="N222" s="622">
        <v>43358</v>
      </c>
      <c r="O222" s="623" t="s">
        <v>3574</v>
      </c>
      <c r="P222" s="623" t="s">
        <v>3575</v>
      </c>
      <c r="Q222" s="623">
        <v>18788803170</v>
      </c>
      <c r="R222" s="632" t="s">
        <v>3576</v>
      </c>
      <c r="S222" s="623" t="s">
        <v>3564</v>
      </c>
      <c r="T222" s="624"/>
    </row>
    <row r="223" spans="1:20" ht="24.95" customHeight="1">
      <c r="A223" s="621">
        <v>62</v>
      </c>
      <c r="B223" s="680" t="s">
        <v>593</v>
      </c>
      <c r="C223" s="643" t="s">
        <v>1856</v>
      </c>
      <c r="D223" s="699" t="s">
        <v>62</v>
      </c>
      <c r="E223" s="641"/>
      <c r="F223" s="643">
        <v>1</v>
      </c>
      <c r="G223" s="623" t="s">
        <v>3560</v>
      </c>
      <c r="H223" s="623" t="s">
        <v>41</v>
      </c>
      <c r="I223" s="623"/>
      <c r="J223" s="623"/>
      <c r="K223" s="623"/>
      <c r="L223" s="643">
        <v>4784.4799999999996</v>
      </c>
      <c r="M223" s="158">
        <v>239.22</v>
      </c>
      <c r="N223" s="622" t="s">
        <v>3767</v>
      </c>
      <c r="O223" s="674" t="s">
        <v>3690</v>
      </c>
      <c r="P223" s="675" t="s">
        <v>3691</v>
      </c>
      <c r="Q223" s="679">
        <v>18394477209</v>
      </c>
      <c r="R223" s="674" t="s">
        <v>3692</v>
      </c>
      <c r="S223" s="659" t="s">
        <v>3564</v>
      </c>
      <c r="T223" s="624"/>
    </row>
    <row r="224" spans="1:20" ht="24.95" customHeight="1">
      <c r="A224" s="621">
        <v>63</v>
      </c>
      <c r="B224" s="680" t="s">
        <v>616</v>
      </c>
      <c r="C224" s="643" t="s">
        <v>3768</v>
      </c>
      <c r="D224" s="699" t="s">
        <v>62</v>
      </c>
      <c r="E224" s="641"/>
      <c r="F224" s="643">
        <v>1</v>
      </c>
      <c r="G224" s="623" t="s">
        <v>3560</v>
      </c>
      <c r="H224" s="623" t="s">
        <v>41</v>
      </c>
      <c r="I224" s="623"/>
      <c r="J224" s="623"/>
      <c r="K224" s="623"/>
      <c r="L224" s="643">
        <v>4784.4799999999996</v>
      </c>
      <c r="M224" s="158">
        <v>239.22</v>
      </c>
      <c r="N224" s="622" t="s">
        <v>3767</v>
      </c>
      <c r="O224" s="674" t="s">
        <v>3690</v>
      </c>
      <c r="P224" s="675" t="s">
        <v>3691</v>
      </c>
      <c r="Q224" s="679">
        <v>18394477210</v>
      </c>
      <c r="R224" s="674" t="s">
        <v>3692</v>
      </c>
      <c r="S224" s="659" t="s">
        <v>3564</v>
      </c>
      <c r="T224" s="624"/>
    </row>
    <row r="225" spans="1:20" ht="24.95" customHeight="1">
      <c r="A225" s="621">
        <v>64</v>
      </c>
      <c r="B225" s="680" t="s">
        <v>526</v>
      </c>
      <c r="C225" s="643" t="s">
        <v>3769</v>
      </c>
      <c r="D225" s="699" t="s">
        <v>62</v>
      </c>
      <c r="E225" s="641"/>
      <c r="F225" s="681">
        <v>32</v>
      </c>
      <c r="G225" s="623" t="s">
        <v>3560</v>
      </c>
      <c r="H225" s="623" t="s">
        <v>41</v>
      </c>
      <c r="I225" s="623"/>
      <c r="J225" s="623"/>
      <c r="K225" s="623"/>
      <c r="L225" s="643">
        <v>153103.44</v>
      </c>
      <c r="M225" s="158">
        <v>7655.17</v>
      </c>
      <c r="N225" s="622" t="s">
        <v>3767</v>
      </c>
      <c r="O225" s="674" t="s">
        <v>3690</v>
      </c>
      <c r="P225" s="675" t="s">
        <v>3691</v>
      </c>
      <c r="Q225" s="679">
        <v>18394477211</v>
      </c>
      <c r="R225" s="674" t="s">
        <v>3692</v>
      </c>
      <c r="S225" s="659" t="s">
        <v>3564</v>
      </c>
      <c r="T225" s="624"/>
    </row>
    <row r="226" spans="1:20" ht="24.95" customHeight="1">
      <c r="A226" s="621">
        <v>65</v>
      </c>
      <c r="B226" s="680" t="s">
        <v>526</v>
      </c>
      <c r="C226" s="643" t="s">
        <v>3770</v>
      </c>
      <c r="D226" s="699" t="s">
        <v>62</v>
      </c>
      <c r="E226" s="641"/>
      <c r="F226" s="681">
        <v>31.846</v>
      </c>
      <c r="G226" s="623" t="s">
        <v>3560</v>
      </c>
      <c r="H226" s="623" t="s">
        <v>41</v>
      </c>
      <c r="I226" s="623"/>
      <c r="J226" s="623"/>
      <c r="K226" s="623"/>
      <c r="L226" s="643">
        <v>139738.04999999999</v>
      </c>
      <c r="M226" s="158">
        <v>6986.9</v>
      </c>
      <c r="N226" s="622" t="s">
        <v>3767</v>
      </c>
      <c r="O226" s="674" t="s">
        <v>3690</v>
      </c>
      <c r="P226" s="675" t="s">
        <v>3691</v>
      </c>
      <c r="Q226" s="679">
        <v>18394477212</v>
      </c>
      <c r="R226" s="674" t="s">
        <v>3692</v>
      </c>
      <c r="S226" s="659" t="s">
        <v>3564</v>
      </c>
      <c r="T226" s="624"/>
    </row>
    <row r="227" spans="1:20" ht="24.95" customHeight="1">
      <c r="A227" s="621">
        <v>66</v>
      </c>
      <c r="B227" s="680" t="s">
        <v>526</v>
      </c>
      <c r="C227" s="643" t="s">
        <v>3771</v>
      </c>
      <c r="D227" s="699" t="s">
        <v>62</v>
      </c>
      <c r="E227" s="641"/>
      <c r="F227" s="681">
        <v>16.721</v>
      </c>
      <c r="G227" s="623" t="s">
        <v>3560</v>
      </c>
      <c r="H227" s="623" t="s">
        <v>41</v>
      </c>
      <c r="I227" s="623"/>
      <c r="J227" s="623"/>
      <c r="K227" s="623"/>
      <c r="L227" s="643">
        <v>65593.23</v>
      </c>
      <c r="M227" s="158">
        <v>3279.66</v>
      </c>
      <c r="N227" s="622" t="s">
        <v>3689</v>
      </c>
      <c r="O227" s="674" t="s">
        <v>3690</v>
      </c>
      <c r="P227" s="675" t="s">
        <v>3691</v>
      </c>
      <c r="Q227" s="679">
        <v>18394477213</v>
      </c>
      <c r="R227" s="674" t="s">
        <v>3692</v>
      </c>
      <c r="S227" s="659" t="s">
        <v>3564</v>
      </c>
      <c r="T227" s="624"/>
    </row>
    <row r="228" spans="1:20" ht="24.95" customHeight="1">
      <c r="A228" s="621">
        <v>67</v>
      </c>
      <c r="B228" s="680" t="s">
        <v>593</v>
      </c>
      <c r="C228" s="643" t="s">
        <v>3772</v>
      </c>
      <c r="D228" s="699" t="s">
        <v>62</v>
      </c>
      <c r="E228" s="641"/>
      <c r="F228" s="681">
        <v>6.7249999999999996</v>
      </c>
      <c r="G228" s="623" t="s">
        <v>3560</v>
      </c>
      <c r="H228" s="623" t="s">
        <v>41</v>
      </c>
      <c r="I228" s="623"/>
      <c r="J228" s="623"/>
      <c r="K228" s="623"/>
      <c r="L228" s="643">
        <v>27367.54</v>
      </c>
      <c r="M228" s="158">
        <v>1368.38</v>
      </c>
      <c r="N228" s="622" t="s">
        <v>3689</v>
      </c>
      <c r="O228" s="674" t="s">
        <v>3690</v>
      </c>
      <c r="P228" s="675" t="s">
        <v>3691</v>
      </c>
      <c r="Q228" s="679">
        <v>18394477214</v>
      </c>
      <c r="R228" s="674" t="s">
        <v>3692</v>
      </c>
      <c r="S228" s="659" t="s">
        <v>3564</v>
      </c>
      <c r="T228" s="624"/>
    </row>
    <row r="229" spans="1:20" ht="24.95" customHeight="1">
      <c r="A229" s="621">
        <v>68</v>
      </c>
      <c r="B229" s="680" t="s">
        <v>593</v>
      </c>
      <c r="C229" s="643" t="s">
        <v>3773</v>
      </c>
      <c r="D229" s="699" t="s">
        <v>62</v>
      </c>
      <c r="E229" s="641"/>
      <c r="F229" s="681">
        <v>10.552</v>
      </c>
      <c r="G229" s="623" t="s">
        <v>3560</v>
      </c>
      <c r="H229" s="623" t="s">
        <v>41</v>
      </c>
      <c r="I229" s="623"/>
      <c r="J229" s="623"/>
      <c r="K229" s="623"/>
      <c r="L229" s="643">
        <v>42842.89</v>
      </c>
      <c r="M229" s="158">
        <v>2142.14</v>
      </c>
      <c r="N229" s="622" t="s">
        <v>3689</v>
      </c>
      <c r="O229" s="674" t="s">
        <v>3690</v>
      </c>
      <c r="P229" s="675" t="s">
        <v>3691</v>
      </c>
      <c r="Q229" s="679">
        <v>18394477215</v>
      </c>
      <c r="R229" s="674" t="s">
        <v>3692</v>
      </c>
      <c r="S229" s="659" t="s">
        <v>3564</v>
      </c>
      <c r="T229" s="624"/>
    </row>
    <row r="230" spans="1:20" ht="24.95" customHeight="1">
      <c r="A230" s="621">
        <v>69</v>
      </c>
      <c r="B230" s="680" t="s">
        <v>593</v>
      </c>
      <c r="C230" s="643" t="s">
        <v>3774</v>
      </c>
      <c r="D230" s="699" t="s">
        <v>62</v>
      </c>
      <c r="E230" s="641"/>
      <c r="F230" s="681">
        <v>17.068000000000001</v>
      </c>
      <c r="G230" s="623" t="s">
        <v>3560</v>
      </c>
      <c r="H230" s="623" t="s">
        <v>41</v>
      </c>
      <c r="I230" s="623"/>
      <c r="J230" s="623"/>
      <c r="K230" s="623"/>
      <c r="L230" s="643">
        <v>70031.06</v>
      </c>
      <c r="M230" s="158">
        <v>3501.55</v>
      </c>
      <c r="N230" s="622" t="s">
        <v>3689</v>
      </c>
      <c r="O230" s="674" t="s">
        <v>3690</v>
      </c>
      <c r="P230" s="675" t="s">
        <v>3691</v>
      </c>
      <c r="Q230" s="679">
        <v>18394477216</v>
      </c>
      <c r="R230" s="674" t="s">
        <v>3692</v>
      </c>
      <c r="S230" s="659" t="s">
        <v>3564</v>
      </c>
      <c r="T230" s="624"/>
    </row>
    <row r="231" spans="1:20" ht="24.95" customHeight="1">
      <c r="A231" s="621">
        <v>71</v>
      </c>
      <c r="B231" s="680" t="s">
        <v>526</v>
      </c>
      <c r="C231" s="683" t="s">
        <v>3771</v>
      </c>
      <c r="D231" s="699" t="s">
        <v>62</v>
      </c>
      <c r="E231" s="641"/>
      <c r="F231" s="681">
        <v>3.496</v>
      </c>
      <c r="G231" s="623" t="s">
        <v>3560</v>
      </c>
      <c r="H231" s="623" t="s">
        <v>41</v>
      </c>
      <c r="I231" s="623"/>
      <c r="J231" s="623"/>
      <c r="K231" s="623"/>
      <c r="L231" s="643">
        <v>13821.2</v>
      </c>
      <c r="M231" s="158">
        <v>691.06</v>
      </c>
      <c r="N231" s="622" t="s">
        <v>3775</v>
      </c>
      <c r="O231" s="674" t="s">
        <v>3690</v>
      </c>
      <c r="P231" s="675" t="s">
        <v>3691</v>
      </c>
      <c r="Q231" s="679">
        <v>18394477218</v>
      </c>
      <c r="R231" s="674" t="s">
        <v>3692</v>
      </c>
      <c r="S231" s="659" t="s">
        <v>3564</v>
      </c>
      <c r="T231" s="624"/>
    </row>
    <row r="232" spans="1:20" ht="24.95" customHeight="1">
      <c r="A232" s="621">
        <v>72</v>
      </c>
      <c r="B232" s="680" t="s">
        <v>526</v>
      </c>
      <c r="C232" s="683" t="s">
        <v>3776</v>
      </c>
      <c r="D232" s="699" t="s">
        <v>62</v>
      </c>
      <c r="E232" s="641"/>
      <c r="F232" s="681">
        <v>14.831</v>
      </c>
      <c r="G232" s="623" t="s">
        <v>3560</v>
      </c>
      <c r="H232" s="623" t="s">
        <v>41</v>
      </c>
      <c r="I232" s="623"/>
      <c r="J232" s="623"/>
      <c r="K232" s="623"/>
      <c r="L232" s="643">
        <v>58880.38</v>
      </c>
      <c r="M232" s="158">
        <v>2944.02</v>
      </c>
      <c r="N232" s="622" t="s">
        <v>3775</v>
      </c>
      <c r="O232" s="674" t="s">
        <v>3690</v>
      </c>
      <c r="P232" s="675" t="s">
        <v>3691</v>
      </c>
      <c r="Q232" s="679">
        <v>18394477219</v>
      </c>
      <c r="R232" s="674" t="s">
        <v>3692</v>
      </c>
      <c r="S232" s="659" t="s">
        <v>3564</v>
      </c>
      <c r="T232" s="624"/>
    </row>
    <row r="233" spans="1:20" ht="24.95" customHeight="1">
      <c r="A233" s="621">
        <v>73</v>
      </c>
      <c r="B233" s="680" t="s">
        <v>526</v>
      </c>
      <c r="C233" s="683" t="s">
        <v>3777</v>
      </c>
      <c r="D233" s="699" t="s">
        <v>62</v>
      </c>
      <c r="E233" s="641"/>
      <c r="F233" s="681">
        <v>11.654999999999999</v>
      </c>
      <c r="G233" s="623" t="s">
        <v>3560</v>
      </c>
      <c r="H233" s="623" t="s">
        <v>41</v>
      </c>
      <c r="I233" s="623"/>
      <c r="J233" s="623"/>
      <c r="K233" s="623"/>
      <c r="L233" s="643">
        <v>47519.6</v>
      </c>
      <c r="M233" s="158">
        <v>2375.98</v>
      </c>
      <c r="N233" s="622" t="s">
        <v>3775</v>
      </c>
      <c r="O233" s="674" t="s">
        <v>3690</v>
      </c>
      <c r="P233" s="675" t="s">
        <v>3691</v>
      </c>
      <c r="Q233" s="679">
        <v>18394477220</v>
      </c>
      <c r="R233" s="674" t="s">
        <v>3692</v>
      </c>
      <c r="S233" s="659" t="s">
        <v>3564</v>
      </c>
      <c r="T233" s="624"/>
    </row>
    <row r="234" spans="1:20" ht="24.95" customHeight="1">
      <c r="A234" s="621">
        <v>75</v>
      </c>
      <c r="B234" s="680" t="s">
        <v>593</v>
      </c>
      <c r="C234" s="683" t="s">
        <v>3778</v>
      </c>
      <c r="D234" s="699" t="s">
        <v>62</v>
      </c>
      <c r="E234" s="641"/>
      <c r="F234" s="681">
        <v>15.138999999999999</v>
      </c>
      <c r="G234" s="623" t="s">
        <v>3560</v>
      </c>
      <c r="H234" s="623" t="s">
        <v>41</v>
      </c>
      <c r="I234" s="623"/>
      <c r="J234" s="623"/>
      <c r="K234" s="623"/>
      <c r="L234" s="643">
        <v>61091.89</v>
      </c>
      <c r="M234" s="158">
        <v>3054.59</v>
      </c>
      <c r="N234" s="622" t="s">
        <v>3775</v>
      </c>
      <c r="O234" s="674" t="s">
        <v>3690</v>
      </c>
      <c r="P234" s="675" t="s">
        <v>3691</v>
      </c>
      <c r="Q234" s="679">
        <v>18394477222</v>
      </c>
      <c r="R234" s="674" t="s">
        <v>3692</v>
      </c>
      <c r="S234" s="659" t="s">
        <v>3564</v>
      </c>
      <c r="T234" s="624"/>
    </row>
    <row r="235" spans="1:20" ht="24.95" customHeight="1">
      <c r="A235" s="621">
        <v>76</v>
      </c>
      <c r="B235" s="680" t="s">
        <v>593</v>
      </c>
      <c r="C235" s="683" t="s">
        <v>3773</v>
      </c>
      <c r="D235" s="699" t="s">
        <v>62</v>
      </c>
      <c r="E235" s="641"/>
      <c r="F235" s="681">
        <v>2.093</v>
      </c>
      <c r="G235" s="623" t="s">
        <v>3560</v>
      </c>
      <c r="H235" s="623" t="s">
        <v>41</v>
      </c>
      <c r="I235" s="623"/>
      <c r="J235" s="623"/>
      <c r="K235" s="623"/>
      <c r="L235" s="643">
        <v>8391.89</v>
      </c>
      <c r="M235" s="158">
        <v>419.59</v>
      </c>
      <c r="N235" s="622" t="s">
        <v>3775</v>
      </c>
      <c r="O235" s="674" t="s">
        <v>3690</v>
      </c>
      <c r="P235" s="675" t="s">
        <v>3691</v>
      </c>
      <c r="Q235" s="679">
        <v>18394477223</v>
      </c>
      <c r="R235" s="674" t="s">
        <v>3692</v>
      </c>
      <c r="S235" s="659" t="s">
        <v>3564</v>
      </c>
      <c r="T235" s="624"/>
    </row>
    <row r="236" spans="1:20" ht="24.95" customHeight="1">
      <c r="A236" s="621">
        <v>77</v>
      </c>
      <c r="B236" s="680" t="s">
        <v>593</v>
      </c>
      <c r="C236" s="683" t="s">
        <v>3774</v>
      </c>
      <c r="D236" s="699" t="s">
        <v>62</v>
      </c>
      <c r="E236" s="641"/>
      <c r="F236" s="681">
        <v>3.4140000000000001</v>
      </c>
      <c r="G236" s="623" t="s">
        <v>3560</v>
      </c>
      <c r="H236" s="623" t="s">
        <v>41</v>
      </c>
      <c r="I236" s="623"/>
      <c r="J236" s="623"/>
      <c r="K236" s="623"/>
      <c r="L236" s="643">
        <v>13778.42</v>
      </c>
      <c r="M236" s="158">
        <v>688.92</v>
      </c>
      <c r="N236" s="622" t="s">
        <v>3775</v>
      </c>
      <c r="O236" s="674" t="s">
        <v>3690</v>
      </c>
      <c r="P236" s="675" t="s">
        <v>3691</v>
      </c>
      <c r="Q236" s="679">
        <v>18394477224</v>
      </c>
      <c r="R236" s="674" t="s">
        <v>3692</v>
      </c>
      <c r="S236" s="659" t="s">
        <v>3564</v>
      </c>
      <c r="T236" s="624"/>
    </row>
    <row r="237" spans="1:20" s="662" customFormat="1" ht="24.95" customHeight="1">
      <c r="A237" s="621">
        <v>79</v>
      </c>
      <c r="B237" s="643" t="s">
        <v>3779</v>
      </c>
      <c r="C237" s="643" t="s">
        <v>3780</v>
      </c>
      <c r="D237" s="699" t="s">
        <v>464</v>
      </c>
      <c r="E237" s="681">
        <v>13</v>
      </c>
      <c r="F237" s="681"/>
      <c r="G237" s="623" t="s">
        <v>3560</v>
      </c>
      <c r="H237" s="623" t="s">
        <v>41</v>
      </c>
      <c r="I237" s="624"/>
      <c r="J237" s="624"/>
      <c r="K237" s="624"/>
      <c r="L237" s="643">
        <v>20718.45</v>
      </c>
      <c r="M237" s="661">
        <v>16574.756000000001</v>
      </c>
      <c r="N237" s="622" t="s">
        <v>3695</v>
      </c>
      <c r="O237" s="674" t="s">
        <v>3690</v>
      </c>
      <c r="P237" s="675" t="s">
        <v>3691</v>
      </c>
      <c r="Q237" s="679">
        <v>18394477226</v>
      </c>
      <c r="R237" s="674" t="s">
        <v>3692</v>
      </c>
      <c r="S237" s="659" t="s">
        <v>3564</v>
      </c>
      <c r="T237" s="624"/>
    </row>
    <row r="238" spans="1:20" s="662" customFormat="1" ht="24.95" customHeight="1">
      <c r="A238" s="621">
        <v>80</v>
      </c>
      <c r="B238" s="668" t="s">
        <v>526</v>
      </c>
      <c r="C238" s="667" t="s">
        <v>3781</v>
      </c>
      <c r="D238" s="668" t="s">
        <v>464</v>
      </c>
      <c r="E238" s="661">
        <f>44*3</f>
        <v>132</v>
      </c>
      <c r="F238" s="669"/>
      <c r="G238" s="645" t="s">
        <v>3782</v>
      </c>
      <c r="H238" s="645" t="s">
        <v>41</v>
      </c>
      <c r="I238" s="624"/>
      <c r="J238" s="624"/>
      <c r="K238" s="624"/>
      <c r="L238" s="305"/>
      <c r="M238" s="305"/>
      <c r="N238" s="622"/>
      <c r="O238" s="623" t="s">
        <v>3639</v>
      </c>
      <c r="P238" s="623" t="s">
        <v>3640</v>
      </c>
      <c r="Q238" s="623">
        <v>15822939827</v>
      </c>
      <c r="R238" s="632" t="s">
        <v>3641</v>
      </c>
      <c r="S238" s="623" t="s">
        <v>3564</v>
      </c>
      <c r="T238" s="632" t="s">
        <v>3783</v>
      </c>
    </row>
    <row r="239" spans="1:20" s="662" customFormat="1" ht="24.95" customHeight="1">
      <c r="A239" s="700" t="s">
        <v>1006</v>
      </c>
      <c r="B239" s="701" t="s">
        <v>1007</v>
      </c>
      <c r="C239" s="660"/>
      <c r="D239" s="624"/>
      <c r="E239" s="661"/>
      <c r="F239" s="661"/>
      <c r="G239" s="624"/>
      <c r="H239" s="624"/>
      <c r="I239" s="624"/>
      <c r="J239" s="624"/>
      <c r="K239" s="624"/>
      <c r="L239" s="624"/>
      <c r="M239" s="661"/>
      <c r="N239" s="622"/>
      <c r="O239" s="624"/>
      <c r="P239" s="624"/>
      <c r="Q239" s="624"/>
      <c r="R239" s="624"/>
      <c r="S239" s="624"/>
      <c r="T239" s="624"/>
    </row>
    <row r="240" spans="1:20" ht="24.95" customHeight="1">
      <c r="A240" s="621">
        <v>1</v>
      </c>
      <c r="B240" s="642" t="s">
        <v>3784</v>
      </c>
      <c r="C240" s="642"/>
      <c r="D240" s="642" t="s">
        <v>131</v>
      </c>
      <c r="E240" s="643">
        <v>5300</v>
      </c>
      <c r="F240" s="158" t="s">
        <v>34</v>
      </c>
      <c r="G240" s="623" t="s">
        <v>3560</v>
      </c>
      <c r="H240" s="623" t="s">
        <v>33</v>
      </c>
      <c r="I240" s="623" t="s">
        <v>34</v>
      </c>
      <c r="J240" s="623" t="s">
        <v>34</v>
      </c>
      <c r="K240" s="623" t="s">
        <v>34</v>
      </c>
      <c r="L240" s="624"/>
      <c r="M240" s="643">
        <v>7842.1239999999998</v>
      </c>
      <c r="N240" s="622" t="s">
        <v>3617</v>
      </c>
      <c r="O240" s="623" t="s">
        <v>3618</v>
      </c>
      <c r="P240" s="623" t="s">
        <v>3619</v>
      </c>
      <c r="Q240" s="623">
        <v>13752429150</v>
      </c>
      <c r="R240" s="632" t="s">
        <v>3620</v>
      </c>
      <c r="S240" s="623" t="s">
        <v>3564</v>
      </c>
      <c r="T240" s="624"/>
    </row>
    <row r="241" spans="1:20" ht="24.95" customHeight="1">
      <c r="A241" s="621">
        <v>2</v>
      </c>
      <c r="B241" s="642" t="s">
        <v>1008</v>
      </c>
      <c r="C241" s="642"/>
      <c r="D241" s="642" t="s">
        <v>62</v>
      </c>
      <c r="E241" s="643">
        <v>115.6</v>
      </c>
      <c r="F241" s="643">
        <v>115.6</v>
      </c>
      <c r="G241" s="623" t="s">
        <v>3560</v>
      </c>
      <c r="H241" s="623" t="s">
        <v>33</v>
      </c>
      <c r="I241" s="623" t="s">
        <v>34</v>
      </c>
      <c r="J241" s="623" t="s">
        <v>34</v>
      </c>
      <c r="K241" s="623" t="s">
        <v>34</v>
      </c>
      <c r="L241" s="624"/>
      <c r="M241" s="643">
        <v>154474.33600000001</v>
      </c>
      <c r="N241" s="622" t="s">
        <v>3617</v>
      </c>
      <c r="O241" s="623" t="s">
        <v>3618</v>
      </c>
      <c r="P241" s="623" t="s">
        <v>3619</v>
      </c>
      <c r="Q241" s="623">
        <v>13752429150</v>
      </c>
      <c r="R241" s="632" t="s">
        <v>3620</v>
      </c>
      <c r="S241" s="623" t="s">
        <v>3564</v>
      </c>
      <c r="T241" s="624"/>
    </row>
    <row r="242" spans="1:20" ht="24.95" customHeight="1">
      <c r="A242" s="621">
        <v>3</v>
      </c>
      <c r="B242" s="645" t="s">
        <v>1008</v>
      </c>
      <c r="C242" s="645" t="s">
        <v>3785</v>
      </c>
      <c r="D242" s="645" t="s">
        <v>62</v>
      </c>
      <c r="E242" s="644">
        <v>21.2</v>
      </c>
      <c r="F242" s="644">
        <v>21.2</v>
      </c>
      <c r="G242" s="623" t="s">
        <v>3560</v>
      </c>
      <c r="H242" s="623" t="s">
        <v>33</v>
      </c>
      <c r="I242" s="623" t="s">
        <v>34</v>
      </c>
      <c r="J242" s="623" t="s">
        <v>34</v>
      </c>
      <c r="K242" s="623" t="s">
        <v>34</v>
      </c>
      <c r="L242" s="624"/>
      <c r="M242" s="643">
        <v>28329.204000000002</v>
      </c>
      <c r="N242" s="622" t="s">
        <v>3621</v>
      </c>
      <c r="O242" s="623" t="s">
        <v>3618</v>
      </c>
      <c r="P242" s="623" t="s">
        <v>3619</v>
      </c>
      <c r="Q242" s="623">
        <v>13752429150</v>
      </c>
      <c r="R242" s="632" t="s">
        <v>3620</v>
      </c>
      <c r="S242" s="623" t="s">
        <v>3564</v>
      </c>
      <c r="T242" s="624"/>
    </row>
    <row r="243" spans="1:20" ht="24.95" customHeight="1">
      <c r="A243" s="621">
        <v>4</v>
      </c>
      <c r="B243" s="642" t="s">
        <v>3786</v>
      </c>
      <c r="C243" s="642"/>
      <c r="D243" s="642" t="s">
        <v>62</v>
      </c>
      <c r="E243" s="643">
        <v>14.261699999999999</v>
      </c>
      <c r="F243" s="643">
        <v>14.261699999999999</v>
      </c>
      <c r="G243" s="623" t="s">
        <v>3560</v>
      </c>
      <c r="H243" s="623" t="s">
        <v>33</v>
      </c>
      <c r="I243" s="623" t="s">
        <v>34</v>
      </c>
      <c r="J243" s="623" t="s">
        <v>34</v>
      </c>
      <c r="K243" s="623" t="s">
        <v>34</v>
      </c>
      <c r="L243" s="624"/>
      <c r="M243" s="643">
        <v>15094.726000000001</v>
      </c>
      <c r="N243" s="622" t="s">
        <v>3617</v>
      </c>
      <c r="O243" s="623" t="s">
        <v>3618</v>
      </c>
      <c r="P243" s="623" t="s">
        <v>3619</v>
      </c>
      <c r="Q243" s="623">
        <v>13752429150</v>
      </c>
      <c r="R243" s="632" t="s">
        <v>3620</v>
      </c>
      <c r="S243" s="623" t="s">
        <v>3564</v>
      </c>
      <c r="T243" s="624"/>
    </row>
    <row r="244" spans="1:20" s="702" customFormat="1" ht="24.95" customHeight="1">
      <c r="A244" s="621">
        <v>5</v>
      </c>
      <c r="B244" s="645" t="s">
        <v>3662</v>
      </c>
      <c r="C244" s="643" t="s">
        <v>3787</v>
      </c>
      <c r="D244" s="642" t="s">
        <v>62</v>
      </c>
      <c r="E244" s="653" t="s">
        <v>34</v>
      </c>
      <c r="F244" s="653">
        <v>1.38</v>
      </c>
      <c r="G244" s="623" t="s">
        <v>3560</v>
      </c>
      <c r="H244" s="623" t="s">
        <v>33</v>
      </c>
      <c r="I244" s="623" t="s">
        <v>34</v>
      </c>
      <c r="J244" s="623" t="s">
        <v>34</v>
      </c>
      <c r="K244" s="623" t="s">
        <v>34</v>
      </c>
      <c r="L244" s="624"/>
      <c r="M244" s="653">
        <v>9204.5972399999991</v>
      </c>
      <c r="N244" s="622" t="s">
        <v>3788</v>
      </c>
      <c r="O244" s="1880" t="s">
        <v>3683</v>
      </c>
      <c r="P244" s="623" t="s">
        <v>3684</v>
      </c>
      <c r="Q244" s="623">
        <v>18649012127</v>
      </c>
      <c r="R244" s="632" t="s">
        <v>3685</v>
      </c>
      <c r="S244" s="623" t="s">
        <v>3564</v>
      </c>
      <c r="T244" s="624"/>
    </row>
    <row r="245" spans="1:20" s="702" customFormat="1" ht="24.95" customHeight="1">
      <c r="A245" s="621">
        <v>6</v>
      </c>
      <c r="B245" s="645" t="s">
        <v>3662</v>
      </c>
      <c r="C245" s="643" t="s">
        <v>3789</v>
      </c>
      <c r="D245" s="642" t="s">
        <v>62</v>
      </c>
      <c r="E245" s="653" t="s">
        <v>34</v>
      </c>
      <c r="F245" s="653">
        <v>1.74</v>
      </c>
      <c r="G245" s="623" t="s">
        <v>3560</v>
      </c>
      <c r="H245" s="623" t="s">
        <v>33</v>
      </c>
      <c r="I245" s="623" t="s">
        <v>34</v>
      </c>
      <c r="J245" s="623" t="s">
        <v>34</v>
      </c>
      <c r="K245" s="623" t="s">
        <v>34</v>
      </c>
      <c r="L245" s="624"/>
      <c r="M245" s="653">
        <v>11605.791300000001</v>
      </c>
      <c r="N245" s="622" t="s">
        <v>3788</v>
      </c>
      <c r="O245" s="1881"/>
      <c r="P245" s="623" t="s">
        <v>3684</v>
      </c>
      <c r="Q245" s="623">
        <v>18649012128</v>
      </c>
      <c r="R245" s="632" t="s">
        <v>3685</v>
      </c>
      <c r="S245" s="623" t="s">
        <v>3564</v>
      </c>
      <c r="T245" s="624"/>
    </row>
    <row r="246" spans="1:20" s="702" customFormat="1" ht="24.95" customHeight="1">
      <c r="A246" s="621">
        <v>7</v>
      </c>
      <c r="B246" s="645" t="s">
        <v>3669</v>
      </c>
      <c r="C246" s="643" t="s">
        <v>3790</v>
      </c>
      <c r="D246" s="642" t="s">
        <v>62</v>
      </c>
      <c r="E246" s="653" t="s">
        <v>34</v>
      </c>
      <c r="F246" s="653">
        <v>0.78</v>
      </c>
      <c r="G246" s="623" t="s">
        <v>3560</v>
      </c>
      <c r="H246" s="623" t="s">
        <v>33</v>
      </c>
      <c r="I246" s="623" t="s">
        <v>34</v>
      </c>
      <c r="J246" s="623" t="s">
        <v>34</v>
      </c>
      <c r="K246" s="623" t="s">
        <v>34</v>
      </c>
      <c r="L246" s="624"/>
      <c r="M246" s="653">
        <v>5202.5984399999998</v>
      </c>
      <c r="N246" s="622" t="s">
        <v>3788</v>
      </c>
      <c r="O246" s="1881"/>
      <c r="P246" s="623" t="s">
        <v>3684</v>
      </c>
      <c r="Q246" s="623">
        <v>18649012129</v>
      </c>
      <c r="R246" s="632" t="s">
        <v>3685</v>
      </c>
      <c r="S246" s="623" t="s">
        <v>3564</v>
      </c>
      <c r="T246" s="624"/>
    </row>
    <row r="247" spans="1:20" s="702" customFormat="1" ht="24.95" customHeight="1">
      <c r="A247" s="621">
        <v>8</v>
      </c>
      <c r="B247" s="645" t="s">
        <v>3669</v>
      </c>
      <c r="C247" s="643" t="s">
        <v>3791</v>
      </c>
      <c r="D247" s="642" t="s">
        <v>62</v>
      </c>
      <c r="E247" s="653" t="s">
        <v>34</v>
      </c>
      <c r="F247" s="653">
        <v>3.07</v>
      </c>
      <c r="G247" s="623" t="s">
        <v>3560</v>
      </c>
      <c r="H247" s="623" t="s">
        <v>33</v>
      </c>
      <c r="I247" s="623" t="s">
        <v>34</v>
      </c>
      <c r="J247" s="623" t="s">
        <v>34</v>
      </c>
      <c r="K247" s="623" t="s">
        <v>34</v>
      </c>
      <c r="L247" s="624"/>
      <c r="M247" s="653">
        <v>20476.88465</v>
      </c>
      <c r="N247" s="622" t="s">
        <v>3788</v>
      </c>
      <c r="O247" s="1881"/>
      <c r="P247" s="623" t="s">
        <v>3684</v>
      </c>
      <c r="Q247" s="623">
        <v>18649012130</v>
      </c>
      <c r="R247" s="632" t="s">
        <v>3685</v>
      </c>
      <c r="S247" s="623" t="s">
        <v>3564</v>
      </c>
      <c r="T247" s="624"/>
    </row>
    <row r="248" spans="1:20" s="702" customFormat="1" ht="24.95" customHeight="1">
      <c r="A248" s="621">
        <v>9</v>
      </c>
      <c r="B248" s="645" t="s">
        <v>3792</v>
      </c>
      <c r="C248" s="643" t="s">
        <v>3793</v>
      </c>
      <c r="D248" s="642" t="s">
        <v>62</v>
      </c>
      <c r="E248" s="653" t="s">
        <v>34</v>
      </c>
      <c r="F248" s="653">
        <v>1.0900000000000001</v>
      </c>
      <c r="G248" s="623" t="s">
        <v>3560</v>
      </c>
      <c r="H248" s="623" t="s">
        <v>33</v>
      </c>
      <c r="I248" s="623" t="s">
        <v>34</v>
      </c>
      <c r="J248" s="623" t="s">
        <v>34</v>
      </c>
      <c r="K248" s="623" t="s">
        <v>34</v>
      </c>
      <c r="L248" s="624"/>
      <c r="M248" s="653">
        <v>7270.2978199999998</v>
      </c>
      <c r="N248" s="622" t="s">
        <v>3788</v>
      </c>
      <c r="O248" s="1881"/>
      <c r="P248" s="623" t="s">
        <v>3684</v>
      </c>
      <c r="Q248" s="623">
        <v>18649012131</v>
      </c>
      <c r="R248" s="632" t="s">
        <v>3685</v>
      </c>
      <c r="S248" s="623" t="s">
        <v>3564</v>
      </c>
      <c r="T248" s="624"/>
    </row>
    <row r="249" spans="1:20" s="702" customFormat="1" ht="24.95" customHeight="1">
      <c r="A249" s="621">
        <v>10</v>
      </c>
      <c r="B249" s="645" t="s">
        <v>3794</v>
      </c>
      <c r="C249" s="643" t="s">
        <v>3795</v>
      </c>
      <c r="D249" s="642" t="s">
        <v>62</v>
      </c>
      <c r="E249" s="653" t="s">
        <v>34</v>
      </c>
      <c r="F249" s="653">
        <v>0.56999999999999995</v>
      </c>
      <c r="G249" s="623" t="s">
        <v>3560</v>
      </c>
      <c r="H249" s="623" t="s">
        <v>33</v>
      </c>
      <c r="I249" s="623" t="s">
        <v>34</v>
      </c>
      <c r="J249" s="623" t="s">
        <v>34</v>
      </c>
      <c r="K249" s="623" t="s">
        <v>34</v>
      </c>
      <c r="L249" s="624"/>
      <c r="M249" s="653">
        <v>4052.7028500000001</v>
      </c>
      <c r="N249" s="622" t="s">
        <v>3788</v>
      </c>
      <c r="O249" s="1881"/>
      <c r="P249" s="623" t="s">
        <v>3684</v>
      </c>
      <c r="Q249" s="623">
        <v>18649012132</v>
      </c>
      <c r="R249" s="632" t="s">
        <v>3685</v>
      </c>
      <c r="S249" s="623" t="s">
        <v>3564</v>
      </c>
      <c r="T249" s="624"/>
    </row>
    <row r="250" spans="1:20" s="702" customFormat="1" ht="24.95" customHeight="1">
      <c r="A250" s="621">
        <v>11</v>
      </c>
      <c r="B250" s="645" t="s">
        <v>3676</v>
      </c>
      <c r="C250" s="643" t="s">
        <v>3796</v>
      </c>
      <c r="D250" s="642" t="s">
        <v>62</v>
      </c>
      <c r="E250" s="653" t="s">
        <v>34</v>
      </c>
      <c r="F250" s="653">
        <v>0.16</v>
      </c>
      <c r="G250" s="623" t="s">
        <v>3560</v>
      </c>
      <c r="H250" s="623" t="s">
        <v>33</v>
      </c>
      <c r="I250" s="623" t="s">
        <v>34</v>
      </c>
      <c r="J250" s="623" t="s">
        <v>34</v>
      </c>
      <c r="K250" s="623" t="s">
        <v>34</v>
      </c>
      <c r="L250" s="624"/>
      <c r="M250" s="653">
        <v>1108.7983999999999</v>
      </c>
      <c r="N250" s="622" t="s">
        <v>3788</v>
      </c>
      <c r="O250" s="1881"/>
      <c r="P250" s="623" t="s">
        <v>3684</v>
      </c>
      <c r="Q250" s="623">
        <v>18649012133</v>
      </c>
      <c r="R250" s="632" t="s">
        <v>3685</v>
      </c>
      <c r="S250" s="623" t="s">
        <v>3564</v>
      </c>
      <c r="T250" s="624"/>
    </row>
    <row r="251" spans="1:20" s="702" customFormat="1" ht="24.95" customHeight="1">
      <c r="A251" s="621">
        <v>12</v>
      </c>
      <c r="B251" s="645" t="s">
        <v>3797</v>
      </c>
      <c r="C251" s="643" t="s">
        <v>3798</v>
      </c>
      <c r="D251" s="642" t="s">
        <v>62</v>
      </c>
      <c r="E251" s="653" t="s">
        <v>34</v>
      </c>
      <c r="F251" s="653">
        <v>7.55</v>
      </c>
      <c r="G251" s="623" t="s">
        <v>3560</v>
      </c>
      <c r="H251" s="623" t="s">
        <v>33</v>
      </c>
      <c r="I251" s="623" t="s">
        <v>34</v>
      </c>
      <c r="J251" s="623" t="s">
        <v>34</v>
      </c>
      <c r="K251" s="623" t="s">
        <v>34</v>
      </c>
      <c r="L251" s="624"/>
      <c r="M251" s="653">
        <v>59569.492449999998</v>
      </c>
      <c r="N251" s="622" t="s">
        <v>3788</v>
      </c>
      <c r="O251" s="1881"/>
      <c r="P251" s="623" t="s">
        <v>3684</v>
      </c>
      <c r="Q251" s="623">
        <v>18649012134</v>
      </c>
      <c r="R251" s="632" t="s">
        <v>3685</v>
      </c>
      <c r="S251" s="623" t="s">
        <v>3564</v>
      </c>
      <c r="T251" s="624"/>
    </row>
    <row r="252" spans="1:20" s="702" customFormat="1" ht="24.95" customHeight="1">
      <c r="A252" s="621">
        <v>13</v>
      </c>
      <c r="B252" s="645" t="s">
        <v>3797</v>
      </c>
      <c r="C252" s="643" t="s">
        <v>3799</v>
      </c>
      <c r="D252" s="642" t="s">
        <v>62</v>
      </c>
      <c r="E252" s="653" t="s">
        <v>34</v>
      </c>
      <c r="F252" s="703">
        <v>3.3799120999999999</v>
      </c>
      <c r="G252" s="623" t="s">
        <v>3560</v>
      </c>
      <c r="H252" s="623" t="s">
        <v>33</v>
      </c>
      <c r="I252" s="623" t="s">
        <v>34</v>
      </c>
      <c r="J252" s="623" t="s">
        <v>34</v>
      </c>
      <c r="K252" s="623" t="s">
        <v>34</v>
      </c>
      <c r="L252" s="624"/>
      <c r="M252" s="653">
        <v>26667.499709175801</v>
      </c>
      <c r="N252" s="622" t="s">
        <v>3788</v>
      </c>
      <c r="O252" s="1882"/>
      <c r="P252" s="623" t="s">
        <v>3684</v>
      </c>
      <c r="Q252" s="623">
        <v>18649012135</v>
      </c>
      <c r="R252" s="632" t="s">
        <v>3685</v>
      </c>
      <c r="S252" s="623" t="s">
        <v>3564</v>
      </c>
      <c r="T252" s="624"/>
    </row>
    <row r="253" spans="1:20" ht="24.95" customHeight="1">
      <c r="A253" s="621">
        <v>14</v>
      </c>
      <c r="B253" s="642"/>
      <c r="C253" s="642"/>
      <c r="D253" s="642"/>
      <c r="E253" s="643"/>
      <c r="F253" s="643"/>
      <c r="G253" s="623"/>
      <c r="H253" s="623"/>
      <c r="I253" s="623"/>
      <c r="J253" s="623"/>
      <c r="K253" s="623"/>
      <c r="L253" s="624"/>
      <c r="M253" s="643"/>
      <c r="N253" s="622"/>
      <c r="O253" s="623"/>
      <c r="P253" s="623"/>
      <c r="Q253" s="623"/>
      <c r="R253" s="632"/>
      <c r="S253" s="623"/>
      <c r="T253" s="624"/>
    </row>
    <row r="254" spans="1:20" s="662" customFormat="1" ht="24.95" customHeight="1">
      <c r="A254" s="621">
        <v>15</v>
      </c>
      <c r="B254" s="659" t="s">
        <v>1042</v>
      </c>
      <c r="C254" s="660"/>
      <c r="D254" s="704"/>
      <c r="E254" s="661"/>
      <c r="F254" s="661"/>
      <c r="G254" s="624"/>
      <c r="H254" s="624"/>
      <c r="I254" s="624"/>
      <c r="J254" s="624"/>
      <c r="K254" s="624"/>
      <c r="L254" s="624"/>
      <c r="M254" s="661"/>
      <c r="N254" s="622"/>
      <c r="O254" s="624"/>
      <c r="P254" s="624"/>
      <c r="Q254" s="624"/>
      <c r="R254" s="624"/>
      <c r="S254" s="624"/>
      <c r="T254" s="624"/>
    </row>
    <row r="255" spans="1:20" s="662" customFormat="1" ht="24.95" customHeight="1">
      <c r="A255" s="621">
        <v>16</v>
      </c>
      <c r="B255" s="659" t="s">
        <v>3717</v>
      </c>
      <c r="C255" s="660"/>
      <c r="D255" s="624"/>
      <c r="E255" s="661"/>
      <c r="F255" s="661"/>
      <c r="G255" s="624"/>
      <c r="H255" s="624"/>
      <c r="I255" s="624"/>
      <c r="J255" s="624"/>
      <c r="K255" s="624"/>
      <c r="L255" s="624"/>
      <c r="M255" s="661"/>
      <c r="N255" s="622"/>
      <c r="O255" s="624"/>
      <c r="P255" s="624"/>
      <c r="Q255" s="624"/>
      <c r="R255" s="624"/>
      <c r="S255" s="624"/>
      <c r="T255" s="624"/>
    </row>
    <row r="256" spans="1:20" s="662" customFormat="1" ht="24.95" customHeight="1">
      <c r="A256" s="621">
        <v>17</v>
      </c>
      <c r="B256" s="659" t="s">
        <v>1043</v>
      </c>
      <c r="C256" s="660"/>
      <c r="D256" s="624"/>
      <c r="E256" s="661"/>
      <c r="F256" s="661"/>
      <c r="G256" s="624"/>
      <c r="H256" s="624"/>
      <c r="I256" s="624"/>
      <c r="J256" s="624"/>
      <c r="K256" s="624"/>
      <c r="L256" s="624"/>
      <c r="M256" s="661"/>
      <c r="N256" s="622"/>
      <c r="O256" s="624"/>
      <c r="P256" s="624"/>
      <c r="Q256" s="624"/>
      <c r="R256" s="624"/>
      <c r="S256" s="624"/>
      <c r="T256" s="624"/>
    </row>
    <row r="257" spans="1:20" s="662" customFormat="1" ht="24.95" customHeight="1">
      <c r="A257" s="621">
        <v>18</v>
      </c>
      <c r="B257" s="659" t="s">
        <v>3717</v>
      </c>
      <c r="C257" s="660"/>
      <c r="D257" s="624"/>
      <c r="E257" s="661"/>
      <c r="F257" s="661"/>
      <c r="G257" s="624"/>
      <c r="H257" s="624"/>
      <c r="I257" s="624"/>
      <c r="J257" s="624"/>
      <c r="K257" s="624"/>
      <c r="L257" s="624"/>
      <c r="M257" s="661"/>
      <c r="N257" s="622"/>
      <c r="O257" s="624"/>
      <c r="P257" s="624"/>
      <c r="Q257" s="624"/>
      <c r="R257" s="624"/>
      <c r="S257" s="624"/>
      <c r="T257" s="624"/>
    </row>
    <row r="258" spans="1:20" s="662" customFormat="1" ht="24.95" customHeight="1">
      <c r="A258" s="621">
        <v>19</v>
      </c>
      <c r="B258" s="659" t="s">
        <v>1044</v>
      </c>
      <c r="C258" s="660"/>
      <c r="D258" s="624"/>
      <c r="E258" s="661"/>
      <c r="F258" s="661"/>
      <c r="G258" s="624"/>
      <c r="H258" s="624"/>
      <c r="I258" s="624"/>
      <c r="J258" s="624"/>
      <c r="K258" s="624"/>
      <c r="L258" s="624"/>
      <c r="M258" s="661"/>
      <c r="N258" s="622"/>
      <c r="O258" s="624"/>
      <c r="P258" s="624"/>
      <c r="Q258" s="624"/>
      <c r="R258" s="624"/>
      <c r="S258" s="624"/>
      <c r="T258" s="624"/>
    </row>
    <row r="259" spans="1:20" s="662" customFormat="1" ht="24.95" customHeight="1">
      <c r="A259" s="621">
        <v>20</v>
      </c>
      <c r="B259" s="640" t="s">
        <v>3800</v>
      </c>
      <c r="C259" s="623" t="s">
        <v>34</v>
      </c>
      <c r="D259" s="623" t="s">
        <v>62</v>
      </c>
      <c r="E259" s="158" t="s">
        <v>34</v>
      </c>
      <c r="F259" s="158">
        <v>212.55099999999999</v>
      </c>
      <c r="G259" s="623" t="s">
        <v>32</v>
      </c>
      <c r="H259" s="623" t="s">
        <v>33</v>
      </c>
      <c r="I259" s="623" t="s">
        <v>34</v>
      </c>
      <c r="J259" s="623" t="s">
        <v>34</v>
      </c>
      <c r="K259" s="623" t="s">
        <v>34</v>
      </c>
      <c r="L259" s="624"/>
      <c r="M259" s="158">
        <v>0</v>
      </c>
      <c r="N259" s="622">
        <v>2007.5</v>
      </c>
      <c r="O259" s="623" t="s">
        <v>3561</v>
      </c>
      <c r="P259" s="623" t="s">
        <v>3562</v>
      </c>
      <c r="Q259" s="623">
        <v>15222256701</v>
      </c>
      <c r="R259" s="623" t="s">
        <v>3563</v>
      </c>
      <c r="S259" s="623" t="s">
        <v>3564</v>
      </c>
      <c r="T259" s="624"/>
    </row>
    <row r="260" spans="1:20" s="662" customFormat="1" ht="24.95" customHeight="1">
      <c r="A260" s="621">
        <v>21</v>
      </c>
      <c r="B260" s="623" t="s">
        <v>3801</v>
      </c>
      <c r="C260" s="623"/>
      <c r="D260" s="623" t="s">
        <v>62</v>
      </c>
      <c r="E260" s="158" t="s">
        <v>34</v>
      </c>
      <c r="F260" s="158">
        <v>135.631</v>
      </c>
      <c r="G260" s="623" t="s">
        <v>32</v>
      </c>
      <c r="H260" s="623" t="s">
        <v>33</v>
      </c>
      <c r="I260" s="623" t="s">
        <v>34</v>
      </c>
      <c r="J260" s="623" t="s">
        <v>34</v>
      </c>
      <c r="K260" s="623" t="s">
        <v>34</v>
      </c>
      <c r="L260" s="624"/>
      <c r="M260" s="158">
        <v>0</v>
      </c>
      <c r="N260" s="622">
        <v>2007.12</v>
      </c>
      <c r="O260" s="623" t="s">
        <v>3561</v>
      </c>
      <c r="P260" s="623" t="s">
        <v>3562</v>
      </c>
      <c r="Q260" s="623">
        <v>15222256701</v>
      </c>
      <c r="R260" s="623" t="s">
        <v>3563</v>
      </c>
      <c r="S260" s="623" t="s">
        <v>3564</v>
      </c>
      <c r="T260" s="624"/>
    </row>
    <row r="261" spans="1:20" s="662" customFormat="1" ht="24.95" customHeight="1">
      <c r="A261" s="621">
        <v>22</v>
      </c>
      <c r="B261" s="659" t="s">
        <v>3717</v>
      </c>
      <c r="C261" s="660"/>
      <c r="D261" s="624"/>
      <c r="E261" s="661"/>
      <c r="F261" s="661"/>
      <c r="G261" s="624"/>
      <c r="H261" s="624"/>
      <c r="I261" s="624"/>
      <c r="J261" s="624"/>
      <c r="K261" s="624"/>
      <c r="L261" s="624"/>
      <c r="M261" s="661"/>
      <c r="N261" s="622"/>
      <c r="O261" s="624"/>
      <c r="P261" s="624"/>
      <c r="Q261" s="624"/>
      <c r="R261" s="624"/>
      <c r="S261" s="624"/>
      <c r="T261" s="624"/>
    </row>
    <row r="262" spans="1:20" s="662" customFormat="1" ht="24.95" customHeight="1">
      <c r="A262" s="621">
        <v>23</v>
      </c>
      <c r="B262" s="659" t="s">
        <v>1097</v>
      </c>
      <c r="C262" s="660"/>
      <c r="D262" s="624"/>
      <c r="E262" s="661"/>
      <c r="F262" s="661"/>
      <c r="G262" s="624"/>
      <c r="H262" s="624"/>
      <c r="I262" s="624"/>
      <c r="J262" s="624"/>
      <c r="K262" s="624"/>
      <c r="L262" s="624"/>
      <c r="M262" s="661"/>
      <c r="N262" s="622"/>
      <c r="O262" s="624"/>
      <c r="P262" s="624"/>
      <c r="Q262" s="624"/>
      <c r="R262" s="624"/>
      <c r="S262" s="624"/>
      <c r="T262" s="624"/>
    </row>
    <row r="263" spans="1:20" s="662" customFormat="1" ht="24.95" customHeight="1">
      <c r="A263" s="621">
        <v>24</v>
      </c>
      <c r="B263" s="659" t="s">
        <v>1097</v>
      </c>
      <c r="C263" s="705" t="s">
        <v>3802</v>
      </c>
      <c r="D263" s="664" t="s">
        <v>464</v>
      </c>
      <c r="E263" s="706">
        <v>487</v>
      </c>
      <c r="F263" s="661"/>
      <c r="G263" s="623" t="s">
        <v>3560</v>
      </c>
      <c r="H263" s="623" t="s">
        <v>33</v>
      </c>
      <c r="I263" s="624"/>
      <c r="J263" s="624"/>
      <c r="K263" s="624"/>
      <c r="L263" s="624"/>
      <c r="M263" s="666">
        <v>260994.17199999999</v>
      </c>
      <c r="N263" s="622" t="s">
        <v>3624</v>
      </c>
      <c r="O263" s="623" t="s">
        <v>3618</v>
      </c>
      <c r="P263" s="623" t="s">
        <v>3619</v>
      </c>
      <c r="Q263" s="623">
        <v>13752429150</v>
      </c>
      <c r="R263" s="632" t="s">
        <v>3620</v>
      </c>
      <c r="S263" s="623" t="s">
        <v>3564</v>
      </c>
      <c r="T263" s="624"/>
    </row>
    <row r="264" spans="1:20" s="662" customFormat="1" ht="24.95" customHeight="1">
      <c r="A264" s="621">
        <v>25</v>
      </c>
      <c r="B264" s="659" t="s">
        <v>3717</v>
      </c>
      <c r="C264" s="660"/>
      <c r="D264" s="624"/>
      <c r="E264" s="661"/>
      <c r="F264" s="661"/>
      <c r="G264" s="624"/>
      <c r="H264" s="624"/>
      <c r="I264" s="624"/>
      <c r="J264" s="624"/>
      <c r="K264" s="624"/>
      <c r="L264" s="624"/>
      <c r="M264" s="661"/>
      <c r="N264" s="622"/>
      <c r="O264" s="624"/>
      <c r="P264" s="624"/>
      <c r="Q264" s="624"/>
      <c r="R264" s="624"/>
      <c r="S264" s="624"/>
      <c r="T264" s="624"/>
    </row>
    <row r="265" spans="1:20" s="662" customFormat="1" ht="24.95" customHeight="1">
      <c r="A265" s="621">
        <v>26</v>
      </c>
      <c r="B265" s="659" t="s">
        <v>1107</v>
      </c>
      <c r="C265" s="660"/>
      <c r="D265" s="624"/>
      <c r="E265" s="661"/>
      <c r="F265" s="661"/>
      <c r="G265" s="624"/>
      <c r="H265" s="624"/>
      <c r="I265" s="624"/>
      <c r="J265" s="624"/>
      <c r="K265" s="624"/>
      <c r="L265" s="624"/>
      <c r="M265" s="661"/>
      <c r="N265" s="622"/>
      <c r="O265" s="624"/>
      <c r="P265" s="624"/>
      <c r="Q265" s="624"/>
      <c r="R265" s="624"/>
      <c r="S265" s="624"/>
      <c r="T265" s="624"/>
    </row>
    <row r="266" spans="1:20" s="662" customFormat="1" ht="24.95" customHeight="1">
      <c r="A266" s="621">
        <v>27</v>
      </c>
      <c r="B266" s="659" t="s">
        <v>3717</v>
      </c>
      <c r="C266" s="660"/>
      <c r="D266" s="624"/>
      <c r="E266" s="661"/>
      <c r="F266" s="661"/>
      <c r="G266" s="624"/>
      <c r="H266" s="624"/>
      <c r="I266" s="624"/>
      <c r="J266" s="624"/>
      <c r="K266" s="624"/>
      <c r="L266" s="624"/>
      <c r="M266" s="661"/>
      <c r="N266" s="622"/>
      <c r="O266" s="624"/>
      <c r="P266" s="624"/>
      <c r="Q266" s="624"/>
      <c r="R266" s="624"/>
      <c r="S266" s="624"/>
      <c r="T266" s="624"/>
    </row>
    <row r="267" spans="1:20" s="662" customFormat="1" ht="24.95" customHeight="1">
      <c r="A267" s="621">
        <v>28</v>
      </c>
      <c r="B267" s="659" t="s">
        <v>3366</v>
      </c>
      <c r="C267" s="660"/>
      <c r="D267" s="624"/>
      <c r="E267" s="661"/>
      <c r="F267" s="661"/>
      <c r="G267" s="624"/>
      <c r="H267" s="624"/>
      <c r="I267" s="624"/>
      <c r="J267" s="624"/>
      <c r="K267" s="624"/>
      <c r="L267" s="624"/>
      <c r="M267" s="661"/>
      <c r="N267" s="622"/>
      <c r="O267" s="624"/>
      <c r="P267" s="624"/>
      <c r="Q267" s="624"/>
      <c r="R267" s="624"/>
      <c r="S267" s="624"/>
      <c r="T267" s="624"/>
    </row>
    <row r="268" spans="1:20" s="662" customFormat="1" ht="24.95" customHeight="1">
      <c r="A268" s="621">
        <v>29</v>
      </c>
      <c r="B268" s="623" t="s">
        <v>3803</v>
      </c>
      <c r="C268" s="623" t="s">
        <v>3804</v>
      </c>
      <c r="D268" s="623" t="s">
        <v>79</v>
      </c>
      <c r="E268" s="158">
        <v>1575</v>
      </c>
      <c r="F268" s="158" t="s">
        <v>34</v>
      </c>
      <c r="G268" s="623" t="s">
        <v>3560</v>
      </c>
      <c r="H268" s="623" t="s">
        <v>33</v>
      </c>
      <c r="I268" s="623" t="s">
        <v>34</v>
      </c>
      <c r="J268" s="623" t="s">
        <v>34</v>
      </c>
      <c r="K268" s="623" t="s">
        <v>34</v>
      </c>
      <c r="L268" s="624"/>
      <c r="M268" s="158">
        <v>0</v>
      </c>
      <c r="N268" s="622">
        <v>2010.6</v>
      </c>
      <c r="O268" s="623" t="s">
        <v>3561</v>
      </c>
      <c r="P268" s="623" t="s">
        <v>3562</v>
      </c>
      <c r="Q268" s="623">
        <v>15222256701</v>
      </c>
      <c r="R268" s="623" t="s">
        <v>3563</v>
      </c>
      <c r="S268" s="623" t="s">
        <v>3564</v>
      </c>
      <c r="T268" s="624"/>
    </row>
    <row r="269" spans="1:20" s="662" customFormat="1" ht="24.95" customHeight="1">
      <c r="A269" s="621">
        <v>30</v>
      </c>
      <c r="B269" s="623" t="s">
        <v>3803</v>
      </c>
      <c r="C269" s="623" t="s">
        <v>3805</v>
      </c>
      <c r="D269" s="623" t="s">
        <v>79</v>
      </c>
      <c r="E269" s="158">
        <v>1484</v>
      </c>
      <c r="F269" s="158" t="s">
        <v>34</v>
      </c>
      <c r="G269" s="623" t="s">
        <v>3560</v>
      </c>
      <c r="H269" s="623" t="s">
        <v>33</v>
      </c>
      <c r="I269" s="623" t="s">
        <v>34</v>
      </c>
      <c r="J269" s="623" t="s">
        <v>34</v>
      </c>
      <c r="K269" s="623" t="s">
        <v>34</v>
      </c>
      <c r="L269" s="624"/>
      <c r="M269" s="158">
        <v>0</v>
      </c>
      <c r="N269" s="622">
        <v>2010.6</v>
      </c>
      <c r="O269" s="623" t="s">
        <v>3561</v>
      </c>
      <c r="P269" s="623" t="s">
        <v>3562</v>
      </c>
      <c r="Q269" s="623">
        <v>15222256701</v>
      </c>
      <c r="R269" s="623" t="s">
        <v>3563</v>
      </c>
      <c r="S269" s="623" t="s">
        <v>3564</v>
      </c>
      <c r="T269" s="624"/>
    </row>
    <row r="270" spans="1:20" s="662" customFormat="1" ht="24.95" customHeight="1">
      <c r="A270" s="621">
        <v>31</v>
      </c>
      <c r="B270" s="623" t="s">
        <v>3803</v>
      </c>
      <c r="C270" s="623" t="s">
        <v>3806</v>
      </c>
      <c r="D270" s="623" t="s">
        <v>79</v>
      </c>
      <c r="E270" s="158">
        <v>790</v>
      </c>
      <c r="F270" s="158" t="s">
        <v>34</v>
      </c>
      <c r="G270" s="623" t="s">
        <v>3560</v>
      </c>
      <c r="H270" s="623" t="s">
        <v>33</v>
      </c>
      <c r="I270" s="623" t="s">
        <v>34</v>
      </c>
      <c r="J270" s="623" t="s">
        <v>34</v>
      </c>
      <c r="K270" s="623" t="s">
        <v>34</v>
      </c>
      <c r="L270" s="624"/>
      <c r="M270" s="158">
        <v>0</v>
      </c>
      <c r="N270" s="622">
        <v>2010.6</v>
      </c>
      <c r="O270" s="623" t="s">
        <v>3561</v>
      </c>
      <c r="P270" s="623" t="s">
        <v>3562</v>
      </c>
      <c r="Q270" s="623">
        <v>15222256701</v>
      </c>
      <c r="R270" s="623" t="s">
        <v>3563</v>
      </c>
      <c r="S270" s="623" t="s">
        <v>3564</v>
      </c>
      <c r="T270" s="624"/>
    </row>
    <row r="271" spans="1:20" s="662" customFormat="1" ht="24.95" customHeight="1">
      <c r="A271" s="621">
        <v>32</v>
      </c>
      <c r="B271" s="623" t="s">
        <v>3803</v>
      </c>
      <c r="C271" s="623" t="s">
        <v>3807</v>
      </c>
      <c r="D271" s="623" t="s">
        <v>79</v>
      </c>
      <c r="E271" s="158">
        <v>180</v>
      </c>
      <c r="F271" s="158" t="s">
        <v>34</v>
      </c>
      <c r="G271" s="623" t="s">
        <v>3560</v>
      </c>
      <c r="H271" s="623" t="s">
        <v>33</v>
      </c>
      <c r="I271" s="623" t="s">
        <v>34</v>
      </c>
      <c r="J271" s="623" t="s">
        <v>34</v>
      </c>
      <c r="K271" s="623" t="s">
        <v>34</v>
      </c>
      <c r="L271" s="624"/>
      <c r="M271" s="158">
        <v>0</v>
      </c>
      <c r="N271" s="622">
        <v>2010.1</v>
      </c>
      <c r="O271" s="623" t="s">
        <v>3561</v>
      </c>
      <c r="P271" s="623" t="s">
        <v>3562</v>
      </c>
      <c r="Q271" s="623">
        <v>15222256701</v>
      </c>
      <c r="R271" s="623" t="s">
        <v>3563</v>
      </c>
      <c r="S271" s="623" t="s">
        <v>3564</v>
      </c>
      <c r="T271" s="624"/>
    </row>
    <row r="272" spans="1:20" s="662" customFormat="1" ht="24.95" customHeight="1">
      <c r="A272" s="621">
        <v>33</v>
      </c>
      <c r="B272" s="623" t="s">
        <v>3808</v>
      </c>
      <c r="C272" s="623" t="s">
        <v>3809</v>
      </c>
      <c r="D272" s="623" t="s">
        <v>79</v>
      </c>
      <c r="E272" s="158">
        <v>364</v>
      </c>
      <c r="F272" s="158" t="s">
        <v>34</v>
      </c>
      <c r="G272" s="623" t="s">
        <v>3560</v>
      </c>
      <c r="H272" s="623" t="s">
        <v>33</v>
      </c>
      <c r="I272" s="623" t="s">
        <v>34</v>
      </c>
      <c r="J272" s="623" t="s">
        <v>34</v>
      </c>
      <c r="K272" s="623" t="s">
        <v>34</v>
      </c>
      <c r="L272" s="624"/>
      <c r="M272" s="158">
        <v>0</v>
      </c>
      <c r="N272" s="622">
        <v>2011.1</v>
      </c>
      <c r="O272" s="623" t="s">
        <v>3561</v>
      </c>
      <c r="P272" s="623" t="s">
        <v>3562</v>
      </c>
      <c r="Q272" s="623">
        <v>15222256701</v>
      </c>
      <c r="R272" s="623" t="s">
        <v>3563</v>
      </c>
      <c r="S272" s="623" t="s">
        <v>3564</v>
      </c>
      <c r="T272" s="624"/>
    </row>
    <row r="273" spans="1:20" s="662" customFormat="1" ht="24.95" customHeight="1">
      <c r="A273" s="621">
        <v>34</v>
      </c>
      <c r="B273" s="623" t="s">
        <v>3808</v>
      </c>
      <c r="C273" s="623" t="s">
        <v>3810</v>
      </c>
      <c r="D273" s="623" t="s">
        <v>2633</v>
      </c>
      <c r="E273" s="158">
        <v>500</v>
      </c>
      <c r="F273" s="158" t="s">
        <v>34</v>
      </c>
      <c r="G273" s="623" t="s">
        <v>3560</v>
      </c>
      <c r="H273" s="623" t="s">
        <v>33</v>
      </c>
      <c r="I273" s="623" t="s">
        <v>34</v>
      </c>
      <c r="J273" s="623" t="s">
        <v>34</v>
      </c>
      <c r="K273" s="623" t="s">
        <v>34</v>
      </c>
      <c r="L273" s="624"/>
      <c r="M273" s="158">
        <v>0</v>
      </c>
      <c r="N273" s="622">
        <v>2012.2</v>
      </c>
      <c r="O273" s="623" t="s">
        <v>3561</v>
      </c>
      <c r="P273" s="623" t="s">
        <v>3562</v>
      </c>
      <c r="Q273" s="623">
        <v>15222256701</v>
      </c>
      <c r="R273" s="623" t="s">
        <v>3563</v>
      </c>
      <c r="S273" s="623" t="s">
        <v>3564</v>
      </c>
      <c r="T273" s="624"/>
    </row>
    <row r="274" spans="1:20" ht="24.95" customHeight="1">
      <c r="A274" s="621">
        <v>35</v>
      </c>
      <c r="B274" s="623" t="s">
        <v>3808</v>
      </c>
      <c r="C274" s="623" t="s">
        <v>3811</v>
      </c>
      <c r="D274" s="623" t="s">
        <v>79</v>
      </c>
      <c r="E274" s="158">
        <v>1392</v>
      </c>
      <c r="F274" s="158">
        <v>2.7</v>
      </c>
      <c r="G274" s="623" t="s">
        <v>32</v>
      </c>
      <c r="H274" s="623" t="s">
        <v>33</v>
      </c>
      <c r="I274" s="623" t="s">
        <v>34</v>
      </c>
      <c r="J274" s="623" t="s">
        <v>34</v>
      </c>
      <c r="K274" s="623" t="s">
        <v>34</v>
      </c>
      <c r="L274" s="624"/>
      <c r="M274" s="158">
        <v>1334.5</v>
      </c>
      <c r="N274" s="622">
        <v>2014.5</v>
      </c>
      <c r="O274" s="623" t="s">
        <v>3561</v>
      </c>
      <c r="P274" s="623" t="s">
        <v>3720</v>
      </c>
      <c r="Q274" s="623">
        <v>13920821940</v>
      </c>
      <c r="R274" s="624"/>
      <c r="S274" s="623" t="s">
        <v>3564</v>
      </c>
      <c r="T274" s="624"/>
    </row>
    <row r="275" spans="1:20" ht="24.95" customHeight="1">
      <c r="A275" s="621">
        <v>36</v>
      </c>
      <c r="B275" s="623" t="s">
        <v>3808</v>
      </c>
      <c r="C275" s="623" t="s">
        <v>3812</v>
      </c>
      <c r="D275" s="623" t="s">
        <v>79</v>
      </c>
      <c r="E275" s="158">
        <v>1392</v>
      </c>
      <c r="F275" s="158">
        <v>3.8</v>
      </c>
      <c r="G275" s="623" t="s">
        <v>32</v>
      </c>
      <c r="H275" s="623" t="s">
        <v>33</v>
      </c>
      <c r="I275" s="623" t="s">
        <v>34</v>
      </c>
      <c r="J275" s="623" t="s">
        <v>34</v>
      </c>
      <c r="K275" s="623" t="s">
        <v>34</v>
      </c>
      <c r="L275" s="624"/>
      <c r="M275" s="158">
        <v>2770.08</v>
      </c>
      <c r="N275" s="622">
        <v>2014.5</v>
      </c>
      <c r="O275" s="623" t="s">
        <v>3561</v>
      </c>
      <c r="P275" s="623" t="s">
        <v>3720</v>
      </c>
      <c r="Q275" s="623">
        <v>13920821940</v>
      </c>
      <c r="R275" s="624"/>
      <c r="S275" s="623" t="s">
        <v>3564</v>
      </c>
      <c r="T275" s="624"/>
    </row>
    <row r="276" spans="1:20" ht="24.95" customHeight="1">
      <c r="A276" s="621">
        <v>37</v>
      </c>
      <c r="B276" s="623" t="s">
        <v>3808</v>
      </c>
      <c r="C276" s="623" t="s">
        <v>3813</v>
      </c>
      <c r="D276" s="623" t="s">
        <v>79</v>
      </c>
      <c r="E276" s="158">
        <v>788</v>
      </c>
      <c r="F276" s="158">
        <v>1.4</v>
      </c>
      <c r="G276" s="623" t="s">
        <v>32</v>
      </c>
      <c r="H276" s="623" t="s">
        <v>33</v>
      </c>
      <c r="I276" s="623" t="s">
        <v>34</v>
      </c>
      <c r="J276" s="623" t="s">
        <v>34</v>
      </c>
      <c r="K276" s="623" t="s">
        <v>34</v>
      </c>
      <c r="L276" s="624"/>
      <c r="M276" s="158">
        <v>1706.02</v>
      </c>
      <c r="N276" s="622">
        <v>2014.5</v>
      </c>
      <c r="O276" s="623" t="s">
        <v>3561</v>
      </c>
      <c r="P276" s="623" t="s">
        <v>3720</v>
      </c>
      <c r="Q276" s="623">
        <v>13920821940</v>
      </c>
      <c r="R276" s="624"/>
      <c r="S276" s="623" t="s">
        <v>3564</v>
      </c>
      <c r="T276" s="624"/>
    </row>
    <row r="277" spans="1:20" s="662" customFormat="1" ht="24.95" customHeight="1">
      <c r="A277" s="621">
        <v>38</v>
      </c>
      <c r="B277" s="623" t="s">
        <v>2771</v>
      </c>
      <c r="C277" s="623" t="s">
        <v>3814</v>
      </c>
      <c r="D277" s="623" t="s">
        <v>131</v>
      </c>
      <c r="E277" s="158">
        <v>1938</v>
      </c>
      <c r="F277" s="158" t="s">
        <v>34</v>
      </c>
      <c r="G277" s="623" t="s">
        <v>32</v>
      </c>
      <c r="H277" s="623" t="s">
        <v>33</v>
      </c>
      <c r="I277" s="623" t="s">
        <v>34</v>
      </c>
      <c r="J277" s="623" t="s">
        <v>34</v>
      </c>
      <c r="K277" s="623" t="s">
        <v>34</v>
      </c>
      <c r="L277" s="624"/>
      <c r="M277" s="158">
        <v>0</v>
      </c>
      <c r="N277" s="622">
        <v>2010.6</v>
      </c>
      <c r="O277" s="623" t="s">
        <v>3561</v>
      </c>
      <c r="P277" s="623" t="s">
        <v>3562</v>
      </c>
      <c r="Q277" s="623">
        <v>15222256701</v>
      </c>
      <c r="R277" s="623" t="s">
        <v>3563</v>
      </c>
      <c r="S277" s="623" t="s">
        <v>3564</v>
      </c>
      <c r="T277" s="624"/>
    </row>
    <row r="278" spans="1:20" s="662" customFormat="1" ht="24.95" customHeight="1">
      <c r="A278" s="621">
        <v>39</v>
      </c>
      <c r="B278" s="623" t="s">
        <v>2771</v>
      </c>
      <c r="C278" s="623" t="s">
        <v>3815</v>
      </c>
      <c r="D278" s="623" t="s">
        <v>131</v>
      </c>
      <c r="E278" s="158">
        <v>1704</v>
      </c>
      <c r="F278" s="158" t="s">
        <v>34</v>
      </c>
      <c r="G278" s="623" t="s">
        <v>32</v>
      </c>
      <c r="H278" s="623" t="s">
        <v>33</v>
      </c>
      <c r="I278" s="623" t="s">
        <v>34</v>
      </c>
      <c r="J278" s="623" t="s">
        <v>34</v>
      </c>
      <c r="K278" s="623" t="s">
        <v>34</v>
      </c>
      <c r="L278" s="624"/>
      <c r="M278" s="158">
        <v>0</v>
      </c>
      <c r="N278" s="622">
        <v>2010.6</v>
      </c>
      <c r="O278" s="623" t="s">
        <v>3561</v>
      </c>
      <c r="P278" s="623" t="s">
        <v>3562</v>
      </c>
      <c r="Q278" s="623">
        <v>15222256701</v>
      </c>
      <c r="R278" s="623" t="s">
        <v>3563</v>
      </c>
      <c r="S278" s="623" t="s">
        <v>3564</v>
      </c>
      <c r="T278" s="624"/>
    </row>
    <row r="279" spans="1:20" ht="24.95" customHeight="1">
      <c r="A279" s="621">
        <v>40</v>
      </c>
      <c r="B279" s="623" t="s">
        <v>2771</v>
      </c>
      <c r="C279" s="623" t="s">
        <v>3816</v>
      </c>
      <c r="D279" s="623" t="s">
        <v>131</v>
      </c>
      <c r="E279" s="158">
        <v>1856</v>
      </c>
      <c r="F279" s="158">
        <v>1.8</v>
      </c>
      <c r="G279" s="623" t="s">
        <v>32</v>
      </c>
      <c r="H279" s="623" t="s">
        <v>33</v>
      </c>
      <c r="I279" s="623" t="s">
        <v>34</v>
      </c>
      <c r="J279" s="623" t="s">
        <v>34</v>
      </c>
      <c r="K279" s="623" t="s">
        <v>34</v>
      </c>
      <c r="L279" s="624"/>
      <c r="M279" s="158">
        <v>2830.4</v>
      </c>
      <c r="N279" s="622">
        <v>2014.5</v>
      </c>
      <c r="O279" s="623" t="s">
        <v>3561</v>
      </c>
      <c r="P279" s="623" t="s">
        <v>3720</v>
      </c>
      <c r="Q279" s="623">
        <v>13920821940</v>
      </c>
      <c r="R279" s="624"/>
      <c r="S279" s="623" t="s">
        <v>3564</v>
      </c>
      <c r="T279" s="624"/>
    </row>
    <row r="280" spans="1:20" ht="24.95" customHeight="1">
      <c r="A280" s="621">
        <v>41</v>
      </c>
      <c r="B280" s="623" t="s">
        <v>2771</v>
      </c>
      <c r="C280" s="623" t="s">
        <v>3817</v>
      </c>
      <c r="D280" s="623" t="s">
        <v>131</v>
      </c>
      <c r="E280" s="158">
        <v>928</v>
      </c>
      <c r="F280" s="158">
        <v>1.2</v>
      </c>
      <c r="G280" s="623" t="s">
        <v>32</v>
      </c>
      <c r="H280" s="623" t="s">
        <v>33</v>
      </c>
      <c r="I280" s="623" t="s">
        <v>34</v>
      </c>
      <c r="J280" s="623" t="s">
        <v>34</v>
      </c>
      <c r="K280" s="623" t="s">
        <v>34</v>
      </c>
      <c r="L280" s="624"/>
      <c r="M280" s="158">
        <v>1577.6</v>
      </c>
      <c r="N280" s="622">
        <v>2014.5</v>
      </c>
      <c r="O280" s="623" t="s">
        <v>3561</v>
      </c>
      <c r="P280" s="623" t="s">
        <v>3720</v>
      </c>
      <c r="Q280" s="623">
        <v>13920821940</v>
      </c>
      <c r="R280" s="624"/>
      <c r="S280" s="623" t="s">
        <v>3564</v>
      </c>
      <c r="T280" s="624"/>
    </row>
    <row r="281" spans="1:20" ht="24.95" customHeight="1">
      <c r="A281" s="621">
        <v>42</v>
      </c>
      <c r="B281" s="623" t="s">
        <v>2771</v>
      </c>
      <c r="C281" s="623" t="s">
        <v>3818</v>
      </c>
      <c r="D281" s="623" t="s">
        <v>131</v>
      </c>
      <c r="E281" s="158">
        <v>788</v>
      </c>
      <c r="F281" s="158">
        <v>0.8</v>
      </c>
      <c r="G281" s="623" t="s">
        <v>32</v>
      </c>
      <c r="H281" s="623" t="s">
        <v>33</v>
      </c>
      <c r="I281" s="623" t="s">
        <v>34</v>
      </c>
      <c r="J281" s="623" t="s">
        <v>34</v>
      </c>
      <c r="K281" s="623" t="s">
        <v>34</v>
      </c>
      <c r="L281" s="624"/>
      <c r="M281" s="158">
        <v>1398.7</v>
      </c>
      <c r="N281" s="622">
        <v>2014.5</v>
      </c>
      <c r="O281" s="623" t="s">
        <v>3561</v>
      </c>
      <c r="P281" s="623" t="s">
        <v>3720</v>
      </c>
      <c r="Q281" s="623">
        <v>13920821940</v>
      </c>
      <c r="R281" s="624"/>
      <c r="S281" s="623" t="s">
        <v>3564</v>
      </c>
      <c r="T281" s="624"/>
    </row>
    <row r="282" spans="1:20" ht="24.95" customHeight="1">
      <c r="A282" s="621">
        <v>51</v>
      </c>
      <c r="B282" s="643" t="s">
        <v>3819</v>
      </c>
      <c r="C282" s="643" t="s">
        <v>3820</v>
      </c>
      <c r="D282" s="623" t="s">
        <v>3821</v>
      </c>
      <c r="E282" s="158">
        <v>920</v>
      </c>
      <c r="F282" s="158"/>
      <c r="G282" s="623" t="s">
        <v>3560</v>
      </c>
      <c r="H282" s="632" t="s">
        <v>41</v>
      </c>
      <c r="I282" s="623" t="s">
        <v>34</v>
      </c>
      <c r="J282" s="623" t="s">
        <v>34</v>
      </c>
      <c r="K282" s="623" t="s">
        <v>34</v>
      </c>
      <c r="L282" s="707">
        <v>12951.46</v>
      </c>
      <c r="M282" s="158">
        <v>647.57000000000005</v>
      </c>
      <c r="N282" s="622" t="s">
        <v>3695</v>
      </c>
      <c r="O282" s="674" t="s">
        <v>3690</v>
      </c>
      <c r="P282" s="675" t="s">
        <v>3691</v>
      </c>
      <c r="Q282" s="679">
        <v>18394477233</v>
      </c>
      <c r="R282" s="674" t="s">
        <v>3692</v>
      </c>
      <c r="S282" s="659" t="s">
        <v>3564</v>
      </c>
      <c r="T282" s="624"/>
    </row>
    <row r="283" spans="1:20" ht="24.95" customHeight="1">
      <c r="A283" s="621"/>
      <c r="B283" s="623"/>
      <c r="C283" s="623"/>
      <c r="D283" s="623"/>
      <c r="E283" s="158"/>
      <c r="F283" s="158"/>
      <c r="G283" s="623"/>
      <c r="H283" s="623"/>
      <c r="I283" s="623"/>
      <c r="J283" s="623"/>
      <c r="K283" s="623"/>
      <c r="L283" s="624"/>
      <c r="M283" s="158"/>
      <c r="N283" s="622"/>
      <c r="O283" s="623"/>
      <c r="P283" s="623"/>
      <c r="Q283" s="623"/>
      <c r="R283" s="624"/>
      <c r="S283" s="623"/>
      <c r="T283" s="624"/>
    </row>
    <row r="284" spans="1:20" ht="24.95" customHeight="1">
      <c r="A284" s="621"/>
      <c r="B284" s="623"/>
      <c r="C284" s="623"/>
      <c r="D284" s="623"/>
      <c r="E284" s="158"/>
      <c r="F284" s="158"/>
      <c r="G284" s="623"/>
      <c r="H284" s="623"/>
      <c r="I284" s="623"/>
      <c r="J284" s="623"/>
      <c r="K284" s="623"/>
      <c r="L284" s="624"/>
      <c r="M284" s="158"/>
      <c r="N284" s="622"/>
      <c r="O284" s="623"/>
      <c r="P284" s="623"/>
      <c r="Q284" s="623"/>
      <c r="R284" s="624"/>
      <c r="S284" s="623"/>
      <c r="T284" s="624"/>
    </row>
    <row r="285" spans="1:20" s="662" customFormat="1" ht="24.95" customHeight="1">
      <c r="A285" s="700" t="s">
        <v>1108</v>
      </c>
      <c r="B285" s="689" t="s">
        <v>1109</v>
      </c>
      <c r="C285" s="660"/>
      <c r="D285" s="624"/>
      <c r="E285" s="661"/>
      <c r="F285" s="661"/>
      <c r="G285" s="624"/>
      <c r="H285" s="624"/>
      <c r="I285" s="624"/>
      <c r="J285" s="624"/>
      <c r="K285" s="624"/>
      <c r="L285" s="624"/>
      <c r="M285" s="661"/>
      <c r="N285" s="622"/>
      <c r="O285" s="624"/>
      <c r="P285" s="624"/>
      <c r="Q285" s="624"/>
      <c r="R285" s="624"/>
      <c r="S285" s="624"/>
      <c r="T285" s="624"/>
    </row>
    <row r="286" spans="1:20" s="662" customFormat="1" ht="24.95" customHeight="1">
      <c r="A286" s="621">
        <v>1</v>
      </c>
      <c r="B286" s="659" t="s">
        <v>1110</v>
      </c>
      <c r="C286" s="660"/>
      <c r="D286" s="624"/>
      <c r="E286" s="661"/>
      <c r="F286" s="661"/>
      <c r="G286" s="624"/>
      <c r="H286" s="624"/>
      <c r="I286" s="624"/>
      <c r="J286" s="624"/>
      <c r="K286" s="624"/>
      <c r="L286" s="624"/>
      <c r="M286" s="661"/>
      <c r="N286" s="622"/>
      <c r="O286" s="624"/>
      <c r="P286" s="624"/>
      <c r="Q286" s="624"/>
      <c r="R286" s="624"/>
      <c r="S286" s="624"/>
      <c r="T286" s="624"/>
    </row>
    <row r="287" spans="1:20" s="662" customFormat="1" ht="24.95" customHeight="1">
      <c r="A287" s="621">
        <v>2</v>
      </c>
      <c r="B287" s="659" t="s">
        <v>1146</v>
      </c>
      <c r="C287" s="660"/>
      <c r="D287" s="624"/>
      <c r="E287" s="661"/>
      <c r="F287" s="661"/>
      <c r="G287" s="624"/>
      <c r="H287" s="624"/>
      <c r="I287" s="624"/>
      <c r="J287" s="624"/>
      <c r="K287" s="624"/>
      <c r="L287" s="624"/>
      <c r="M287" s="661"/>
      <c r="N287" s="622"/>
      <c r="O287" s="624"/>
      <c r="P287" s="624"/>
      <c r="Q287" s="624"/>
      <c r="R287" s="624"/>
      <c r="S287" s="624"/>
      <c r="T287" s="624"/>
    </row>
    <row r="288" spans="1:20" s="662" customFormat="1" ht="24.95" customHeight="1">
      <c r="A288" s="621">
        <v>3</v>
      </c>
      <c r="B288" s="659" t="s">
        <v>3717</v>
      </c>
      <c r="C288" s="660"/>
      <c r="D288" s="624"/>
      <c r="E288" s="661"/>
      <c r="F288" s="661"/>
      <c r="G288" s="624"/>
      <c r="H288" s="624"/>
      <c r="I288" s="624"/>
      <c r="J288" s="624"/>
      <c r="K288" s="624"/>
      <c r="L288" s="624"/>
      <c r="M288" s="661"/>
      <c r="N288" s="622"/>
      <c r="O288" s="624"/>
      <c r="P288" s="624"/>
      <c r="Q288" s="624"/>
      <c r="R288" s="624"/>
      <c r="S288" s="624"/>
      <c r="T288" s="624"/>
    </row>
    <row r="289" spans="1:20" s="662" customFormat="1" ht="24.95" customHeight="1">
      <c r="A289" s="621">
        <v>4</v>
      </c>
      <c r="B289" s="659" t="s">
        <v>1147</v>
      </c>
      <c r="C289" s="660"/>
      <c r="D289" s="624"/>
      <c r="E289" s="661"/>
      <c r="F289" s="661"/>
      <c r="G289" s="624"/>
      <c r="H289" s="624"/>
      <c r="I289" s="624"/>
      <c r="J289" s="624"/>
      <c r="K289" s="624"/>
      <c r="L289" s="624"/>
      <c r="M289" s="661"/>
      <c r="N289" s="622"/>
      <c r="O289" s="624"/>
      <c r="P289" s="624"/>
      <c r="Q289" s="624"/>
      <c r="R289" s="624"/>
      <c r="S289" s="624"/>
      <c r="T289" s="624"/>
    </row>
    <row r="290" spans="1:20" s="662" customFormat="1" ht="24.95" customHeight="1">
      <c r="A290" s="621">
        <v>5</v>
      </c>
      <c r="B290" s="623" t="s">
        <v>3822</v>
      </c>
      <c r="C290" s="623" t="s">
        <v>3823</v>
      </c>
      <c r="D290" s="623" t="s">
        <v>1477</v>
      </c>
      <c r="E290" s="158">
        <v>400</v>
      </c>
      <c r="F290" s="158" t="s">
        <v>34</v>
      </c>
      <c r="G290" s="623" t="s">
        <v>32</v>
      </c>
      <c r="H290" s="623" t="s">
        <v>33</v>
      </c>
      <c r="I290" s="623" t="s">
        <v>34</v>
      </c>
      <c r="J290" s="623" t="s">
        <v>34</v>
      </c>
      <c r="K290" s="623" t="s">
        <v>34</v>
      </c>
      <c r="L290" s="624"/>
      <c r="M290" s="158">
        <v>0</v>
      </c>
      <c r="N290" s="622">
        <v>2010.6</v>
      </c>
      <c r="O290" s="623" t="s">
        <v>3561</v>
      </c>
      <c r="P290" s="623" t="s">
        <v>3562</v>
      </c>
      <c r="Q290" s="623">
        <v>15222256701</v>
      </c>
      <c r="R290" s="623" t="s">
        <v>3563</v>
      </c>
      <c r="S290" s="623" t="s">
        <v>3564</v>
      </c>
      <c r="T290" s="624"/>
    </row>
    <row r="291" spans="1:20" s="662" customFormat="1" ht="24.95" customHeight="1">
      <c r="A291" s="700" t="s">
        <v>1151</v>
      </c>
      <c r="B291" s="689" t="s">
        <v>1152</v>
      </c>
      <c r="C291" s="660"/>
      <c r="D291" s="624"/>
      <c r="E291" s="661"/>
      <c r="F291" s="661"/>
      <c r="G291" s="624"/>
      <c r="H291" s="624"/>
      <c r="I291" s="624"/>
      <c r="J291" s="624"/>
      <c r="K291" s="624"/>
      <c r="L291" s="624"/>
      <c r="M291" s="661"/>
      <c r="N291" s="622"/>
      <c r="O291" s="624"/>
      <c r="P291" s="624"/>
      <c r="Q291" s="624"/>
      <c r="R291" s="624"/>
      <c r="S291" s="624"/>
      <c r="T291" s="624"/>
    </row>
    <row r="292" spans="1:20" s="662" customFormat="1" ht="24.95" customHeight="1">
      <c r="A292" s="621">
        <v>1</v>
      </c>
      <c r="B292" s="659" t="s">
        <v>1153</v>
      </c>
      <c r="C292" s="660"/>
      <c r="D292" s="624"/>
      <c r="E292" s="661"/>
      <c r="F292" s="661"/>
      <c r="G292" s="624"/>
      <c r="H292" s="624"/>
      <c r="I292" s="624"/>
      <c r="J292" s="624"/>
      <c r="K292" s="624"/>
      <c r="L292" s="624"/>
      <c r="M292" s="661"/>
      <c r="N292" s="622"/>
      <c r="O292" s="624"/>
      <c r="P292" s="624"/>
      <c r="Q292" s="624"/>
      <c r="R292" s="624"/>
      <c r="S292" s="624"/>
      <c r="T292" s="624"/>
    </row>
    <row r="293" spans="1:20" s="662" customFormat="1" ht="24.95" customHeight="1">
      <c r="A293" s="621">
        <v>2</v>
      </c>
      <c r="B293" s="659" t="s">
        <v>3717</v>
      </c>
      <c r="C293" s="660"/>
      <c r="D293" s="624"/>
      <c r="E293" s="661"/>
      <c r="F293" s="661"/>
      <c r="G293" s="624"/>
      <c r="H293" s="624"/>
      <c r="I293" s="624"/>
      <c r="J293" s="624"/>
      <c r="K293" s="624"/>
      <c r="L293" s="624"/>
      <c r="M293" s="661"/>
      <c r="N293" s="622"/>
      <c r="O293" s="624"/>
      <c r="P293" s="624"/>
      <c r="Q293" s="624"/>
      <c r="R293" s="624"/>
      <c r="S293" s="624"/>
      <c r="T293" s="624"/>
    </row>
    <row r="294" spans="1:20" s="662" customFormat="1" ht="24.95" customHeight="1">
      <c r="A294" s="621">
        <v>3</v>
      </c>
      <c r="B294" s="659" t="s">
        <v>1158</v>
      </c>
      <c r="C294" s="660"/>
      <c r="D294" s="624"/>
      <c r="E294" s="661"/>
      <c r="F294" s="661"/>
      <c r="G294" s="624"/>
      <c r="H294" s="624"/>
      <c r="I294" s="624"/>
      <c r="J294" s="624"/>
      <c r="K294" s="624"/>
      <c r="L294" s="624"/>
      <c r="M294" s="661"/>
      <c r="N294" s="622"/>
      <c r="O294" s="624"/>
      <c r="P294" s="624"/>
      <c r="Q294" s="624"/>
      <c r="R294" s="624"/>
      <c r="S294" s="624"/>
      <c r="T294" s="624"/>
    </row>
    <row r="295" spans="1:20" s="662" customFormat="1" ht="24.95" customHeight="1">
      <c r="A295" s="621">
        <v>4</v>
      </c>
      <c r="B295" s="659" t="s">
        <v>3366</v>
      </c>
      <c r="C295" s="660"/>
      <c r="D295" s="624"/>
      <c r="E295" s="661"/>
      <c r="F295" s="661"/>
      <c r="G295" s="624"/>
      <c r="H295" s="624"/>
      <c r="I295" s="624"/>
      <c r="J295" s="624"/>
      <c r="K295" s="624"/>
      <c r="L295" s="624"/>
      <c r="M295" s="661"/>
      <c r="N295" s="622"/>
      <c r="O295" s="624"/>
      <c r="P295" s="624"/>
      <c r="Q295" s="624"/>
      <c r="R295" s="624"/>
      <c r="S295" s="624"/>
      <c r="T295" s="624"/>
    </row>
    <row r="296" spans="1:20" ht="24.95" customHeight="1">
      <c r="A296" s="621">
        <v>5</v>
      </c>
      <c r="B296" s="623" t="s">
        <v>3824</v>
      </c>
      <c r="C296" s="623"/>
      <c r="D296" s="623" t="s">
        <v>62</v>
      </c>
      <c r="E296" s="158" t="s">
        <v>34</v>
      </c>
      <c r="F296" s="158">
        <v>939</v>
      </c>
      <c r="G296" s="623" t="s">
        <v>3560</v>
      </c>
      <c r="H296" s="623" t="s">
        <v>33</v>
      </c>
      <c r="I296" s="623" t="s">
        <v>34</v>
      </c>
      <c r="J296" s="623" t="s">
        <v>34</v>
      </c>
      <c r="K296" s="623" t="s">
        <v>34</v>
      </c>
      <c r="L296" s="624"/>
      <c r="M296" s="158">
        <v>634120.80200000003</v>
      </c>
      <c r="N296" s="622">
        <v>42546</v>
      </c>
      <c r="O296" s="623" t="s">
        <v>3574</v>
      </c>
      <c r="P296" s="623" t="s">
        <v>3575</v>
      </c>
      <c r="Q296" s="623">
        <v>18788803170</v>
      </c>
      <c r="R296" s="632" t="s">
        <v>3576</v>
      </c>
      <c r="S296" s="623" t="s">
        <v>3564</v>
      </c>
      <c r="T296" s="624"/>
    </row>
    <row r="297" spans="1:20" s="662" customFormat="1" ht="24.95" customHeight="1">
      <c r="A297" s="700" t="s">
        <v>1159</v>
      </c>
      <c r="B297" s="689" t="s">
        <v>1160</v>
      </c>
      <c r="C297" s="659"/>
      <c r="D297" s="624"/>
      <c r="E297" s="661"/>
      <c r="F297" s="661"/>
      <c r="G297" s="624"/>
      <c r="H297" s="624"/>
      <c r="I297" s="624"/>
      <c r="J297" s="624"/>
      <c r="K297" s="624"/>
      <c r="L297" s="624"/>
      <c r="M297" s="661"/>
      <c r="N297" s="622"/>
      <c r="O297" s="624"/>
      <c r="P297" s="624"/>
      <c r="Q297" s="624"/>
      <c r="R297" s="624"/>
      <c r="S297" s="624"/>
      <c r="T297" s="624"/>
    </row>
    <row r="298" spans="1:20" s="662" customFormat="1" ht="24.95" customHeight="1">
      <c r="A298" s="708">
        <v>1</v>
      </c>
      <c r="B298" s="659" t="s">
        <v>1161</v>
      </c>
      <c r="C298" s="660"/>
      <c r="D298" s="624"/>
      <c r="E298" s="661"/>
      <c r="F298" s="661"/>
      <c r="G298" s="624"/>
      <c r="H298" s="624"/>
      <c r="I298" s="624"/>
      <c r="J298" s="624"/>
      <c r="K298" s="624"/>
      <c r="L298" s="624"/>
      <c r="M298" s="661"/>
      <c r="N298" s="622"/>
      <c r="O298" s="624"/>
      <c r="P298" s="624"/>
      <c r="Q298" s="624"/>
      <c r="R298" s="624"/>
      <c r="S298" s="624"/>
      <c r="T298" s="624"/>
    </row>
    <row r="299" spans="1:20" s="662" customFormat="1" ht="24.95" customHeight="1">
      <c r="A299" s="708">
        <v>2</v>
      </c>
      <c r="B299" s="659" t="s">
        <v>1162</v>
      </c>
      <c r="C299" s="659"/>
      <c r="D299" s="624"/>
      <c r="E299" s="661"/>
      <c r="F299" s="661"/>
      <c r="G299" s="624"/>
      <c r="H299" s="624"/>
      <c r="I299" s="624"/>
      <c r="J299" s="624"/>
      <c r="K299" s="624"/>
      <c r="L299" s="624"/>
      <c r="M299" s="661"/>
      <c r="N299" s="622"/>
      <c r="O299" s="624"/>
      <c r="P299" s="624"/>
      <c r="Q299" s="624"/>
      <c r="R299" s="624"/>
      <c r="S299" s="624"/>
      <c r="T299" s="624"/>
    </row>
    <row r="300" spans="1:20" ht="24.95" customHeight="1">
      <c r="A300" s="708">
        <v>3</v>
      </c>
      <c r="B300" s="623" t="s">
        <v>1173</v>
      </c>
      <c r="C300" s="623" t="s">
        <v>34</v>
      </c>
      <c r="D300" s="623" t="s">
        <v>131</v>
      </c>
      <c r="E300" s="158">
        <v>2</v>
      </c>
      <c r="F300" s="158" t="s">
        <v>34</v>
      </c>
      <c r="G300" s="623" t="s">
        <v>3560</v>
      </c>
      <c r="H300" s="623" t="s">
        <v>33</v>
      </c>
      <c r="I300" s="623" t="s">
        <v>34</v>
      </c>
      <c r="J300" s="623" t="s">
        <v>34</v>
      </c>
      <c r="K300" s="623" t="s">
        <v>34</v>
      </c>
      <c r="L300" s="624"/>
      <c r="M300" s="158">
        <v>0</v>
      </c>
      <c r="N300" s="622">
        <v>2014.9</v>
      </c>
      <c r="O300" s="623" t="s">
        <v>3825</v>
      </c>
      <c r="P300" s="623" t="s">
        <v>3826</v>
      </c>
      <c r="Q300" s="623">
        <v>18526538836</v>
      </c>
      <c r="R300" s="632" t="s">
        <v>3753</v>
      </c>
      <c r="S300" s="623" t="s">
        <v>3564</v>
      </c>
      <c r="T300" s="624"/>
    </row>
    <row r="301" spans="1:20" ht="24.95" customHeight="1">
      <c r="A301" s="708">
        <v>4</v>
      </c>
      <c r="B301" s="623" t="s">
        <v>3827</v>
      </c>
      <c r="C301" s="623" t="s">
        <v>1245</v>
      </c>
      <c r="D301" s="623" t="s">
        <v>1165</v>
      </c>
      <c r="E301" s="158"/>
      <c r="F301" s="158" t="s">
        <v>34</v>
      </c>
      <c r="G301" s="623" t="s">
        <v>3560</v>
      </c>
      <c r="H301" s="623" t="s">
        <v>33</v>
      </c>
      <c r="I301" s="623"/>
      <c r="J301" s="623"/>
      <c r="K301" s="623"/>
      <c r="L301" s="709" t="s">
        <v>3828</v>
      </c>
      <c r="M301" s="158">
        <v>0</v>
      </c>
      <c r="N301" s="158">
        <v>2020.4</v>
      </c>
      <c r="O301" s="158" t="s">
        <v>3829</v>
      </c>
      <c r="P301" s="158" t="s">
        <v>3752</v>
      </c>
      <c r="Q301" s="158">
        <v>18526538836</v>
      </c>
      <c r="R301" s="632" t="s">
        <v>3753</v>
      </c>
      <c r="S301" s="623" t="s">
        <v>3564</v>
      </c>
      <c r="T301" s="1883" t="s">
        <v>3830</v>
      </c>
    </row>
    <row r="302" spans="1:20" ht="24.95" customHeight="1">
      <c r="A302" s="708">
        <v>5</v>
      </c>
      <c r="B302" s="623" t="s">
        <v>3831</v>
      </c>
      <c r="C302" s="623" t="s">
        <v>1245</v>
      </c>
      <c r="D302" s="623" t="s">
        <v>1165</v>
      </c>
      <c r="E302" s="158"/>
      <c r="F302" s="158" t="s">
        <v>34</v>
      </c>
      <c r="G302" s="623" t="s">
        <v>3560</v>
      </c>
      <c r="H302" s="623" t="s">
        <v>33</v>
      </c>
      <c r="I302" s="623"/>
      <c r="J302" s="623"/>
      <c r="K302" s="623"/>
      <c r="L302" s="158">
        <v>26548.67</v>
      </c>
      <c r="M302" s="158">
        <v>0</v>
      </c>
      <c r="N302" s="158">
        <v>2020.4</v>
      </c>
      <c r="O302" s="158" t="s">
        <v>3829</v>
      </c>
      <c r="P302" s="158" t="s">
        <v>3752</v>
      </c>
      <c r="Q302" s="158">
        <v>18526538836</v>
      </c>
      <c r="R302" s="632" t="s">
        <v>3753</v>
      </c>
      <c r="S302" s="623" t="s">
        <v>3564</v>
      </c>
      <c r="T302" s="1884"/>
    </row>
    <row r="303" spans="1:20" ht="24.95" customHeight="1">
      <c r="A303" s="708">
        <v>6</v>
      </c>
      <c r="B303" s="623" t="s">
        <v>3832</v>
      </c>
      <c r="C303" s="623" t="s">
        <v>1245</v>
      </c>
      <c r="D303" s="623" t="s">
        <v>1165</v>
      </c>
      <c r="E303" s="158"/>
      <c r="F303" s="158" t="s">
        <v>34</v>
      </c>
      <c r="G303" s="623" t="s">
        <v>3560</v>
      </c>
      <c r="H303" s="623" t="s">
        <v>33</v>
      </c>
      <c r="I303" s="623"/>
      <c r="J303" s="623"/>
      <c r="K303" s="623"/>
      <c r="L303" s="158">
        <v>30973.45</v>
      </c>
      <c r="M303" s="158">
        <v>0</v>
      </c>
      <c r="N303" s="158">
        <v>2020.4</v>
      </c>
      <c r="O303" s="158" t="s">
        <v>3829</v>
      </c>
      <c r="P303" s="158" t="s">
        <v>3752</v>
      </c>
      <c r="Q303" s="158">
        <v>18526538836</v>
      </c>
      <c r="R303" s="632" t="s">
        <v>3753</v>
      </c>
      <c r="S303" s="623" t="s">
        <v>3564</v>
      </c>
      <c r="T303" s="1885"/>
    </row>
    <row r="304" spans="1:20" s="702" customFormat="1" ht="24.95" customHeight="1">
      <c r="A304" s="708">
        <v>7</v>
      </c>
      <c r="B304" s="623" t="s">
        <v>3833</v>
      </c>
      <c r="C304" s="623" t="s">
        <v>3834</v>
      </c>
      <c r="D304" s="623" t="s">
        <v>1165</v>
      </c>
      <c r="E304" s="158">
        <v>32</v>
      </c>
      <c r="F304" s="158" t="s">
        <v>34</v>
      </c>
      <c r="G304" s="623" t="s">
        <v>3560</v>
      </c>
      <c r="H304" s="623" t="s">
        <v>33</v>
      </c>
      <c r="I304" s="623"/>
      <c r="J304" s="623"/>
      <c r="K304" s="623"/>
      <c r="L304" s="158">
        <v>722123.94</v>
      </c>
      <c r="M304" s="158">
        <v>0</v>
      </c>
      <c r="N304" s="158">
        <v>2020.7</v>
      </c>
      <c r="O304" s="158" t="s">
        <v>3829</v>
      </c>
      <c r="P304" s="158" t="s">
        <v>3752</v>
      </c>
      <c r="Q304" s="158">
        <v>18526538836</v>
      </c>
      <c r="R304" s="632" t="s">
        <v>3753</v>
      </c>
      <c r="S304" s="623" t="s">
        <v>3564</v>
      </c>
      <c r="T304" s="632"/>
    </row>
    <row r="305" spans="1:20" s="702" customFormat="1" ht="24.95" customHeight="1">
      <c r="A305" s="708">
        <v>8</v>
      </c>
      <c r="B305" s="623" t="s">
        <v>3835</v>
      </c>
      <c r="C305" s="623" t="s">
        <v>3836</v>
      </c>
      <c r="D305" s="623" t="s">
        <v>1165</v>
      </c>
      <c r="E305" s="158">
        <v>18</v>
      </c>
      <c r="F305" s="158" t="s">
        <v>34</v>
      </c>
      <c r="G305" s="623" t="s">
        <v>3560</v>
      </c>
      <c r="H305" s="623" t="s">
        <v>33</v>
      </c>
      <c r="I305" s="623"/>
      <c r="J305" s="623"/>
      <c r="K305" s="623"/>
      <c r="L305" s="158">
        <v>207079.65</v>
      </c>
      <c r="M305" s="158">
        <v>0</v>
      </c>
      <c r="N305" s="158">
        <v>2020.7</v>
      </c>
      <c r="O305" s="158" t="s">
        <v>3829</v>
      </c>
      <c r="P305" s="158" t="s">
        <v>3752</v>
      </c>
      <c r="Q305" s="158">
        <v>18526538836</v>
      </c>
      <c r="R305" s="632" t="s">
        <v>3753</v>
      </c>
      <c r="S305" s="623" t="s">
        <v>3564</v>
      </c>
      <c r="T305" s="632"/>
    </row>
    <row r="306" spans="1:20" s="702" customFormat="1" ht="24.95" customHeight="1">
      <c r="A306" s="708">
        <v>9</v>
      </c>
      <c r="B306" s="623" t="s">
        <v>1191</v>
      </c>
      <c r="C306" s="623" t="s">
        <v>3837</v>
      </c>
      <c r="D306" s="623" t="s">
        <v>3061</v>
      </c>
      <c r="E306" s="158">
        <v>260</v>
      </c>
      <c r="F306" s="158" t="s">
        <v>34</v>
      </c>
      <c r="G306" s="623" t="s">
        <v>3560</v>
      </c>
      <c r="H306" s="623" t="s">
        <v>33</v>
      </c>
      <c r="I306" s="623"/>
      <c r="J306" s="623"/>
      <c r="K306" s="623"/>
      <c r="L306" s="158">
        <v>105840.69</v>
      </c>
      <c r="M306" s="158">
        <v>0</v>
      </c>
      <c r="N306" s="158">
        <v>2020.7</v>
      </c>
      <c r="O306" s="158" t="s">
        <v>3829</v>
      </c>
      <c r="P306" s="158" t="s">
        <v>3752</v>
      </c>
      <c r="Q306" s="158">
        <v>18526538836</v>
      </c>
      <c r="R306" s="632" t="s">
        <v>3753</v>
      </c>
      <c r="S306" s="623" t="s">
        <v>3564</v>
      </c>
      <c r="T306" s="632"/>
    </row>
    <row r="307" spans="1:20" s="702" customFormat="1" ht="24.95" customHeight="1">
      <c r="A307" s="708">
        <v>10</v>
      </c>
      <c r="B307" s="623" t="s">
        <v>3831</v>
      </c>
      <c r="C307" s="623" t="s">
        <v>3834</v>
      </c>
      <c r="D307" s="623" t="s">
        <v>1165</v>
      </c>
      <c r="E307" s="158">
        <v>2</v>
      </c>
      <c r="F307" s="158" t="s">
        <v>34</v>
      </c>
      <c r="G307" s="623" t="s">
        <v>3560</v>
      </c>
      <c r="H307" s="623" t="s">
        <v>33</v>
      </c>
      <c r="I307" s="623"/>
      <c r="J307" s="623"/>
      <c r="K307" s="623"/>
      <c r="L307" s="158">
        <v>68141.600000000006</v>
      </c>
      <c r="M307" s="158">
        <v>0</v>
      </c>
      <c r="N307" s="158">
        <v>2020.7</v>
      </c>
      <c r="O307" s="158" t="s">
        <v>3829</v>
      </c>
      <c r="P307" s="158" t="s">
        <v>3752</v>
      </c>
      <c r="Q307" s="158">
        <v>18526538836</v>
      </c>
      <c r="R307" s="632" t="s">
        <v>3753</v>
      </c>
      <c r="S307" s="623" t="s">
        <v>3564</v>
      </c>
      <c r="T307" s="632"/>
    </row>
    <row r="308" spans="1:20" s="702" customFormat="1" ht="24.95" customHeight="1">
      <c r="A308" s="708">
        <v>11</v>
      </c>
      <c r="B308" s="623" t="s">
        <v>3838</v>
      </c>
      <c r="C308" s="623" t="s">
        <v>3839</v>
      </c>
      <c r="D308" s="623" t="s">
        <v>79</v>
      </c>
      <c r="E308" s="158">
        <v>1</v>
      </c>
      <c r="F308" s="158" t="s">
        <v>34</v>
      </c>
      <c r="G308" s="623" t="s">
        <v>3560</v>
      </c>
      <c r="H308" s="623" t="s">
        <v>33</v>
      </c>
      <c r="I308" s="623"/>
      <c r="J308" s="623"/>
      <c r="K308" s="623"/>
      <c r="L308" s="158">
        <v>13274.34</v>
      </c>
      <c r="M308" s="158">
        <v>0</v>
      </c>
      <c r="N308" s="158">
        <v>2020.7</v>
      </c>
      <c r="O308" s="158" t="s">
        <v>3829</v>
      </c>
      <c r="P308" s="158" t="s">
        <v>3752</v>
      </c>
      <c r="Q308" s="158">
        <v>18526538836</v>
      </c>
      <c r="R308" s="632" t="s">
        <v>3753</v>
      </c>
      <c r="S308" s="623" t="s">
        <v>3564</v>
      </c>
      <c r="T308" s="632"/>
    </row>
    <row r="309" spans="1:20" s="702" customFormat="1" ht="24.95" customHeight="1">
      <c r="A309" s="708">
        <v>12</v>
      </c>
      <c r="B309" s="623" t="s">
        <v>3840</v>
      </c>
      <c r="C309" s="623" t="s">
        <v>3836</v>
      </c>
      <c r="D309" s="623" t="s">
        <v>1165</v>
      </c>
      <c r="E309" s="158">
        <v>1</v>
      </c>
      <c r="F309" s="158" t="s">
        <v>34</v>
      </c>
      <c r="G309" s="623" t="s">
        <v>3560</v>
      </c>
      <c r="H309" s="623" t="s">
        <v>33</v>
      </c>
      <c r="I309" s="623"/>
      <c r="J309" s="623"/>
      <c r="K309" s="623"/>
      <c r="L309" s="158">
        <v>32743.360000000001</v>
      </c>
      <c r="M309" s="158">
        <v>0</v>
      </c>
      <c r="N309" s="158">
        <v>2020.7</v>
      </c>
      <c r="O309" s="158" t="s">
        <v>3829</v>
      </c>
      <c r="P309" s="158" t="s">
        <v>3752</v>
      </c>
      <c r="Q309" s="158">
        <v>18526538836</v>
      </c>
      <c r="R309" s="632" t="s">
        <v>3753</v>
      </c>
      <c r="S309" s="623" t="s">
        <v>3564</v>
      </c>
      <c r="T309" s="632"/>
    </row>
    <row r="310" spans="1:20" s="702" customFormat="1" ht="24.95" customHeight="1">
      <c r="A310" s="708">
        <v>13</v>
      </c>
      <c r="B310" s="623" t="s">
        <v>3841</v>
      </c>
      <c r="C310" s="623" t="s">
        <v>3834</v>
      </c>
      <c r="D310" s="623" t="s">
        <v>1165</v>
      </c>
      <c r="E310" s="158">
        <v>2</v>
      </c>
      <c r="F310" s="158" t="s">
        <v>34</v>
      </c>
      <c r="G310" s="623" t="s">
        <v>3560</v>
      </c>
      <c r="H310" s="623" t="s">
        <v>33</v>
      </c>
      <c r="I310" s="623"/>
      <c r="J310" s="623"/>
      <c r="K310" s="623"/>
      <c r="L310" s="158">
        <v>44247.78</v>
      </c>
      <c r="M310" s="158">
        <v>0</v>
      </c>
      <c r="N310" s="158">
        <v>2020.7</v>
      </c>
      <c r="O310" s="158" t="s">
        <v>3829</v>
      </c>
      <c r="P310" s="158" t="s">
        <v>3752</v>
      </c>
      <c r="Q310" s="158">
        <v>18526538836</v>
      </c>
      <c r="R310" s="632" t="s">
        <v>3753</v>
      </c>
      <c r="S310" s="623" t="s">
        <v>3564</v>
      </c>
      <c r="T310" s="632"/>
    </row>
    <row r="311" spans="1:20" s="702" customFormat="1" ht="24.95" customHeight="1">
      <c r="A311" s="708">
        <v>14</v>
      </c>
      <c r="B311" s="623" t="s">
        <v>3832</v>
      </c>
      <c r="C311" s="623" t="s">
        <v>3834</v>
      </c>
      <c r="D311" s="623" t="s">
        <v>1165</v>
      </c>
      <c r="E311" s="158">
        <v>2</v>
      </c>
      <c r="F311" s="158" t="s">
        <v>34</v>
      </c>
      <c r="G311" s="623" t="s">
        <v>3560</v>
      </c>
      <c r="H311" s="623" t="s">
        <v>33</v>
      </c>
      <c r="I311" s="623"/>
      <c r="J311" s="623"/>
      <c r="K311" s="623"/>
      <c r="L311" s="158">
        <v>68141.59</v>
      </c>
      <c r="M311" s="158">
        <v>0</v>
      </c>
      <c r="N311" s="158">
        <v>2020.7</v>
      </c>
      <c r="O311" s="158" t="s">
        <v>3829</v>
      </c>
      <c r="P311" s="158" t="s">
        <v>3752</v>
      </c>
      <c r="Q311" s="158">
        <v>18526538836</v>
      </c>
      <c r="R311" s="632" t="s">
        <v>3753</v>
      </c>
      <c r="S311" s="623" t="s">
        <v>3564</v>
      </c>
      <c r="T311" s="632"/>
    </row>
    <row r="312" spans="1:20" s="702" customFormat="1" ht="24.95" customHeight="1">
      <c r="A312" s="708">
        <v>15</v>
      </c>
      <c r="B312" s="158" t="s">
        <v>3842</v>
      </c>
      <c r="C312" s="158" t="s">
        <v>3843</v>
      </c>
      <c r="D312" s="623" t="s">
        <v>1165</v>
      </c>
      <c r="E312" s="158">
        <v>1</v>
      </c>
      <c r="F312" s="158" t="s">
        <v>34</v>
      </c>
      <c r="G312" s="623" t="s">
        <v>3560</v>
      </c>
      <c r="H312" s="623" t="s">
        <v>33</v>
      </c>
      <c r="I312" s="623"/>
      <c r="J312" s="623"/>
      <c r="K312" s="623"/>
      <c r="L312" s="154">
        <v>28849.56</v>
      </c>
      <c r="M312" s="154">
        <v>28849.56</v>
      </c>
      <c r="N312" s="158">
        <v>2020.08</v>
      </c>
      <c r="O312" s="242" t="s">
        <v>3683</v>
      </c>
      <c r="P312" s="242" t="s">
        <v>3684</v>
      </c>
      <c r="Q312" s="242">
        <v>18649012127</v>
      </c>
      <c r="R312" s="710" t="s">
        <v>3685</v>
      </c>
      <c r="S312" s="640" t="s">
        <v>3564</v>
      </c>
      <c r="T312" s="632"/>
    </row>
    <row r="313" spans="1:20" s="702" customFormat="1" ht="24.95" customHeight="1">
      <c r="A313" s="708">
        <v>16</v>
      </c>
      <c r="B313" s="158" t="s">
        <v>3844</v>
      </c>
      <c r="C313" s="158" t="s">
        <v>3843</v>
      </c>
      <c r="D313" s="623" t="s">
        <v>1165</v>
      </c>
      <c r="E313" s="158">
        <v>1</v>
      </c>
      <c r="F313" s="158" t="s">
        <v>34</v>
      </c>
      <c r="G313" s="623" t="s">
        <v>3560</v>
      </c>
      <c r="H313" s="623" t="s">
        <v>33</v>
      </c>
      <c r="I313" s="623"/>
      <c r="J313" s="623"/>
      <c r="K313" s="623"/>
      <c r="L313" s="154">
        <v>30796.46</v>
      </c>
      <c r="M313" s="154">
        <v>30796.46</v>
      </c>
      <c r="N313" s="158">
        <v>2020.08</v>
      </c>
      <c r="O313" s="242" t="s">
        <v>3683</v>
      </c>
      <c r="P313" s="242" t="s">
        <v>3684</v>
      </c>
      <c r="Q313" s="242">
        <v>18649012127</v>
      </c>
      <c r="R313" s="710" t="s">
        <v>3685</v>
      </c>
      <c r="S313" s="640" t="s">
        <v>3564</v>
      </c>
      <c r="T313" s="632"/>
    </row>
    <row r="314" spans="1:20" ht="24.95" customHeight="1">
      <c r="A314" s="708">
        <v>17</v>
      </c>
      <c r="B314" s="623" t="s">
        <v>3845</v>
      </c>
      <c r="C314" s="623" t="s">
        <v>3846</v>
      </c>
      <c r="D314" s="623" t="s">
        <v>161</v>
      </c>
      <c r="E314" s="158">
        <v>156.6</v>
      </c>
      <c r="F314" s="158" t="s">
        <v>34</v>
      </c>
      <c r="G314" s="623" t="s">
        <v>3560</v>
      </c>
      <c r="H314" s="623" t="s">
        <v>33</v>
      </c>
      <c r="I314" s="623"/>
      <c r="J314" s="623"/>
      <c r="K314" s="623"/>
      <c r="L314" s="158">
        <v>13027.1</v>
      </c>
      <c r="M314" s="158">
        <v>390.1</v>
      </c>
      <c r="N314" s="154">
        <v>2020.1</v>
      </c>
      <c r="O314" s="623" t="s">
        <v>3639</v>
      </c>
      <c r="P314" s="623" t="s">
        <v>3640</v>
      </c>
      <c r="Q314" s="623">
        <v>15822939827</v>
      </c>
      <c r="R314" s="632" t="s">
        <v>3641</v>
      </c>
      <c r="S314" s="623" t="s">
        <v>3564</v>
      </c>
      <c r="T314" s="632"/>
    </row>
    <row r="315" spans="1:20" ht="24.95" customHeight="1">
      <c r="A315" s="708">
        <v>18</v>
      </c>
      <c r="B315" s="623" t="s">
        <v>3847</v>
      </c>
      <c r="C315" s="623" t="s">
        <v>1245</v>
      </c>
      <c r="D315" s="623" t="s">
        <v>1165</v>
      </c>
      <c r="E315" s="158">
        <v>2</v>
      </c>
      <c r="F315" s="158" t="s">
        <v>34</v>
      </c>
      <c r="G315" s="623" t="s">
        <v>3560</v>
      </c>
      <c r="H315" s="623" t="s">
        <v>33</v>
      </c>
      <c r="I315" s="623" t="s">
        <v>34</v>
      </c>
      <c r="J315" s="623" t="s">
        <v>34</v>
      </c>
      <c r="K315" s="623" t="s">
        <v>34</v>
      </c>
      <c r="L315" s="158">
        <v>26902.65</v>
      </c>
      <c r="M315" s="158">
        <v>26902.65</v>
      </c>
      <c r="N315" s="154"/>
      <c r="O315" s="632" t="s">
        <v>3848</v>
      </c>
      <c r="P315" s="623" t="s">
        <v>3849</v>
      </c>
      <c r="Q315" s="623">
        <v>15822615391</v>
      </c>
      <c r="R315" s="632" t="s">
        <v>3848</v>
      </c>
      <c r="S315" s="623" t="s">
        <v>3564</v>
      </c>
      <c r="T315" s="632"/>
    </row>
    <row r="316" spans="1:20" ht="24.95" customHeight="1">
      <c r="A316" s="708">
        <v>19</v>
      </c>
      <c r="B316" s="623" t="s">
        <v>3850</v>
      </c>
      <c r="C316" s="623" t="s">
        <v>1245</v>
      </c>
      <c r="D316" s="623" t="s">
        <v>1165</v>
      </c>
      <c r="E316" s="158">
        <v>5</v>
      </c>
      <c r="F316" s="158" t="s">
        <v>34</v>
      </c>
      <c r="G316" s="623" t="s">
        <v>3560</v>
      </c>
      <c r="H316" s="623" t="s">
        <v>33</v>
      </c>
      <c r="I316" s="623" t="s">
        <v>34</v>
      </c>
      <c r="J316" s="623" t="s">
        <v>34</v>
      </c>
      <c r="K316" s="623" t="s">
        <v>34</v>
      </c>
      <c r="L316" s="158">
        <v>67256.639999999999</v>
      </c>
      <c r="M316" s="158">
        <v>67256.639999999999</v>
      </c>
      <c r="N316" s="154"/>
      <c r="O316" s="632" t="s">
        <v>3848</v>
      </c>
      <c r="P316" s="623" t="s">
        <v>3849</v>
      </c>
      <c r="Q316" s="623">
        <v>15822615391</v>
      </c>
      <c r="R316" s="632" t="s">
        <v>3848</v>
      </c>
      <c r="S316" s="623" t="s">
        <v>3564</v>
      </c>
      <c r="T316" s="632"/>
    </row>
    <row r="317" spans="1:20" ht="24.95" customHeight="1">
      <c r="A317" s="708">
        <v>20</v>
      </c>
      <c r="B317" s="623" t="s">
        <v>3851</v>
      </c>
      <c r="C317" s="623"/>
      <c r="D317" s="623" t="s">
        <v>1193</v>
      </c>
      <c r="E317" s="158">
        <v>6.15</v>
      </c>
      <c r="F317" s="158" t="s">
        <v>34</v>
      </c>
      <c r="G317" s="623" t="s">
        <v>3560</v>
      </c>
      <c r="H317" s="623" t="s">
        <v>33</v>
      </c>
      <c r="I317" s="623" t="s">
        <v>34</v>
      </c>
      <c r="J317" s="623" t="s">
        <v>34</v>
      </c>
      <c r="K317" s="623" t="s">
        <v>34</v>
      </c>
      <c r="L317" s="158">
        <v>2830.09</v>
      </c>
      <c r="M317" s="158">
        <v>2830.09</v>
      </c>
      <c r="N317" s="154"/>
      <c r="O317" s="632" t="s">
        <v>3848</v>
      </c>
      <c r="P317" s="623" t="s">
        <v>3849</v>
      </c>
      <c r="Q317" s="623">
        <v>15822615391</v>
      </c>
      <c r="R317" s="632" t="s">
        <v>3848</v>
      </c>
      <c r="S317" s="623" t="s">
        <v>3564</v>
      </c>
      <c r="T317" s="632"/>
    </row>
    <row r="318" spans="1:20" ht="24.95" customHeight="1">
      <c r="A318" s="708">
        <v>21</v>
      </c>
      <c r="B318" s="680" t="s">
        <v>3852</v>
      </c>
      <c r="C318" s="642" t="s">
        <v>3853</v>
      </c>
      <c r="D318" s="642" t="s">
        <v>3821</v>
      </c>
      <c r="E318" s="681">
        <v>18</v>
      </c>
      <c r="F318" s="158" t="s">
        <v>34</v>
      </c>
      <c r="G318" s="623" t="s">
        <v>32</v>
      </c>
      <c r="H318" s="623" t="s">
        <v>33</v>
      </c>
      <c r="I318" s="623" t="s">
        <v>34</v>
      </c>
      <c r="J318" s="623" t="s">
        <v>34</v>
      </c>
      <c r="K318" s="623" t="s">
        <v>34</v>
      </c>
      <c r="L318" s="643">
        <v>5867.26</v>
      </c>
      <c r="M318" s="643">
        <v>5867.26</v>
      </c>
      <c r="N318" s="622" t="s">
        <v>3713</v>
      </c>
      <c r="O318" s="632" t="s">
        <v>3848</v>
      </c>
      <c r="P318" s="623" t="s">
        <v>3849</v>
      </c>
      <c r="Q318" s="623">
        <v>15822615391</v>
      </c>
      <c r="R318" s="632" t="s">
        <v>3848</v>
      </c>
      <c r="S318" s="623" t="s">
        <v>3564</v>
      </c>
      <c r="T318" s="624"/>
    </row>
    <row r="319" spans="1:20" s="662" customFormat="1" ht="24.95" customHeight="1">
      <c r="A319" s="708"/>
      <c r="B319" s="659"/>
      <c r="C319" s="660"/>
      <c r="D319" s="624"/>
      <c r="E319" s="661"/>
      <c r="F319" s="661"/>
      <c r="G319" s="624"/>
      <c r="H319" s="624"/>
      <c r="I319" s="624"/>
      <c r="J319" s="624"/>
      <c r="K319" s="624"/>
      <c r="L319" s="624"/>
      <c r="M319" s="661"/>
      <c r="N319" s="622"/>
      <c r="O319" s="624"/>
      <c r="P319" s="624"/>
      <c r="Q319" s="624"/>
      <c r="R319" s="624"/>
      <c r="S319" s="624"/>
      <c r="T319" s="624"/>
    </row>
    <row r="320" spans="1:20" s="662" customFormat="1" ht="24.95" customHeight="1">
      <c r="A320" s="711" t="s">
        <v>1439</v>
      </c>
      <c r="B320" s="701" t="s">
        <v>1486</v>
      </c>
      <c r="C320" s="660"/>
      <c r="D320" s="624"/>
      <c r="E320" s="661"/>
      <c r="F320" s="661"/>
      <c r="G320" s="624"/>
      <c r="H320" s="624"/>
      <c r="I320" s="624"/>
      <c r="J320" s="624"/>
      <c r="K320" s="624"/>
      <c r="L320" s="624"/>
      <c r="M320" s="661"/>
      <c r="N320" s="622"/>
      <c r="O320" s="624"/>
      <c r="P320" s="624"/>
      <c r="Q320" s="624"/>
      <c r="R320" s="624"/>
      <c r="S320" s="624"/>
      <c r="T320" s="624"/>
    </row>
    <row r="321" spans="1:20" s="662" customFormat="1" ht="24.95" customHeight="1">
      <c r="A321" s="708">
        <v>1</v>
      </c>
      <c r="B321" s="623" t="s">
        <v>3854</v>
      </c>
      <c r="C321" s="623" t="s">
        <v>3855</v>
      </c>
      <c r="D321" s="623" t="s">
        <v>1477</v>
      </c>
      <c r="E321" s="158">
        <v>2</v>
      </c>
      <c r="F321" s="158" t="s">
        <v>34</v>
      </c>
      <c r="G321" s="623" t="s">
        <v>3560</v>
      </c>
      <c r="H321" s="623" t="s">
        <v>33</v>
      </c>
      <c r="I321" s="623" t="s">
        <v>34</v>
      </c>
      <c r="J321" s="623" t="s">
        <v>34</v>
      </c>
      <c r="K321" s="623" t="s">
        <v>34</v>
      </c>
      <c r="L321" s="624"/>
      <c r="M321" s="158">
        <v>0</v>
      </c>
      <c r="N321" s="622">
        <v>2014.5</v>
      </c>
      <c r="O321" s="623" t="s">
        <v>3856</v>
      </c>
      <c r="P321" s="623" t="s">
        <v>3857</v>
      </c>
      <c r="Q321" s="623">
        <v>18322298014</v>
      </c>
      <c r="R321" s="623" t="s">
        <v>3858</v>
      </c>
      <c r="S321" s="623" t="s">
        <v>3564</v>
      </c>
      <c r="T321" s="624"/>
    </row>
    <row r="322" spans="1:20" s="662" customFormat="1" ht="24.95" customHeight="1">
      <c r="A322" s="708">
        <v>2</v>
      </c>
      <c r="B322" s="623" t="s">
        <v>3859</v>
      </c>
      <c r="C322" s="623" t="s">
        <v>3860</v>
      </c>
      <c r="D322" s="623" t="s">
        <v>1477</v>
      </c>
      <c r="E322" s="158">
        <v>2</v>
      </c>
      <c r="F322" s="158" t="s">
        <v>34</v>
      </c>
      <c r="G322" s="623" t="s">
        <v>3560</v>
      </c>
      <c r="H322" s="623" t="s">
        <v>33</v>
      </c>
      <c r="I322" s="623" t="s">
        <v>34</v>
      </c>
      <c r="J322" s="623" t="s">
        <v>34</v>
      </c>
      <c r="K322" s="623" t="s">
        <v>34</v>
      </c>
      <c r="L322" s="624"/>
      <c r="M322" s="158">
        <v>0</v>
      </c>
      <c r="N322" s="622">
        <v>2014.5</v>
      </c>
      <c r="O322" s="623" t="s">
        <v>3856</v>
      </c>
      <c r="P322" s="623" t="s">
        <v>3857</v>
      </c>
      <c r="Q322" s="623">
        <v>18322298014</v>
      </c>
      <c r="R322" s="623" t="s">
        <v>3858</v>
      </c>
      <c r="S322" s="623" t="s">
        <v>3564</v>
      </c>
      <c r="T322" s="624"/>
    </row>
    <row r="323" spans="1:20" s="662" customFormat="1" ht="24.95" customHeight="1">
      <c r="A323" s="708">
        <v>3</v>
      </c>
      <c r="B323" s="623" t="s">
        <v>3859</v>
      </c>
      <c r="C323" s="623" t="s">
        <v>3860</v>
      </c>
      <c r="D323" s="623" t="s">
        <v>1477</v>
      </c>
      <c r="E323" s="158">
        <v>2</v>
      </c>
      <c r="F323" s="158" t="s">
        <v>34</v>
      </c>
      <c r="G323" s="623" t="s">
        <v>3560</v>
      </c>
      <c r="H323" s="623" t="s">
        <v>33</v>
      </c>
      <c r="I323" s="623" t="s">
        <v>34</v>
      </c>
      <c r="J323" s="623" t="s">
        <v>34</v>
      </c>
      <c r="K323" s="623" t="s">
        <v>34</v>
      </c>
      <c r="L323" s="624"/>
      <c r="M323" s="158">
        <v>0</v>
      </c>
      <c r="N323" s="622">
        <v>2014.5</v>
      </c>
      <c r="O323" s="623" t="s">
        <v>3856</v>
      </c>
      <c r="P323" s="623" t="s">
        <v>3857</v>
      </c>
      <c r="Q323" s="623">
        <v>18322298014</v>
      </c>
      <c r="R323" s="623" t="s">
        <v>3858</v>
      </c>
      <c r="S323" s="623" t="s">
        <v>3564</v>
      </c>
      <c r="T323" s="624"/>
    </row>
    <row r="324" spans="1:20" s="662" customFormat="1" ht="24.95" customHeight="1">
      <c r="A324" s="708">
        <v>4</v>
      </c>
      <c r="B324" s="623" t="s">
        <v>3861</v>
      </c>
      <c r="C324" s="623" t="s">
        <v>3862</v>
      </c>
      <c r="D324" s="623" t="s">
        <v>1477</v>
      </c>
      <c r="E324" s="158">
        <v>5</v>
      </c>
      <c r="F324" s="158" t="s">
        <v>34</v>
      </c>
      <c r="G324" s="623" t="s">
        <v>3560</v>
      </c>
      <c r="H324" s="623" t="s">
        <v>33</v>
      </c>
      <c r="I324" s="623" t="s">
        <v>34</v>
      </c>
      <c r="J324" s="623" t="s">
        <v>34</v>
      </c>
      <c r="K324" s="623" t="s">
        <v>34</v>
      </c>
      <c r="L324" s="624"/>
      <c r="M324" s="158">
        <v>0</v>
      </c>
      <c r="N324" s="622">
        <v>2014.5</v>
      </c>
      <c r="O324" s="623" t="s">
        <v>3856</v>
      </c>
      <c r="P324" s="623" t="s">
        <v>3857</v>
      </c>
      <c r="Q324" s="623">
        <v>18322298014</v>
      </c>
      <c r="R324" s="623" t="s">
        <v>3858</v>
      </c>
      <c r="S324" s="623" t="s">
        <v>3564</v>
      </c>
      <c r="T324" s="624"/>
    </row>
    <row r="325" spans="1:20" s="662" customFormat="1" ht="24.95" customHeight="1">
      <c r="A325" s="708">
        <v>5</v>
      </c>
      <c r="B325" s="623" t="s">
        <v>3861</v>
      </c>
      <c r="C325" s="623" t="s">
        <v>3863</v>
      </c>
      <c r="D325" s="623" t="s">
        <v>1477</v>
      </c>
      <c r="E325" s="158">
        <v>5</v>
      </c>
      <c r="F325" s="158" t="s">
        <v>34</v>
      </c>
      <c r="G325" s="623" t="s">
        <v>3560</v>
      </c>
      <c r="H325" s="623" t="s">
        <v>33</v>
      </c>
      <c r="I325" s="623" t="s">
        <v>34</v>
      </c>
      <c r="J325" s="623" t="s">
        <v>34</v>
      </c>
      <c r="K325" s="623" t="s">
        <v>34</v>
      </c>
      <c r="L325" s="624"/>
      <c r="M325" s="158">
        <v>0</v>
      </c>
      <c r="N325" s="622">
        <v>2014.5</v>
      </c>
      <c r="O325" s="623" t="s">
        <v>3856</v>
      </c>
      <c r="P325" s="623" t="s">
        <v>3857</v>
      </c>
      <c r="Q325" s="623">
        <v>18322298014</v>
      </c>
      <c r="R325" s="623" t="s">
        <v>3858</v>
      </c>
      <c r="S325" s="623" t="s">
        <v>3564</v>
      </c>
      <c r="T325" s="624"/>
    </row>
    <row r="326" spans="1:20" s="662" customFormat="1" ht="24.95" customHeight="1">
      <c r="A326" s="708">
        <v>6</v>
      </c>
      <c r="B326" s="623" t="s">
        <v>3861</v>
      </c>
      <c r="C326" s="623" t="s">
        <v>3860</v>
      </c>
      <c r="D326" s="623" t="s">
        <v>1477</v>
      </c>
      <c r="E326" s="158">
        <v>2</v>
      </c>
      <c r="F326" s="158" t="s">
        <v>34</v>
      </c>
      <c r="G326" s="623" t="s">
        <v>3560</v>
      </c>
      <c r="H326" s="623" t="s">
        <v>33</v>
      </c>
      <c r="I326" s="623" t="s">
        <v>34</v>
      </c>
      <c r="J326" s="623" t="s">
        <v>34</v>
      </c>
      <c r="K326" s="623" t="s">
        <v>34</v>
      </c>
      <c r="L326" s="624"/>
      <c r="M326" s="158">
        <v>0</v>
      </c>
      <c r="N326" s="622">
        <v>2014.5</v>
      </c>
      <c r="O326" s="623" t="s">
        <v>3856</v>
      </c>
      <c r="P326" s="623" t="s">
        <v>3857</v>
      </c>
      <c r="Q326" s="623">
        <v>18322298014</v>
      </c>
      <c r="R326" s="623" t="s">
        <v>3858</v>
      </c>
      <c r="S326" s="623" t="s">
        <v>3564</v>
      </c>
      <c r="T326" s="624"/>
    </row>
    <row r="327" spans="1:20" s="662" customFormat="1" ht="24.95" customHeight="1">
      <c r="A327" s="708">
        <v>7</v>
      </c>
      <c r="B327" s="623" t="s">
        <v>3861</v>
      </c>
      <c r="C327" s="623" t="s">
        <v>3862</v>
      </c>
      <c r="D327" s="623" t="s">
        <v>1477</v>
      </c>
      <c r="E327" s="158">
        <v>2</v>
      </c>
      <c r="F327" s="158" t="s">
        <v>34</v>
      </c>
      <c r="G327" s="623" t="s">
        <v>3560</v>
      </c>
      <c r="H327" s="623" t="s">
        <v>33</v>
      </c>
      <c r="I327" s="623" t="s">
        <v>34</v>
      </c>
      <c r="J327" s="623" t="s">
        <v>34</v>
      </c>
      <c r="K327" s="623" t="s">
        <v>34</v>
      </c>
      <c r="L327" s="624"/>
      <c r="M327" s="158">
        <v>0</v>
      </c>
      <c r="N327" s="622">
        <v>2014.5</v>
      </c>
      <c r="O327" s="623" t="s">
        <v>3856</v>
      </c>
      <c r="P327" s="623" t="s">
        <v>3857</v>
      </c>
      <c r="Q327" s="623">
        <v>18322298014</v>
      </c>
      <c r="R327" s="623" t="s">
        <v>3858</v>
      </c>
      <c r="S327" s="623" t="s">
        <v>3564</v>
      </c>
      <c r="T327" s="624"/>
    </row>
    <row r="328" spans="1:20" s="662" customFormat="1" ht="24.95" customHeight="1">
      <c r="A328" s="708">
        <v>8</v>
      </c>
      <c r="B328" s="623" t="s">
        <v>3861</v>
      </c>
      <c r="C328" s="623" t="s">
        <v>3855</v>
      </c>
      <c r="D328" s="623" t="s">
        <v>1477</v>
      </c>
      <c r="E328" s="158">
        <v>4</v>
      </c>
      <c r="F328" s="158" t="s">
        <v>34</v>
      </c>
      <c r="G328" s="623" t="s">
        <v>3560</v>
      </c>
      <c r="H328" s="623" t="s">
        <v>33</v>
      </c>
      <c r="I328" s="623" t="s">
        <v>34</v>
      </c>
      <c r="J328" s="623" t="s">
        <v>34</v>
      </c>
      <c r="K328" s="623" t="s">
        <v>34</v>
      </c>
      <c r="L328" s="624"/>
      <c r="M328" s="158">
        <v>0</v>
      </c>
      <c r="N328" s="622">
        <v>2014.5</v>
      </c>
      <c r="O328" s="623" t="s">
        <v>3856</v>
      </c>
      <c r="P328" s="623" t="s">
        <v>3857</v>
      </c>
      <c r="Q328" s="623">
        <v>18322298014</v>
      </c>
      <c r="R328" s="623" t="s">
        <v>3858</v>
      </c>
      <c r="S328" s="623" t="s">
        <v>3564</v>
      </c>
      <c r="T328" s="624"/>
    </row>
    <row r="329" spans="1:20" s="662" customFormat="1" ht="24.95" customHeight="1">
      <c r="A329" s="708">
        <v>9</v>
      </c>
      <c r="B329" s="623" t="s">
        <v>3861</v>
      </c>
      <c r="C329" s="623" t="s">
        <v>3864</v>
      </c>
      <c r="D329" s="623" t="s">
        <v>1477</v>
      </c>
      <c r="E329" s="158">
        <v>1</v>
      </c>
      <c r="F329" s="158" t="s">
        <v>34</v>
      </c>
      <c r="G329" s="623" t="s">
        <v>3560</v>
      </c>
      <c r="H329" s="623" t="s">
        <v>33</v>
      </c>
      <c r="I329" s="623" t="s">
        <v>34</v>
      </c>
      <c r="J329" s="623" t="s">
        <v>34</v>
      </c>
      <c r="K329" s="623" t="s">
        <v>34</v>
      </c>
      <c r="L329" s="624"/>
      <c r="M329" s="158">
        <v>0</v>
      </c>
      <c r="N329" s="622">
        <v>2014.5</v>
      </c>
      <c r="O329" s="623" t="s">
        <v>3856</v>
      </c>
      <c r="P329" s="623" t="s">
        <v>3857</v>
      </c>
      <c r="Q329" s="623">
        <v>18322298014</v>
      </c>
      <c r="R329" s="623" t="s">
        <v>3858</v>
      </c>
      <c r="S329" s="623" t="s">
        <v>3564</v>
      </c>
      <c r="T329" s="624"/>
    </row>
    <row r="330" spans="1:20" s="662" customFormat="1" ht="24.95" customHeight="1">
      <c r="A330" s="708">
        <v>10</v>
      </c>
      <c r="B330" s="623" t="s">
        <v>3861</v>
      </c>
      <c r="C330" s="623" t="s">
        <v>3860</v>
      </c>
      <c r="D330" s="623" t="s">
        <v>1477</v>
      </c>
      <c r="E330" s="158">
        <v>2</v>
      </c>
      <c r="F330" s="158" t="s">
        <v>34</v>
      </c>
      <c r="G330" s="623" t="s">
        <v>3560</v>
      </c>
      <c r="H330" s="623" t="s">
        <v>33</v>
      </c>
      <c r="I330" s="623" t="s">
        <v>34</v>
      </c>
      <c r="J330" s="623" t="s">
        <v>34</v>
      </c>
      <c r="K330" s="623" t="s">
        <v>34</v>
      </c>
      <c r="L330" s="624"/>
      <c r="M330" s="158">
        <v>0</v>
      </c>
      <c r="N330" s="622">
        <v>2014.5</v>
      </c>
      <c r="O330" s="623" t="s">
        <v>3856</v>
      </c>
      <c r="P330" s="623" t="s">
        <v>3857</v>
      </c>
      <c r="Q330" s="623">
        <v>18322298014</v>
      </c>
      <c r="R330" s="623" t="s">
        <v>3858</v>
      </c>
      <c r="S330" s="623" t="s">
        <v>3564</v>
      </c>
      <c r="T330" s="624"/>
    </row>
    <row r="331" spans="1:20" s="662" customFormat="1" ht="24.95" customHeight="1">
      <c r="A331" s="708">
        <v>11</v>
      </c>
      <c r="B331" s="623" t="s">
        <v>3861</v>
      </c>
      <c r="C331" s="623" t="s">
        <v>3864</v>
      </c>
      <c r="D331" s="623" t="s">
        <v>1477</v>
      </c>
      <c r="E331" s="158">
        <v>3</v>
      </c>
      <c r="F331" s="158" t="s">
        <v>34</v>
      </c>
      <c r="G331" s="623" t="s">
        <v>3560</v>
      </c>
      <c r="H331" s="623" t="s">
        <v>33</v>
      </c>
      <c r="I331" s="623" t="s">
        <v>34</v>
      </c>
      <c r="J331" s="623" t="s">
        <v>34</v>
      </c>
      <c r="K331" s="623" t="s">
        <v>34</v>
      </c>
      <c r="L331" s="624"/>
      <c r="M331" s="158">
        <v>0</v>
      </c>
      <c r="N331" s="622">
        <v>2014.5</v>
      </c>
      <c r="O331" s="623" t="s">
        <v>3856</v>
      </c>
      <c r="P331" s="623" t="s">
        <v>3857</v>
      </c>
      <c r="Q331" s="623">
        <v>18322298014</v>
      </c>
      <c r="R331" s="623" t="s">
        <v>3858</v>
      </c>
      <c r="S331" s="623" t="s">
        <v>3564</v>
      </c>
      <c r="T331" s="624"/>
    </row>
    <row r="332" spans="1:20" s="662" customFormat="1" ht="24.95" customHeight="1">
      <c r="A332" s="708">
        <v>12</v>
      </c>
      <c r="B332" s="623" t="s">
        <v>3861</v>
      </c>
      <c r="C332" s="623" t="s">
        <v>3865</v>
      </c>
      <c r="D332" s="623" t="s">
        <v>1477</v>
      </c>
      <c r="E332" s="158">
        <v>1</v>
      </c>
      <c r="F332" s="158" t="s">
        <v>34</v>
      </c>
      <c r="G332" s="623" t="s">
        <v>3560</v>
      </c>
      <c r="H332" s="623" t="s">
        <v>33</v>
      </c>
      <c r="I332" s="623" t="s">
        <v>34</v>
      </c>
      <c r="J332" s="623" t="s">
        <v>34</v>
      </c>
      <c r="K332" s="623" t="s">
        <v>34</v>
      </c>
      <c r="L332" s="624"/>
      <c r="M332" s="158">
        <v>0</v>
      </c>
      <c r="N332" s="622">
        <v>2014.5</v>
      </c>
      <c r="O332" s="623" t="s">
        <v>3856</v>
      </c>
      <c r="P332" s="623" t="s">
        <v>3857</v>
      </c>
      <c r="Q332" s="623">
        <v>18322298014</v>
      </c>
      <c r="R332" s="623" t="s">
        <v>3858</v>
      </c>
      <c r="S332" s="623" t="s">
        <v>3564</v>
      </c>
      <c r="T332" s="624"/>
    </row>
    <row r="333" spans="1:20" s="662" customFormat="1" ht="24.95" customHeight="1">
      <c r="A333" s="708">
        <v>13</v>
      </c>
      <c r="B333" s="623" t="s">
        <v>3861</v>
      </c>
      <c r="C333" s="623" t="s">
        <v>3865</v>
      </c>
      <c r="D333" s="623" t="s">
        <v>1477</v>
      </c>
      <c r="E333" s="158">
        <v>5</v>
      </c>
      <c r="F333" s="158" t="s">
        <v>34</v>
      </c>
      <c r="G333" s="623" t="s">
        <v>3560</v>
      </c>
      <c r="H333" s="623" t="s">
        <v>33</v>
      </c>
      <c r="I333" s="623" t="s">
        <v>34</v>
      </c>
      <c r="J333" s="623" t="s">
        <v>34</v>
      </c>
      <c r="K333" s="623" t="s">
        <v>34</v>
      </c>
      <c r="L333" s="624"/>
      <c r="M333" s="158">
        <v>0</v>
      </c>
      <c r="N333" s="622">
        <v>2014.5</v>
      </c>
      <c r="O333" s="623" t="s">
        <v>3856</v>
      </c>
      <c r="P333" s="623" t="s">
        <v>3857</v>
      </c>
      <c r="Q333" s="623">
        <v>18322298014</v>
      </c>
      <c r="R333" s="623" t="s">
        <v>3858</v>
      </c>
      <c r="S333" s="623" t="s">
        <v>3564</v>
      </c>
      <c r="T333" s="624"/>
    </row>
    <row r="334" spans="1:20" s="662" customFormat="1" ht="24.95" customHeight="1">
      <c r="A334" s="708">
        <v>14</v>
      </c>
      <c r="B334" s="623" t="s">
        <v>3861</v>
      </c>
      <c r="C334" s="623" t="s">
        <v>3863</v>
      </c>
      <c r="D334" s="623" t="s">
        <v>1477</v>
      </c>
      <c r="E334" s="158">
        <v>3</v>
      </c>
      <c r="F334" s="158" t="s">
        <v>34</v>
      </c>
      <c r="G334" s="623" t="s">
        <v>3560</v>
      </c>
      <c r="H334" s="623" t="s">
        <v>33</v>
      </c>
      <c r="I334" s="623" t="s">
        <v>34</v>
      </c>
      <c r="J334" s="623" t="s">
        <v>34</v>
      </c>
      <c r="K334" s="623" t="s">
        <v>34</v>
      </c>
      <c r="L334" s="624"/>
      <c r="M334" s="158">
        <v>0</v>
      </c>
      <c r="N334" s="622">
        <v>2014.5</v>
      </c>
      <c r="O334" s="623" t="s">
        <v>3856</v>
      </c>
      <c r="P334" s="623" t="s">
        <v>3857</v>
      </c>
      <c r="Q334" s="623">
        <v>18322298014</v>
      </c>
      <c r="R334" s="623" t="s">
        <v>3858</v>
      </c>
      <c r="S334" s="623" t="s">
        <v>3564</v>
      </c>
      <c r="T334" s="624"/>
    </row>
    <row r="335" spans="1:20" s="662" customFormat="1" ht="24.95" customHeight="1">
      <c r="A335" s="708">
        <v>15</v>
      </c>
      <c r="B335" s="623" t="s">
        <v>3861</v>
      </c>
      <c r="C335" s="623" t="s">
        <v>3865</v>
      </c>
      <c r="D335" s="623" t="s">
        <v>1477</v>
      </c>
      <c r="E335" s="158">
        <v>5</v>
      </c>
      <c r="F335" s="158" t="s">
        <v>34</v>
      </c>
      <c r="G335" s="623" t="s">
        <v>3560</v>
      </c>
      <c r="H335" s="623" t="s">
        <v>33</v>
      </c>
      <c r="I335" s="623" t="s">
        <v>34</v>
      </c>
      <c r="J335" s="623" t="s">
        <v>34</v>
      </c>
      <c r="K335" s="623" t="s">
        <v>34</v>
      </c>
      <c r="L335" s="624"/>
      <c r="M335" s="158">
        <v>0</v>
      </c>
      <c r="N335" s="622">
        <v>2014.5</v>
      </c>
      <c r="O335" s="623" t="s">
        <v>3856</v>
      </c>
      <c r="P335" s="623" t="s">
        <v>3857</v>
      </c>
      <c r="Q335" s="623">
        <v>18322298014</v>
      </c>
      <c r="R335" s="623" t="s">
        <v>3858</v>
      </c>
      <c r="S335" s="623" t="s">
        <v>3564</v>
      </c>
      <c r="T335" s="624"/>
    </row>
    <row r="336" spans="1:20" s="662" customFormat="1" ht="24.95" customHeight="1">
      <c r="A336" s="708">
        <v>16</v>
      </c>
      <c r="B336" s="623" t="s">
        <v>3861</v>
      </c>
      <c r="C336" s="623" t="s">
        <v>3863</v>
      </c>
      <c r="D336" s="623" t="s">
        <v>1477</v>
      </c>
      <c r="E336" s="158">
        <v>3</v>
      </c>
      <c r="F336" s="158" t="s">
        <v>34</v>
      </c>
      <c r="G336" s="623" t="s">
        <v>3560</v>
      </c>
      <c r="H336" s="623" t="s">
        <v>33</v>
      </c>
      <c r="I336" s="623" t="s">
        <v>34</v>
      </c>
      <c r="J336" s="623" t="s">
        <v>34</v>
      </c>
      <c r="K336" s="623" t="s">
        <v>34</v>
      </c>
      <c r="L336" s="624"/>
      <c r="M336" s="158">
        <v>0</v>
      </c>
      <c r="N336" s="622">
        <v>2014.5</v>
      </c>
      <c r="O336" s="623" t="s">
        <v>3856</v>
      </c>
      <c r="P336" s="623" t="s">
        <v>3857</v>
      </c>
      <c r="Q336" s="623">
        <v>18322298014</v>
      </c>
      <c r="R336" s="623" t="s">
        <v>3858</v>
      </c>
      <c r="S336" s="623" t="s">
        <v>3564</v>
      </c>
      <c r="T336" s="624"/>
    </row>
    <row r="337" spans="1:20" s="662" customFormat="1" ht="24.95" customHeight="1">
      <c r="A337" s="708">
        <v>17</v>
      </c>
      <c r="B337" s="623" t="s">
        <v>3861</v>
      </c>
      <c r="C337" s="623" t="s">
        <v>3865</v>
      </c>
      <c r="D337" s="623" t="s">
        <v>1477</v>
      </c>
      <c r="E337" s="158">
        <v>5</v>
      </c>
      <c r="F337" s="158" t="s">
        <v>34</v>
      </c>
      <c r="G337" s="623" t="s">
        <v>3560</v>
      </c>
      <c r="H337" s="623" t="s">
        <v>33</v>
      </c>
      <c r="I337" s="623" t="s">
        <v>34</v>
      </c>
      <c r="J337" s="623" t="s">
        <v>34</v>
      </c>
      <c r="K337" s="623" t="s">
        <v>34</v>
      </c>
      <c r="L337" s="624"/>
      <c r="M337" s="158">
        <v>0</v>
      </c>
      <c r="N337" s="622">
        <v>2014.5</v>
      </c>
      <c r="O337" s="623" t="s">
        <v>3856</v>
      </c>
      <c r="P337" s="623" t="s">
        <v>3857</v>
      </c>
      <c r="Q337" s="623">
        <v>18322298014</v>
      </c>
      <c r="R337" s="623" t="s">
        <v>3858</v>
      </c>
      <c r="S337" s="623" t="s">
        <v>3564</v>
      </c>
      <c r="T337" s="624"/>
    </row>
    <row r="338" spans="1:20" s="662" customFormat="1" ht="24.95" customHeight="1">
      <c r="A338" s="708">
        <v>18</v>
      </c>
      <c r="B338" s="623" t="s">
        <v>3861</v>
      </c>
      <c r="C338" s="623" t="s">
        <v>3863</v>
      </c>
      <c r="D338" s="623" t="s">
        <v>1477</v>
      </c>
      <c r="E338" s="158">
        <v>3</v>
      </c>
      <c r="F338" s="158" t="s">
        <v>34</v>
      </c>
      <c r="G338" s="623" t="s">
        <v>3560</v>
      </c>
      <c r="H338" s="623" t="s">
        <v>33</v>
      </c>
      <c r="I338" s="623" t="s">
        <v>34</v>
      </c>
      <c r="J338" s="623" t="s">
        <v>34</v>
      </c>
      <c r="K338" s="623" t="s">
        <v>34</v>
      </c>
      <c r="L338" s="624"/>
      <c r="M338" s="158">
        <v>0</v>
      </c>
      <c r="N338" s="622">
        <v>2014.5</v>
      </c>
      <c r="O338" s="623" t="s">
        <v>3856</v>
      </c>
      <c r="P338" s="623" t="s">
        <v>3857</v>
      </c>
      <c r="Q338" s="623">
        <v>18322298014</v>
      </c>
      <c r="R338" s="623" t="s">
        <v>3858</v>
      </c>
      <c r="S338" s="623" t="s">
        <v>3564</v>
      </c>
      <c r="T338" s="624"/>
    </row>
    <row r="339" spans="1:20" s="662" customFormat="1" ht="24.95" customHeight="1">
      <c r="A339" s="708">
        <v>19</v>
      </c>
      <c r="B339" s="623" t="s">
        <v>3861</v>
      </c>
      <c r="C339" s="623" t="s">
        <v>3862</v>
      </c>
      <c r="D339" s="623" t="s">
        <v>1477</v>
      </c>
      <c r="E339" s="158">
        <v>13</v>
      </c>
      <c r="F339" s="158" t="s">
        <v>34</v>
      </c>
      <c r="G339" s="623" t="s">
        <v>3560</v>
      </c>
      <c r="H339" s="623" t="s">
        <v>33</v>
      </c>
      <c r="I339" s="623" t="s">
        <v>34</v>
      </c>
      <c r="J339" s="623" t="s">
        <v>34</v>
      </c>
      <c r="K339" s="623" t="s">
        <v>34</v>
      </c>
      <c r="L339" s="624"/>
      <c r="M339" s="158">
        <v>0</v>
      </c>
      <c r="N339" s="622">
        <v>2014.5</v>
      </c>
      <c r="O339" s="623" t="s">
        <v>3856</v>
      </c>
      <c r="P339" s="623" t="s">
        <v>3857</v>
      </c>
      <c r="Q339" s="623">
        <v>18322298014</v>
      </c>
      <c r="R339" s="623" t="s">
        <v>3858</v>
      </c>
      <c r="S339" s="623" t="s">
        <v>3564</v>
      </c>
      <c r="T339" s="624"/>
    </row>
    <row r="340" spans="1:20" s="662" customFormat="1" ht="24.95" customHeight="1">
      <c r="A340" s="708">
        <v>20</v>
      </c>
      <c r="B340" s="623" t="s">
        <v>3859</v>
      </c>
      <c r="C340" s="623" t="s">
        <v>3860</v>
      </c>
      <c r="D340" s="623" t="s">
        <v>1477</v>
      </c>
      <c r="E340" s="158">
        <v>2</v>
      </c>
      <c r="F340" s="158" t="s">
        <v>34</v>
      </c>
      <c r="G340" s="623" t="s">
        <v>3560</v>
      </c>
      <c r="H340" s="623" t="s">
        <v>33</v>
      </c>
      <c r="I340" s="623" t="s">
        <v>34</v>
      </c>
      <c r="J340" s="623" t="s">
        <v>34</v>
      </c>
      <c r="K340" s="623" t="s">
        <v>34</v>
      </c>
      <c r="L340" s="624"/>
      <c r="M340" s="158">
        <v>0</v>
      </c>
      <c r="N340" s="622">
        <v>2014.5</v>
      </c>
      <c r="O340" s="623" t="s">
        <v>3856</v>
      </c>
      <c r="P340" s="623" t="s">
        <v>3857</v>
      </c>
      <c r="Q340" s="623">
        <v>18322298014</v>
      </c>
      <c r="R340" s="623" t="s">
        <v>3858</v>
      </c>
      <c r="S340" s="623" t="s">
        <v>3564</v>
      </c>
      <c r="T340" s="624"/>
    </row>
    <row r="341" spans="1:20" s="662" customFormat="1" ht="24.95" customHeight="1">
      <c r="A341" s="708">
        <v>21</v>
      </c>
      <c r="B341" s="623" t="s">
        <v>3859</v>
      </c>
      <c r="C341" s="623" t="s">
        <v>3864</v>
      </c>
      <c r="D341" s="623" t="s">
        <v>1477</v>
      </c>
      <c r="E341" s="158">
        <v>4</v>
      </c>
      <c r="F341" s="158" t="s">
        <v>34</v>
      </c>
      <c r="G341" s="623" t="s">
        <v>3560</v>
      </c>
      <c r="H341" s="623" t="s">
        <v>33</v>
      </c>
      <c r="I341" s="623" t="s">
        <v>34</v>
      </c>
      <c r="J341" s="623" t="s">
        <v>34</v>
      </c>
      <c r="K341" s="623" t="s">
        <v>34</v>
      </c>
      <c r="L341" s="624"/>
      <c r="M341" s="158">
        <v>0</v>
      </c>
      <c r="N341" s="622">
        <v>2014.5</v>
      </c>
      <c r="O341" s="623" t="s">
        <v>3856</v>
      </c>
      <c r="P341" s="623" t="s">
        <v>3857</v>
      </c>
      <c r="Q341" s="623">
        <v>18322298014</v>
      </c>
      <c r="R341" s="623" t="s">
        <v>3858</v>
      </c>
      <c r="S341" s="623" t="s">
        <v>3564</v>
      </c>
      <c r="T341" s="624"/>
    </row>
    <row r="342" spans="1:20" s="662" customFormat="1" ht="24.95" customHeight="1">
      <c r="A342" s="708">
        <v>22</v>
      </c>
      <c r="B342" s="623" t="s">
        <v>3861</v>
      </c>
      <c r="C342" s="623" t="s">
        <v>3860</v>
      </c>
      <c r="D342" s="623" t="s">
        <v>1477</v>
      </c>
      <c r="E342" s="158">
        <v>2</v>
      </c>
      <c r="F342" s="158" t="s">
        <v>34</v>
      </c>
      <c r="G342" s="623" t="s">
        <v>3560</v>
      </c>
      <c r="H342" s="623" t="s">
        <v>33</v>
      </c>
      <c r="I342" s="623" t="s">
        <v>34</v>
      </c>
      <c r="J342" s="623" t="s">
        <v>34</v>
      </c>
      <c r="K342" s="623" t="s">
        <v>34</v>
      </c>
      <c r="L342" s="624"/>
      <c r="M342" s="158">
        <v>0</v>
      </c>
      <c r="N342" s="622">
        <v>2014.5</v>
      </c>
      <c r="O342" s="623" t="s">
        <v>3856</v>
      </c>
      <c r="P342" s="623" t="s">
        <v>3857</v>
      </c>
      <c r="Q342" s="623">
        <v>18322298014</v>
      </c>
      <c r="R342" s="623" t="s">
        <v>3858</v>
      </c>
      <c r="S342" s="623" t="s">
        <v>3564</v>
      </c>
      <c r="T342" s="624"/>
    </row>
    <row r="343" spans="1:20" s="662" customFormat="1" ht="24.95" customHeight="1">
      <c r="A343" s="708">
        <v>23</v>
      </c>
      <c r="B343" s="623" t="s">
        <v>3861</v>
      </c>
      <c r="C343" s="623" t="s">
        <v>3866</v>
      </c>
      <c r="D343" s="623" t="s">
        <v>1477</v>
      </c>
      <c r="E343" s="158">
        <v>10</v>
      </c>
      <c r="F343" s="158" t="s">
        <v>34</v>
      </c>
      <c r="G343" s="623" t="s">
        <v>3560</v>
      </c>
      <c r="H343" s="623" t="s">
        <v>33</v>
      </c>
      <c r="I343" s="623" t="s">
        <v>34</v>
      </c>
      <c r="J343" s="623" t="s">
        <v>34</v>
      </c>
      <c r="K343" s="623" t="s">
        <v>34</v>
      </c>
      <c r="L343" s="624"/>
      <c r="M343" s="158">
        <v>0</v>
      </c>
      <c r="N343" s="622">
        <v>2014.5</v>
      </c>
      <c r="O343" s="623" t="s">
        <v>3856</v>
      </c>
      <c r="P343" s="623" t="s">
        <v>3857</v>
      </c>
      <c r="Q343" s="623">
        <v>18322298014</v>
      </c>
      <c r="R343" s="623" t="s">
        <v>3858</v>
      </c>
      <c r="S343" s="623" t="s">
        <v>3564</v>
      </c>
      <c r="T343" s="624"/>
    </row>
    <row r="344" spans="1:20" s="662" customFormat="1" ht="24.95" customHeight="1">
      <c r="A344" s="708">
        <v>24</v>
      </c>
      <c r="B344" s="623" t="s">
        <v>3861</v>
      </c>
      <c r="C344" s="623" t="s">
        <v>3866</v>
      </c>
      <c r="D344" s="623" t="s">
        <v>1477</v>
      </c>
      <c r="E344" s="158">
        <v>5</v>
      </c>
      <c r="F344" s="158" t="s">
        <v>34</v>
      </c>
      <c r="G344" s="623" t="s">
        <v>3560</v>
      </c>
      <c r="H344" s="623" t="s">
        <v>33</v>
      </c>
      <c r="I344" s="623" t="s">
        <v>34</v>
      </c>
      <c r="J344" s="623" t="s">
        <v>34</v>
      </c>
      <c r="K344" s="623" t="s">
        <v>34</v>
      </c>
      <c r="L344" s="624"/>
      <c r="M344" s="158">
        <v>0</v>
      </c>
      <c r="N344" s="622">
        <v>2014.5</v>
      </c>
      <c r="O344" s="623" t="s">
        <v>3856</v>
      </c>
      <c r="P344" s="623" t="s">
        <v>3857</v>
      </c>
      <c r="Q344" s="623">
        <v>18322298014</v>
      </c>
      <c r="R344" s="623" t="s">
        <v>3858</v>
      </c>
      <c r="S344" s="623" t="s">
        <v>3564</v>
      </c>
      <c r="T344" s="624"/>
    </row>
    <row r="345" spans="1:20" s="662" customFormat="1" ht="24.95" customHeight="1">
      <c r="A345" s="708">
        <v>25</v>
      </c>
      <c r="B345" s="623" t="s">
        <v>3861</v>
      </c>
      <c r="C345" s="623" t="s">
        <v>3855</v>
      </c>
      <c r="D345" s="623" t="s">
        <v>1477</v>
      </c>
      <c r="E345" s="158">
        <v>15</v>
      </c>
      <c r="F345" s="158" t="s">
        <v>34</v>
      </c>
      <c r="G345" s="623" t="s">
        <v>3560</v>
      </c>
      <c r="H345" s="623" t="s">
        <v>33</v>
      </c>
      <c r="I345" s="623" t="s">
        <v>34</v>
      </c>
      <c r="J345" s="623" t="s">
        <v>34</v>
      </c>
      <c r="K345" s="623" t="s">
        <v>34</v>
      </c>
      <c r="L345" s="624"/>
      <c r="M345" s="158">
        <v>0</v>
      </c>
      <c r="N345" s="622">
        <v>2014.5</v>
      </c>
      <c r="O345" s="623" t="s">
        <v>3856</v>
      </c>
      <c r="P345" s="623" t="s">
        <v>3857</v>
      </c>
      <c r="Q345" s="623">
        <v>18322298014</v>
      </c>
      <c r="R345" s="623" t="s">
        <v>3858</v>
      </c>
      <c r="S345" s="623" t="s">
        <v>3564</v>
      </c>
      <c r="T345" s="624"/>
    </row>
    <row r="346" spans="1:20" s="662" customFormat="1" ht="24.95" customHeight="1">
      <c r="A346" s="708">
        <v>26</v>
      </c>
      <c r="B346" s="623" t="s">
        <v>3859</v>
      </c>
      <c r="C346" s="623" t="s">
        <v>3860</v>
      </c>
      <c r="D346" s="623" t="s">
        <v>1477</v>
      </c>
      <c r="E346" s="158">
        <v>1</v>
      </c>
      <c r="F346" s="158" t="s">
        <v>34</v>
      </c>
      <c r="G346" s="623" t="s">
        <v>3560</v>
      </c>
      <c r="H346" s="623" t="s">
        <v>33</v>
      </c>
      <c r="I346" s="623" t="s">
        <v>34</v>
      </c>
      <c r="J346" s="623" t="s">
        <v>34</v>
      </c>
      <c r="K346" s="623" t="s">
        <v>34</v>
      </c>
      <c r="L346" s="624"/>
      <c r="M346" s="158">
        <v>0</v>
      </c>
      <c r="N346" s="622">
        <v>2014.5</v>
      </c>
      <c r="O346" s="623" t="s">
        <v>3856</v>
      </c>
      <c r="P346" s="623" t="s">
        <v>3857</v>
      </c>
      <c r="Q346" s="623">
        <v>18322298014</v>
      </c>
      <c r="R346" s="623" t="s">
        <v>3858</v>
      </c>
      <c r="S346" s="623" t="s">
        <v>3564</v>
      </c>
      <c r="T346" s="624"/>
    </row>
    <row r="347" spans="1:20" s="662" customFormat="1" ht="24.95" customHeight="1">
      <c r="A347" s="708">
        <v>27</v>
      </c>
      <c r="B347" s="623" t="s">
        <v>3861</v>
      </c>
      <c r="C347" s="623" t="s">
        <v>3860</v>
      </c>
      <c r="D347" s="623" t="s">
        <v>1477</v>
      </c>
      <c r="E347" s="158">
        <v>2</v>
      </c>
      <c r="F347" s="158" t="s">
        <v>34</v>
      </c>
      <c r="G347" s="623" t="s">
        <v>3560</v>
      </c>
      <c r="H347" s="623" t="s">
        <v>33</v>
      </c>
      <c r="I347" s="623" t="s">
        <v>34</v>
      </c>
      <c r="J347" s="623" t="s">
        <v>34</v>
      </c>
      <c r="K347" s="623" t="s">
        <v>34</v>
      </c>
      <c r="L347" s="624"/>
      <c r="M347" s="158">
        <v>0</v>
      </c>
      <c r="N347" s="622">
        <v>2014.5</v>
      </c>
      <c r="O347" s="623" t="s">
        <v>3856</v>
      </c>
      <c r="P347" s="623" t="s">
        <v>3857</v>
      </c>
      <c r="Q347" s="623">
        <v>18322298014</v>
      </c>
      <c r="R347" s="623" t="s">
        <v>3858</v>
      </c>
      <c r="S347" s="623" t="s">
        <v>3564</v>
      </c>
      <c r="T347" s="624"/>
    </row>
    <row r="348" spans="1:20" s="662" customFormat="1" ht="24.95" customHeight="1">
      <c r="A348" s="708">
        <v>28</v>
      </c>
      <c r="B348" s="623" t="s">
        <v>3861</v>
      </c>
      <c r="C348" s="623" t="s">
        <v>3867</v>
      </c>
      <c r="D348" s="623" t="s">
        <v>1477</v>
      </c>
      <c r="E348" s="158">
        <v>4</v>
      </c>
      <c r="F348" s="158" t="s">
        <v>34</v>
      </c>
      <c r="G348" s="623" t="s">
        <v>3560</v>
      </c>
      <c r="H348" s="623" t="s">
        <v>33</v>
      </c>
      <c r="I348" s="623" t="s">
        <v>34</v>
      </c>
      <c r="J348" s="623" t="s">
        <v>34</v>
      </c>
      <c r="K348" s="623" t="s">
        <v>34</v>
      </c>
      <c r="L348" s="624"/>
      <c r="M348" s="158">
        <v>0</v>
      </c>
      <c r="N348" s="622">
        <v>2012.2</v>
      </c>
      <c r="O348" s="623" t="s">
        <v>3856</v>
      </c>
      <c r="P348" s="623" t="s">
        <v>3857</v>
      </c>
      <c r="Q348" s="623">
        <v>18322298014</v>
      </c>
      <c r="R348" s="623" t="s">
        <v>3858</v>
      </c>
      <c r="S348" s="623" t="s">
        <v>3564</v>
      </c>
      <c r="T348" s="624"/>
    </row>
    <row r="349" spans="1:20" s="662" customFormat="1" ht="24.95" customHeight="1">
      <c r="A349" s="708">
        <v>29</v>
      </c>
      <c r="B349" s="623" t="s">
        <v>3861</v>
      </c>
      <c r="C349" s="623" t="s">
        <v>3864</v>
      </c>
      <c r="D349" s="623" t="s">
        <v>1477</v>
      </c>
      <c r="E349" s="158">
        <v>2</v>
      </c>
      <c r="F349" s="158" t="s">
        <v>34</v>
      </c>
      <c r="G349" s="623" t="s">
        <v>3560</v>
      </c>
      <c r="H349" s="623" t="s">
        <v>33</v>
      </c>
      <c r="I349" s="623" t="s">
        <v>34</v>
      </c>
      <c r="J349" s="623" t="s">
        <v>34</v>
      </c>
      <c r="K349" s="623" t="s">
        <v>34</v>
      </c>
      <c r="L349" s="624"/>
      <c r="M349" s="158">
        <v>0</v>
      </c>
      <c r="N349" s="622">
        <v>2013.5</v>
      </c>
      <c r="O349" s="623" t="s">
        <v>3856</v>
      </c>
      <c r="P349" s="623" t="s">
        <v>3857</v>
      </c>
      <c r="Q349" s="623">
        <v>18322298014</v>
      </c>
      <c r="R349" s="623" t="s">
        <v>3858</v>
      </c>
      <c r="S349" s="623" t="s">
        <v>3564</v>
      </c>
      <c r="T349" s="624"/>
    </row>
    <row r="350" spans="1:20" s="662" customFormat="1" ht="24.95" customHeight="1">
      <c r="A350" s="708">
        <v>30</v>
      </c>
      <c r="B350" s="623" t="s">
        <v>3861</v>
      </c>
      <c r="C350" s="623" t="s">
        <v>3868</v>
      </c>
      <c r="D350" s="623" t="s">
        <v>1477</v>
      </c>
      <c r="E350" s="158">
        <v>2</v>
      </c>
      <c r="F350" s="158" t="s">
        <v>34</v>
      </c>
      <c r="G350" s="623" t="s">
        <v>3560</v>
      </c>
      <c r="H350" s="623" t="s">
        <v>33</v>
      </c>
      <c r="I350" s="623" t="s">
        <v>34</v>
      </c>
      <c r="J350" s="623" t="s">
        <v>34</v>
      </c>
      <c r="K350" s="623" t="s">
        <v>34</v>
      </c>
      <c r="L350" s="624"/>
      <c r="M350" s="158">
        <v>0</v>
      </c>
      <c r="N350" s="622">
        <v>2015.9</v>
      </c>
      <c r="O350" s="623" t="s">
        <v>3856</v>
      </c>
      <c r="P350" s="623" t="s">
        <v>3857</v>
      </c>
      <c r="Q350" s="623">
        <v>18322298014</v>
      </c>
      <c r="R350" s="623" t="s">
        <v>3858</v>
      </c>
      <c r="S350" s="623" t="s">
        <v>3564</v>
      </c>
      <c r="T350" s="624"/>
    </row>
    <row r="351" spans="1:20" s="662" customFormat="1" ht="24.95" customHeight="1">
      <c r="A351" s="708">
        <v>31</v>
      </c>
      <c r="B351" s="623" t="s">
        <v>3861</v>
      </c>
      <c r="C351" s="623" t="s">
        <v>3869</v>
      </c>
      <c r="D351" s="623" t="s">
        <v>1477</v>
      </c>
      <c r="E351" s="158">
        <v>2</v>
      </c>
      <c r="F351" s="158" t="s">
        <v>34</v>
      </c>
      <c r="G351" s="623" t="s">
        <v>3560</v>
      </c>
      <c r="H351" s="623" t="s">
        <v>33</v>
      </c>
      <c r="I351" s="623" t="s">
        <v>34</v>
      </c>
      <c r="J351" s="623" t="s">
        <v>34</v>
      </c>
      <c r="K351" s="623" t="s">
        <v>34</v>
      </c>
      <c r="L351" s="624"/>
      <c r="M351" s="158">
        <v>0</v>
      </c>
      <c r="N351" s="622">
        <v>2017.3</v>
      </c>
      <c r="O351" s="623" t="s">
        <v>3856</v>
      </c>
      <c r="P351" s="623" t="s">
        <v>3857</v>
      </c>
      <c r="Q351" s="623">
        <v>18322298014</v>
      </c>
      <c r="R351" s="623" t="s">
        <v>3858</v>
      </c>
      <c r="S351" s="623" t="s">
        <v>3564</v>
      </c>
      <c r="T351" s="624"/>
    </row>
    <row r="352" spans="1:20" ht="24.95" customHeight="1">
      <c r="A352" s="708">
        <v>32</v>
      </c>
      <c r="B352" s="623" t="s">
        <v>3870</v>
      </c>
      <c r="C352" s="623"/>
      <c r="D352" s="623" t="s">
        <v>1477</v>
      </c>
      <c r="E352" s="158">
        <v>50</v>
      </c>
      <c r="F352" s="158"/>
      <c r="G352" s="623" t="s">
        <v>3560</v>
      </c>
      <c r="H352" s="623" t="s">
        <v>33</v>
      </c>
      <c r="I352" s="623"/>
      <c r="J352" s="623"/>
      <c r="K352" s="623"/>
      <c r="L352" s="624"/>
      <c r="M352" s="712">
        <v>0</v>
      </c>
      <c r="N352" s="713" t="s">
        <v>3871</v>
      </c>
      <c r="O352" s="623" t="s">
        <v>3618</v>
      </c>
      <c r="P352" s="623" t="s">
        <v>3619</v>
      </c>
      <c r="Q352" s="623">
        <v>13752429150</v>
      </c>
      <c r="R352" s="632" t="s">
        <v>3620</v>
      </c>
      <c r="S352" s="623" t="s">
        <v>3564</v>
      </c>
      <c r="T352" s="624"/>
    </row>
    <row r="353" spans="1:20" ht="24.95" customHeight="1">
      <c r="A353" s="708">
        <v>33</v>
      </c>
      <c r="B353" s="623" t="s">
        <v>3872</v>
      </c>
      <c r="C353" s="623"/>
      <c r="D353" s="623" t="s">
        <v>1477</v>
      </c>
      <c r="E353" s="158">
        <v>3</v>
      </c>
      <c r="F353" s="158"/>
      <c r="G353" s="623" t="s">
        <v>3560</v>
      </c>
      <c r="H353" s="623" t="s">
        <v>33</v>
      </c>
      <c r="I353" s="623"/>
      <c r="J353" s="623"/>
      <c r="K353" s="623"/>
      <c r="L353" s="624"/>
      <c r="M353" s="644">
        <v>0</v>
      </c>
      <c r="N353" s="713" t="s">
        <v>3871</v>
      </c>
      <c r="O353" s="623" t="s">
        <v>3618</v>
      </c>
      <c r="P353" s="623" t="s">
        <v>3619</v>
      </c>
      <c r="Q353" s="623">
        <v>13752429150</v>
      </c>
      <c r="R353" s="632" t="s">
        <v>3620</v>
      </c>
      <c r="S353" s="623" t="s">
        <v>3564</v>
      </c>
      <c r="T353" s="624"/>
    </row>
    <row r="354" spans="1:20" ht="24.95" customHeight="1">
      <c r="A354" s="708">
        <v>34</v>
      </c>
      <c r="B354" s="623" t="s">
        <v>3873</v>
      </c>
      <c r="C354" s="623" t="s">
        <v>3874</v>
      </c>
      <c r="D354" s="623" t="s">
        <v>1477</v>
      </c>
      <c r="E354" s="158">
        <v>15</v>
      </c>
      <c r="F354" s="158" t="s">
        <v>34</v>
      </c>
      <c r="G354" s="623" t="s">
        <v>3560</v>
      </c>
      <c r="H354" s="623" t="s">
        <v>33</v>
      </c>
      <c r="I354" s="623"/>
      <c r="J354" s="623"/>
      <c r="K354" s="623"/>
      <c r="L354" s="624"/>
      <c r="M354" s="644">
        <v>61194.6</v>
      </c>
      <c r="N354" s="713" t="s">
        <v>2216</v>
      </c>
      <c r="O354" s="102" t="s">
        <v>3683</v>
      </c>
      <c r="P354" s="102" t="s">
        <v>3684</v>
      </c>
      <c r="Q354" s="102">
        <v>18649012127</v>
      </c>
      <c r="R354" s="623" t="s">
        <v>3685</v>
      </c>
      <c r="S354" s="623" t="s">
        <v>3564</v>
      </c>
      <c r="T354" s="624"/>
    </row>
    <row r="355" spans="1:20" ht="24.95" customHeight="1">
      <c r="A355" s="708">
        <v>35</v>
      </c>
      <c r="B355" s="623" t="s">
        <v>3873</v>
      </c>
      <c r="C355" s="640" t="s">
        <v>3875</v>
      </c>
      <c r="D355" s="623" t="s">
        <v>1477</v>
      </c>
      <c r="E355" s="158">
        <v>30</v>
      </c>
      <c r="F355" s="158" t="s">
        <v>34</v>
      </c>
      <c r="G355" s="623" t="s">
        <v>3560</v>
      </c>
      <c r="H355" s="623" t="s">
        <v>33</v>
      </c>
      <c r="I355" s="623"/>
      <c r="J355" s="623"/>
      <c r="K355" s="623"/>
      <c r="L355" s="624"/>
      <c r="M355" s="644">
        <f>37168.05*2</f>
        <v>74336.100000000006</v>
      </c>
      <c r="N355" s="713" t="s">
        <v>2216</v>
      </c>
      <c r="O355" s="102" t="s">
        <v>3683</v>
      </c>
      <c r="P355" s="102" t="s">
        <v>3684</v>
      </c>
      <c r="Q355" s="102">
        <v>18649012127</v>
      </c>
      <c r="R355" s="623" t="s">
        <v>3685</v>
      </c>
      <c r="S355" s="623" t="s">
        <v>3564</v>
      </c>
      <c r="T355" s="624"/>
    </row>
    <row r="356" spans="1:20" ht="24.95" customHeight="1">
      <c r="A356" s="708">
        <v>36</v>
      </c>
      <c r="B356" s="623" t="s">
        <v>3873</v>
      </c>
      <c r="C356" s="640" t="s">
        <v>3876</v>
      </c>
      <c r="D356" s="623" t="s">
        <v>1477</v>
      </c>
      <c r="E356" s="158">
        <v>23</v>
      </c>
      <c r="F356" s="158" t="s">
        <v>34</v>
      </c>
      <c r="G356" s="623" t="s">
        <v>3560</v>
      </c>
      <c r="H356" s="623" t="s">
        <v>33</v>
      </c>
      <c r="I356" s="623"/>
      <c r="J356" s="623"/>
      <c r="K356" s="623"/>
      <c r="L356" s="624"/>
      <c r="M356" s="644">
        <f>2256.63*23</f>
        <v>51902.490000000005</v>
      </c>
      <c r="N356" s="713" t="s">
        <v>2216</v>
      </c>
      <c r="O356" s="102" t="s">
        <v>3683</v>
      </c>
      <c r="P356" s="102" t="s">
        <v>3684</v>
      </c>
      <c r="Q356" s="102">
        <v>18649012127</v>
      </c>
      <c r="R356" s="623" t="s">
        <v>3685</v>
      </c>
      <c r="S356" s="623" t="s">
        <v>3564</v>
      </c>
      <c r="T356" s="624"/>
    </row>
    <row r="357" spans="1:20" ht="24.95" customHeight="1">
      <c r="A357" s="708">
        <v>37</v>
      </c>
      <c r="B357" s="623" t="s">
        <v>3873</v>
      </c>
      <c r="C357" s="640" t="s">
        <v>3876</v>
      </c>
      <c r="D357" s="623" t="s">
        <v>1477</v>
      </c>
      <c r="E357" s="158">
        <v>27</v>
      </c>
      <c r="F357" s="158" t="s">
        <v>34</v>
      </c>
      <c r="G357" s="623" t="s">
        <v>3560</v>
      </c>
      <c r="H357" s="644" t="s">
        <v>33</v>
      </c>
      <c r="I357" s="623"/>
      <c r="J357" s="623"/>
      <c r="K357" s="623"/>
      <c r="L357" s="624"/>
      <c r="M357" s="294">
        <f>2760/1.13*27</f>
        <v>65946.902654867255</v>
      </c>
      <c r="N357" s="713" t="s">
        <v>2216</v>
      </c>
      <c r="O357" s="102" t="s">
        <v>3683</v>
      </c>
      <c r="P357" s="102" t="s">
        <v>3684</v>
      </c>
      <c r="Q357" s="102">
        <v>18649012127</v>
      </c>
      <c r="R357" s="623" t="s">
        <v>3685</v>
      </c>
      <c r="S357" s="623" t="s">
        <v>3564</v>
      </c>
      <c r="T357" s="624"/>
    </row>
    <row r="358" spans="1:20" ht="24.95" customHeight="1">
      <c r="A358" s="708">
        <v>38</v>
      </c>
      <c r="B358" s="623" t="s">
        <v>3873</v>
      </c>
      <c r="C358" s="623" t="s">
        <v>3877</v>
      </c>
      <c r="D358" s="623" t="s">
        <v>1477</v>
      </c>
      <c r="E358" s="158">
        <v>11</v>
      </c>
      <c r="F358" s="158" t="s">
        <v>34</v>
      </c>
      <c r="G358" s="623" t="s">
        <v>3560</v>
      </c>
      <c r="H358" s="644" t="s">
        <v>33</v>
      </c>
      <c r="I358" s="623"/>
      <c r="J358" s="623"/>
      <c r="K358" s="623"/>
      <c r="L358" s="624"/>
      <c r="M358" s="644">
        <v>10513.25</v>
      </c>
      <c r="N358" s="713" t="s">
        <v>2216</v>
      </c>
      <c r="O358" s="102" t="s">
        <v>3683</v>
      </c>
      <c r="P358" s="102" t="s">
        <v>3684</v>
      </c>
      <c r="Q358" s="102">
        <v>18649012127</v>
      </c>
      <c r="R358" s="623" t="s">
        <v>3685</v>
      </c>
      <c r="S358" s="623" t="s">
        <v>3564</v>
      </c>
      <c r="T358" s="624"/>
    </row>
    <row r="359" spans="1:20" ht="24.95" customHeight="1">
      <c r="A359" s="708">
        <v>39</v>
      </c>
      <c r="B359" s="623" t="s">
        <v>3873</v>
      </c>
      <c r="C359" s="623" t="s">
        <v>3878</v>
      </c>
      <c r="D359" s="623" t="s">
        <v>1477</v>
      </c>
      <c r="E359" s="158">
        <v>2</v>
      </c>
      <c r="F359" s="158" t="s">
        <v>34</v>
      </c>
      <c r="G359" s="623" t="s">
        <v>3560</v>
      </c>
      <c r="H359" s="644" t="s">
        <v>33</v>
      </c>
      <c r="I359" s="623"/>
      <c r="J359" s="623"/>
      <c r="K359" s="623"/>
      <c r="L359" s="624"/>
      <c r="M359" s="644">
        <v>725.66</v>
      </c>
      <c r="N359" s="713" t="s">
        <v>3871</v>
      </c>
      <c r="O359" s="102" t="s">
        <v>3683</v>
      </c>
      <c r="P359" s="102" t="s">
        <v>3684</v>
      </c>
      <c r="Q359" s="102">
        <v>18649012127</v>
      </c>
      <c r="R359" s="623" t="s">
        <v>3685</v>
      </c>
      <c r="S359" s="623" t="s">
        <v>3564</v>
      </c>
      <c r="T359" s="624"/>
    </row>
    <row r="360" spans="1:20" ht="24.95" customHeight="1">
      <c r="A360" s="708">
        <v>40</v>
      </c>
      <c r="B360" s="623" t="s">
        <v>3873</v>
      </c>
      <c r="C360" s="623" t="s">
        <v>3879</v>
      </c>
      <c r="D360" s="623" t="s">
        <v>1477</v>
      </c>
      <c r="E360" s="158">
        <v>3</v>
      </c>
      <c r="F360" s="158" t="s">
        <v>34</v>
      </c>
      <c r="G360" s="623" t="s">
        <v>3560</v>
      </c>
      <c r="H360" s="644" t="s">
        <v>33</v>
      </c>
      <c r="I360" s="623"/>
      <c r="J360" s="623"/>
      <c r="K360" s="623"/>
      <c r="L360" s="624"/>
      <c r="M360" s="644">
        <v>424.77</v>
      </c>
      <c r="N360" s="713" t="s">
        <v>3871</v>
      </c>
      <c r="O360" s="102" t="s">
        <v>3683</v>
      </c>
      <c r="P360" s="102" t="s">
        <v>3684</v>
      </c>
      <c r="Q360" s="102">
        <v>18649012127</v>
      </c>
      <c r="R360" s="623" t="s">
        <v>3685</v>
      </c>
      <c r="S360" s="623" t="s">
        <v>3564</v>
      </c>
      <c r="T360" s="624"/>
    </row>
    <row r="361" spans="1:20" ht="24.95" customHeight="1">
      <c r="A361" s="708">
        <v>41</v>
      </c>
      <c r="B361" s="623" t="s">
        <v>3873</v>
      </c>
      <c r="C361" s="623" t="s">
        <v>3880</v>
      </c>
      <c r="D361" s="623" t="s">
        <v>1477</v>
      </c>
      <c r="E361" s="158">
        <v>2</v>
      </c>
      <c r="F361" s="158" t="s">
        <v>34</v>
      </c>
      <c r="G361" s="623" t="s">
        <v>3560</v>
      </c>
      <c r="H361" s="644" t="s">
        <v>33</v>
      </c>
      <c r="I361" s="623"/>
      <c r="J361" s="623"/>
      <c r="K361" s="623"/>
      <c r="L361" s="624"/>
      <c r="M361" s="644">
        <v>424.76</v>
      </c>
      <c r="N361" s="713" t="s">
        <v>3871</v>
      </c>
      <c r="O361" s="102" t="s">
        <v>3683</v>
      </c>
      <c r="P361" s="102" t="s">
        <v>3684</v>
      </c>
      <c r="Q361" s="102">
        <v>18649012127</v>
      </c>
      <c r="R361" s="623" t="s">
        <v>3685</v>
      </c>
      <c r="S361" s="623" t="s">
        <v>3564</v>
      </c>
      <c r="T361" s="624"/>
    </row>
    <row r="362" spans="1:20" ht="24.95" customHeight="1">
      <c r="A362" s="708">
        <v>42</v>
      </c>
      <c r="B362" s="623" t="s">
        <v>3873</v>
      </c>
      <c r="C362" s="640" t="s">
        <v>3881</v>
      </c>
      <c r="D362" s="623" t="s">
        <v>1477</v>
      </c>
      <c r="E362" s="158">
        <v>3</v>
      </c>
      <c r="F362" s="158" t="s">
        <v>34</v>
      </c>
      <c r="G362" s="623" t="s">
        <v>3560</v>
      </c>
      <c r="H362" s="644" t="s">
        <v>33</v>
      </c>
      <c r="I362" s="623"/>
      <c r="J362" s="623"/>
      <c r="K362" s="623"/>
      <c r="L362" s="624"/>
      <c r="M362" s="644">
        <v>1115.04</v>
      </c>
      <c r="N362" s="713" t="s">
        <v>3871</v>
      </c>
      <c r="O362" s="102" t="s">
        <v>3683</v>
      </c>
      <c r="P362" s="102" t="s">
        <v>3684</v>
      </c>
      <c r="Q362" s="102">
        <v>18649012127</v>
      </c>
      <c r="R362" s="623" t="s">
        <v>3685</v>
      </c>
      <c r="S362" s="623" t="s">
        <v>3564</v>
      </c>
      <c r="T362" s="624"/>
    </row>
    <row r="363" spans="1:20" ht="24.95" customHeight="1">
      <c r="A363" s="708">
        <v>43</v>
      </c>
      <c r="B363" s="623" t="s">
        <v>3873</v>
      </c>
      <c r="C363" s="640" t="s">
        <v>3882</v>
      </c>
      <c r="D363" s="623" t="s">
        <v>1477</v>
      </c>
      <c r="E363" s="158">
        <v>3</v>
      </c>
      <c r="F363" s="158"/>
      <c r="G363" s="623" t="s">
        <v>3560</v>
      </c>
      <c r="H363" s="644" t="s">
        <v>33</v>
      </c>
      <c r="I363" s="623"/>
      <c r="J363" s="623"/>
      <c r="K363" s="623"/>
      <c r="L363" s="624"/>
      <c r="M363" s="644">
        <v>2920.35</v>
      </c>
      <c r="N363" s="713" t="s">
        <v>3871</v>
      </c>
      <c r="O363" s="102" t="s">
        <v>3683</v>
      </c>
      <c r="P363" s="102" t="s">
        <v>3684</v>
      </c>
      <c r="Q363" s="102">
        <v>18649012127</v>
      </c>
      <c r="R363" s="623" t="s">
        <v>3685</v>
      </c>
      <c r="S363" s="623" t="s">
        <v>3564</v>
      </c>
      <c r="T363" s="624"/>
    </row>
    <row r="364" spans="1:20" ht="24.95" customHeight="1">
      <c r="A364" s="708">
        <v>44</v>
      </c>
      <c r="B364" s="623" t="s">
        <v>3873</v>
      </c>
      <c r="C364" s="640" t="s">
        <v>3883</v>
      </c>
      <c r="D364" s="623" t="s">
        <v>1477</v>
      </c>
      <c r="E364" s="158">
        <v>2</v>
      </c>
      <c r="F364" s="158"/>
      <c r="G364" s="623" t="s">
        <v>3560</v>
      </c>
      <c r="H364" s="644" t="s">
        <v>33</v>
      </c>
      <c r="I364" s="623"/>
      <c r="J364" s="623"/>
      <c r="K364" s="623"/>
      <c r="L364" s="624"/>
      <c r="M364" s="644">
        <v>1592.92</v>
      </c>
      <c r="N364" s="713" t="s">
        <v>3871</v>
      </c>
      <c r="O364" s="102" t="s">
        <v>3683</v>
      </c>
      <c r="P364" s="102" t="s">
        <v>3684</v>
      </c>
      <c r="Q364" s="102">
        <v>18649012127</v>
      </c>
      <c r="R364" s="623" t="s">
        <v>3685</v>
      </c>
      <c r="S364" s="623" t="s">
        <v>3564</v>
      </c>
      <c r="T364" s="624"/>
    </row>
    <row r="365" spans="1:20" ht="24.95" customHeight="1">
      <c r="A365" s="708">
        <v>45</v>
      </c>
      <c r="B365" s="623" t="s">
        <v>3873</v>
      </c>
      <c r="C365" s="242" t="s">
        <v>3884</v>
      </c>
      <c r="D365" s="623" t="s">
        <v>1477</v>
      </c>
      <c r="E365" s="154">
        <v>1</v>
      </c>
      <c r="F365" s="158" t="s">
        <v>34</v>
      </c>
      <c r="G365" s="623" t="s">
        <v>3560</v>
      </c>
      <c r="H365" s="644" t="s">
        <v>33</v>
      </c>
      <c r="I365" s="623"/>
      <c r="J365" s="623"/>
      <c r="K365" s="623"/>
      <c r="L365" s="624"/>
      <c r="M365" s="294">
        <v>2410.0033629999998</v>
      </c>
      <c r="N365" s="713" t="s">
        <v>3686</v>
      </c>
      <c r="O365" s="102" t="s">
        <v>3683</v>
      </c>
      <c r="P365" s="102" t="s">
        <v>3684</v>
      </c>
      <c r="Q365" s="102">
        <v>18649012127</v>
      </c>
      <c r="R365" s="623" t="s">
        <v>3685</v>
      </c>
      <c r="S365" s="623" t="s">
        <v>3564</v>
      </c>
      <c r="T365" s="624"/>
    </row>
    <row r="366" spans="1:20" ht="24.95" customHeight="1">
      <c r="A366" s="708">
        <v>46</v>
      </c>
      <c r="B366" s="623" t="s">
        <v>3873</v>
      </c>
      <c r="C366" s="242" t="s">
        <v>3885</v>
      </c>
      <c r="D366" s="623" t="s">
        <v>1477</v>
      </c>
      <c r="E366" s="154">
        <v>1</v>
      </c>
      <c r="F366" s="158" t="s">
        <v>34</v>
      </c>
      <c r="G366" s="623" t="s">
        <v>3560</v>
      </c>
      <c r="H366" s="644" t="s">
        <v>33</v>
      </c>
      <c r="I366" s="623"/>
      <c r="J366" s="623"/>
      <c r="K366" s="623"/>
      <c r="L366" s="624"/>
      <c r="M366" s="294">
        <v>1740.003009</v>
      </c>
      <c r="N366" s="713" t="s">
        <v>3686</v>
      </c>
      <c r="O366" s="102" t="s">
        <v>3683</v>
      </c>
      <c r="P366" s="102" t="s">
        <v>3684</v>
      </c>
      <c r="Q366" s="102">
        <v>18649012127</v>
      </c>
      <c r="R366" s="623" t="s">
        <v>3685</v>
      </c>
      <c r="S366" s="623" t="s">
        <v>3564</v>
      </c>
      <c r="T366" s="624"/>
    </row>
    <row r="367" spans="1:20" ht="24.95" customHeight="1">
      <c r="A367" s="708">
        <v>47</v>
      </c>
      <c r="B367" s="623" t="s">
        <v>3873</v>
      </c>
      <c r="C367" s="242" t="s">
        <v>3886</v>
      </c>
      <c r="D367" s="623" t="s">
        <v>1477</v>
      </c>
      <c r="E367" s="154">
        <v>6</v>
      </c>
      <c r="F367" s="158" t="s">
        <v>34</v>
      </c>
      <c r="G367" s="623" t="s">
        <v>3560</v>
      </c>
      <c r="H367" s="644" t="s">
        <v>33</v>
      </c>
      <c r="I367" s="623"/>
      <c r="J367" s="623"/>
      <c r="K367" s="623"/>
      <c r="L367" s="624"/>
      <c r="M367" s="294">
        <v>3530.0004720000002</v>
      </c>
      <c r="N367" s="713" t="s">
        <v>3686</v>
      </c>
      <c r="O367" s="102" t="s">
        <v>3683</v>
      </c>
      <c r="P367" s="102" t="s">
        <v>3684</v>
      </c>
      <c r="Q367" s="102">
        <v>18649012127</v>
      </c>
      <c r="R367" s="623" t="s">
        <v>3685</v>
      </c>
      <c r="S367" s="623" t="s">
        <v>3564</v>
      </c>
      <c r="T367" s="624"/>
    </row>
    <row r="368" spans="1:20" ht="24.95" customHeight="1">
      <c r="A368" s="708">
        <v>48</v>
      </c>
      <c r="B368" s="623" t="s">
        <v>3873</v>
      </c>
      <c r="C368" s="242" t="s">
        <v>3887</v>
      </c>
      <c r="D368" s="623" t="s">
        <v>1477</v>
      </c>
      <c r="E368" s="154">
        <v>6</v>
      </c>
      <c r="F368" s="158" t="s">
        <v>34</v>
      </c>
      <c r="G368" s="623" t="s">
        <v>3560</v>
      </c>
      <c r="H368" s="644" t="s">
        <v>33</v>
      </c>
      <c r="I368" s="623"/>
      <c r="J368" s="623"/>
      <c r="K368" s="623"/>
      <c r="L368" s="624"/>
      <c r="M368" s="294">
        <v>3530.0004720000002</v>
      </c>
      <c r="N368" s="713" t="s">
        <v>3686</v>
      </c>
      <c r="O368" s="102" t="s">
        <v>3683</v>
      </c>
      <c r="P368" s="102" t="s">
        <v>3684</v>
      </c>
      <c r="Q368" s="102">
        <v>18649012127</v>
      </c>
      <c r="R368" s="623" t="s">
        <v>3685</v>
      </c>
      <c r="S368" s="623" t="s">
        <v>3564</v>
      </c>
      <c r="T368" s="624"/>
    </row>
    <row r="369" spans="1:20" ht="24.95" customHeight="1">
      <c r="A369" s="708">
        <v>49</v>
      </c>
      <c r="B369" s="623" t="s">
        <v>3873</v>
      </c>
      <c r="C369" s="242" t="s">
        <v>3888</v>
      </c>
      <c r="D369" s="623" t="s">
        <v>1477</v>
      </c>
      <c r="E369" s="154">
        <v>7</v>
      </c>
      <c r="F369" s="158" t="s">
        <v>34</v>
      </c>
      <c r="G369" s="623" t="s">
        <v>3560</v>
      </c>
      <c r="H369" s="644" t="s">
        <v>33</v>
      </c>
      <c r="I369" s="623"/>
      <c r="J369" s="623"/>
      <c r="K369" s="623"/>
      <c r="L369" s="624"/>
      <c r="M369" s="294">
        <v>3529.9995199999998</v>
      </c>
      <c r="N369" s="713" t="s">
        <v>3686</v>
      </c>
      <c r="O369" s="102" t="s">
        <v>3683</v>
      </c>
      <c r="P369" s="102" t="s">
        <v>3684</v>
      </c>
      <c r="Q369" s="102">
        <v>18649012127</v>
      </c>
      <c r="R369" s="623" t="s">
        <v>3685</v>
      </c>
      <c r="S369" s="623" t="s">
        <v>3564</v>
      </c>
      <c r="T369" s="624"/>
    </row>
    <row r="370" spans="1:20" ht="24.95" customHeight="1">
      <c r="A370" s="708">
        <v>50</v>
      </c>
      <c r="B370" s="623" t="s">
        <v>3873</v>
      </c>
      <c r="C370" s="242" t="s">
        <v>3889</v>
      </c>
      <c r="D370" s="623" t="s">
        <v>1477</v>
      </c>
      <c r="E370" s="154">
        <v>5</v>
      </c>
      <c r="F370" s="158" t="s">
        <v>34</v>
      </c>
      <c r="G370" s="623" t="s">
        <v>3560</v>
      </c>
      <c r="H370" s="644" t="s">
        <v>33</v>
      </c>
      <c r="I370" s="623"/>
      <c r="J370" s="623"/>
      <c r="K370" s="623"/>
      <c r="L370" s="624"/>
      <c r="M370" s="294">
        <v>2560.0007260000002</v>
      </c>
      <c r="N370" s="713" t="s">
        <v>3686</v>
      </c>
      <c r="O370" s="102" t="s">
        <v>3683</v>
      </c>
      <c r="P370" s="102" t="s">
        <v>3684</v>
      </c>
      <c r="Q370" s="102">
        <v>18649012127</v>
      </c>
      <c r="R370" s="623" t="s">
        <v>3685</v>
      </c>
      <c r="S370" s="623" t="s">
        <v>3564</v>
      </c>
      <c r="T370" s="624"/>
    </row>
    <row r="371" spans="1:20" ht="24.95" customHeight="1">
      <c r="A371" s="708">
        <v>51</v>
      </c>
      <c r="B371" s="623" t="s">
        <v>1486</v>
      </c>
      <c r="C371" s="623" t="s">
        <v>3890</v>
      </c>
      <c r="D371" s="623" t="s">
        <v>79</v>
      </c>
      <c r="E371" s="623">
        <v>20</v>
      </c>
      <c r="F371" s="158" t="s">
        <v>34</v>
      </c>
      <c r="G371" s="623" t="s">
        <v>3560</v>
      </c>
      <c r="H371" s="644" t="s">
        <v>33</v>
      </c>
      <c r="I371" s="623"/>
      <c r="J371" s="623"/>
      <c r="K371" s="623"/>
      <c r="L371" s="624"/>
      <c r="M371" s="294">
        <v>46199.995759999998</v>
      </c>
      <c r="N371" s="713" t="s">
        <v>197</v>
      </c>
      <c r="O371" s="102" t="s">
        <v>3683</v>
      </c>
      <c r="P371" s="102" t="s">
        <v>3684</v>
      </c>
      <c r="Q371" s="102">
        <v>18649012127</v>
      </c>
      <c r="R371" s="623" t="s">
        <v>3685</v>
      </c>
      <c r="S371" s="623" t="s">
        <v>3564</v>
      </c>
      <c r="T371" s="624"/>
    </row>
    <row r="372" spans="1:20" ht="24.95" customHeight="1">
      <c r="A372" s="708">
        <v>52</v>
      </c>
      <c r="B372" s="623" t="s">
        <v>1486</v>
      </c>
      <c r="C372" s="623" t="s">
        <v>3890</v>
      </c>
      <c r="D372" s="623" t="s">
        <v>79</v>
      </c>
      <c r="E372" s="623">
        <v>1</v>
      </c>
      <c r="F372" s="158" t="s">
        <v>34</v>
      </c>
      <c r="G372" s="623" t="s">
        <v>3560</v>
      </c>
      <c r="H372" s="644" t="s">
        <v>33</v>
      </c>
      <c r="I372" s="623"/>
      <c r="J372" s="623"/>
      <c r="K372" s="623"/>
      <c r="L372" s="624"/>
      <c r="M372" s="294">
        <v>3550.0029199999999</v>
      </c>
      <c r="N372" s="713" t="s">
        <v>197</v>
      </c>
      <c r="O372" s="102" t="s">
        <v>3683</v>
      </c>
      <c r="P372" s="102" t="s">
        <v>3684</v>
      </c>
      <c r="Q372" s="102">
        <v>18649012127</v>
      </c>
      <c r="R372" s="623" t="s">
        <v>3685</v>
      </c>
      <c r="S372" s="623" t="s">
        <v>3564</v>
      </c>
      <c r="T372" s="624"/>
    </row>
    <row r="373" spans="1:20" ht="24.95" customHeight="1">
      <c r="A373" s="708">
        <v>53</v>
      </c>
      <c r="B373" s="623" t="s">
        <v>1486</v>
      </c>
      <c r="C373" s="623" t="s">
        <v>3890</v>
      </c>
      <c r="D373" s="623" t="s">
        <v>79</v>
      </c>
      <c r="E373" s="623">
        <v>8</v>
      </c>
      <c r="F373" s="158" t="s">
        <v>34</v>
      </c>
      <c r="G373" s="623" t="s">
        <v>3560</v>
      </c>
      <c r="H373" s="644" t="s">
        <v>33</v>
      </c>
      <c r="I373" s="623"/>
      <c r="J373" s="623"/>
      <c r="K373" s="623"/>
      <c r="L373" s="624"/>
      <c r="M373" s="294">
        <v>24980</v>
      </c>
      <c r="N373" s="713" t="s">
        <v>197</v>
      </c>
      <c r="O373" s="102" t="s">
        <v>3683</v>
      </c>
      <c r="P373" s="102" t="s">
        <v>3684</v>
      </c>
      <c r="Q373" s="102">
        <v>18649012127</v>
      </c>
      <c r="R373" s="623" t="s">
        <v>3685</v>
      </c>
      <c r="S373" s="623" t="s">
        <v>3564</v>
      </c>
      <c r="T373" s="624"/>
    </row>
    <row r="374" spans="1:20" s="662" customFormat="1" ht="24.95" customHeight="1">
      <c r="A374" s="711" t="s">
        <v>1617</v>
      </c>
      <c r="B374" s="701" t="s">
        <v>1516</v>
      </c>
      <c r="C374" s="660"/>
      <c r="D374" s="624"/>
      <c r="E374" s="661"/>
      <c r="F374" s="661"/>
      <c r="G374" s="624"/>
      <c r="H374" s="624"/>
      <c r="I374" s="624"/>
      <c r="J374" s="624"/>
      <c r="K374" s="624"/>
      <c r="L374" s="624"/>
      <c r="M374" s="661"/>
      <c r="N374" s="622"/>
      <c r="O374" s="624"/>
      <c r="P374" s="624"/>
      <c r="Q374" s="624"/>
      <c r="R374" s="624"/>
      <c r="S374" s="624"/>
      <c r="T374" s="624"/>
    </row>
    <row r="375" spans="1:20" s="662" customFormat="1" ht="24.95" customHeight="1">
      <c r="A375" s="708">
        <v>1</v>
      </c>
      <c r="B375" s="623" t="s">
        <v>1516</v>
      </c>
      <c r="C375" s="623" t="s">
        <v>3891</v>
      </c>
      <c r="D375" s="623" t="s">
        <v>3892</v>
      </c>
      <c r="E375" s="158">
        <v>1</v>
      </c>
      <c r="F375" s="158" t="s">
        <v>34</v>
      </c>
      <c r="G375" s="623" t="s">
        <v>87</v>
      </c>
      <c r="H375" s="632" t="s">
        <v>41</v>
      </c>
      <c r="I375" s="623" t="s">
        <v>34</v>
      </c>
      <c r="J375" s="623" t="s">
        <v>34</v>
      </c>
      <c r="K375" s="623" t="s">
        <v>34</v>
      </c>
      <c r="L375" s="624"/>
      <c r="M375" s="158">
        <v>0</v>
      </c>
      <c r="N375" s="622">
        <v>2007.6</v>
      </c>
      <c r="O375" s="623" t="s">
        <v>3561</v>
      </c>
      <c r="P375" s="623" t="s">
        <v>3562</v>
      </c>
      <c r="Q375" s="623">
        <v>15222256701</v>
      </c>
      <c r="R375" s="623" t="s">
        <v>3563</v>
      </c>
      <c r="S375" s="623" t="s">
        <v>3564</v>
      </c>
      <c r="T375" s="624"/>
    </row>
    <row r="376" spans="1:20" s="662" customFormat="1" ht="24.95" customHeight="1">
      <c r="A376" s="708">
        <v>2</v>
      </c>
      <c r="B376" s="623" t="s">
        <v>1516</v>
      </c>
      <c r="C376" s="623" t="s">
        <v>3893</v>
      </c>
      <c r="D376" s="623" t="s">
        <v>3892</v>
      </c>
      <c r="E376" s="158">
        <v>1</v>
      </c>
      <c r="F376" s="158" t="s">
        <v>34</v>
      </c>
      <c r="G376" s="623" t="s">
        <v>87</v>
      </c>
      <c r="H376" s="632" t="s">
        <v>41</v>
      </c>
      <c r="I376" s="623" t="s">
        <v>34</v>
      </c>
      <c r="J376" s="623" t="s">
        <v>34</v>
      </c>
      <c r="K376" s="623" t="s">
        <v>34</v>
      </c>
      <c r="L376" s="624"/>
      <c r="M376" s="158">
        <v>0</v>
      </c>
      <c r="N376" s="622">
        <v>2007.6</v>
      </c>
      <c r="O376" s="623" t="s">
        <v>3561</v>
      </c>
      <c r="P376" s="623" t="s">
        <v>3562</v>
      </c>
      <c r="Q376" s="623">
        <v>15222256701</v>
      </c>
      <c r="R376" s="623" t="s">
        <v>3563</v>
      </c>
      <c r="S376" s="623" t="s">
        <v>3564</v>
      </c>
      <c r="T376" s="624"/>
    </row>
    <row r="377" spans="1:20" s="662" customFormat="1" ht="24.95" customHeight="1">
      <c r="A377" s="708">
        <v>3</v>
      </c>
      <c r="B377" s="623" t="s">
        <v>1516</v>
      </c>
      <c r="C377" s="623" t="s">
        <v>3894</v>
      </c>
      <c r="D377" s="623" t="s">
        <v>3892</v>
      </c>
      <c r="E377" s="158">
        <v>1</v>
      </c>
      <c r="F377" s="158" t="s">
        <v>34</v>
      </c>
      <c r="G377" s="623" t="s">
        <v>87</v>
      </c>
      <c r="H377" s="632" t="s">
        <v>41</v>
      </c>
      <c r="I377" s="623" t="s">
        <v>34</v>
      </c>
      <c r="J377" s="623" t="s">
        <v>34</v>
      </c>
      <c r="K377" s="623" t="s">
        <v>34</v>
      </c>
      <c r="L377" s="624"/>
      <c r="M377" s="158">
        <v>0</v>
      </c>
      <c r="N377" s="622">
        <v>2007.6</v>
      </c>
      <c r="O377" s="623" t="s">
        <v>3561</v>
      </c>
      <c r="P377" s="623" t="s">
        <v>3562</v>
      </c>
      <c r="Q377" s="623">
        <v>15222256701</v>
      </c>
      <c r="R377" s="623" t="s">
        <v>3563</v>
      </c>
      <c r="S377" s="623" t="s">
        <v>3564</v>
      </c>
      <c r="T377" s="624"/>
    </row>
    <row r="378" spans="1:20" s="662" customFormat="1" ht="24.95" customHeight="1">
      <c r="A378" s="708">
        <v>4</v>
      </c>
      <c r="B378" s="714" t="s">
        <v>1516</v>
      </c>
      <c r="C378" s="714" t="s">
        <v>3895</v>
      </c>
      <c r="D378" s="714" t="s">
        <v>161</v>
      </c>
      <c r="E378" s="715">
        <v>200</v>
      </c>
      <c r="F378" s="715" t="s">
        <v>34</v>
      </c>
      <c r="G378" s="714" t="s">
        <v>32</v>
      </c>
      <c r="H378" s="623" t="s">
        <v>33</v>
      </c>
      <c r="I378" s="714" t="s">
        <v>34</v>
      </c>
      <c r="J378" s="714" t="s">
        <v>34</v>
      </c>
      <c r="K378" s="714" t="s">
        <v>34</v>
      </c>
      <c r="L378" s="624"/>
      <c r="M378" s="715">
        <v>0</v>
      </c>
      <c r="N378" s="622">
        <v>2017.3</v>
      </c>
      <c r="O378" s="714" t="s">
        <v>3896</v>
      </c>
      <c r="P378" s="714" t="s">
        <v>3562</v>
      </c>
      <c r="Q378" s="623">
        <v>15222256701</v>
      </c>
      <c r="R378" s="623" t="s">
        <v>3563</v>
      </c>
      <c r="S378" s="623" t="s">
        <v>3564</v>
      </c>
      <c r="T378" s="624"/>
    </row>
    <row r="379" spans="1:20" s="662" customFormat="1" ht="24.95" customHeight="1">
      <c r="A379" s="708">
        <v>5</v>
      </c>
      <c r="B379" s="716" t="s">
        <v>1516</v>
      </c>
      <c r="C379" s="716" t="s">
        <v>3897</v>
      </c>
      <c r="D379" s="716" t="s">
        <v>161</v>
      </c>
      <c r="E379" s="717">
        <v>300</v>
      </c>
      <c r="F379" s="715" t="s">
        <v>34</v>
      </c>
      <c r="G379" s="714" t="s">
        <v>32</v>
      </c>
      <c r="H379" s="623" t="s">
        <v>33</v>
      </c>
      <c r="I379" s="623" t="s">
        <v>34</v>
      </c>
      <c r="J379" s="623" t="s">
        <v>34</v>
      </c>
      <c r="K379" s="623" t="s">
        <v>34</v>
      </c>
      <c r="L379" s="624"/>
      <c r="M379" s="715">
        <v>0</v>
      </c>
      <c r="N379" s="622">
        <v>2019.11</v>
      </c>
      <c r="O379" s="714" t="s">
        <v>3896</v>
      </c>
      <c r="P379" s="714" t="s">
        <v>3562</v>
      </c>
      <c r="Q379" s="623">
        <v>15222256701</v>
      </c>
      <c r="R379" s="623" t="s">
        <v>3563</v>
      </c>
      <c r="S379" s="623" t="s">
        <v>3564</v>
      </c>
      <c r="T379" s="624"/>
    </row>
    <row r="380" spans="1:20" s="662" customFormat="1" ht="24.95" customHeight="1">
      <c r="A380" s="708">
        <v>6</v>
      </c>
      <c r="B380" s="623" t="s">
        <v>1516</v>
      </c>
      <c r="C380" s="623" t="s">
        <v>3898</v>
      </c>
      <c r="D380" s="623" t="s">
        <v>161</v>
      </c>
      <c r="E380" s="158">
        <v>350</v>
      </c>
      <c r="F380" s="158" t="s">
        <v>34</v>
      </c>
      <c r="G380" s="623" t="s">
        <v>32</v>
      </c>
      <c r="H380" s="623" t="s">
        <v>33</v>
      </c>
      <c r="I380" s="623" t="s">
        <v>34</v>
      </c>
      <c r="J380" s="623" t="s">
        <v>34</v>
      </c>
      <c r="K380" s="623" t="s">
        <v>34</v>
      </c>
      <c r="L380" s="624"/>
      <c r="M380" s="158">
        <v>0</v>
      </c>
      <c r="N380" s="622">
        <v>2011.9</v>
      </c>
      <c r="O380" s="623" t="s">
        <v>3899</v>
      </c>
      <c r="P380" s="623" t="s">
        <v>3900</v>
      </c>
      <c r="Q380" s="623">
        <v>13552140160</v>
      </c>
      <c r="R380" s="623" t="s">
        <v>3645</v>
      </c>
      <c r="S380" s="623" t="s">
        <v>3564</v>
      </c>
      <c r="T380" s="624"/>
    </row>
    <row r="381" spans="1:20" s="662" customFormat="1" ht="24.95" customHeight="1">
      <c r="A381" s="708">
        <v>7</v>
      </c>
      <c r="B381" s="623" t="s">
        <v>1516</v>
      </c>
      <c r="C381" s="623" t="s">
        <v>3898</v>
      </c>
      <c r="D381" s="623" t="s">
        <v>161</v>
      </c>
      <c r="E381" s="158">
        <v>300</v>
      </c>
      <c r="F381" s="158" t="s">
        <v>34</v>
      </c>
      <c r="G381" s="623" t="s">
        <v>32</v>
      </c>
      <c r="H381" s="623" t="s">
        <v>33</v>
      </c>
      <c r="I381" s="623" t="s">
        <v>34</v>
      </c>
      <c r="J381" s="623" t="s">
        <v>34</v>
      </c>
      <c r="K381" s="623" t="s">
        <v>34</v>
      </c>
      <c r="L381" s="624"/>
      <c r="M381" s="158">
        <v>0</v>
      </c>
      <c r="N381" s="622">
        <v>2011.11</v>
      </c>
      <c r="O381" s="623" t="s">
        <v>3899</v>
      </c>
      <c r="P381" s="623" t="s">
        <v>3900</v>
      </c>
      <c r="Q381" s="623">
        <v>13552140160</v>
      </c>
      <c r="R381" s="623" t="s">
        <v>3645</v>
      </c>
      <c r="S381" s="623" t="s">
        <v>3564</v>
      </c>
      <c r="T381" s="624"/>
    </row>
    <row r="382" spans="1:20" s="662" customFormat="1" ht="24.95" customHeight="1">
      <c r="A382" s="708">
        <v>22</v>
      </c>
      <c r="B382" s="718" t="s">
        <v>1516</v>
      </c>
      <c r="C382" s="719" t="s">
        <v>3901</v>
      </c>
      <c r="D382" s="718" t="s">
        <v>161</v>
      </c>
      <c r="E382" s="718">
        <v>200</v>
      </c>
      <c r="F382" s="715" t="s">
        <v>34</v>
      </c>
      <c r="G382" s="623" t="s">
        <v>3560</v>
      </c>
      <c r="H382" s="623" t="s">
        <v>33</v>
      </c>
      <c r="I382" s="623" t="s">
        <v>34</v>
      </c>
      <c r="J382" s="623" t="s">
        <v>34</v>
      </c>
      <c r="K382" s="623" t="s">
        <v>34</v>
      </c>
      <c r="L382" s="720"/>
      <c r="M382" s="715">
        <v>0</v>
      </c>
      <c r="N382" s="721">
        <v>2020.4</v>
      </c>
      <c r="O382" s="623" t="s">
        <v>3902</v>
      </c>
      <c r="P382" s="714" t="s">
        <v>3562</v>
      </c>
      <c r="Q382" s="623">
        <v>15222256701</v>
      </c>
      <c r="R382" s="623" t="s">
        <v>3563</v>
      </c>
      <c r="S382" s="623" t="s">
        <v>3564</v>
      </c>
      <c r="T382" s="624"/>
    </row>
    <row r="383" spans="1:20" s="662" customFormat="1" ht="24.95" customHeight="1">
      <c r="A383" s="708">
        <v>23</v>
      </c>
      <c r="B383" s="718" t="s">
        <v>1516</v>
      </c>
      <c r="C383" s="719" t="s">
        <v>3903</v>
      </c>
      <c r="D383" s="718" t="s">
        <v>161</v>
      </c>
      <c r="E383" s="718">
        <v>200</v>
      </c>
      <c r="F383" s="715" t="s">
        <v>34</v>
      </c>
      <c r="G383" s="623" t="s">
        <v>3560</v>
      </c>
      <c r="H383" s="623" t="s">
        <v>33</v>
      </c>
      <c r="I383" s="623" t="s">
        <v>34</v>
      </c>
      <c r="J383" s="623" t="s">
        <v>34</v>
      </c>
      <c r="K383" s="623" t="s">
        <v>34</v>
      </c>
      <c r="L383" s="720"/>
      <c r="M383" s="715">
        <v>0</v>
      </c>
      <c r="N383" s="721">
        <v>2020.4</v>
      </c>
      <c r="O383" s="623" t="s">
        <v>3902</v>
      </c>
      <c r="P383" s="714" t="s">
        <v>3562</v>
      </c>
      <c r="Q383" s="623">
        <v>15222256701</v>
      </c>
      <c r="R383" s="623" t="s">
        <v>3563</v>
      </c>
      <c r="S383" s="623" t="s">
        <v>3564</v>
      </c>
      <c r="T383" s="624"/>
    </row>
    <row r="384" spans="1:20" s="662" customFormat="1" ht="24.95" customHeight="1">
      <c r="A384" s="708">
        <v>24</v>
      </c>
      <c r="B384" s="718" t="s">
        <v>1516</v>
      </c>
      <c r="C384" s="719" t="s">
        <v>3904</v>
      </c>
      <c r="D384" s="718" t="s">
        <v>161</v>
      </c>
      <c r="E384" s="718">
        <v>100</v>
      </c>
      <c r="F384" s="715" t="s">
        <v>34</v>
      </c>
      <c r="G384" s="623" t="s">
        <v>3560</v>
      </c>
      <c r="H384" s="623" t="s">
        <v>33</v>
      </c>
      <c r="I384" s="623" t="s">
        <v>34</v>
      </c>
      <c r="J384" s="623" t="s">
        <v>34</v>
      </c>
      <c r="K384" s="623" t="s">
        <v>34</v>
      </c>
      <c r="L384" s="720"/>
      <c r="M384" s="715">
        <v>0</v>
      </c>
      <c r="N384" s="721">
        <v>2020.4</v>
      </c>
      <c r="O384" s="623" t="s">
        <v>3902</v>
      </c>
      <c r="P384" s="714" t="s">
        <v>3562</v>
      </c>
      <c r="Q384" s="623">
        <v>15222256701</v>
      </c>
      <c r="R384" s="623" t="s">
        <v>3563</v>
      </c>
      <c r="S384" s="623" t="s">
        <v>3564</v>
      </c>
      <c r="T384" s="624"/>
    </row>
    <row r="385" spans="1:20" s="662" customFormat="1" ht="24.95" customHeight="1">
      <c r="A385" s="708">
        <v>25</v>
      </c>
      <c r="B385" s="718" t="s">
        <v>1516</v>
      </c>
      <c r="C385" s="719" t="s">
        <v>3905</v>
      </c>
      <c r="D385" s="718" t="s">
        <v>161</v>
      </c>
      <c r="E385" s="718">
        <v>200</v>
      </c>
      <c r="F385" s="715" t="s">
        <v>34</v>
      </c>
      <c r="G385" s="623" t="s">
        <v>3560</v>
      </c>
      <c r="H385" s="623" t="s">
        <v>33</v>
      </c>
      <c r="I385" s="623" t="s">
        <v>34</v>
      </c>
      <c r="J385" s="623" t="s">
        <v>34</v>
      </c>
      <c r="K385" s="623" t="s">
        <v>34</v>
      </c>
      <c r="L385" s="720"/>
      <c r="M385" s="715">
        <v>0</v>
      </c>
      <c r="N385" s="721">
        <v>2020.4</v>
      </c>
      <c r="O385" s="623" t="s">
        <v>3902</v>
      </c>
      <c r="P385" s="714" t="s">
        <v>3562</v>
      </c>
      <c r="Q385" s="623">
        <v>15222256701</v>
      </c>
      <c r="R385" s="623" t="s">
        <v>3563</v>
      </c>
      <c r="S385" s="623" t="s">
        <v>3564</v>
      </c>
      <c r="T385" s="624"/>
    </row>
    <row r="386" spans="1:20" s="662" customFormat="1" ht="24.95" customHeight="1">
      <c r="A386" s="708">
        <v>26</v>
      </c>
      <c r="B386" s="722" t="s">
        <v>3906</v>
      </c>
      <c r="C386" s="722" t="s">
        <v>3907</v>
      </c>
      <c r="D386" s="722" t="s">
        <v>161</v>
      </c>
      <c r="E386" s="722">
        <v>200</v>
      </c>
      <c r="F386" s="715" t="s">
        <v>34</v>
      </c>
      <c r="G386" s="623" t="s">
        <v>3560</v>
      </c>
      <c r="H386" s="623" t="s">
        <v>33</v>
      </c>
      <c r="I386" s="623" t="s">
        <v>34</v>
      </c>
      <c r="J386" s="623" t="s">
        <v>34</v>
      </c>
      <c r="K386" s="623" t="s">
        <v>34</v>
      </c>
      <c r="L386" s="720"/>
      <c r="M386" s="715">
        <v>0</v>
      </c>
      <c r="N386" s="721">
        <v>2020.4</v>
      </c>
      <c r="O386" s="714" t="s">
        <v>3896</v>
      </c>
      <c r="P386" s="714" t="s">
        <v>3562</v>
      </c>
      <c r="Q386" s="623">
        <v>15222256701</v>
      </c>
      <c r="R386" s="623" t="s">
        <v>3563</v>
      </c>
      <c r="S386" s="623" t="s">
        <v>3564</v>
      </c>
      <c r="T386" s="624"/>
    </row>
    <row r="387" spans="1:20" s="662" customFormat="1" ht="24.95" customHeight="1">
      <c r="A387" s="708">
        <v>27</v>
      </c>
      <c r="B387" s="722" t="s">
        <v>3906</v>
      </c>
      <c r="C387" s="722" t="s">
        <v>3908</v>
      </c>
      <c r="D387" s="722" t="s">
        <v>161</v>
      </c>
      <c r="E387" s="722">
        <v>400</v>
      </c>
      <c r="F387" s="715" t="s">
        <v>34</v>
      </c>
      <c r="G387" s="623" t="s">
        <v>3560</v>
      </c>
      <c r="H387" s="623" t="s">
        <v>33</v>
      </c>
      <c r="I387" s="623" t="s">
        <v>34</v>
      </c>
      <c r="J387" s="623" t="s">
        <v>34</v>
      </c>
      <c r="K387" s="623" t="s">
        <v>34</v>
      </c>
      <c r="L387" s="720"/>
      <c r="M387" s="715">
        <v>0</v>
      </c>
      <c r="N387" s="721">
        <v>2020.4</v>
      </c>
      <c r="O387" s="714" t="s">
        <v>3896</v>
      </c>
      <c r="P387" s="714" t="s">
        <v>3562</v>
      </c>
      <c r="Q387" s="623">
        <v>15222256701</v>
      </c>
      <c r="R387" s="623" t="s">
        <v>3563</v>
      </c>
      <c r="S387" s="623" t="s">
        <v>3564</v>
      </c>
      <c r="T387" s="624"/>
    </row>
    <row r="388" spans="1:20" s="662" customFormat="1" ht="24.95" customHeight="1">
      <c r="A388" s="708">
        <v>28</v>
      </c>
      <c r="B388" s="722" t="s">
        <v>3906</v>
      </c>
      <c r="C388" s="722" t="s">
        <v>3909</v>
      </c>
      <c r="D388" s="722" t="s">
        <v>161</v>
      </c>
      <c r="E388" s="722">
        <v>200</v>
      </c>
      <c r="F388" s="715" t="s">
        <v>34</v>
      </c>
      <c r="G388" s="623" t="s">
        <v>3560</v>
      </c>
      <c r="H388" s="623" t="s">
        <v>33</v>
      </c>
      <c r="I388" s="623" t="s">
        <v>34</v>
      </c>
      <c r="J388" s="623" t="s">
        <v>34</v>
      </c>
      <c r="K388" s="623" t="s">
        <v>34</v>
      </c>
      <c r="L388" s="720"/>
      <c r="M388" s="715">
        <v>0</v>
      </c>
      <c r="N388" s="721">
        <v>2020.4</v>
      </c>
      <c r="O388" s="714" t="s">
        <v>3896</v>
      </c>
      <c r="P388" s="714" t="s">
        <v>3562</v>
      </c>
      <c r="Q388" s="623">
        <v>15222256701</v>
      </c>
      <c r="R388" s="623" t="s">
        <v>3563</v>
      </c>
      <c r="S388" s="623" t="s">
        <v>3564</v>
      </c>
      <c r="T388" s="624"/>
    </row>
    <row r="389" spans="1:20" s="662" customFormat="1" ht="24.95" customHeight="1">
      <c r="A389" s="708">
        <v>29</v>
      </c>
      <c r="B389" s="722" t="s">
        <v>3906</v>
      </c>
      <c r="C389" s="722" t="s">
        <v>3910</v>
      </c>
      <c r="D389" s="722" t="s">
        <v>161</v>
      </c>
      <c r="E389" s="722">
        <v>200</v>
      </c>
      <c r="F389" s="715" t="s">
        <v>34</v>
      </c>
      <c r="G389" s="623" t="s">
        <v>3560</v>
      </c>
      <c r="H389" s="623" t="s">
        <v>33</v>
      </c>
      <c r="I389" s="623" t="s">
        <v>34</v>
      </c>
      <c r="J389" s="623" t="s">
        <v>34</v>
      </c>
      <c r="K389" s="623" t="s">
        <v>34</v>
      </c>
      <c r="L389" s="720"/>
      <c r="M389" s="715">
        <v>0</v>
      </c>
      <c r="N389" s="721">
        <v>2020.4</v>
      </c>
      <c r="O389" s="714" t="s">
        <v>3896</v>
      </c>
      <c r="P389" s="714" t="s">
        <v>3562</v>
      </c>
      <c r="Q389" s="623">
        <v>15222256701</v>
      </c>
      <c r="R389" s="623" t="s">
        <v>3563</v>
      </c>
      <c r="S389" s="623" t="s">
        <v>3564</v>
      </c>
      <c r="T389" s="624"/>
    </row>
    <row r="390" spans="1:20" s="662" customFormat="1" ht="24.95" customHeight="1">
      <c r="A390" s="708">
        <v>30</v>
      </c>
      <c r="B390" s="722" t="s">
        <v>3906</v>
      </c>
      <c r="C390" s="722" t="s">
        <v>3911</v>
      </c>
      <c r="D390" s="722" t="s">
        <v>161</v>
      </c>
      <c r="E390" s="722">
        <v>200</v>
      </c>
      <c r="F390" s="715" t="s">
        <v>34</v>
      </c>
      <c r="G390" s="623" t="s">
        <v>3560</v>
      </c>
      <c r="H390" s="623" t="s">
        <v>33</v>
      </c>
      <c r="I390" s="623" t="s">
        <v>34</v>
      </c>
      <c r="J390" s="623" t="s">
        <v>34</v>
      </c>
      <c r="K390" s="623" t="s">
        <v>34</v>
      </c>
      <c r="L390" s="720"/>
      <c r="M390" s="715">
        <v>0</v>
      </c>
      <c r="N390" s="721">
        <v>2020.4</v>
      </c>
      <c r="O390" s="714" t="s">
        <v>3896</v>
      </c>
      <c r="P390" s="714" t="s">
        <v>3562</v>
      </c>
      <c r="Q390" s="623">
        <v>15222256701</v>
      </c>
      <c r="R390" s="623" t="s">
        <v>3563</v>
      </c>
      <c r="S390" s="623" t="s">
        <v>3564</v>
      </c>
      <c r="T390" s="624"/>
    </row>
    <row r="391" spans="1:20" s="662" customFormat="1" ht="24.95" customHeight="1">
      <c r="A391" s="708">
        <v>31</v>
      </c>
      <c r="B391" s="723" t="s">
        <v>3906</v>
      </c>
      <c r="C391" s="723" t="s">
        <v>3910</v>
      </c>
      <c r="D391" s="723" t="s">
        <v>1193</v>
      </c>
      <c r="E391" s="723">
        <v>400</v>
      </c>
      <c r="F391" s="715" t="s">
        <v>34</v>
      </c>
      <c r="G391" s="623" t="s">
        <v>3560</v>
      </c>
      <c r="H391" s="623" t="s">
        <v>33</v>
      </c>
      <c r="I391" s="623" t="s">
        <v>34</v>
      </c>
      <c r="J391" s="623" t="s">
        <v>34</v>
      </c>
      <c r="K391" s="623" t="s">
        <v>34</v>
      </c>
      <c r="L391" s="720"/>
      <c r="M391" s="715">
        <v>0</v>
      </c>
      <c r="N391" s="721">
        <v>2020.4</v>
      </c>
      <c r="O391" s="623" t="s">
        <v>3902</v>
      </c>
      <c r="P391" s="714" t="s">
        <v>3562</v>
      </c>
      <c r="Q391" s="623">
        <v>15222256701</v>
      </c>
      <c r="R391" s="623" t="s">
        <v>3563</v>
      </c>
      <c r="S391" s="623" t="s">
        <v>3564</v>
      </c>
      <c r="T391" s="624"/>
    </row>
    <row r="392" spans="1:20" s="662" customFormat="1" ht="24.95" customHeight="1">
      <c r="A392" s="708">
        <v>32</v>
      </c>
      <c r="B392" s="623" t="s">
        <v>3912</v>
      </c>
      <c r="C392" s="644" t="s">
        <v>3913</v>
      </c>
      <c r="D392" s="644" t="s">
        <v>161</v>
      </c>
      <c r="E392" s="294">
        <v>1150</v>
      </c>
      <c r="F392" s="158"/>
      <c r="G392" s="623" t="s">
        <v>32</v>
      </c>
      <c r="H392" s="644" t="s">
        <v>33</v>
      </c>
      <c r="I392" s="623"/>
      <c r="J392" s="623"/>
      <c r="K392" s="623"/>
      <c r="L392" s="624"/>
      <c r="M392" s="712">
        <v>22145.133999999998</v>
      </c>
      <c r="N392" s="713" t="s">
        <v>3871</v>
      </c>
      <c r="O392" s="623" t="s">
        <v>3618</v>
      </c>
      <c r="P392" s="623" t="s">
        <v>3619</v>
      </c>
      <c r="Q392" s="623">
        <v>13752429150</v>
      </c>
      <c r="R392" s="632" t="s">
        <v>3620</v>
      </c>
      <c r="S392" s="623" t="s">
        <v>3564</v>
      </c>
      <c r="T392" s="624"/>
    </row>
    <row r="393" spans="1:20" s="662" customFormat="1" ht="24.95" customHeight="1">
      <c r="A393" s="708">
        <v>33</v>
      </c>
      <c r="B393" s="623" t="s">
        <v>3912</v>
      </c>
      <c r="C393" s="644" t="s">
        <v>3914</v>
      </c>
      <c r="D393" s="644" t="s">
        <v>161</v>
      </c>
      <c r="E393" s="294">
        <v>1700</v>
      </c>
      <c r="F393" s="158"/>
      <c r="G393" s="623" t="s">
        <v>32</v>
      </c>
      <c r="H393" s="644" t="s">
        <v>33</v>
      </c>
      <c r="I393" s="623"/>
      <c r="J393" s="623"/>
      <c r="K393" s="623"/>
      <c r="L393" s="624"/>
      <c r="M393" s="712">
        <v>11361.415999999999</v>
      </c>
      <c r="N393" s="713" t="s">
        <v>3871</v>
      </c>
      <c r="O393" s="623" t="s">
        <v>3618</v>
      </c>
      <c r="P393" s="623" t="s">
        <v>3619</v>
      </c>
      <c r="Q393" s="623">
        <v>13752429150</v>
      </c>
      <c r="R393" s="632" t="s">
        <v>3620</v>
      </c>
      <c r="S393" s="623" t="s">
        <v>3564</v>
      </c>
      <c r="T393" s="624"/>
    </row>
    <row r="394" spans="1:20" s="662" customFormat="1" ht="24.95" customHeight="1">
      <c r="A394" s="708">
        <v>34</v>
      </c>
      <c r="B394" s="623" t="s">
        <v>1516</v>
      </c>
      <c r="C394" s="644" t="s">
        <v>3915</v>
      </c>
      <c r="D394" s="644" t="s">
        <v>161</v>
      </c>
      <c r="E394" s="294">
        <v>800</v>
      </c>
      <c r="F394" s="158"/>
      <c r="G394" s="623" t="s">
        <v>32</v>
      </c>
      <c r="H394" s="644" t="s">
        <v>33</v>
      </c>
      <c r="I394" s="623"/>
      <c r="J394" s="623"/>
      <c r="K394" s="623"/>
      <c r="L394" s="624"/>
      <c r="M394" s="712">
        <v>3262.3</v>
      </c>
      <c r="N394" s="713" t="s">
        <v>3871</v>
      </c>
      <c r="O394" s="623" t="s">
        <v>3618</v>
      </c>
      <c r="P394" s="623" t="s">
        <v>3619</v>
      </c>
      <c r="Q394" s="623">
        <v>13752429150</v>
      </c>
      <c r="R394" s="632" t="s">
        <v>3620</v>
      </c>
      <c r="S394" s="623" t="s">
        <v>3564</v>
      </c>
      <c r="T394" s="624"/>
    </row>
    <row r="395" spans="1:20" s="662" customFormat="1" ht="24.95" customHeight="1">
      <c r="A395" s="708">
        <v>35</v>
      </c>
      <c r="B395" s="623" t="s">
        <v>1516</v>
      </c>
      <c r="C395" s="644" t="s">
        <v>3916</v>
      </c>
      <c r="D395" s="644" t="s">
        <v>161</v>
      </c>
      <c r="E395" s="294">
        <v>600</v>
      </c>
      <c r="F395" s="158"/>
      <c r="G395" s="623" t="s">
        <v>32</v>
      </c>
      <c r="H395" s="644" t="s">
        <v>33</v>
      </c>
      <c r="I395" s="623"/>
      <c r="J395" s="623"/>
      <c r="K395" s="623"/>
      <c r="L395" s="624"/>
      <c r="M395" s="712">
        <v>4757.5219999999999</v>
      </c>
      <c r="N395" s="713" t="s">
        <v>3871</v>
      </c>
      <c r="O395" s="623" t="s">
        <v>3618</v>
      </c>
      <c r="P395" s="623" t="s">
        <v>3619</v>
      </c>
      <c r="Q395" s="623">
        <v>13752429150</v>
      </c>
      <c r="R395" s="632" t="s">
        <v>3620</v>
      </c>
      <c r="S395" s="623" t="s">
        <v>3564</v>
      </c>
      <c r="T395" s="624"/>
    </row>
    <row r="396" spans="1:20" s="662" customFormat="1" ht="24.95" customHeight="1">
      <c r="A396" s="708">
        <v>36</v>
      </c>
      <c r="B396" s="643" t="s">
        <v>3917</v>
      </c>
      <c r="C396" s="643" t="s">
        <v>3918</v>
      </c>
      <c r="D396" s="644" t="s">
        <v>161</v>
      </c>
      <c r="E396" s="681">
        <v>200</v>
      </c>
      <c r="F396" s="158"/>
      <c r="G396" s="644" t="s">
        <v>32</v>
      </c>
      <c r="H396" s="623" t="s">
        <v>41</v>
      </c>
      <c r="I396" s="623"/>
      <c r="J396" s="623"/>
      <c r="K396" s="623"/>
      <c r="L396" s="707">
        <v>7378.64</v>
      </c>
      <c r="M396" s="712">
        <v>368.93</v>
      </c>
      <c r="N396" s="713" t="s">
        <v>3695</v>
      </c>
      <c r="O396" s="674" t="s">
        <v>3690</v>
      </c>
      <c r="P396" s="675" t="s">
        <v>3691</v>
      </c>
      <c r="Q396" s="679">
        <v>18394477233</v>
      </c>
      <c r="R396" s="674" t="s">
        <v>3692</v>
      </c>
      <c r="S396" s="659" t="s">
        <v>3564</v>
      </c>
      <c r="T396" s="624"/>
    </row>
    <row r="397" spans="1:20" s="662" customFormat="1" ht="24.95" customHeight="1">
      <c r="A397" s="711" t="s">
        <v>3919</v>
      </c>
      <c r="B397" s="724" t="s">
        <v>3366</v>
      </c>
      <c r="C397" s="623"/>
      <c r="D397" s="623"/>
      <c r="E397" s="158"/>
      <c r="F397" s="158"/>
      <c r="G397" s="623"/>
      <c r="H397" s="624"/>
      <c r="I397" s="623"/>
      <c r="J397" s="623"/>
      <c r="K397" s="623"/>
      <c r="L397" s="624"/>
      <c r="M397" s="158"/>
      <c r="N397" s="622"/>
      <c r="O397" s="623"/>
      <c r="P397" s="623"/>
      <c r="Q397" s="624"/>
      <c r="R397" s="624"/>
      <c r="S397" s="624"/>
      <c r="T397" s="624"/>
    </row>
    <row r="398" spans="1:20" s="662" customFormat="1" ht="24.95" customHeight="1">
      <c r="A398" s="708">
        <v>1</v>
      </c>
      <c r="B398" s="623" t="s">
        <v>3920</v>
      </c>
      <c r="C398" s="623" t="s">
        <v>3921</v>
      </c>
      <c r="D398" s="623" t="s">
        <v>3892</v>
      </c>
      <c r="E398" s="158">
        <v>1</v>
      </c>
      <c r="F398" s="158" t="s">
        <v>34</v>
      </c>
      <c r="G398" s="623" t="s">
        <v>87</v>
      </c>
      <c r="H398" s="632" t="s">
        <v>41</v>
      </c>
      <c r="I398" s="623" t="s">
        <v>34</v>
      </c>
      <c r="J398" s="623" t="s">
        <v>34</v>
      </c>
      <c r="K398" s="623" t="s">
        <v>34</v>
      </c>
      <c r="L398" s="624"/>
      <c r="M398" s="158">
        <v>0</v>
      </c>
      <c r="N398" s="622">
        <v>2010.9</v>
      </c>
      <c r="O398" s="623" t="s">
        <v>3561</v>
      </c>
      <c r="P398" s="623" t="s">
        <v>3562</v>
      </c>
      <c r="Q398" s="623">
        <v>15222256701</v>
      </c>
      <c r="R398" s="623" t="s">
        <v>3563</v>
      </c>
      <c r="S398" s="623" t="s">
        <v>3564</v>
      </c>
      <c r="T398" s="624"/>
    </row>
    <row r="399" spans="1:20" s="662" customFormat="1" ht="24.95" customHeight="1">
      <c r="A399" s="708">
        <v>2</v>
      </c>
      <c r="B399" s="623" t="s">
        <v>3920</v>
      </c>
      <c r="C399" s="623" t="s">
        <v>3891</v>
      </c>
      <c r="D399" s="623" t="s">
        <v>3892</v>
      </c>
      <c r="E399" s="158">
        <v>1</v>
      </c>
      <c r="F399" s="158" t="s">
        <v>34</v>
      </c>
      <c r="G399" s="623" t="s">
        <v>87</v>
      </c>
      <c r="H399" s="632" t="s">
        <v>41</v>
      </c>
      <c r="I399" s="623" t="s">
        <v>34</v>
      </c>
      <c r="J399" s="623" t="s">
        <v>34</v>
      </c>
      <c r="K399" s="623" t="s">
        <v>34</v>
      </c>
      <c r="L399" s="624"/>
      <c r="M399" s="158">
        <v>0</v>
      </c>
      <c r="N399" s="622">
        <v>2010.9</v>
      </c>
      <c r="O399" s="623" t="s">
        <v>3561</v>
      </c>
      <c r="P399" s="623" t="s">
        <v>3562</v>
      </c>
      <c r="Q399" s="623">
        <v>15222256701</v>
      </c>
      <c r="R399" s="623" t="s">
        <v>3563</v>
      </c>
      <c r="S399" s="623" t="s">
        <v>3564</v>
      </c>
      <c r="T399" s="624"/>
    </row>
    <row r="400" spans="1:20" s="662" customFormat="1" ht="24.95" customHeight="1">
      <c r="A400" s="708">
        <v>3</v>
      </c>
      <c r="B400" s="623" t="s">
        <v>3920</v>
      </c>
      <c r="C400" s="623" t="s">
        <v>3894</v>
      </c>
      <c r="D400" s="623" t="s">
        <v>3892</v>
      </c>
      <c r="E400" s="158">
        <v>1</v>
      </c>
      <c r="F400" s="158" t="s">
        <v>34</v>
      </c>
      <c r="G400" s="623" t="s">
        <v>87</v>
      </c>
      <c r="H400" s="632" t="s">
        <v>41</v>
      </c>
      <c r="I400" s="623" t="s">
        <v>34</v>
      </c>
      <c r="J400" s="623" t="s">
        <v>34</v>
      </c>
      <c r="K400" s="623" t="s">
        <v>34</v>
      </c>
      <c r="L400" s="624"/>
      <c r="M400" s="158">
        <v>0</v>
      </c>
      <c r="N400" s="622">
        <v>2010.9</v>
      </c>
      <c r="O400" s="623" t="s">
        <v>3561</v>
      </c>
      <c r="P400" s="623" t="s">
        <v>3562</v>
      </c>
      <c r="Q400" s="623">
        <v>15222256701</v>
      </c>
      <c r="R400" s="623" t="s">
        <v>3563</v>
      </c>
      <c r="S400" s="623" t="s">
        <v>3564</v>
      </c>
      <c r="T400" s="624"/>
    </row>
    <row r="401" spans="1:20" s="662" customFormat="1" ht="24.95" customHeight="1">
      <c r="A401" s="708">
        <v>4</v>
      </c>
      <c r="B401" s="623" t="s">
        <v>3922</v>
      </c>
      <c r="C401" s="623" t="s">
        <v>3894</v>
      </c>
      <c r="D401" s="623" t="s">
        <v>3892</v>
      </c>
      <c r="E401" s="158">
        <v>2</v>
      </c>
      <c r="F401" s="158" t="s">
        <v>34</v>
      </c>
      <c r="G401" s="623" t="s">
        <v>87</v>
      </c>
      <c r="H401" s="632" t="s">
        <v>41</v>
      </c>
      <c r="I401" s="623" t="s">
        <v>34</v>
      </c>
      <c r="J401" s="623" t="s">
        <v>34</v>
      </c>
      <c r="K401" s="623" t="s">
        <v>34</v>
      </c>
      <c r="L401" s="624"/>
      <c r="M401" s="158">
        <v>0</v>
      </c>
      <c r="N401" s="622">
        <v>2011.1</v>
      </c>
      <c r="O401" s="623" t="s">
        <v>3561</v>
      </c>
      <c r="P401" s="623" t="s">
        <v>3562</v>
      </c>
      <c r="Q401" s="623">
        <v>15222256701</v>
      </c>
      <c r="R401" s="623" t="s">
        <v>3563</v>
      </c>
      <c r="S401" s="623" t="s">
        <v>3564</v>
      </c>
      <c r="T401" s="624"/>
    </row>
    <row r="402" spans="1:20" s="662" customFormat="1" ht="24.95" customHeight="1">
      <c r="A402" s="708">
        <v>5</v>
      </c>
      <c r="B402" s="623" t="s">
        <v>3922</v>
      </c>
      <c r="C402" s="623" t="s">
        <v>3923</v>
      </c>
      <c r="D402" s="623" t="s">
        <v>3892</v>
      </c>
      <c r="E402" s="158">
        <v>1</v>
      </c>
      <c r="F402" s="158" t="s">
        <v>34</v>
      </c>
      <c r="G402" s="623" t="s">
        <v>87</v>
      </c>
      <c r="H402" s="632" t="s">
        <v>41</v>
      </c>
      <c r="I402" s="623" t="s">
        <v>34</v>
      </c>
      <c r="J402" s="623" t="s">
        <v>34</v>
      </c>
      <c r="K402" s="623" t="s">
        <v>34</v>
      </c>
      <c r="L402" s="624"/>
      <c r="M402" s="158">
        <v>0</v>
      </c>
      <c r="N402" s="622">
        <v>2011.1</v>
      </c>
      <c r="O402" s="623" t="s">
        <v>3561</v>
      </c>
      <c r="P402" s="623" t="s">
        <v>3562</v>
      </c>
      <c r="Q402" s="623">
        <v>15222256701</v>
      </c>
      <c r="R402" s="623" t="s">
        <v>3563</v>
      </c>
      <c r="S402" s="623" t="s">
        <v>3564</v>
      </c>
      <c r="T402" s="624"/>
    </row>
    <row r="403" spans="1:20" s="662" customFormat="1" ht="24.95" customHeight="1">
      <c r="A403" s="708">
        <v>6</v>
      </c>
      <c r="B403" s="623" t="s">
        <v>3922</v>
      </c>
      <c r="C403" s="623" t="s">
        <v>3921</v>
      </c>
      <c r="D403" s="623" t="s">
        <v>3892</v>
      </c>
      <c r="E403" s="158">
        <v>4</v>
      </c>
      <c r="F403" s="158" t="s">
        <v>34</v>
      </c>
      <c r="G403" s="623" t="s">
        <v>87</v>
      </c>
      <c r="H403" s="632" t="s">
        <v>41</v>
      </c>
      <c r="I403" s="623" t="s">
        <v>34</v>
      </c>
      <c r="J403" s="623" t="s">
        <v>34</v>
      </c>
      <c r="K403" s="623" t="s">
        <v>34</v>
      </c>
      <c r="L403" s="624"/>
      <c r="M403" s="158">
        <v>0</v>
      </c>
      <c r="N403" s="622">
        <v>2011.3</v>
      </c>
      <c r="O403" s="623" t="s">
        <v>3561</v>
      </c>
      <c r="P403" s="623" t="s">
        <v>3562</v>
      </c>
      <c r="Q403" s="623">
        <v>15222256701</v>
      </c>
      <c r="R403" s="623" t="s">
        <v>3563</v>
      </c>
      <c r="S403" s="623" t="s">
        <v>3564</v>
      </c>
      <c r="T403" s="624"/>
    </row>
    <row r="404" spans="1:20" s="662" customFormat="1" ht="24.95" customHeight="1">
      <c r="A404" s="708">
        <v>7</v>
      </c>
      <c r="B404" s="623" t="s">
        <v>3922</v>
      </c>
      <c r="C404" s="623" t="s">
        <v>3921</v>
      </c>
      <c r="D404" s="623" t="s">
        <v>3892</v>
      </c>
      <c r="E404" s="158">
        <v>2</v>
      </c>
      <c r="F404" s="158" t="s">
        <v>34</v>
      </c>
      <c r="G404" s="623" t="s">
        <v>87</v>
      </c>
      <c r="H404" s="632" t="s">
        <v>41</v>
      </c>
      <c r="I404" s="623" t="s">
        <v>34</v>
      </c>
      <c r="J404" s="623" t="s">
        <v>34</v>
      </c>
      <c r="K404" s="623" t="s">
        <v>34</v>
      </c>
      <c r="L404" s="624"/>
      <c r="M404" s="158">
        <v>0</v>
      </c>
      <c r="N404" s="622">
        <v>2011.9</v>
      </c>
      <c r="O404" s="623" t="s">
        <v>3561</v>
      </c>
      <c r="P404" s="623" t="s">
        <v>3562</v>
      </c>
      <c r="Q404" s="623">
        <v>15222256701</v>
      </c>
      <c r="R404" s="623" t="s">
        <v>3563</v>
      </c>
      <c r="S404" s="623" t="s">
        <v>3564</v>
      </c>
      <c r="T404" s="624"/>
    </row>
    <row r="405" spans="1:20" s="662" customFormat="1" ht="24.95" customHeight="1">
      <c r="A405" s="708">
        <v>8</v>
      </c>
      <c r="B405" s="623" t="s">
        <v>3924</v>
      </c>
      <c r="C405" s="623" t="s">
        <v>3925</v>
      </c>
      <c r="D405" s="623" t="s">
        <v>3475</v>
      </c>
      <c r="E405" s="158">
        <v>31.346</v>
      </c>
      <c r="F405" s="158" t="s">
        <v>34</v>
      </c>
      <c r="G405" s="623" t="s">
        <v>32</v>
      </c>
      <c r="H405" s="623" t="s">
        <v>33</v>
      </c>
      <c r="I405" s="623" t="s">
        <v>34</v>
      </c>
      <c r="J405" s="623" t="s">
        <v>34</v>
      </c>
      <c r="K405" s="623" t="s">
        <v>34</v>
      </c>
      <c r="L405" s="624"/>
      <c r="M405" s="158">
        <v>0</v>
      </c>
      <c r="N405" s="622">
        <v>2010.12</v>
      </c>
      <c r="O405" s="623" t="s">
        <v>3561</v>
      </c>
      <c r="P405" s="623" t="s">
        <v>3562</v>
      </c>
      <c r="Q405" s="623">
        <v>15222256701</v>
      </c>
      <c r="R405" s="623" t="s">
        <v>3563</v>
      </c>
      <c r="S405" s="623" t="s">
        <v>3564</v>
      </c>
      <c r="T405" s="624"/>
    </row>
    <row r="406" spans="1:20" s="662" customFormat="1" ht="24.95" customHeight="1">
      <c r="A406" s="708">
        <v>38</v>
      </c>
      <c r="B406" s="725" t="s">
        <v>3926</v>
      </c>
      <c r="C406" s="620"/>
      <c r="D406" s="725" t="s">
        <v>131</v>
      </c>
      <c r="E406" s="726">
        <v>1</v>
      </c>
      <c r="F406" s="726"/>
      <c r="G406" s="623" t="s">
        <v>32</v>
      </c>
      <c r="H406" s="623" t="s">
        <v>41</v>
      </c>
      <c r="I406" s="623" t="s">
        <v>34</v>
      </c>
      <c r="J406" s="623" t="s">
        <v>34</v>
      </c>
      <c r="K406" s="623" t="s">
        <v>34</v>
      </c>
      <c r="L406" s="624"/>
      <c r="M406" s="305">
        <v>1500</v>
      </c>
      <c r="N406" s="622">
        <v>2016</v>
      </c>
      <c r="O406" s="620" t="s">
        <v>3927</v>
      </c>
      <c r="P406" s="623" t="s">
        <v>3709</v>
      </c>
      <c r="Q406" s="623">
        <v>15204518510</v>
      </c>
      <c r="R406" s="623" t="s">
        <v>3928</v>
      </c>
      <c r="S406" s="623" t="s">
        <v>3564</v>
      </c>
      <c r="T406" s="624"/>
    </row>
    <row r="407" spans="1:20" s="662" customFormat="1" ht="24.95" customHeight="1">
      <c r="A407" s="708">
        <v>39</v>
      </c>
      <c r="B407" s="623" t="s">
        <v>1015</v>
      </c>
      <c r="C407" s="623" t="s">
        <v>34</v>
      </c>
      <c r="D407" s="623" t="s">
        <v>161</v>
      </c>
      <c r="E407" s="158">
        <v>90</v>
      </c>
      <c r="F407" s="158" t="s">
        <v>34</v>
      </c>
      <c r="G407" s="623" t="s">
        <v>32</v>
      </c>
      <c r="H407" s="623" t="s">
        <v>33</v>
      </c>
      <c r="I407" s="623" t="s">
        <v>34</v>
      </c>
      <c r="J407" s="623" t="s">
        <v>34</v>
      </c>
      <c r="K407" s="623" t="s">
        <v>34</v>
      </c>
      <c r="L407" s="624"/>
      <c r="M407" s="158">
        <v>378300</v>
      </c>
      <c r="N407" s="622">
        <v>2017.1</v>
      </c>
      <c r="O407" s="623" t="s">
        <v>3929</v>
      </c>
      <c r="P407" s="623" t="s">
        <v>3930</v>
      </c>
      <c r="Q407" s="623">
        <v>18947113165</v>
      </c>
      <c r="R407" s="623" t="s">
        <v>3931</v>
      </c>
      <c r="S407" s="623" t="s">
        <v>3564</v>
      </c>
      <c r="T407" s="624"/>
    </row>
    <row r="408" spans="1:20" s="662" customFormat="1" ht="24.95" customHeight="1">
      <c r="A408" s="708">
        <v>40</v>
      </c>
      <c r="B408" s="623" t="s">
        <v>3932</v>
      </c>
      <c r="C408" s="623" t="s">
        <v>34</v>
      </c>
      <c r="D408" s="623" t="s">
        <v>62</v>
      </c>
      <c r="E408" s="158">
        <f>142.37+310</f>
        <v>452.37</v>
      </c>
      <c r="F408" s="158">
        <f>142.37+310</f>
        <v>452.37</v>
      </c>
      <c r="G408" s="623" t="s">
        <v>32</v>
      </c>
      <c r="H408" s="623" t="s">
        <v>33</v>
      </c>
      <c r="I408" s="623" t="s">
        <v>34</v>
      </c>
      <c r="J408" s="623" t="s">
        <v>34</v>
      </c>
      <c r="K408" s="623" t="s">
        <v>34</v>
      </c>
      <c r="L408" s="624"/>
      <c r="M408" s="158">
        <v>3000</v>
      </c>
      <c r="N408" s="622">
        <v>2017.5</v>
      </c>
      <c r="O408" s="623" t="s">
        <v>3933</v>
      </c>
      <c r="P408" s="623" t="s">
        <v>3934</v>
      </c>
      <c r="Q408" s="623">
        <v>18533762533</v>
      </c>
      <c r="R408" s="623" t="s">
        <v>3931</v>
      </c>
      <c r="S408" s="623" t="s">
        <v>3564</v>
      </c>
      <c r="T408" s="624"/>
    </row>
    <row r="409" spans="1:20" ht="24.95" customHeight="1">
      <c r="A409" s="708">
        <v>41</v>
      </c>
      <c r="B409" s="623" t="s">
        <v>3935</v>
      </c>
      <c r="C409" s="623"/>
      <c r="D409" s="623" t="s">
        <v>1477</v>
      </c>
      <c r="E409" s="158">
        <v>72</v>
      </c>
      <c r="F409" s="158" t="s">
        <v>34</v>
      </c>
      <c r="G409" s="623" t="s">
        <v>32</v>
      </c>
      <c r="H409" s="623" t="s">
        <v>33</v>
      </c>
      <c r="I409" s="623" t="s">
        <v>34</v>
      </c>
      <c r="J409" s="623" t="s">
        <v>34</v>
      </c>
      <c r="K409" s="623" t="s">
        <v>34</v>
      </c>
      <c r="L409" s="624"/>
      <c r="M409" s="158">
        <f>2430+9975</f>
        <v>12405</v>
      </c>
      <c r="N409" s="622">
        <v>42495</v>
      </c>
      <c r="O409" s="623" t="s">
        <v>3574</v>
      </c>
      <c r="P409" s="623" t="s">
        <v>3575</v>
      </c>
      <c r="Q409" s="623">
        <v>18788803170</v>
      </c>
      <c r="R409" s="632" t="s">
        <v>3576</v>
      </c>
      <c r="S409" s="623" t="s">
        <v>3564</v>
      </c>
      <c r="T409" s="624"/>
    </row>
    <row r="410" spans="1:20" ht="24.95" customHeight="1">
      <c r="A410" s="708">
        <v>42</v>
      </c>
      <c r="B410" s="623" t="s">
        <v>2806</v>
      </c>
      <c r="C410" s="623" t="s">
        <v>3936</v>
      </c>
      <c r="D410" s="623" t="s">
        <v>2724</v>
      </c>
      <c r="E410" s="158">
        <v>363</v>
      </c>
      <c r="F410" s="158" t="s">
        <v>34</v>
      </c>
      <c r="G410" s="623" t="s">
        <v>32</v>
      </c>
      <c r="H410" s="623" t="s">
        <v>33</v>
      </c>
      <c r="I410" s="623" t="s">
        <v>34</v>
      </c>
      <c r="J410" s="623" t="s">
        <v>34</v>
      </c>
      <c r="K410" s="623" t="s">
        <v>34</v>
      </c>
      <c r="L410" s="624"/>
      <c r="M410" s="158">
        <v>30492</v>
      </c>
      <c r="N410" s="622">
        <v>42625</v>
      </c>
      <c r="O410" s="623" t="s">
        <v>3574</v>
      </c>
      <c r="P410" s="623" t="s">
        <v>3575</v>
      </c>
      <c r="Q410" s="623">
        <v>18788803170</v>
      </c>
      <c r="R410" s="632" t="s">
        <v>3576</v>
      </c>
      <c r="S410" s="623" t="s">
        <v>3564</v>
      </c>
      <c r="T410" s="624"/>
    </row>
    <row r="411" spans="1:20" ht="24.95" customHeight="1">
      <c r="A411" s="708">
        <v>43</v>
      </c>
      <c r="B411" s="642" t="s">
        <v>3937</v>
      </c>
      <c r="C411" s="642"/>
      <c r="D411" s="642" t="s">
        <v>62</v>
      </c>
      <c r="E411" s="643">
        <v>3.2696000000000001</v>
      </c>
      <c r="F411" s="643">
        <v>3.2696000000000001</v>
      </c>
      <c r="G411" s="623" t="s">
        <v>32</v>
      </c>
      <c r="H411" s="623" t="s">
        <v>33</v>
      </c>
      <c r="I411" s="623" t="s">
        <v>34</v>
      </c>
      <c r="J411" s="623" t="s">
        <v>34</v>
      </c>
      <c r="K411" s="623" t="s">
        <v>34</v>
      </c>
      <c r="L411" s="624"/>
      <c r="M411" s="643">
        <v>3524.2240000000002</v>
      </c>
      <c r="N411" s="622" t="s">
        <v>3617</v>
      </c>
      <c r="O411" s="623" t="s">
        <v>3618</v>
      </c>
      <c r="P411" s="623" t="s">
        <v>3619</v>
      </c>
      <c r="Q411" s="623">
        <v>13752429150</v>
      </c>
      <c r="R411" s="632" t="s">
        <v>3620</v>
      </c>
      <c r="S411" s="623" t="s">
        <v>3564</v>
      </c>
      <c r="T411" s="624"/>
    </row>
    <row r="412" spans="1:20" ht="24.95" customHeight="1">
      <c r="A412" s="708">
        <v>44</v>
      </c>
      <c r="B412" s="623" t="s">
        <v>1462</v>
      </c>
      <c r="C412" s="623" t="s">
        <v>34</v>
      </c>
      <c r="D412" s="623" t="s">
        <v>31</v>
      </c>
      <c r="E412" s="158">
        <v>150</v>
      </c>
      <c r="F412" s="158" t="s">
        <v>34</v>
      </c>
      <c r="G412" s="623" t="s">
        <v>32</v>
      </c>
      <c r="H412" s="623" t="s">
        <v>33</v>
      </c>
      <c r="I412" s="623" t="s">
        <v>34</v>
      </c>
      <c r="J412" s="623" t="s">
        <v>34</v>
      </c>
      <c r="K412" s="623" t="s">
        <v>34</v>
      </c>
      <c r="L412" s="624"/>
      <c r="M412" s="158">
        <v>0</v>
      </c>
      <c r="N412" s="622">
        <v>2017.11</v>
      </c>
      <c r="O412" s="623" t="s">
        <v>3751</v>
      </c>
      <c r="P412" s="623" t="s">
        <v>3752</v>
      </c>
      <c r="Q412" s="623">
        <v>18526538836</v>
      </c>
      <c r="R412" s="632" t="s">
        <v>3753</v>
      </c>
      <c r="S412" s="623" t="s">
        <v>3564</v>
      </c>
      <c r="T412" s="624"/>
    </row>
    <row r="413" spans="1:20" ht="24.95" customHeight="1">
      <c r="A413" s="708">
        <v>45</v>
      </c>
      <c r="B413" s="623" t="s">
        <v>1479</v>
      </c>
      <c r="C413" s="623" t="s">
        <v>3938</v>
      </c>
      <c r="D413" s="623" t="s">
        <v>161</v>
      </c>
      <c r="E413" s="158">
        <v>1236</v>
      </c>
      <c r="F413" s="158" t="s">
        <v>34</v>
      </c>
      <c r="G413" s="623" t="s">
        <v>32</v>
      </c>
      <c r="H413" s="623" t="s">
        <v>33</v>
      </c>
      <c r="I413" s="623" t="s">
        <v>34</v>
      </c>
      <c r="J413" s="623" t="s">
        <v>34</v>
      </c>
      <c r="K413" s="623" t="s">
        <v>34</v>
      </c>
      <c r="L413" s="624">
        <v>163152</v>
      </c>
      <c r="M413" s="158">
        <v>85000</v>
      </c>
      <c r="N413" s="622" t="s">
        <v>3939</v>
      </c>
      <c r="O413" s="623" t="s">
        <v>3940</v>
      </c>
      <c r="P413" s="623" t="s">
        <v>3941</v>
      </c>
      <c r="Q413" s="623">
        <v>18522751195</v>
      </c>
      <c r="R413" s="632" t="s">
        <v>3942</v>
      </c>
      <c r="S413" s="623" t="s">
        <v>3564</v>
      </c>
      <c r="T413" s="624"/>
    </row>
    <row r="414" spans="1:20" ht="24.95" customHeight="1">
      <c r="A414" s="708">
        <v>46</v>
      </c>
      <c r="B414" s="623" t="s">
        <v>1479</v>
      </c>
      <c r="C414" s="623" t="s">
        <v>3938</v>
      </c>
      <c r="D414" s="623" t="s">
        <v>161</v>
      </c>
      <c r="E414" s="158">
        <v>1500</v>
      </c>
      <c r="F414" s="158" t="s">
        <v>34</v>
      </c>
      <c r="G414" s="623" t="s">
        <v>32</v>
      </c>
      <c r="H414" s="623" t="s">
        <v>33</v>
      </c>
      <c r="I414" s="623" t="s">
        <v>34</v>
      </c>
      <c r="J414" s="623" t="s">
        <v>34</v>
      </c>
      <c r="K414" s="623" t="s">
        <v>34</v>
      </c>
      <c r="L414" s="624">
        <v>262500</v>
      </c>
      <c r="M414" s="158">
        <v>140000</v>
      </c>
      <c r="N414" s="622" t="s">
        <v>3651</v>
      </c>
      <c r="O414" s="623" t="s">
        <v>3940</v>
      </c>
      <c r="P414" s="623" t="s">
        <v>3941</v>
      </c>
      <c r="Q414" s="623">
        <v>18522751195</v>
      </c>
      <c r="R414" s="632" t="s">
        <v>3942</v>
      </c>
      <c r="S414" s="623" t="s">
        <v>3564</v>
      </c>
      <c r="T414" s="624"/>
    </row>
    <row r="415" spans="1:20" ht="24.95" customHeight="1">
      <c r="A415" s="708">
        <v>47</v>
      </c>
      <c r="B415" s="623" t="s">
        <v>1479</v>
      </c>
      <c r="C415" s="623" t="s">
        <v>3943</v>
      </c>
      <c r="D415" s="623" t="s">
        <v>1467</v>
      </c>
      <c r="E415" s="158">
        <v>936.87</v>
      </c>
      <c r="F415" s="158" t="s">
        <v>34</v>
      </c>
      <c r="G415" s="623" t="s">
        <v>32</v>
      </c>
      <c r="H415" s="623" t="s">
        <v>33</v>
      </c>
      <c r="I415" s="623" t="s">
        <v>34</v>
      </c>
      <c r="J415" s="623" t="s">
        <v>34</v>
      </c>
      <c r="K415" s="623" t="s">
        <v>34</v>
      </c>
      <c r="L415" s="624"/>
      <c r="M415" s="158">
        <v>0</v>
      </c>
      <c r="N415" s="622">
        <v>2018.3</v>
      </c>
      <c r="O415" s="623" t="s">
        <v>3944</v>
      </c>
      <c r="P415" s="623" t="s">
        <v>3752</v>
      </c>
      <c r="Q415" s="623">
        <v>18526538836</v>
      </c>
      <c r="R415" s="632" t="s">
        <v>3753</v>
      </c>
      <c r="S415" s="623" t="s">
        <v>3564</v>
      </c>
      <c r="T415" s="624"/>
    </row>
    <row r="416" spans="1:20" ht="24.95" customHeight="1">
      <c r="A416" s="708">
        <v>48</v>
      </c>
      <c r="B416" s="623" t="s">
        <v>1479</v>
      </c>
      <c r="C416" s="623" t="s">
        <v>3945</v>
      </c>
      <c r="D416" s="623" t="s">
        <v>1467</v>
      </c>
      <c r="E416" s="158">
        <v>58.8</v>
      </c>
      <c r="F416" s="158" t="s">
        <v>34</v>
      </c>
      <c r="G416" s="623" t="s">
        <v>32</v>
      </c>
      <c r="H416" s="623" t="s">
        <v>33</v>
      </c>
      <c r="I416" s="623" t="s">
        <v>34</v>
      </c>
      <c r="J416" s="623" t="s">
        <v>34</v>
      </c>
      <c r="K416" s="623" t="s">
        <v>34</v>
      </c>
      <c r="L416" s="624"/>
      <c r="M416" s="158">
        <v>0</v>
      </c>
      <c r="N416" s="622">
        <v>2018.3</v>
      </c>
      <c r="O416" s="623" t="s">
        <v>3944</v>
      </c>
      <c r="P416" s="623" t="s">
        <v>3752</v>
      </c>
      <c r="Q416" s="623">
        <v>18526538836</v>
      </c>
      <c r="R416" s="632" t="s">
        <v>3753</v>
      </c>
      <c r="S416" s="623" t="s">
        <v>3564</v>
      </c>
      <c r="T416" s="624"/>
    </row>
    <row r="417" spans="1:20" s="630" customFormat="1" ht="24.95" customHeight="1">
      <c r="A417" s="708">
        <v>49</v>
      </c>
      <c r="B417" s="627" t="s">
        <v>1479</v>
      </c>
      <c r="C417" s="627" t="s">
        <v>3946</v>
      </c>
      <c r="D417" s="627" t="s">
        <v>1467</v>
      </c>
      <c r="E417" s="305">
        <v>609.42499999999995</v>
      </c>
      <c r="F417" s="305" t="s">
        <v>34</v>
      </c>
      <c r="G417" s="623" t="s">
        <v>32</v>
      </c>
      <c r="H417" s="627" t="s">
        <v>33</v>
      </c>
      <c r="I417" s="627"/>
      <c r="J417" s="627"/>
      <c r="K417" s="627"/>
      <c r="L417" s="727" t="s">
        <v>3947</v>
      </c>
      <c r="M417" s="305">
        <v>0</v>
      </c>
      <c r="N417" s="728" t="s">
        <v>208</v>
      </c>
      <c r="O417" s="627" t="s">
        <v>3829</v>
      </c>
      <c r="P417" s="623" t="s">
        <v>3752</v>
      </c>
      <c r="Q417" s="623">
        <v>18526538836</v>
      </c>
      <c r="R417" s="632" t="s">
        <v>3753</v>
      </c>
      <c r="S417" s="623" t="s">
        <v>3564</v>
      </c>
      <c r="T417" s="704" t="s">
        <v>3830</v>
      </c>
    </row>
    <row r="418" spans="1:20" s="630" customFormat="1" ht="24.95" customHeight="1">
      <c r="A418" s="708">
        <v>50</v>
      </c>
      <c r="B418" s="627" t="s">
        <v>1479</v>
      </c>
      <c r="C418" s="627" t="s">
        <v>3946</v>
      </c>
      <c r="D418" s="627" t="s">
        <v>1467</v>
      </c>
      <c r="E418" s="305">
        <v>300.18</v>
      </c>
      <c r="F418" s="305" t="s">
        <v>34</v>
      </c>
      <c r="G418" s="623" t="s">
        <v>32</v>
      </c>
      <c r="H418" s="627" t="s">
        <v>33</v>
      </c>
      <c r="I418" s="627"/>
      <c r="J418" s="627"/>
      <c r="K418" s="627"/>
      <c r="L418" s="727" t="s">
        <v>3948</v>
      </c>
      <c r="M418" s="305">
        <v>0</v>
      </c>
      <c r="N418" s="728" t="s">
        <v>2219</v>
      </c>
      <c r="O418" s="627" t="s">
        <v>3829</v>
      </c>
      <c r="P418" s="623" t="s">
        <v>3752</v>
      </c>
      <c r="Q418" s="623">
        <v>18526538836</v>
      </c>
      <c r="R418" s="632" t="s">
        <v>3753</v>
      </c>
      <c r="S418" s="623" t="s">
        <v>3564</v>
      </c>
      <c r="T418" s="704"/>
    </row>
    <row r="419" spans="1:20" s="630" customFormat="1" ht="24.95" customHeight="1">
      <c r="A419" s="708">
        <v>51</v>
      </c>
      <c r="B419" s="627" t="s">
        <v>1479</v>
      </c>
      <c r="C419" s="627" t="s">
        <v>3949</v>
      </c>
      <c r="D419" s="627" t="s">
        <v>1467</v>
      </c>
      <c r="E419" s="305">
        <v>149.08000000000001</v>
      </c>
      <c r="F419" s="305" t="s">
        <v>34</v>
      </c>
      <c r="G419" s="623" t="s">
        <v>32</v>
      </c>
      <c r="H419" s="627" t="s">
        <v>33</v>
      </c>
      <c r="I419" s="627"/>
      <c r="J419" s="627"/>
      <c r="K419" s="627"/>
      <c r="L419" s="727" t="s">
        <v>3950</v>
      </c>
      <c r="M419" s="305">
        <v>0</v>
      </c>
      <c r="N419" s="728" t="s">
        <v>2219</v>
      </c>
      <c r="O419" s="627" t="s">
        <v>3829</v>
      </c>
      <c r="P419" s="623" t="s">
        <v>3752</v>
      </c>
      <c r="Q419" s="623">
        <v>18526538836</v>
      </c>
      <c r="R419" s="632" t="s">
        <v>3753</v>
      </c>
      <c r="S419" s="623" t="s">
        <v>3564</v>
      </c>
      <c r="T419" s="704"/>
    </row>
    <row r="420" spans="1:20" ht="24.95" customHeight="1">
      <c r="A420" s="708">
        <v>52</v>
      </c>
      <c r="B420" s="642" t="s">
        <v>3951</v>
      </c>
      <c r="C420" s="642" t="s">
        <v>3952</v>
      </c>
      <c r="D420" s="642" t="s">
        <v>1467</v>
      </c>
      <c r="E420" s="643">
        <v>440.64</v>
      </c>
      <c r="F420" s="158" t="s">
        <v>34</v>
      </c>
      <c r="G420" s="623" t="s">
        <v>32</v>
      </c>
      <c r="H420" s="623" t="s">
        <v>33</v>
      </c>
      <c r="I420" s="623" t="s">
        <v>34</v>
      </c>
      <c r="J420" s="623" t="s">
        <v>34</v>
      </c>
      <c r="K420" s="623" t="s">
        <v>34</v>
      </c>
      <c r="L420" s="624"/>
      <c r="M420" s="158">
        <v>15260.56</v>
      </c>
      <c r="N420" s="622" t="s">
        <v>3953</v>
      </c>
      <c r="O420" s="623" t="s">
        <v>3618</v>
      </c>
      <c r="P420" s="623" t="s">
        <v>3619</v>
      </c>
      <c r="Q420" s="623">
        <v>13752429150</v>
      </c>
      <c r="R420" s="632" t="s">
        <v>3620</v>
      </c>
      <c r="S420" s="623" t="s">
        <v>3564</v>
      </c>
      <c r="T420" s="624"/>
    </row>
    <row r="421" spans="1:20" ht="24.95" customHeight="1">
      <c r="A421" s="708">
        <v>53</v>
      </c>
      <c r="B421" s="642" t="s">
        <v>3951</v>
      </c>
      <c r="C421" s="642" t="s">
        <v>3952</v>
      </c>
      <c r="D421" s="642" t="s">
        <v>1467</v>
      </c>
      <c r="E421" s="643">
        <v>236.64</v>
      </c>
      <c r="F421" s="158" t="s">
        <v>34</v>
      </c>
      <c r="G421" s="623" t="s">
        <v>32</v>
      </c>
      <c r="H421" s="623" t="s">
        <v>33</v>
      </c>
      <c r="I421" s="623" t="s">
        <v>34</v>
      </c>
      <c r="J421" s="623" t="s">
        <v>34</v>
      </c>
      <c r="K421" s="623" t="s">
        <v>34</v>
      </c>
      <c r="L421" s="624"/>
      <c r="M421" s="158">
        <v>8449.84</v>
      </c>
      <c r="N421" s="622" t="s">
        <v>3954</v>
      </c>
      <c r="O421" s="623" t="s">
        <v>3618</v>
      </c>
      <c r="P421" s="623" t="s">
        <v>3619</v>
      </c>
      <c r="Q421" s="623">
        <v>13752429150</v>
      </c>
      <c r="R421" s="632" t="s">
        <v>3620</v>
      </c>
      <c r="S421" s="623" t="s">
        <v>3564</v>
      </c>
      <c r="T421" s="624"/>
    </row>
    <row r="422" spans="1:20" ht="24.95" customHeight="1">
      <c r="A422" s="708">
        <v>54</v>
      </c>
      <c r="B422" s="645" t="s">
        <v>1479</v>
      </c>
      <c r="C422" s="645"/>
      <c r="D422" s="645" t="s">
        <v>161</v>
      </c>
      <c r="E422" s="644">
        <v>343.9</v>
      </c>
      <c r="F422" s="158" t="s">
        <v>34</v>
      </c>
      <c r="G422" s="623" t="s">
        <v>33</v>
      </c>
      <c r="H422" s="623" t="s">
        <v>33</v>
      </c>
      <c r="I422" s="623" t="s">
        <v>34</v>
      </c>
      <c r="J422" s="623" t="s">
        <v>34</v>
      </c>
      <c r="K422" s="623" t="s">
        <v>34</v>
      </c>
      <c r="L422" s="624"/>
      <c r="M422" s="643">
        <v>18253.88</v>
      </c>
      <c r="N422" s="622" t="s">
        <v>3955</v>
      </c>
      <c r="O422" s="623" t="s">
        <v>3618</v>
      </c>
      <c r="P422" s="623" t="s">
        <v>3619</v>
      </c>
      <c r="Q422" s="623">
        <v>13752429150</v>
      </c>
      <c r="R422" s="632" t="s">
        <v>3620</v>
      </c>
      <c r="S422" s="623" t="s">
        <v>3564</v>
      </c>
      <c r="T422" s="624"/>
    </row>
    <row r="423" spans="1:20" ht="24.95" customHeight="1">
      <c r="A423" s="708">
        <v>55</v>
      </c>
      <c r="B423" s="729" t="s">
        <v>1479</v>
      </c>
      <c r="C423" s="729"/>
      <c r="D423" s="642" t="s">
        <v>161</v>
      </c>
      <c r="E423" s="643">
        <v>200.65</v>
      </c>
      <c r="F423" s="158" t="s">
        <v>34</v>
      </c>
      <c r="G423" s="623" t="s">
        <v>32</v>
      </c>
      <c r="H423" s="623" t="s">
        <v>33</v>
      </c>
      <c r="I423" s="623" t="s">
        <v>34</v>
      </c>
      <c r="J423" s="623" t="s">
        <v>34</v>
      </c>
      <c r="K423" s="623" t="s">
        <v>34</v>
      </c>
      <c r="L423" s="624"/>
      <c r="M423" s="158">
        <v>30529.439999999999</v>
      </c>
      <c r="N423" s="622" t="s">
        <v>3955</v>
      </c>
      <c r="O423" s="623" t="s">
        <v>3618</v>
      </c>
      <c r="P423" s="623" t="s">
        <v>3619</v>
      </c>
      <c r="Q423" s="623">
        <v>13752429150</v>
      </c>
      <c r="R423" s="632" t="s">
        <v>3620</v>
      </c>
      <c r="S423" s="623" t="s">
        <v>3564</v>
      </c>
      <c r="T423" s="624"/>
    </row>
    <row r="424" spans="1:20" ht="24.95" customHeight="1">
      <c r="A424" s="708">
        <v>56</v>
      </c>
      <c r="B424" s="729" t="s">
        <v>1479</v>
      </c>
      <c r="C424" s="729" t="s">
        <v>1036</v>
      </c>
      <c r="D424" s="642" t="s">
        <v>161</v>
      </c>
      <c r="E424" s="643">
        <v>372.55</v>
      </c>
      <c r="F424" s="158" t="s">
        <v>34</v>
      </c>
      <c r="G424" s="623" t="s">
        <v>32</v>
      </c>
      <c r="H424" s="623" t="s">
        <v>33</v>
      </c>
      <c r="I424" s="623" t="s">
        <v>34</v>
      </c>
      <c r="J424" s="623" t="s">
        <v>34</v>
      </c>
      <c r="K424" s="623" t="s">
        <v>34</v>
      </c>
      <c r="L424" s="624"/>
      <c r="M424" s="158">
        <v>12257.68</v>
      </c>
      <c r="N424" s="622" t="s">
        <v>3956</v>
      </c>
      <c r="O424" s="623" t="s">
        <v>3618</v>
      </c>
      <c r="P424" s="623" t="s">
        <v>3619</v>
      </c>
      <c r="Q424" s="623">
        <v>13752429150</v>
      </c>
      <c r="R424" s="632" t="s">
        <v>3620</v>
      </c>
      <c r="S424" s="623" t="s">
        <v>3564</v>
      </c>
      <c r="T424" s="624"/>
    </row>
    <row r="425" spans="1:20" ht="24.95" customHeight="1">
      <c r="A425" s="708">
        <v>57</v>
      </c>
      <c r="B425" s="645" t="s">
        <v>3957</v>
      </c>
      <c r="C425" s="645" t="s">
        <v>1036</v>
      </c>
      <c r="D425" s="645" t="s">
        <v>161</v>
      </c>
      <c r="E425" s="644">
        <v>163.19999999999999</v>
      </c>
      <c r="F425" s="158" t="s">
        <v>34</v>
      </c>
      <c r="G425" s="623" t="s">
        <v>32</v>
      </c>
      <c r="H425" s="623" t="s">
        <v>33</v>
      </c>
      <c r="I425" s="623" t="s">
        <v>34</v>
      </c>
      <c r="J425" s="623" t="s">
        <v>34</v>
      </c>
      <c r="K425" s="623" t="s">
        <v>34</v>
      </c>
      <c r="L425" s="624"/>
      <c r="M425" s="643">
        <v>6071.58</v>
      </c>
      <c r="N425" s="622" t="s">
        <v>3617</v>
      </c>
      <c r="O425" s="623" t="s">
        <v>3618</v>
      </c>
      <c r="P425" s="623" t="s">
        <v>3619</v>
      </c>
      <c r="Q425" s="623">
        <v>13752429150</v>
      </c>
      <c r="R425" s="632" t="s">
        <v>3620</v>
      </c>
      <c r="S425" s="623" t="s">
        <v>3564</v>
      </c>
      <c r="T425" s="624"/>
    </row>
    <row r="426" spans="1:20" ht="24.95" customHeight="1">
      <c r="A426" s="708">
        <v>58</v>
      </c>
      <c r="B426" s="644" t="s">
        <v>3951</v>
      </c>
      <c r="C426" s="644" t="s">
        <v>3958</v>
      </c>
      <c r="D426" s="644" t="s">
        <v>161</v>
      </c>
      <c r="E426" s="644">
        <v>612</v>
      </c>
      <c r="F426" s="158"/>
      <c r="G426" s="623" t="s">
        <v>33</v>
      </c>
      <c r="H426" s="623" t="s">
        <v>33</v>
      </c>
      <c r="I426" s="623"/>
      <c r="J426" s="623"/>
      <c r="K426" s="623"/>
      <c r="L426" s="624"/>
      <c r="M426" s="712">
        <v>25616.69</v>
      </c>
      <c r="N426" s="713" t="s">
        <v>3871</v>
      </c>
      <c r="O426" s="623" t="s">
        <v>3618</v>
      </c>
      <c r="P426" s="623" t="s">
        <v>3619</v>
      </c>
      <c r="Q426" s="623">
        <v>13752429150</v>
      </c>
      <c r="R426" s="632" t="s">
        <v>3620</v>
      </c>
      <c r="S426" s="623" t="s">
        <v>3564</v>
      </c>
      <c r="T426" s="624"/>
    </row>
    <row r="427" spans="1:20" s="662" customFormat="1" ht="24.95" customHeight="1">
      <c r="A427" s="708">
        <v>59</v>
      </c>
      <c r="B427" s="644" t="s">
        <v>3951</v>
      </c>
      <c r="C427" s="644" t="s">
        <v>3959</v>
      </c>
      <c r="D427" s="644" t="s">
        <v>1467</v>
      </c>
      <c r="E427" s="669"/>
      <c r="F427" s="644">
        <v>174.02</v>
      </c>
      <c r="G427" s="645" t="s">
        <v>33</v>
      </c>
      <c r="H427" s="645" t="s">
        <v>33</v>
      </c>
      <c r="I427" s="624"/>
      <c r="J427" s="624"/>
      <c r="K427" s="624"/>
      <c r="L427" s="624"/>
      <c r="M427" s="684">
        <v>6704.2939999999999</v>
      </c>
      <c r="N427" s="622" t="s">
        <v>3634</v>
      </c>
      <c r="O427" s="623" t="s">
        <v>3618</v>
      </c>
      <c r="P427" s="623" t="s">
        <v>3619</v>
      </c>
      <c r="Q427" s="623">
        <v>13752429150</v>
      </c>
      <c r="R427" s="632" t="s">
        <v>3620</v>
      </c>
      <c r="S427" s="623" t="s">
        <v>3564</v>
      </c>
      <c r="T427" s="624"/>
    </row>
    <row r="428" spans="1:20" s="662" customFormat="1" ht="24.95" customHeight="1">
      <c r="A428" s="708">
        <v>60</v>
      </c>
      <c r="B428" s="644" t="s">
        <v>3951</v>
      </c>
      <c r="C428" s="644" t="s">
        <v>3959</v>
      </c>
      <c r="D428" s="644" t="s">
        <v>1467</v>
      </c>
      <c r="E428" s="669"/>
      <c r="F428" s="644">
        <v>40.799999999999997</v>
      </c>
      <c r="G428" s="645" t="s">
        <v>33</v>
      </c>
      <c r="H428" s="645" t="s">
        <v>33</v>
      </c>
      <c r="I428" s="624"/>
      <c r="J428" s="624"/>
      <c r="K428" s="624"/>
      <c r="L428" s="624"/>
      <c r="M428" s="684">
        <v>1375.204</v>
      </c>
      <c r="N428" s="622" t="s">
        <v>3634</v>
      </c>
      <c r="O428" s="623" t="s">
        <v>3618</v>
      </c>
      <c r="P428" s="623" t="s">
        <v>3619</v>
      </c>
      <c r="Q428" s="623">
        <v>13752429150</v>
      </c>
      <c r="R428" s="632" t="s">
        <v>3620</v>
      </c>
      <c r="S428" s="623" t="s">
        <v>3564</v>
      </c>
      <c r="T428" s="624"/>
    </row>
    <row r="429" spans="1:20" s="662" customFormat="1" ht="24.95" customHeight="1">
      <c r="A429" s="708">
        <v>61</v>
      </c>
      <c r="B429" s="644" t="s">
        <v>3960</v>
      </c>
      <c r="C429" s="644"/>
      <c r="D429" s="644" t="s">
        <v>3961</v>
      </c>
      <c r="E429" s="669"/>
      <c r="F429" s="644">
        <v>1</v>
      </c>
      <c r="G429" s="645" t="s">
        <v>33</v>
      </c>
      <c r="H429" s="645" t="s">
        <v>33</v>
      </c>
      <c r="I429" s="624"/>
      <c r="J429" s="624"/>
      <c r="K429" s="624"/>
      <c r="L429" s="624"/>
      <c r="M429" s="684">
        <v>380</v>
      </c>
      <c r="N429" s="622" t="s">
        <v>3634</v>
      </c>
      <c r="O429" s="623" t="s">
        <v>3618</v>
      </c>
      <c r="P429" s="623" t="s">
        <v>3619</v>
      </c>
      <c r="Q429" s="623">
        <v>13752429150</v>
      </c>
      <c r="R429" s="632" t="s">
        <v>3620</v>
      </c>
      <c r="S429" s="623" t="s">
        <v>3564</v>
      </c>
      <c r="T429" s="624"/>
    </row>
    <row r="430" spans="1:20" s="662" customFormat="1" ht="24.95" customHeight="1">
      <c r="A430" s="708">
        <v>62</v>
      </c>
      <c r="B430" s="644" t="s">
        <v>1479</v>
      </c>
      <c r="C430" s="644" t="s">
        <v>3962</v>
      </c>
      <c r="D430" s="644" t="s">
        <v>1467</v>
      </c>
      <c r="E430" s="669"/>
      <c r="F430" s="644">
        <v>691.25</v>
      </c>
      <c r="G430" s="645" t="s">
        <v>33</v>
      </c>
      <c r="H430" s="645" t="s">
        <v>33</v>
      </c>
      <c r="I430" s="624"/>
      <c r="J430" s="624"/>
      <c r="K430" s="624"/>
      <c r="L430" s="624"/>
      <c r="M430" s="684">
        <v>15926.4</v>
      </c>
      <c r="N430" s="622" t="s">
        <v>3634</v>
      </c>
      <c r="O430" s="623" t="s">
        <v>3618</v>
      </c>
      <c r="P430" s="623" t="s">
        <v>3619</v>
      </c>
      <c r="Q430" s="623">
        <v>13752429150</v>
      </c>
      <c r="R430" s="632" t="s">
        <v>3620</v>
      </c>
      <c r="S430" s="623" t="s">
        <v>3564</v>
      </c>
      <c r="T430" s="624"/>
    </row>
    <row r="431" spans="1:20" s="662" customFormat="1" ht="24.95" customHeight="1">
      <c r="A431" s="708">
        <v>63</v>
      </c>
      <c r="B431" s="644" t="s">
        <v>1479</v>
      </c>
      <c r="C431" s="644" t="s">
        <v>3963</v>
      </c>
      <c r="D431" s="644" t="s">
        <v>1467</v>
      </c>
      <c r="E431" s="669"/>
      <c r="F431" s="644">
        <v>221.64</v>
      </c>
      <c r="G431" s="645" t="s">
        <v>33</v>
      </c>
      <c r="H431" s="645" t="s">
        <v>33</v>
      </c>
      <c r="I431" s="624"/>
      <c r="J431" s="624"/>
      <c r="K431" s="624"/>
      <c r="L431" s="624"/>
      <c r="M431" s="684">
        <v>5241.2240000000002</v>
      </c>
      <c r="N431" s="622" t="s">
        <v>3634</v>
      </c>
      <c r="O431" s="623" t="s">
        <v>3618</v>
      </c>
      <c r="P431" s="623" t="s">
        <v>3619</v>
      </c>
      <c r="Q431" s="623">
        <v>13752429150</v>
      </c>
      <c r="R431" s="632" t="s">
        <v>3620</v>
      </c>
      <c r="S431" s="623" t="s">
        <v>3564</v>
      </c>
      <c r="T431" s="624"/>
    </row>
    <row r="432" spans="1:20" s="662" customFormat="1" ht="24.95" customHeight="1">
      <c r="A432" s="708">
        <v>64</v>
      </c>
      <c r="B432" s="644" t="s">
        <v>3960</v>
      </c>
      <c r="C432" s="644"/>
      <c r="D432" s="644" t="s">
        <v>3961</v>
      </c>
      <c r="E432" s="669"/>
      <c r="F432" s="644"/>
      <c r="G432" s="645" t="s">
        <v>33</v>
      </c>
      <c r="H432" s="645" t="s">
        <v>33</v>
      </c>
      <c r="I432" s="624"/>
      <c r="J432" s="624"/>
      <c r="K432" s="624"/>
      <c r="L432" s="624"/>
      <c r="M432" s="684">
        <v>1340</v>
      </c>
      <c r="N432" s="622" t="s">
        <v>3634</v>
      </c>
      <c r="O432" s="623" t="s">
        <v>3618</v>
      </c>
      <c r="P432" s="623" t="s">
        <v>3619</v>
      </c>
      <c r="Q432" s="623">
        <v>13752429150</v>
      </c>
      <c r="R432" s="632" t="s">
        <v>3620</v>
      </c>
      <c r="S432" s="623" t="s">
        <v>3564</v>
      </c>
      <c r="T432" s="624"/>
    </row>
    <row r="433" spans="1:20" s="662" customFormat="1" ht="24.95" customHeight="1">
      <c r="A433" s="708">
        <v>65</v>
      </c>
      <c r="B433" s="644" t="s">
        <v>3951</v>
      </c>
      <c r="C433" s="644" t="s">
        <v>1530</v>
      </c>
      <c r="D433" s="644" t="s">
        <v>1467</v>
      </c>
      <c r="E433" s="730">
        <v>1500</v>
      </c>
      <c r="F433" s="644" t="s">
        <v>34</v>
      </c>
      <c r="G433" s="645" t="s">
        <v>33</v>
      </c>
      <c r="H433" s="645" t="s">
        <v>33</v>
      </c>
      <c r="I433" s="623" t="s">
        <v>34</v>
      </c>
      <c r="J433" s="623" t="s">
        <v>34</v>
      </c>
      <c r="K433" s="623" t="s">
        <v>34</v>
      </c>
      <c r="L433" s="731" t="s">
        <v>3964</v>
      </c>
      <c r="M433" s="732" t="s">
        <v>3964</v>
      </c>
      <c r="N433" s="622" t="s">
        <v>3636</v>
      </c>
      <c r="O433" s="632" t="s">
        <v>3848</v>
      </c>
      <c r="P433" s="623" t="s">
        <v>3849</v>
      </c>
      <c r="Q433" s="623">
        <v>15822615391</v>
      </c>
      <c r="R433" s="632" t="s">
        <v>3848</v>
      </c>
      <c r="S433" s="623" t="s">
        <v>3564</v>
      </c>
      <c r="T433" s="624"/>
    </row>
    <row r="434" spans="1:20" s="662" customFormat="1" ht="24.95" customHeight="1">
      <c r="A434" s="708">
        <v>66</v>
      </c>
      <c r="B434" s="644" t="s">
        <v>3951</v>
      </c>
      <c r="C434" s="644" t="s">
        <v>3965</v>
      </c>
      <c r="D434" s="644" t="s">
        <v>1467</v>
      </c>
      <c r="E434" s="730">
        <v>1000</v>
      </c>
      <c r="F434" s="644" t="s">
        <v>34</v>
      </c>
      <c r="G434" s="645" t="s">
        <v>33</v>
      </c>
      <c r="H434" s="645" t="s">
        <v>33</v>
      </c>
      <c r="I434" s="623" t="s">
        <v>34</v>
      </c>
      <c r="J434" s="623" t="s">
        <v>34</v>
      </c>
      <c r="K434" s="623" t="s">
        <v>34</v>
      </c>
      <c r="L434" s="731" t="s">
        <v>3966</v>
      </c>
      <c r="M434" s="732" t="s">
        <v>3966</v>
      </c>
      <c r="N434" s="622" t="s">
        <v>3636</v>
      </c>
      <c r="O434" s="632" t="s">
        <v>3848</v>
      </c>
      <c r="P434" s="623" t="s">
        <v>3849</v>
      </c>
      <c r="Q434" s="623">
        <v>15822615391</v>
      </c>
      <c r="R434" s="632" t="s">
        <v>3848</v>
      </c>
      <c r="S434" s="623" t="s">
        <v>3564</v>
      </c>
      <c r="T434" s="624"/>
    </row>
    <row r="435" spans="1:20" ht="24.95" customHeight="1">
      <c r="A435" s="708">
        <v>67</v>
      </c>
      <c r="B435" s="623" t="s">
        <v>1546</v>
      </c>
      <c r="C435" s="623" t="s">
        <v>3967</v>
      </c>
      <c r="D435" s="623" t="s">
        <v>464</v>
      </c>
      <c r="E435" s="158">
        <v>523</v>
      </c>
      <c r="F435" s="158" t="s">
        <v>34</v>
      </c>
      <c r="G435" s="623" t="s">
        <v>32</v>
      </c>
      <c r="H435" s="623" t="s">
        <v>33</v>
      </c>
      <c r="I435" s="623" t="s">
        <v>34</v>
      </c>
      <c r="J435" s="623" t="s">
        <v>34</v>
      </c>
      <c r="K435" s="623" t="s">
        <v>34</v>
      </c>
      <c r="L435" s="624"/>
      <c r="M435" s="242">
        <v>2500</v>
      </c>
      <c r="N435" s="622">
        <v>2011.6</v>
      </c>
      <c r="O435" s="623" t="s">
        <v>3742</v>
      </c>
      <c r="P435" s="623" t="s">
        <v>3572</v>
      </c>
      <c r="Q435" s="623">
        <v>13821637138</v>
      </c>
      <c r="R435" s="632" t="s">
        <v>3573</v>
      </c>
      <c r="S435" s="623" t="s">
        <v>3564</v>
      </c>
      <c r="T435" s="624"/>
    </row>
    <row r="436" spans="1:20" s="662" customFormat="1" ht="24.95" customHeight="1">
      <c r="A436" s="708">
        <v>68</v>
      </c>
      <c r="B436" s="644" t="s">
        <v>1546</v>
      </c>
      <c r="C436" s="644" t="s">
        <v>3968</v>
      </c>
      <c r="D436" s="644" t="s">
        <v>1467</v>
      </c>
      <c r="E436" s="644">
        <v>95888</v>
      </c>
      <c r="F436" s="663">
        <v>95888</v>
      </c>
      <c r="G436" s="645" t="s">
        <v>33</v>
      </c>
      <c r="H436" s="645" t="s">
        <v>33</v>
      </c>
      <c r="I436" s="624"/>
      <c r="J436" s="624"/>
      <c r="K436" s="624"/>
      <c r="L436" s="624"/>
      <c r="M436" s="684">
        <v>145953.41800000001</v>
      </c>
      <c r="N436" s="622" t="s">
        <v>3634</v>
      </c>
      <c r="O436" s="623" t="s">
        <v>3618</v>
      </c>
      <c r="P436" s="623" t="s">
        <v>3619</v>
      </c>
      <c r="Q436" s="623">
        <v>13752429150</v>
      </c>
      <c r="R436" s="632" t="s">
        <v>3620</v>
      </c>
      <c r="S436" s="623" t="s">
        <v>3564</v>
      </c>
      <c r="T436" s="624"/>
    </row>
    <row r="437" spans="1:20" s="662" customFormat="1" ht="24.95" customHeight="1">
      <c r="A437" s="708">
        <v>69</v>
      </c>
      <c r="B437" s="644" t="s">
        <v>1546</v>
      </c>
      <c r="C437" s="644" t="s">
        <v>3969</v>
      </c>
      <c r="D437" s="644" t="s">
        <v>1467</v>
      </c>
      <c r="E437" s="644">
        <v>11384</v>
      </c>
      <c r="F437" s="663">
        <v>11384</v>
      </c>
      <c r="G437" s="645" t="s">
        <v>33</v>
      </c>
      <c r="H437" s="645" t="s">
        <v>33</v>
      </c>
      <c r="I437" s="624"/>
      <c r="J437" s="624"/>
      <c r="K437" s="624"/>
      <c r="L437" s="624"/>
      <c r="M437" s="684">
        <v>34857.203539823</v>
      </c>
      <c r="N437" s="622" t="s">
        <v>3634</v>
      </c>
      <c r="O437" s="623" t="s">
        <v>3618</v>
      </c>
      <c r="P437" s="623" t="s">
        <v>3619</v>
      </c>
      <c r="Q437" s="623">
        <v>13752429150</v>
      </c>
      <c r="R437" s="632" t="s">
        <v>3620</v>
      </c>
      <c r="S437" s="623" t="s">
        <v>3564</v>
      </c>
      <c r="T437" s="624"/>
    </row>
    <row r="438" spans="1:20" s="662" customFormat="1" ht="24.95" customHeight="1">
      <c r="A438" s="708">
        <v>70</v>
      </c>
      <c r="B438" s="644" t="s">
        <v>1546</v>
      </c>
      <c r="C438" s="644" t="s">
        <v>3968</v>
      </c>
      <c r="D438" s="644" t="s">
        <v>1467</v>
      </c>
      <c r="E438" s="644">
        <v>55388</v>
      </c>
      <c r="F438" s="663">
        <v>55388</v>
      </c>
      <c r="G438" s="645" t="s">
        <v>33</v>
      </c>
      <c r="H438" s="645" t="s">
        <v>33</v>
      </c>
      <c r="I438" s="624"/>
      <c r="J438" s="624"/>
      <c r="K438" s="624"/>
      <c r="L438" s="624"/>
      <c r="M438" s="684">
        <v>190671.96400000001</v>
      </c>
      <c r="N438" s="622" t="s">
        <v>3634</v>
      </c>
      <c r="O438" s="623" t="s">
        <v>3618</v>
      </c>
      <c r="P438" s="623" t="s">
        <v>3619</v>
      </c>
      <c r="Q438" s="623">
        <v>13752429150</v>
      </c>
      <c r="R438" s="632" t="s">
        <v>3620</v>
      </c>
      <c r="S438" s="623" t="s">
        <v>3564</v>
      </c>
      <c r="T438" s="624"/>
    </row>
    <row r="439" spans="1:20" s="662" customFormat="1" ht="24.95" customHeight="1">
      <c r="A439" s="708">
        <v>71</v>
      </c>
      <c r="B439" s="644" t="s">
        <v>1546</v>
      </c>
      <c r="C439" s="644" t="s">
        <v>3969</v>
      </c>
      <c r="D439" s="644" t="s">
        <v>1467</v>
      </c>
      <c r="E439" s="644">
        <v>86400</v>
      </c>
      <c r="F439" s="663">
        <v>86400</v>
      </c>
      <c r="G439" s="645" t="s">
        <v>33</v>
      </c>
      <c r="H439" s="645" t="s">
        <v>33</v>
      </c>
      <c r="I439" s="624"/>
      <c r="J439" s="624"/>
      <c r="K439" s="624"/>
      <c r="L439" s="624"/>
      <c r="M439" s="684">
        <v>144509.734</v>
      </c>
      <c r="N439" s="622" t="s">
        <v>3634</v>
      </c>
      <c r="O439" s="623" t="s">
        <v>3618</v>
      </c>
      <c r="P439" s="623" t="s">
        <v>3619</v>
      </c>
      <c r="Q439" s="623">
        <v>13752429150</v>
      </c>
      <c r="R439" s="632" t="s">
        <v>3620</v>
      </c>
      <c r="S439" s="623" t="s">
        <v>3564</v>
      </c>
      <c r="T439" s="624"/>
    </row>
    <row r="440" spans="1:20" s="662" customFormat="1" ht="24.95" customHeight="1">
      <c r="A440" s="708">
        <v>72</v>
      </c>
      <c r="B440" s="664" t="s">
        <v>1546</v>
      </c>
      <c r="C440" s="665" t="s">
        <v>3968</v>
      </c>
      <c r="D440" s="664" t="s">
        <v>3701</v>
      </c>
      <c r="E440" s="669">
        <v>353.1</v>
      </c>
      <c r="F440" s="663"/>
      <c r="G440" s="645" t="s">
        <v>33</v>
      </c>
      <c r="H440" s="645" t="s">
        <v>33</v>
      </c>
      <c r="I440" s="624"/>
      <c r="J440" s="624"/>
      <c r="K440" s="624"/>
      <c r="L440" s="624"/>
      <c r="M440" s="684">
        <v>109304.76106194701</v>
      </c>
      <c r="N440" s="622" t="s">
        <v>3702</v>
      </c>
      <c r="O440" s="623" t="s">
        <v>3618</v>
      </c>
      <c r="P440" s="623" t="s">
        <v>3619</v>
      </c>
      <c r="Q440" s="623">
        <v>13752429150</v>
      </c>
      <c r="R440" s="632" t="s">
        <v>3620</v>
      </c>
      <c r="S440" s="623" t="s">
        <v>3564</v>
      </c>
      <c r="T440" s="624"/>
    </row>
    <row r="441" spans="1:20" s="662" customFormat="1" ht="24.95" customHeight="1">
      <c r="A441" s="708">
        <v>73</v>
      </c>
      <c r="B441" s="664" t="s">
        <v>1546</v>
      </c>
      <c r="C441" s="665" t="s">
        <v>3969</v>
      </c>
      <c r="D441" s="664" t="s">
        <v>3701</v>
      </c>
      <c r="E441" s="669">
        <v>506.9</v>
      </c>
      <c r="F441" s="663"/>
      <c r="G441" s="645" t="s">
        <v>33</v>
      </c>
      <c r="H441" s="645" t="s">
        <v>33</v>
      </c>
      <c r="I441" s="624"/>
      <c r="J441" s="624"/>
      <c r="K441" s="624"/>
      <c r="L441" s="624"/>
      <c r="M441" s="684">
        <v>156914.70796460201</v>
      </c>
      <c r="N441" s="622" t="s">
        <v>3702</v>
      </c>
      <c r="O441" s="623" t="s">
        <v>3618</v>
      </c>
      <c r="P441" s="623" t="s">
        <v>3619</v>
      </c>
      <c r="Q441" s="623">
        <v>13752429150</v>
      </c>
      <c r="R441" s="632" t="s">
        <v>3620</v>
      </c>
      <c r="S441" s="623" t="s">
        <v>3564</v>
      </c>
      <c r="T441" s="624"/>
    </row>
    <row r="442" spans="1:20" s="662" customFormat="1" ht="24.95" customHeight="1">
      <c r="A442" s="708">
        <v>74</v>
      </c>
      <c r="B442" s="664" t="s">
        <v>1546</v>
      </c>
      <c r="C442" s="665" t="s">
        <v>34</v>
      </c>
      <c r="D442" s="664" t="s">
        <v>3701</v>
      </c>
      <c r="E442" s="669">
        <v>594</v>
      </c>
      <c r="F442" s="663"/>
      <c r="G442" s="645" t="s">
        <v>33</v>
      </c>
      <c r="H442" s="645" t="s">
        <v>33</v>
      </c>
      <c r="I442" s="624"/>
      <c r="J442" s="624"/>
      <c r="K442" s="624"/>
      <c r="L442" s="624"/>
      <c r="M442" s="684">
        <v>178725.67199999999</v>
      </c>
      <c r="N442" s="622" t="s">
        <v>3939</v>
      </c>
      <c r="O442" s="623" t="s">
        <v>3618</v>
      </c>
      <c r="P442" s="623" t="s">
        <v>3619</v>
      </c>
      <c r="Q442" s="623">
        <v>13752429150</v>
      </c>
      <c r="R442" s="632" t="s">
        <v>3620</v>
      </c>
      <c r="S442" s="623" t="s">
        <v>3564</v>
      </c>
      <c r="T442" s="624"/>
    </row>
    <row r="443" spans="1:20" s="662" customFormat="1" ht="24.95" customHeight="1">
      <c r="A443" s="708">
        <v>75</v>
      </c>
      <c r="B443" s="664" t="s">
        <v>1546</v>
      </c>
      <c r="C443" s="665" t="s">
        <v>34</v>
      </c>
      <c r="D443" s="664" t="s">
        <v>3701</v>
      </c>
      <c r="E443" s="669">
        <v>726</v>
      </c>
      <c r="F443" s="663"/>
      <c r="G443" s="645" t="s">
        <v>33</v>
      </c>
      <c r="H443" s="645" t="s">
        <v>33</v>
      </c>
      <c r="I443" s="624"/>
      <c r="J443" s="624"/>
      <c r="K443" s="624"/>
      <c r="L443" s="624"/>
      <c r="M443" s="684">
        <v>218442.48800000001</v>
      </c>
      <c r="N443" s="622" t="s">
        <v>3939</v>
      </c>
      <c r="O443" s="623" t="s">
        <v>3618</v>
      </c>
      <c r="P443" s="623" t="s">
        <v>3619</v>
      </c>
      <c r="Q443" s="623">
        <v>13752429150</v>
      </c>
      <c r="R443" s="632" t="s">
        <v>3620</v>
      </c>
      <c r="S443" s="623" t="s">
        <v>3564</v>
      </c>
      <c r="T443" s="624"/>
    </row>
    <row r="444" spans="1:20" s="662" customFormat="1" ht="24.95" customHeight="1">
      <c r="A444" s="708">
        <v>76</v>
      </c>
      <c r="B444" s="664" t="s">
        <v>1546</v>
      </c>
      <c r="C444" s="665" t="s">
        <v>34</v>
      </c>
      <c r="D444" s="664" t="s">
        <v>3701</v>
      </c>
      <c r="E444" s="669">
        <v>715</v>
      </c>
      <c r="F444" s="663"/>
      <c r="G444" s="645" t="s">
        <v>33</v>
      </c>
      <c r="H444" s="645" t="s">
        <v>33</v>
      </c>
      <c r="I444" s="624"/>
      <c r="J444" s="624"/>
      <c r="K444" s="624"/>
      <c r="L444" s="624"/>
      <c r="M444" s="684">
        <v>217663.71</v>
      </c>
      <c r="N444" s="622" t="s">
        <v>3939</v>
      </c>
      <c r="O444" s="623" t="s">
        <v>3618</v>
      </c>
      <c r="P444" s="623" t="s">
        <v>3619</v>
      </c>
      <c r="Q444" s="623">
        <v>13752429150</v>
      </c>
      <c r="R444" s="632" t="s">
        <v>3620</v>
      </c>
      <c r="S444" s="623" t="s">
        <v>3564</v>
      </c>
      <c r="T444" s="624"/>
    </row>
    <row r="445" spans="1:20" s="662" customFormat="1" ht="24.95" customHeight="1">
      <c r="A445" s="708">
        <v>77</v>
      </c>
      <c r="B445" s="664" t="s">
        <v>1546</v>
      </c>
      <c r="C445" s="665" t="s">
        <v>34</v>
      </c>
      <c r="D445" s="664" t="s">
        <v>3701</v>
      </c>
      <c r="E445" s="669">
        <v>288.75</v>
      </c>
      <c r="F445" s="663"/>
      <c r="G445" s="645" t="s">
        <v>33</v>
      </c>
      <c r="H445" s="645" t="s">
        <v>33</v>
      </c>
      <c r="I445" s="624"/>
      <c r="J445" s="624"/>
      <c r="K445" s="624"/>
      <c r="L445" s="624"/>
      <c r="M445" s="684">
        <v>87903.4</v>
      </c>
      <c r="N445" s="622" t="s">
        <v>3585</v>
      </c>
      <c r="O445" s="623" t="s">
        <v>3618</v>
      </c>
      <c r="P445" s="623" t="s">
        <v>3619</v>
      </c>
      <c r="Q445" s="623">
        <v>13752429150</v>
      </c>
      <c r="R445" s="632" t="s">
        <v>3620</v>
      </c>
      <c r="S445" s="623" t="s">
        <v>3564</v>
      </c>
      <c r="T445" s="624"/>
    </row>
    <row r="446" spans="1:20" s="662" customFormat="1" ht="24.95" customHeight="1">
      <c r="A446" s="708">
        <v>78</v>
      </c>
      <c r="B446" s="664" t="s">
        <v>1546</v>
      </c>
      <c r="C446" s="665" t="s">
        <v>34</v>
      </c>
      <c r="D446" s="664" t="s">
        <v>3701</v>
      </c>
      <c r="E446" s="669">
        <v>257.12</v>
      </c>
      <c r="F446" s="663"/>
      <c r="G446" s="645" t="s">
        <v>33</v>
      </c>
      <c r="H446" s="645" t="s">
        <v>33</v>
      </c>
      <c r="I446" s="624"/>
      <c r="J446" s="624"/>
      <c r="K446" s="624"/>
      <c r="L446" s="624"/>
      <c r="M446" s="684">
        <v>77363.388000000006</v>
      </c>
      <c r="N446" s="622" t="s">
        <v>3585</v>
      </c>
      <c r="O446" s="623" t="s">
        <v>3618</v>
      </c>
      <c r="P446" s="623" t="s">
        <v>3619</v>
      </c>
      <c r="Q446" s="623">
        <v>13752429150</v>
      </c>
      <c r="R446" s="632" t="s">
        <v>3620</v>
      </c>
      <c r="S446" s="623" t="s">
        <v>3564</v>
      </c>
      <c r="T446" s="624"/>
    </row>
    <row r="447" spans="1:20" s="662" customFormat="1" ht="24.95" customHeight="1">
      <c r="A447" s="708">
        <v>79</v>
      </c>
      <c r="B447" s="664" t="s">
        <v>1546</v>
      </c>
      <c r="C447" s="665" t="s">
        <v>3970</v>
      </c>
      <c r="D447" s="664" t="s">
        <v>3701</v>
      </c>
      <c r="E447" s="669">
        <v>325.38</v>
      </c>
      <c r="F447" s="663"/>
      <c r="G447" s="645" t="s">
        <v>33</v>
      </c>
      <c r="H447" s="645" t="s">
        <v>33</v>
      </c>
      <c r="I447" s="624"/>
      <c r="J447" s="624"/>
      <c r="K447" s="624"/>
      <c r="L447" s="624"/>
      <c r="M447" s="684">
        <v>97901.945999999996</v>
      </c>
      <c r="N447" s="622" t="s">
        <v>3635</v>
      </c>
      <c r="O447" s="623" t="s">
        <v>3618</v>
      </c>
      <c r="P447" s="623" t="s">
        <v>3619</v>
      </c>
      <c r="Q447" s="623">
        <v>13752429150</v>
      </c>
      <c r="R447" s="632" t="s">
        <v>3620</v>
      </c>
      <c r="S447" s="623" t="s">
        <v>3564</v>
      </c>
      <c r="T447" s="624"/>
    </row>
    <row r="448" spans="1:20" s="662" customFormat="1" ht="24.95" customHeight="1">
      <c r="A448" s="708">
        <v>80</v>
      </c>
      <c r="B448" s="664" t="s">
        <v>1546</v>
      </c>
      <c r="C448" s="665" t="s">
        <v>3971</v>
      </c>
      <c r="D448" s="664" t="s">
        <v>3701</v>
      </c>
      <c r="E448" s="669">
        <v>203.28</v>
      </c>
      <c r="F448" s="663"/>
      <c r="G448" s="645" t="s">
        <v>33</v>
      </c>
      <c r="H448" s="645" t="s">
        <v>33</v>
      </c>
      <c r="I448" s="624"/>
      <c r="J448" s="624"/>
      <c r="K448" s="624"/>
      <c r="L448" s="624"/>
      <c r="M448" s="684">
        <v>61883.466</v>
      </c>
      <c r="N448" s="622" t="s">
        <v>3635</v>
      </c>
      <c r="O448" s="623" t="s">
        <v>3618</v>
      </c>
      <c r="P448" s="623" t="s">
        <v>3619</v>
      </c>
      <c r="Q448" s="623">
        <v>13752429150</v>
      </c>
      <c r="R448" s="632" t="s">
        <v>3620</v>
      </c>
      <c r="S448" s="623" t="s">
        <v>3564</v>
      </c>
      <c r="T448" s="624"/>
    </row>
    <row r="449" spans="1:20" s="662" customFormat="1" ht="24.95" customHeight="1">
      <c r="A449" s="708">
        <v>81</v>
      </c>
      <c r="B449" s="664" t="s">
        <v>1595</v>
      </c>
      <c r="C449" s="665" t="s">
        <v>3972</v>
      </c>
      <c r="D449" s="664" t="s">
        <v>161</v>
      </c>
      <c r="E449" s="669">
        <v>22992</v>
      </c>
      <c r="F449" s="663"/>
      <c r="G449" s="645" t="s">
        <v>33</v>
      </c>
      <c r="H449" s="645" t="s">
        <v>33</v>
      </c>
      <c r="I449" s="624"/>
      <c r="J449" s="624"/>
      <c r="K449" s="624"/>
      <c r="L449" s="624"/>
      <c r="M449" s="684">
        <v>79149.452000000005</v>
      </c>
      <c r="N449" s="622" t="s">
        <v>3635</v>
      </c>
      <c r="O449" s="623" t="s">
        <v>3618</v>
      </c>
      <c r="P449" s="623" t="s">
        <v>3619</v>
      </c>
      <c r="Q449" s="623">
        <v>13752429150</v>
      </c>
      <c r="R449" s="632" t="s">
        <v>3620</v>
      </c>
      <c r="S449" s="623" t="s">
        <v>3564</v>
      </c>
      <c r="T449" s="624"/>
    </row>
    <row r="450" spans="1:20" s="662" customFormat="1" ht="24.95" customHeight="1">
      <c r="A450" s="708">
        <v>82</v>
      </c>
      <c r="B450" s="664" t="s">
        <v>1595</v>
      </c>
      <c r="C450" s="665" t="s">
        <v>3973</v>
      </c>
      <c r="D450" s="664" t="s">
        <v>161</v>
      </c>
      <c r="E450" s="669">
        <v>60144</v>
      </c>
      <c r="F450" s="663"/>
      <c r="G450" s="645" t="s">
        <v>33</v>
      </c>
      <c r="H450" s="645" t="s">
        <v>33</v>
      </c>
      <c r="I450" s="624"/>
      <c r="J450" s="624"/>
      <c r="K450" s="624"/>
      <c r="L450" s="624"/>
      <c r="M450" s="684">
        <v>100594.834</v>
      </c>
      <c r="N450" s="622" t="s">
        <v>3635</v>
      </c>
      <c r="O450" s="623" t="s">
        <v>3618</v>
      </c>
      <c r="P450" s="623" t="s">
        <v>3619</v>
      </c>
      <c r="Q450" s="623">
        <v>13752429150</v>
      </c>
      <c r="R450" s="632" t="s">
        <v>3620</v>
      </c>
      <c r="S450" s="623" t="s">
        <v>3564</v>
      </c>
      <c r="T450" s="624"/>
    </row>
    <row r="451" spans="1:20" ht="24.95" customHeight="1">
      <c r="A451" s="708">
        <v>83</v>
      </c>
      <c r="B451" s="623" t="s">
        <v>1546</v>
      </c>
      <c r="C451" s="623" t="s">
        <v>3974</v>
      </c>
      <c r="D451" s="623" t="s">
        <v>3701</v>
      </c>
      <c r="E451" s="158">
        <v>3110</v>
      </c>
      <c r="F451" s="158" t="s">
        <v>34</v>
      </c>
      <c r="G451" s="623" t="s">
        <v>32</v>
      </c>
      <c r="H451" s="623" t="s">
        <v>33</v>
      </c>
      <c r="I451" s="623" t="s">
        <v>34</v>
      </c>
      <c r="J451" s="623" t="s">
        <v>34</v>
      </c>
      <c r="K451" s="623" t="s">
        <v>34</v>
      </c>
      <c r="L451" s="624">
        <v>5187480</v>
      </c>
      <c r="M451" s="242">
        <v>0</v>
      </c>
      <c r="N451" s="622" t="s">
        <v>3975</v>
      </c>
      <c r="O451" s="102" t="s">
        <v>3683</v>
      </c>
      <c r="P451" s="102" t="s">
        <v>3684</v>
      </c>
      <c r="Q451" s="102">
        <v>18649012127</v>
      </c>
      <c r="R451" s="623" t="s">
        <v>3685</v>
      </c>
      <c r="S451" s="623" t="s">
        <v>3564</v>
      </c>
      <c r="T451" s="624"/>
    </row>
    <row r="452" spans="1:20" ht="24.95" customHeight="1">
      <c r="A452" s="708">
        <v>84</v>
      </c>
      <c r="B452" s="641" t="s">
        <v>1546</v>
      </c>
      <c r="C452" s="641" t="s">
        <v>3976</v>
      </c>
      <c r="D452" s="641" t="s">
        <v>3701</v>
      </c>
      <c r="E452" s="362">
        <v>180</v>
      </c>
      <c r="F452" s="158" t="s">
        <v>34</v>
      </c>
      <c r="G452" s="623" t="s">
        <v>32</v>
      </c>
      <c r="H452" s="623" t="s">
        <v>33</v>
      </c>
      <c r="I452" s="623" t="s">
        <v>34</v>
      </c>
      <c r="J452" s="623" t="s">
        <v>34</v>
      </c>
      <c r="K452" s="623" t="s">
        <v>34</v>
      </c>
      <c r="L452" s="624">
        <v>279000</v>
      </c>
      <c r="M452" s="242">
        <v>0</v>
      </c>
      <c r="N452" s="622" t="s">
        <v>197</v>
      </c>
      <c r="O452" s="102" t="s">
        <v>3683</v>
      </c>
      <c r="P452" s="102" t="s">
        <v>3684</v>
      </c>
      <c r="Q452" s="102">
        <v>18649012128</v>
      </c>
      <c r="R452" s="623" t="s">
        <v>3685</v>
      </c>
      <c r="S452" s="623" t="s">
        <v>3564</v>
      </c>
      <c r="T452" s="624"/>
    </row>
    <row r="453" spans="1:20" ht="24.95" customHeight="1">
      <c r="A453" s="708">
        <v>85</v>
      </c>
      <c r="B453" s="641" t="s">
        <v>1546</v>
      </c>
      <c r="C453" s="641" t="s">
        <v>3972</v>
      </c>
      <c r="D453" s="641" t="s">
        <v>3701</v>
      </c>
      <c r="E453" s="733">
        <v>311.04000000000002</v>
      </c>
      <c r="F453" s="158" t="s">
        <v>34</v>
      </c>
      <c r="G453" s="623" t="s">
        <v>32</v>
      </c>
      <c r="H453" s="623" t="s">
        <v>33</v>
      </c>
      <c r="I453" s="623" t="s">
        <v>34</v>
      </c>
      <c r="J453" s="623" t="s">
        <v>34</v>
      </c>
      <c r="K453" s="623" t="s">
        <v>34</v>
      </c>
      <c r="L453" s="624">
        <v>534988.80000000005</v>
      </c>
      <c r="M453" s="242">
        <v>0</v>
      </c>
      <c r="N453" s="622" t="s">
        <v>3140</v>
      </c>
      <c r="O453" s="102" t="s">
        <v>3683</v>
      </c>
      <c r="P453" s="102" t="s">
        <v>3684</v>
      </c>
      <c r="Q453" s="102">
        <v>18649012128</v>
      </c>
      <c r="R453" s="623" t="s">
        <v>3685</v>
      </c>
      <c r="S453" s="623" t="s">
        <v>3564</v>
      </c>
      <c r="T453" s="624"/>
    </row>
    <row r="454" spans="1:20" ht="24.95" customHeight="1">
      <c r="A454" s="708">
        <v>86</v>
      </c>
      <c r="B454" s="641" t="s">
        <v>1546</v>
      </c>
      <c r="C454" s="641" t="s">
        <v>3973</v>
      </c>
      <c r="D454" s="641" t="s">
        <v>3701</v>
      </c>
      <c r="E454" s="733">
        <v>131.84</v>
      </c>
      <c r="F454" s="158" t="s">
        <v>34</v>
      </c>
      <c r="G454" s="623" t="s">
        <v>32</v>
      </c>
      <c r="H454" s="623" t="s">
        <v>33</v>
      </c>
      <c r="I454" s="623" t="s">
        <v>34</v>
      </c>
      <c r="J454" s="623" t="s">
        <v>34</v>
      </c>
      <c r="K454" s="623" t="s">
        <v>34</v>
      </c>
      <c r="L454" s="624">
        <v>226764.79999999999</v>
      </c>
      <c r="M454" s="242">
        <v>0</v>
      </c>
      <c r="N454" s="622" t="s">
        <v>3140</v>
      </c>
      <c r="O454" s="102" t="s">
        <v>3683</v>
      </c>
      <c r="P454" s="102" t="s">
        <v>3684</v>
      </c>
      <c r="Q454" s="102">
        <v>18649012128</v>
      </c>
      <c r="R454" s="623" t="s">
        <v>3685</v>
      </c>
      <c r="S454" s="623" t="s">
        <v>3564</v>
      </c>
      <c r="T454" s="624"/>
    </row>
    <row r="455" spans="1:20" ht="24.95" customHeight="1">
      <c r="A455" s="708">
        <v>87</v>
      </c>
      <c r="B455" s="641" t="s">
        <v>1546</v>
      </c>
      <c r="C455" s="641" t="s">
        <v>3977</v>
      </c>
      <c r="D455" s="641" t="s">
        <v>3701</v>
      </c>
      <c r="E455" s="733">
        <v>42.24</v>
      </c>
      <c r="F455" s="158" t="s">
        <v>34</v>
      </c>
      <c r="G455" s="623" t="s">
        <v>32</v>
      </c>
      <c r="H455" s="623" t="s">
        <v>33</v>
      </c>
      <c r="I455" s="623" t="s">
        <v>34</v>
      </c>
      <c r="J455" s="623" t="s">
        <v>34</v>
      </c>
      <c r="K455" s="623" t="s">
        <v>34</v>
      </c>
      <c r="L455" s="624">
        <v>72652.800000000003</v>
      </c>
      <c r="M455" s="242">
        <v>0</v>
      </c>
      <c r="N455" s="622" t="s">
        <v>3140</v>
      </c>
      <c r="O455" s="102" t="s">
        <v>3683</v>
      </c>
      <c r="P455" s="102" t="s">
        <v>3684</v>
      </c>
      <c r="Q455" s="102">
        <v>18649012128</v>
      </c>
      <c r="R455" s="623" t="s">
        <v>3685</v>
      </c>
      <c r="S455" s="623" t="s">
        <v>3564</v>
      </c>
      <c r="T455" s="624"/>
    </row>
    <row r="456" spans="1:20" ht="24.95" customHeight="1">
      <c r="A456" s="708">
        <v>88</v>
      </c>
      <c r="B456" s="641" t="s">
        <v>1546</v>
      </c>
      <c r="C456" s="641" t="s">
        <v>3978</v>
      </c>
      <c r="D456" s="641" t="s">
        <v>3701</v>
      </c>
      <c r="E456" s="733">
        <v>13.68</v>
      </c>
      <c r="F456" s="158" t="s">
        <v>34</v>
      </c>
      <c r="G456" s="623" t="s">
        <v>32</v>
      </c>
      <c r="H456" s="623" t="s">
        <v>33</v>
      </c>
      <c r="I456" s="623" t="s">
        <v>34</v>
      </c>
      <c r="J456" s="623" t="s">
        <v>34</v>
      </c>
      <c r="K456" s="623" t="s">
        <v>34</v>
      </c>
      <c r="L456" s="624">
        <v>23529.599999999999</v>
      </c>
      <c r="M456" s="242">
        <v>0</v>
      </c>
      <c r="N456" s="622" t="s">
        <v>3140</v>
      </c>
      <c r="O456" s="102" t="s">
        <v>3683</v>
      </c>
      <c r="P456" s="102" t="s">
        <v>3684</v>
      </c>
      <c r="Q456" s="102">
        <v>18649012128</v>
      </c>
      <c r="R456" s="623" t="s">
        <v>3685</v>
      </c>
      <c r="S456" s="623" t="s">
        <v>3564</v>
      </c>
      <c r="T456" s="624"/>
    </row>
    <row r="457" spans="1:20" s="739" customFormat="1" ht="24.95" customHeight="1">
      <c r="A457" s="708">
        <v>89</v>
      </c>
      <c r="B457" s="734" t="s">
        <v>1546</v>
      </c>
      <c r="C457" s="734" t="s">
        <v>3973</v>
      </c>
      <c r="D457" s="735" t="s">
        <v>3701</v>
      </c>
      <c r="E457" s="736">
        <v>820</v>
      </c>
      <c r="F457" s="372" t="s">
        <v>34</v>
      </c>
      <c r="G457" s="735" t="s">
        <v>32</v>
      </c>
      <c r="H457" s="735" t="s">
        <v>33</v>
      </c>
      <c r="I457" s="735" t="s">
        <v>34</v>
      </c>
      <c r="J457" s="735" t="s">
        <v>34</v>
      </c>
      <c r="K457" s="735" t="s">
        <v>34</v>
      </c>
      <c r="L457" s="737">
        <v>1410400</v>
      </c>
      <c r="M457" s="369">
        <v>0</v>
      </c>
      <c r="N457" s="738" t="s">
        <v>3601</v>
      </c>
      <c r="O457" s="219" t="s">
        <v>3683</v>
      </c>
      <c r="P457" s="219" t="s">
        <v>3684</v>
      </c>
      <c r="Q457" s="219">
        <v>18649012127</v>
      </c>
      <c r="R457" s="735" t="s">
        <v>3685</v>
      </c>
      <c r="S457" s="735" t="s">
        <v>3564</v>
      </c>
      <c r="T457" s="737"/>
    </row>
    <row r="458" spans="1:20" s="739" customFormat="1" ht="24.95" customHeight="1">
      <c r="A458" s="708">
        <v>90</v>
      </c>
      <c r="B458" s="740" t="s">
        <v>1546</v>
      </c>
      <c r="C458" s="741" t="s">
        <v>3977</v>
      </c>
      <c r="D458" s="634" t="s">
        <v>3701</v>
      </c>
      <c r="E458" s="741">
        <v>86.66</v>
      </c>
      <c r="F458" s="635" t="s">
        <v>34</v>
      </c>
      <c r="G458" s="634" t="s">
        <v>32</v>
      </c>
      <c r="H458" s="634" t="s">
        <v>33</v>
      </c>
      <c r="I458" s="634" t="s">
        <v>34</v>
      </c>
      <c r="J458" s="634" t="s">
        <v>34</v>
      </c>
      <c r="K458" s="634" t="s">
        <v>34</v>
      </c>
      <c r="L458" s="636">
        <v>149055.20000000001</v>
      </c>
      <c r="M458" s="742">
        <v>0</v>
      </c>
      <c r="N458" s="743" t="s">
        <v>1956</v>
      </c>
      <c r="O458" s="197" t="s">
        <v>3683</v>
      </c>
      <c r="P458" s="197" t="s">
        <v>3684</v>
      </c>
      <c r="Q458" s="197">
        <v>18649012127</v>
      </c>
      <c r="R458" s="634" t="s">
        <v>3685</v>
      </c>
      <c r="S458" s="634" t="s">
        <v>3564</v>
      </c>
      <c r="T458" s="737"/>
    </row>
    <row r="459" spans="1:20" s="739" customFormat="1" ht="24.95" customHeight="1">
      <c r="A459" s="708">
        <v>91</v>
      </c>
      <c r="B459" s="740" t="s">
        <v>1546</v>
      </c>
      <c r="C459" s="741" t="s">
        <v>3979</v>
      </c>
      <c r="D459" s="634" t="s">
        <v>3701</v>
      </c>
      <c r="E459" s="741">
        <v>110.26</v>
      </c>
      <c r="F459" s="635" t="s">
        <v>34</v>
      </c>
      <c r="G459" s="634" t="s">
        <v>32</v>
      </c>
      <c r="H459" s="634" t="s">
        <v>33</v>
      </c>
      <c r="I459" s="634" t="s">
        <v>34</v>
      </c>
      <c r="J459" s="634" t="s">
        <v>34</v>
      </c>
      <c r="K459" s="634" t="s">
        <v>34</v>
      </c>
      <c r="L459" s="636">
        <v>189647.2</v>
      </c>
      <c r="M459" s="742">
        <v>0</v>
      </c>
      <c r="N459" s="743" t="s">
        <v>1956</v>
      </c>
      <c r="O459" s="197" t="s">
        <v>3683</v>
      </c>
      <c r="P459" s="197" t="s">
        <v>3684</v>
      </c>
      <c r="Q459" s="197">
        <v>18649012127</v>
      </c>
      <c r="R459" s="634" t="s">
        <v>3685</v>
      </c>
      <c r="S459" s="634" t="s">
        <v>3564</v>
      </c>
      <c r="T459" s="737"/>
    </row>
    <row r="460" spans="1:20" s="739" customFormat="1" ht="24.95" customHeight="1">
      <c r="A460" s="708">
        <v>92</v>
      </c>
      <c r="B460" s="740" t="s">
        <v>1546</v>
      </c>
      <c r="C460" s="741" t="s">
        <v>3977</v>
      </c>
      <c r="D460" s="634" t="s">
        <v>3701</v>
      </c>
      <c r="E460" s="741">
        <v>454.35</v>
      </c>
      <c r="F460" s="635" t="s">
        <v>34</v>
      </c>
      <c r="G460" s="634" t="s">
        <v>32</v>
      </c>
      <c r="H460" s="634" t="s">
        <v>33</v>
      </c>
      <c r="I460" s="634" t="s">
        <v>34</v>
      </c>
      <c r="J460" s="634" t="s">
        <v>34</v>
      </c>
      <c r="K460" s="634" t="s">
        <v>34</v>
      </c>
      <c r="L460" s="636">
        <v>781480.62999844505</v>
      </c>
      <c r="M460" s="742">
        <v>0</v>
      </c>
      <c r="N460" s="743" t="s">
        <v>1956</v>
      </c>
      <c r="O460" s="197" t="s">
        <v>3683</v>
      </c>
      <c r="P460" s="197" t="s">
        <v>3684</v>
      </c>
      <c r="Q460" s="197">
        <v>18649012127</v>
      </c>
      <c r="R460" s="634" t="s">
        <v>3685</v>
      </c>
      <c r="S460" s="634" t="s">
        <v>3564</v>
      </c>
      <c r="T460" s="737"/>
    </row>
    <row r="461" spans="1:20" s="739" customFormat="1" ht="24.95" customHeight="1">
      <c r="A461" s="708">
        <v>93</v>
      </c>
      <c r="B461" s="740" t="s">
        <v>1546</v>
      </c>
      <c r="C461" s="741" t="s">
        <v>3978</v>
      </c>
      <c r="D461" s="634" t="s">
        <v>3701</v>
      </c>
      <c r="E461" s="741">
        <v>60</v>
      </c>
      <c r="F461" s="635" t="s">
        <v>34</v>
      </c>
      <c r="G461" s="634" t="s">
        <v>32</v>
      </c>
      <c r="H461" s="634" t="s">
        <v>33</v>
      </c>
      <c r="I461" s="634" t="s">
        <v>34</v>
      </c>
      <c r="J461" s="634" t="s">
        <v>34</v>
      </c>
      <c r="K461" s="634" t="s">
        <v>34</v>
      </c>
      <c r="L461" s="636">
        <v>103200</v>
      </c>
      <c r="M461" s="742">
        <v>0</v>
      </c>
      <c r="N461" s="743" t="s">
        <v>1956</v>
      </c>
      <c r="O461" s="197" t="s">
        <v>3683</v>
      </c>
      <c r="P461" s="197" t="s">
        <v>3684</v>
      </c>
      <c r="Q461" s="197">
        <v>18649012127</v>
      </c>
      <c r="R461" s="634" t="s">
        <v>3685</v>
      </c>
      <c r="S461" s="634" t="s">
        <v>3564</v>
      </c>
      <c r="T461" s="737"/>
    </row>
    <row r="462" spans="1:20" s="739" customFormat="1" ht="24.95" customHeight="1">
      <c r="A462" s="708">
        <v>94</v>
      </c>
      <c r="B462" s="740" t="s">
        <v>1546</v>
      </c>
      <c r="C462" s="741" t="s">
        <v>3980</v>
      </c>
      <c r="D462" s="634" t="s">
        <v>3701</v>
      </c>
      <c r="E462" s="741">
        <v>145.5</v>
      </c>
      <c r="F462" s="635" t="s">
        <v>34</v>
      </c>
      <c r="G462" s="634" t="s">
        <v>32</v>
      </c>
      <c r="H462" s="634" t="s">
        <v>33</v>
      </c>
      <c r="I462" s="634" t="s">
        <v>34</v>
      </c>
      <c r="J462" s="634" t="s">
        <v>34</v>
      </c>
      <c r="K462" s="634" t="s">
        <v>34</v>
      </c>
      <c r="L462" s="636">
        <v>250260</v>
      </c>
      <c r="M462" s="742">
        <v>0</v>
      </c>
      <c r="N462" s="743" t="s">
        <v>1956</v>
      </c>
      <c r="O462" s="197" t="s">
        <v>3683</v>
      </c>
      <c r="P462" s="197" t="s">
        <v>3684</v>
      </c>
      <c r="Q462" s="197">
        <v>18649012127</v>
      </c>
      <c r="R462" s="634" t="s">
        <v>3685</v>
      </c>
      <c r="S462" s="634" t="s">
        <v>3564</v>
      </c>
      <c r="T462" s="737"/>
    </row>
    <row r="463" spans="1:20" ht="24.95" customHeight="1">
      <c r="A463" s="708">
        <v>95</v>
      </c>
      <c r="B463" s="641" t="s">
        <v>1593</v>
      </c>
      <c r="C463" s="641" t="s">
        <v>3981</v>
      </c>
      <c r="D463" s="641" t="s">
        <v>3701</v>
      </c>
      <c r="E463" s="362">
        <v>49.74</v>
      </c>
      <c r="F463" s="158" t="s">
        <v>34</v>
      </c>
      <c r="G463" s="623" t="s">
        <v>32</v>
      </c>
      <c r="H463" s="623" t="s">
        <v>33</v>
      </c>
      <c r="I463" s="623" t="s">
        <v>34</v>
      </c>
      <c r="J463" s="623" t="s">
        <v>34</v>
      </c>
      <c r="K463" s="623" t="s">
        <v>34</v>
      </c>
      <c r="L463" s="624">
        <v>5869.32</v>
      </c>
      <c r="M463" s="242">
        <v>0</v>
      </c>
      <c r="N463" s="622" t="s">
        <v>3982</v>
      </c>
      <c r="O463" s="102" t="s">
        <v>3683</v>
      </c>
      <c r="P463" s="102" t="s">
        <v>3684</v>
      </c>
      <c r="Q463" s="102">
        <v>18649012127</v>
      </c>
      <c r="R463" s="623" t="s">
        <v>3685</v>
      </c>
      <c r="S463" s="623" t="s">
        <v>3564</v>
      </c>
      <c r="T463" s="624"/>
    </row>
    <row r="464" spans="1:20" ht="24.95" customHeight="1">
      <c r="A464" s="708">
        <v>96</v>
      </c>
      <c r="B464" s="641" t="s">
        <v>1593</v>
      </c>
      <c r="C464" s="641" t="s">
        <v>3983</v>
      </c>
      <c r="D464" s="641" t="s">
        <v>3701</v>
      </c>
      <c r="E464" s="362">
        <f>3900*6+1000</f>
        <v>24400</v>
      </c>
      <c r="F464" s="158" t="s">
        <v>34</v>
      </c>
      <c r="G464" s="623" t="s">
        <v>32</v>
      </c>
      <c r="H464" s="623" t="s">
        <v>33</v>
      </c>
      <c r="I464" s="623" t="s">
        <v>34</v>
      </c>
      <c r="J464" s="623" t="s">
        <v>34</v>
      </c>
      <c r="K464" s="623" t="s">
        <v>34</v>
      </c>
      <c r="L464" s="624">
        <v>695400</v>
      </c>
      <c r="M464" s="242">
        <v>0</v>
      </c>
      <c r="N464" s="622" t="s">
        <v>197</v>
      </c>
      <c r="O464" s="102" t="s">
        <v>3683</v>
      </c>
      <c r="P464" s="102" t="s">
        <v>3684</v>
      </c>
      <c r="Q464" s="102">
        <v>18649012128</v>
      </c>
      <c r="R464" s="623" t="s">
        <v>3685</v>
      </c>
      <c r="S464" s="623" t="s">
        <v>3564</v>
      </c>
      <c r="T464" s="624"/>
    </row>
    <row r="465" spans="1:20" ht="24.95" customHeight="1">
      <c r="A465" s="708">
        <v>97</v>
      </c>
      <c r="B465" s="623" t="s">
        <v>3704</v>
      </c>
      <c r="C465" s="623" t="s">
        <v>1860</v>
      </c>
      <c r="D465" s="623" t="s">
        <v>888</v>
      </c>
      <c r="E465" s="623">
        <v>24485</v>
      </c>
      <c r="F465" s="623" t="s">
        <v>34</v>
      </c>
      <c r="G465" s="623" t="s">
        <v>32</v>
      </c>
      <c r="H465" s="623" t="s">
        <v>33</v>
      </c>
      <c r="I465" s="623" t="s">
        <v>34</v>
      </c>
      <c r="J465" s="623" t="s">
        <v>34</v>
      </c>
      <c r="K465" s="623" t="s">
        <v>34</v>
      </c>
      <c r="L465" s="624">
        <v>788417</v>
      </c>
      <c r="M465" s="242">
        <v>0</v>
      </c>
      <c r="N465" s="622" t="s">
        <v>205</v>
      </c>
      <c r="O465" s="102" t="s">
        <v>3683</v>
      </c>
      <c r="P465" s="102" t="s">
        <v>3684</v>
      </c>
      <c r="Q465" s="102">
        <v>18649012127</v>
      </c>
      <c r="R465" s="623" t="s">
        <v>3685</v>
      </c>
      <c r="S465" s="623" t="s">
        <v>3564</v>
      </c>
      <c r="T465" s="624"/>
    </row>
    <row r="466" spans="1:20" ht="24.95" customHeight="1">
      <c r="A466" s="708">
        <v>98</v>
      </c>
      <c r="B466" s="623" t="s">
        <v>1605</v>
      </c>
      <c r="C466" s="641" t="s">
        <v>3984</v>
      </c>
      <c r="D466" s="641" t="s">
        <v>79</v>
      </c>
      <c r="E466" s="641">
        <v>64</v>
      </c>
      <c r="F466" s="623" t="s">
        <v>34</v>
      </c>
      <c r="G466" s="623" t="s">
        <v>32</v>
      </c>
      <c r="H466" s="623" t="s">
        <v>33</v>
      </c>
      <c r="I466" s="623" t="s">
        <v>34</v>
      </c>
      <c r="J466" s="623" t="s">
        <v>34</v>
      </c>
      <c r="K466" s="623" t="s">
        <v>34</v>
      </c>
      <c r="L466" s="624">
        <v>46400</v>
      </c>
      <c r="M466" s="242">
        <v>0</v>
      </c>
      <c r="N466" s="622" t="s">
        <v>1954</v>
      </c>
      <c r="O466" s="102" t="s">
        <v>3683</v>
      </c>
      <c r="P466" s="102" t="s">
        <v>3684</v>
      </c>
      <c r="Q466" s="102">
        <v>18649012127</v>
      </c>
      <c r="R466" s="623" t="s">
        <v>3685</v>
      </c>
      <c r="S466" s="623" t="s">
        <v>3564</v>
      </c>
      <c r="T466" s="624"/>
    </row>
    <row r="467" spans="1:20" ht="24.95" customHeight="1">
      <c r="A467" s="708">
        <v>99</v>
      </c>
      <c r="B467" s="623" t="s">
        <v>1605</v>
      </c>
      <c r="C467" s="641" t="s">
        <v>3985</v>
      </c>
      <c r="D467" s="641" t="s">
        <v>79</v>
      </c>
      <c r="E467" s="641">
        <v>219</v>
      </c>
      <c r="F467" s="623" t="s">
        <v>34</v>
      </c>
      <c r="G467" s="623" t="s">
        <v>32</v>
      </c>
      <c r="H467" s="623" t="s">
        <v>33</v>
      </c>
      <c r="I467" s="623" t="s">
        <v>34</v>
      </c>
      <c r="J467" s="623" t="s">
        <v>34</v>
      </c>
      <c r="K467" s="623" t="s">
        <v>34</v>
      </c>
      <c r="L467" s="624">
        <v>136218</v>
      </c>
      <c r="M467" s="242">
        <v>0</v>
      </c>
      <c r="N467" s="622" t="s">
        <v>1954</v>
      </c>
      <c r="O467" s="102" t="s">
        <v>3683</v>
      </c>
      <c r="P467" s="102" t="s">
        <v>3684</v>
      </c>
      <c r="Q467" s="102">
        <v>18649012127</v>
      </c>
      <c r="R467" s="623" t="s">
        <v>3685</v>
      </c>
      <c r="S467" s="623" t="s">
        <v>3564</v>
      </c>
      <c r="T467" s="624"/>
    </row>
    <row r="468" spans="1:20" ht="24.95" customHeight="1">
      <c r="A468" s="708">
        <v>100</v>
      </c>
      <c r="B468" s="623" t="s">
        <v>1605</v>
      </c>
      <c r="C468" s="641" t="s">
        <v>3986</v>
      </c>
      <c r="D468" s="641" t="s">
        <v>79</v>
      </c>
      <c r="E468" s="641">
        <v>94</v>
      </c>
      <c r="F468" s="623" t="s">
        <v>34</v>
      </c>
      <c r="G468" s="623" t="s">
        <v>32</v>
      </c>
      <c r="H468" s="623" t="s">
        <v>33</v>
      </c>
      <c r="I468" s="623" t="s">
        <v>34</v>
      </c>
      <c r="J468" s="623" t="s">
        <v>34</v>
      </c>
      <c r="K468" s="623" t="s">
        <v>34</v>
      </c>
      <c r="L468" s="624">
        <v>58468</v>
      </c>
      <c r="M468" s="242">
        <v>0</v>
      </c>
      <c r="N468" s="622" t="s">
        <v>1954</v>
      </c>
      <c r="O468" s="102" t="s">
        <v>3683</v>
      </c>
      <c r="P468" s="102" t="s">
        <v>3684</v>
      </c>
      <c r="Q468" s="102">
        <v>18649012127</v>
      </c>
      <c r="R468" s="623" t="s">
        <v>3685</v>
      </c>
      <c r="S468" s="623" t="s">
        <v>3564</v>
      </c>
      <c r="T468" s="624"/>
    </row>
    <row r="469" spans="1:20" ht="24.95" customHeight="1">
      <c r="A469" s="708">
        <v>101</v>
      </c>
      <c r="B469" s="623" t="s">
        <v>3704</v>
      </c>
      <c r="C469" s="641" t="s">
        <v>3987</v>
      </c>
      <c r="D469" s="641" t="s">
        <v>888</v>
      </c>
      <c r="E469" s="641">
        <v>6362.91</v>
      </c>
      <c r="F469" s="623" t="s">
        <v>34</v>
      </c>
      <c r="G469" s="623" t="s">
        <v>32</v>
      </c>
      <c r="H469" s="623" t="s">
        <v>33</v>
      </c>
      <c r="I469" s="623" t="s">
        <v>34</v>
      </c>
      <c r="J469" s="623" t="s">
        <v>34</v>
      </c>
      <c r="K469" s="623" t="s">
        <v>34</v>
      </c>
      <c r="L469" s="624">
        <v>204885.70199999999</v>
      </c>
      <c r="M469" s="242">
        <v>0</v>
      </c>
      <c r="N469" s="622" t="s">
        <v>1954</v>
      </c>
      <c r="O469" s="102" t="s">
        <v>3683</v>
      </c>
      <c r="P469" s="102" t="s">
        <v>3684</v>
      </c>
      <c r="Q469" s="102">
        <v>18649012127</v>
      </c>
      <c r="R469" s="623" t="s">
        <v>3685</v>
      </c>
      <c r="S469" s="623" t="s">
        <v>3564</v>
      </c>
      <c r="T469" s="624"/>
    </row>
    <row r="470" spans="1:20" ht="24.95" customHeight="1">
      <c r="A470" s="708">
        <v>102</v>
      </c>
      <c r="B470" s="623" t="s">
        <v>3704</v>
      </c>
      <c r="C470" s="641" t="s">
        <v>3988</v>
      </c>
      <c r="D470" s="641" t="s">
        <v>888</v>
      </c>
      <c r="E470" s="641">
        <v>4792.6499999999996</v>
      </c>
      <c r="F470" s="623" t="s">
        <v>34</v>
      </c>
      <c r="G470" s="623" t="s">
        <v>32</v>
      </c>
      <c r="H470" s="623" t="s">
        <v>33</v>
      </c>
      <c r="I470" s="623" t="s">
        <v>34</v>
      </c>
      <c r="J470" s="623" t="s">
        <v>34</v>
      </c>
      <c r="K470" s="623" t="s">
        <v>34</v>
      </c>
      <c r="L470" s="624">
        <v>154323.32999999999</v>
      </c>
      <c r="M470" s="242">
        <v>0</v>
      </c>
      <c r="N470" s="622" t="s">
        <v>1954</v>
      </c>
      <c r="O470" s="102" t="s">
        <v>3683</v>
      </c>
      <c r="P470" s="102" t="s">
        <v>3684</v>
      </c>
      <c r="Q470" s="102">
        <v>18649012127</v>
      </c>
      <c r="R470" s="623" t="s">
        <v>3685</v>
      </c>
      <c r="S470" s="623" t="s">
        <v>3564</v>
      </c>
      <c r="T470" s="624"/>
    </row>
    <row r="471" spans="1:20" ht="24.95" customHeight="1">
      <c r="A471" s="708">
        <v>103</v>
      </c>
      <c r="B471" s="158" t="s">
        <v>1981</v>
      </c>
      <c r="C471" s="641" t="s">
        <v>3989</v>
      </c>
      <c r="D471" s="641" t="s">
        <v>79</v>
      </c>
      <c r="E471" s="733">
        <v>15</v>
      </c>
      <c r="F471" s="623" t="s">
        <v>34</v>
      </c>
      <c r="G471" s="623" t="s">
        <v>32</v>
      </c>
      <c r="H471" s="623" t="s">
        <v>33</v>
      </c>
      <c r="I471" s="623" t="s">
        <v>34</v>
      </c>
      <c r="J471" s="623" t="s">
        <v>34</v>
      </c>
      <c r="K471" s="623" t="s">
        <v>34</v>
      </c>
      <c r="L471" s="707">
        <v>69629.999026399993</v>
      </c>
      <c r="M471" s="242">
        <v>0</v>
      </c>
      <c r="N471" s="622" t="s">
        <v>3687</v>
      </c>
      <c r="O471" s="102" t="s">
        <v>3683</v>
      </c>
      <c r="P471" s="102" t="s">
        <v>3684</v>
      </c>
      <c r="Q471" s="102">
        <v>18649012127</v>
      </c>
      <c r="R471" s="623" t="s">
        <v>3685</v>
      </c>
      <c r="S471" s="623" t="s">
        <v>3564</v>
      </c>
      <c r="T471" s="624"/>
    </row>
    <row r="472" spans="1:20" ht="24.95" customHeight="1">
      <c r="A472" s="708">
        <v>104</v>
      </c>
      <c r="B472" s="158" t="s">
        <v>1981</v>
      </c>
      <c r="C472" s="641" t="s">
        <v>3990</v>
      </c>
      <c r="D472" s="641" t="s">
        <v>79</v>
      </c>
      <c r="E472" s="733">
        <v>1</v>
      </c>
      <c r="F472" s="623" t="s">
        <v>34</v>
      </c>
      <c r="G472" s="623" t="s">
        <v>32</v>
      </c>
      <c r="H472" s="623" t="s">
        <v>33</v>
      </c>
      <c r="I472" s="623" t="s">
        <v>34</v>
      </c>
      <c r="J472" s="623" t="s">
        <v>34</v>
      </c>
      <c r="K472" s="623" t="s">
        <v>34</v>
      </c>
      <c r="L472" s="707">
        <v>5969.00088495</v>
      </c>
      <c r="M472" s="242">
        <v>0</v>
      </c>
      <c r="N472" s="622" t="s">
        <v>3687</v>
      </c>
      <c r="O472" s="102" t="s">
        <v>3683</v>
      </c>
      <c r="P472" s="102" t="s">
        <v>3684</v>
      </c>
      <c r="Q472" s="102">
        <v>18649012127</v>
      </c>
      <c r="R472" s="623" t="s">
        <v>3685</v>
      </c>
      <c r="S472" s="623" t="s">
        <v>3564</v>
      </c>
      <c r="T472" s="624"/>
    </row>
    <row r="473" spans="1:20" ht="24.95" customHeight="1">
      <c r="A473" s="708">
        <v>105</v>
      </c>
      <c r="B473" s="158" t="s">
        <v>1981</v>
      </c>
      <c r="C473" s="641" t="s">
        <v>3991</v>
      </c>
      <c r="D473" s="641" t="s">
        <v>79</v>
      </c>
      <c r="E473" s="733">
        <v>2</v>
      </c>
      <c r="F473" s="623" t="s">
        <v>34</v>
      </c>
      <c r="G473" s="623" t="s">
        <v>32</v>
      </c>
      <c r="H473" s="623" t="s">
        <v>33</v>
      </c>
      <c r="I473" s="623" t="s">
        <v>34</v>
      </c>
      <c r="J473" s="623" t="s">
        <v>34</v>
      </c>
      <c r="K473" s="623" t="s">
        <v>34</v>
      </c>
      <c r="L473" s="707">
        <v>1809.999911504</v>
      </c>
      <c r="M473" s="242">
        <v>0</v>
      </c>
      <c r="N473" s="622" t="s">
        <v>3687</v>
      </c>
      <c r="O473" s="102" t="s">
        <v>3683</v>
      </c>
      <c r="P473" s="102" t="s">
        <v>3684</v>
      </c>
      <c r="Q473" s="102">
        <v>18649012127</v>
      </c>
      <c r="R473" s="623" t="s">
        <v>3685</v>
      </c>
      <c r="S473" s="623" t="s">
        <v>3564</v>
      </c>
      <c r="T473" s="624"/>
    </row>
    <row r="474" spans="1:20" ht="24.95" customHeight="1">
      <c r="A474" s="708">
        <v>106</v>
      </c>
      <c r="B474" s="158" t="s">
        <v>1981</v>
      </c>
      <c r="C474" s="641" t="s">
        <v>3992</v>
      </c>
      <c r="D474" s="641" t="s">
        <v>79</v>
      </c>
      <c r="E474" s="733">
        <v>75</v>
      </c>
      <c r="F474" s="623" t="s">
        <v>34</v>
      </c>
      <c r="G474" s="623" t="s">
        <v>32</v>
      </c>
      <c r="H474" s="623" t="s">
        <v>33</v>
      </c>
      <c r="I474" s="623" t="s">
        <v>34</v>
      </c>
      <c r="J474" s="623" t="s">
        <v>34</v>
      </c>
      <c r="K474" s="623" t="s">
        <v>34</v>
      </c>
      <c r="L474" s="707">
        <v>50850</v>
      </c>
      <c r="M474" s="242">
        <v>0</v>
      </c>
      <c r="N474" s="622" t="s">
        <v>3687</v>
      </c>
      <c r="O474" s="102" t="s">
        <v>3683</v>
      </c>
      <c r="P474" s="102" t="s">
        <v>3684</v>
      </c>
      <c r="Q474" s="102">
        <v>18649012127</v>
      </c>
      <c r="R474" s="623" t="s">
        <v>3685</v>
      </c>
      <c r="S474" s="623" t="s">
        <v>3564</v>
      </c>
      <c r="T474" s="624"/>
    </row>
    <row r="475" spans="1:20" ht="24.95" customHeight="1">
      <c r="A475" s="708">
        <v>107</v>
      </c>
      <c r="B475" s="158" t="s">
        <v>1981</v>
      </c>
      <c r="C475" s="641" t="s">
        <v>3993</v>
      </c>
      <c r="D475" s="641" t="s">
        <v>79</v>
      </c>
      <c r="E475" s="733">
        <v>51</v>
      </c>
      <c r="F475" s="623" t="s">
        <v>34</v>
      </c>
      <c r="G475" s="623" t="s">
        <v>32</v>
      </c>
      <c r="H475" s="623" t="s">
        <v>33</v>
      </c>
      <c r="I475" s="623" t="s">
        <v>34</v>
      </c>
      <c r="J475" s="623" t="s">
        <v>34</v>
      </c>
      <c r="K475" s="623" t="s">
        <v>34</v>
      </c>
      <c r="L475" s="707">
        <v>43247.996371676003</v>
      </c>
      <c r="M475" s="242">
        <v>0</v>
      </c>
      <c r="N475" s="622" t="s">
        <v>3687</v>
      </c>
      <c r="O475" s="102" t="s">
        <v>3683</v>
      </c>
      <c r="P475" s="102" t="s">
        <v>3684</v>
      </c>
      <c r="Q475" s="102">
        <v>18649012127</v>
      </c>
      <c r="R475" s="623" t="s">
        <v>3685</v>
      </c>
      <c r="S475" s="623" t="s">
        <v>3564</v>
      </c>
      <c r="T475" s="624"/>
    </row>
    <row r="476" spans="1:20" ht="24.95" customHeight="1">
      <c r="A476" s="708">
        <v>108</v>
      </c>
      <c r="B476" s="158" t="s">
        <v>1981</v>
      </c>
      <c r="C476" s="641" t="s">
        <v>3994</v>
      </c>
      <c r="D476" s="641" t="s">
        <v>79</v>
      </c>
      <c r="E476" s="733">
        <v>82</v>
      </c>
      <c r="F476" s="623" t="s">
        <v>34</v>
      </c>
      <c r="G476" s="623" t="s">
        <v>32</v>
      </c>
      <c r="H476" s="623" t="s">
        <v>33</v>
      </c>
      <c r="I476" s="623" t="s">
        <v>34</v>
      </c>
      <c r="J476" s="623" t="s">
        <v>34</v>
      </c>
      <c r="K476" s="623" t="s">
        <v>34</v>
      </c>
      <c r="L476" s="707">
        <v>64862</v>
      </c>
      <c r="M476" s="242">
        <v>0</v>
      </c>
      <c r="N476" s="622" t="s">
        <v>3687</v>
      </c>
      <c r="O476" s="102" t="s">
        <v>3683</v>
      </c>
      <c r="P476" s="102" t="s">
        <v>3684</v>
      </c>
      <c r="Q476" s="102">
        <v>18649012127</v>
      </c>
      <c r="R476" s="623" t="s">
        <v>3685</v>
      </c>
      <c r="S476" s="623" t="s">
        <v>3564</v>
      </c>
      <c r="T476" s="624"/>
    </row>
    <row r="477" spans="1:20" ht="24.95" customHeight="1">
      <c r="A477" s="708">
        <v>109</v>
      </c>
      <c r="B477" s="642" t="s">
        <v>3995</v>
      </c>
      <c r="C477" s="642"/>
      <c r="D477" s="642" t="s">
        <v>131</v>
      </c>
      <c r="E477" s="643">
        <v>14</v>
      </c>
      <c r="F477" s="158" t="s">
        <v>34</v>
      </c>
      <c r="G477" s="623" t="s">
        <v>3632</v>
      </c>
      <c r="H477" s="623" t="s">
        <v>41</v>
      </c>
      <c r="I477" s="623" t="s">
        <v>34</v>
      </c>
      <c r="J477" s="623" t="s">
        <v>34</v>
      </c>
      <c r="K477" s="623" t="s">
        <v>34</v>
      </c>
      <c r="L477" s="624"/>
      <c r="M477" s="158">
        <v>123689.32</v>
      </c>
      <c r="N477" s="622" t="s">
        <v>3996</v>
      </c>
      <c r="O477" s="623" t="s">
        <v>3618</v>
      </c>
      <c r="P477" s="623" t="s">
        <v>3619</v>
      </c>
      <c r="Q477" s="623">
        <v>13752429150</v>
      </c>
      <c r="R477" s="632" t="s">
        <v>3620</v>
      </c>
      <c r="S477" s="623" t="s">
        <v>3564</v>
      </c>
      <c r="T477" s="624"/>
    </row>
    <row r="478" spans="1:20" ht="24.95" customHeight="1">
      <c r="A478" s="708">
        <v>110</v>
      </c>
      <c r="B478" s="744" t="s">
        <v>3995</v>
      </c>
      <c r="C478" s="744"/>
      <c r="D478" s="744" t="s">
        <v>131</v>
      </c>
      <c r="E478" s="745">
        <v>4</v>
      </c>
      <c r="F478" s="158" t="s">
        <v>34</v>
      </c>
      <c r="G478" s="623" t="s">
        <v>3632</v>
      </c>
      <c r="H478" s="623" t="s">
        <v>41</v>
      </c>
      <c r="I478" s="623" t="s">
        <v>34</v>
      </c>
      <c r="J478" s="623" t="s">
        <v>34</v>
      </c>
      <c r="K478" s="623" t="s">
        <v>34</v>
      </c>
      <c r="L478" s="624"/>
      <c r="M478" s="158">
        <v>49475.73</v>
      </c>
      <c r="N478" s="622" t="s">
        <v>3996</v>
      </c>
      <c r="O478" s="623" t="s">
        <v>3618</v>
      </c>
      <c r="P478" s="623" t="s">
        <v>3619</v>
      </c>
      <c r="Q478" s="623">
        <v>13752429150</v>
      </c>
      <c r="R478" s="632" t="s">
        <v>3620</v>
      </c>
      <c r="S478" s="623" t="s">
        <v>3564</v>
      </c>
      <c r="T478" s="624"/>
    </row>
    <row r="479" spans="1:20" ht="24.95" customHeight="1">
      <c r="A479" s="708">
        <v>111</v>
      </c>
      <c r="B479" s="642" t="s">
        <v>3995</v>
      </c>
      <c r="C479" s="642"/>
      <c r="D479" s="642" t="s">
        <v>131</v>
      </c>
      <c r="E479" s="643">
        <v>3</v>
      </c>
      <c r="F479" s="158" t="s">
        <v>34</v>
      </c>
      <c r="G479" s="623" t="s">
        <v>3632</v>
      </c>
      <c r="H479" s="623" t="s">
        <v>41</v>
      </c>
      <c r="I479" s="623" t="s">
        <v>34</v>
      </c>
      <c r="J479" s="623" t="s">
        <v>34</v>
      </c>
      <c r="K479" s="623" t="s">
        <v>34</v>
      </c>
      <c r="L479" s="624"/>
      <c r="M479" s="643">
        <v>10601.941999999999</v>
      </c>
      <c r="N479" s="622" t="s">
        <v>3996</v>
      </c>
      <c r="O479" s="623" t="s">
        <v>3618</v>
      </c>
      <c r="P479" s="623" t="s">
        <v>3619</v>
      </c>
      <c r="Q479" s="623">
        <v>13752429150</v>
      </c>
      <c r="R479" s="632" t="s">
        <v>3620</v>
      </c>
      <c r="S479" s="623" t="s">
        <v>3564</v>
      </c>
      <c r="T479" s="624"/>
    </row>
    <row r="480" spans="1:20" ht="24.95" customHeight="1">
      <c r="A480" s="708">
        <v>112</v>
      </c>
      <c r="B480" s="746" t="s">
        <v>3997</v>
      </c>
      <c r="C480" s="746" t="s">
        <v>3998</v>
      </c>
      <c r="D480" s="746" t="s">
        <v>131</v>
      </c>
      <c r="E480" s="747">
        <v>2</v>
      </c>
      <c r="F480" s="158" t="s">
        <v>34</v>
      </c>
      <c r="G480" s="623" t="s">
        <v>32</v>
      </c>
      <c r="H480" s="623" t="s">
        <v>33</v>
      </c>
      <c r="I480" s="623" t="s">
        <v>34</v>
      </c>
      <c r="J480" s="623" t="s">
        <v>34</v>
      </c>
      <c r="K480" s="623" t="s">
        <v>34</v>
      </c>
      <c r="L480" s="624"/>
      <c r="M480" s="643">
        <v>0</v>
      </c>
      <c r="N480" s="622" t="s">
        <v>2216</v>
      </c>
      <c r="O480" s="748" t="s">
        <v>3896</v>
      </c>
      <c r="P480" s="623" t="s">
        <v>3562</v>
      </c>
      <c r="Q480" s="623">
        <v>15222256701</v>
      </c>
      <c r="R480" s="623" t="s">
        <v>3563</v>
      </c>
      <c r="S480" s="623" t="s">
        <v>3564</v>
      </c>
      <c r="T480" s="624"/>
    </row>
    <row r="481" spans="1:20" s="755" customFormat="1" ht="24.95" customHeight="1">
      <c r="A481" s="708">
        <v>113</v>
      </c>
      <c r="B481" s="746" t="s">
        <v>3995</v>
      </c>
      <c r="C481" s="620" t="s">
        <v>3999</v>
      </c>
      <c r="D481" s="620" t="s">
        <v>131</v>
      </c>
      <c r="E481" s="747">
        <v>1</v>
      </c>
      <c r="F481" s="749" t="s">
        <v>34</v>
      </c>
      <c r="G481" s="623" t="s">
        <v>32</v>
      </c>
      <c r="H481" s="750" t="s">
        <v>33</v>
      </c>
      <c r="I481" s="750" t="s">
        <v>34</v>
      </c>
      <c r="J481" s="750" t="s">
        <v>34</v>
      </c>
      <c r="K481" s="750" t="s">
        <v>34</v>
      </c>
      <c r="L481" s="751"/>
      <c r="M481" s="752">
        <v>0</v>
      </c>
      <c r="N481" s="622" t="s">
        <v>3871</v>
      </c>
      <c r="O481" s="753" t="s">
        <v>3896</v>
      </c>
      <c r="P481" s="750" t="s">
        <v>3562</v>
      </c>
      <c r="Q481" s="750">
        <v>15222256701</v>
      </c>
      <c r="R481" s="750" t="s">
        <v>3563</v>
      </c>
      <c r="S481" s="750" t="s">
        <v>3564</v>
      </c>
      <c r="T481" s="754"/>
    </row>
    <row r="482" spans="1:20" ht="24.95" customHeight="1">
      <c r="A482" s="708">
        <v>114</v>
      </c>
      <c r="B482" s="642" t="s">
        <v>4000</v>
      </c>
      <c r="C482" s="642"/>
      <c r="D482" s="642" t="s">
        <v>603</v>
      </c>
      <c r="E482" s="643">
        <v>320</v>
      </c>
      <c r="F482" s="158" t="s">
        <v>34</v>
      </c>
      <c r="G482" s="623" t="s">
        <v>32</v>
      </c>
      <c r="H482" s="623" t="s">
        <v>33</v>
      </c>
      <c r="I482" s="623" t="s">
        <v>34</v>
      </c>
      <c r="J482" s="623" t="s">
        <v>34</v>
      </c>
      <c r="K482" s="623" t="s">
        <v>34</v>
      </c>
      <c r="L482" s="624"/>
      <c r="M482" s="643">
        <v>3420.3180000000002</v>
      </c>
      <c r="N482" s="622" t="s">
        <v>3617</v>
      </c>
      <c r="O482" s="623" t="s">
        <v>3618</v>
      </c>
      <c r="P482" s="623" t="s">
        <v>3619</v>
      </c>
      <c r="Q482" s="623">
        <v>13752429150</v>
      </c>
      <c r="R482" s="632" t="s">
        <v>3620</v>
      </c>
      <c r="S482" s="623" t="s">
        <v>3564</v>
      </c>
      <c r="T482" s="624"/>
    </row>
    <row r="483" spans="1:20" ht="24.95" customHeight="1">
      <c r="A483" s="708">
        <v>115</v>
      </c>
      <c r="B483" s="642" t="s">
        <v>4000</v>
      </c>
      <c r="C483" s="642"/>
      <c r="D483" s="642" t="s">
        <v>603</v>
      </c>
      <c r="E483" s="643">
        <v>1440</v>
      </c>
      <c r="F483" s="158" t="s">
        <v>34</v>
      </c>
      <c r="G483" s="623" t="s">
        <v>32</v>
      </c>
      <c r="H483" s="623" t="s">
        <v>33</v>
      </c>
      <c r="I483" s="623" t="s">
        <v>34</v>
      </c>
      <c r="J483" s="623" t="s">
        <v>34</v>
      </c>
      <c r="K483" s="623" t="s">
        <v>34</v>
      </c>
      <c r="L483" s="624"/>
      <c r="M483" s="643">
        <v>20822.653999999999</v>
      </c>
      <c r="N483" s="622" t="s">
        <v>3617</v>
      </c>
      <c r="O483" s="623" t="s">
        <v>3618</v>
      </c>
      <c r="P483" s="623" t="s">
        <v>3619</v>
      </c>
      <c r="Q483" s="623">
        <v>13752429150</v>
      </c>
      <c r="R483" s="632" t="s">
        <v>3620</v>
      </c>
      <c r="S483" s="623" t="s">
        <v>3564</v>
      </c>
      <c r="T483" s="624"/>
    </row>
    <row r="484" spans="1:20" ht="24.95" customHeight="1">
      <c r="A484" s="708">
        <v>116</v>
      </c>
      <c r="B484" s="642" t="s">
        <v>4000</v>
      </c>
      <c r="C484" s="642"/>
      <c r="D484" s="642" t="s">
        <v>603</v>
      </c>
      <c r="E484" s="643">
        <v>320</v>
      </c>
      <c r="F484" s="158" t="s">
        <v>34</v>
      </c>
      <c r="G484" s="623" t="s">
        <v>32</v>
      </c>
      <c r="H484" s="623" t="s">
        <v>33</v>
      </c>
      <c r="I484" s="623" t="s">
        <v>34</v>
      </c>
      <c r="J484" s="623" t="s">
        <v>34</v>
      </c>
      <c r="K484" s="623" t="s">
        <v>34</v>
      </c>
      <c r="L484" s="624"/>
      <c r="M484" s="643">
        <v>5148.3180000000002</v>
      </c>
      <c r="N484" s="622" t="s">
        <v>3617</v>
      </c>
      <c r="O484" s="623" t="s">
        <v>3618</v>
      </c>
      <c r="P484" s="623" t="s">
        <v>3619</v>
      </c>
      <c r="Q484" s="623">
        <v>13752429150</v>
      </c>
      <c r="R484" s="632" t="s">
        <v>3620</v>
      </c>
      <c r="S484" s="623" t="s">
        <v>3564</v>
      </c>
      <c r="T484" s="624"/>
    </row>
    <row r="485" spans="1:20" ht="24.95" customHeight="1">
      <c r="A485" s="708">
        <v>117</v>
      </c>
      <c r="B485" s="642" t="s">
        <v>1489</v>
      </c>
      <c r="C485" s="642"/>
      <c r="D485" s="642" t="s">
        <v>131</v>
      </c>
      <c r="E485" s="643">
        <v>24</v>
      </c>
      <c r="F485" s="158" t="s">
        <v>34</v>
      </c>
      <c r="G485" s="623" t="s">
        <v>32</v>
      </c>
      <c r="H485" s="623" t="s">
        <v>33</v>
      </c>
      <c r="I485" s="623" t="s">
        <v>34</v>
      </c>
      <c r="J485" s="623" t="s">
        <v>34</v>
      </c>
      <c r="K485" s="623" t="s">
        <v>34</v>
      </c>
      <c r="L485" s="624"/>
      <c r="M485" s="643">
        <v>48932.038</v>
      </c>
      <c r="N485" s="622" t="s">
        <v>3996</v>
      </c>
      <c r="O485" s="623" t="s">
        <v>3618</v>
      </c>
      <c r="P485" s="623" t="s">
        <v>3619</v>
      </c>
      <c r="Q485" s="623">
        <v>13752429150</v>
      </c>
      <c r="R485" s="632" t="s">
        <v>3620</v>
      </c>
      <c r="S485" s="623" t="s">
        <v>3564</v>
      </c>
      <c r="T485" s="624"/>
    </row>
    <row r="486" spans="1:20" ht="24.95" customHeight="1">
      <c r="A486" s="708">
        <v>118</v>
      </c>
      <c r="B486" s="680" t="s">
        <v>2806</v>
      </c>
      <c r="C486" s="642"/>
      <c r="D486" s="642" t="s">
        <v>161</v>
      </c>
      <c r="E486" s="643">
        <v>200</v>
      </c>
      <c r="F486" s="158" t="s">
        <v>34</v>
      </c>
      <c r="G486" s="623" t="s">
        <v>32</v>
      </c>
      <c r="H486" s="623" t="s">
        <v>41</v>
      </c>
      <c r="I486" s="623" t="s">
        <v>34</v>
      </c>
      <c r="J486" s="623" t="s">
        <v>34</v>
      </c>
      <c r="K486" s="623" t="s">
        <v>34</v>
      </c>
      <c r="L486" s="643">
        <v>120689.66</v>
      </c>
      <c r="M486" s="643">
        <v>6034.48</v>
      </c>
      <c r="N486" s="622" t="s">
        <v>3767</v>
      </c>
      <c r="O486" s="674" t="s">
        <v>3690</v>
      </c>
      <c r="P486" s="675" t="s">
        <v>3691</v>
      </c>
      <c r="Q486" s="679">
        <v>18394477233</v>
      </c>
      <c r="R486" s="674" t="s">
        <v>3692</v>
      </c>
      <c r="S486" s="659" t="s">
        <v>3564</v>
      </c>
      <c r="T486" s="624"/>
    </row>
    <row r="487" spans="1:20" ht="24.95" customHeight="1">
      <c r="A487" s="708">
        <v>119</v>
      </c>
      <c r="B487" s="680" t="s">
        <v>2806</v>
      </c>
      <c r="C487" s="642"/>
      <c r="D487" s="642" t="s">
        <v>161</v>
      </c>
      <c r="E487" s="681">
        <v>402</v>
      </c>
      <c r="F487" s="158" t="s">
        <v>34</v>
      </c>
      <c r="G487" s="623" t="s">
        <v>32</v>
      </c>
      <c r="H487" s="623" t="s">
        <v>41</v>
      </c>
      <c r="I487" s="623" t="s">
        <v>34</v>
      </c>
      <c r="J487" s="623" t="s">
        <v>34</v>
      </c>
      <c r="K487" s="623" t="s">
        <v>34</v>
      </c>
      <c r="L487" s="643">
        <v>294568.98</v>
      </c>
      <c r="M487" s="643">
        <v>14728.45</v>
      </c>
      <c r="N487" s="622" t="s">
        <v>4001</v>
      </c>
      <c r="O487" s="674" t="s">
        <v>3690</v>
      </c>
      <c r="P487" s="675" t="s">
        <v>3691</v>
      </c>
      <c r="Q487" s="679">
        <v>18394477233</v>
      </c>
      <c r="R487" s="674" t="s">
        <v>3692</v>
      </c>
      <c r="S487" s="659" t="s">
        <v>3564</v>
      </c>
      <c r="T487" s="624"/>
    </row>
    <row r="488" spans="1:20" ht="24.95" customHeight="1">
      <c r="A488" s="708">
        <v>120</v>
      </c>
      <c r="B488" s="680" t="s">
        <v>4002</v>
      </c>
      <c r="C488" s="643"/>
      <c r="D488" s="699" t="s">
        <v>1477</v>
      </c>
      <c r="E488" s="681">
        <v>1</v>
      </c>
      <c r="F488" s="158"/>
      <c r="G488" s="623" t="s">
        <v>32</v>
      </c>
      <c r="H488" s="623" t="s">
        <v>41</v>
      </c>
      <c r="I488" s="623" t="s">
        <v>34</v>
      </c>
      <c r="J488" s="623" t="s">
        <v>34</v>
      </c>
      <c r="K488" s="623" t="s">
        <v>34</v>
      </c>
      <c r="L488" s="643">
        <v>17281.55</v>
      </c>
      <c r="M488" s="643">
        <v>864.08</v>
      </c>
      <c r="N488" s="622" t="s">
        <v>4001</v>
      </c>
      <c r="O488" s="674" t="s">
        <v>3690</v>
      </c>
      <c r="P488" s="675" t="s">
        <v>3691</v>
      </c>
      <c r="Q488" s="679">
        <v>18394477234</v>
      </c>
      <c r="R488" s="674" t="s">
        <v>3692</v>
      </c>
      <c r="S488" s="659" t="s">
        <v>3564</v>
      </c>
      <c r="T488" s="624"/>
    </row>
    <row r="489" spans="1:20" ht="24.95" customHeight="1">
      <c r="A489" s="708">
        <v>121</v>
      </c>
      <c r="B489" s="680" t="s">
        <v>4003</v>
      </c>
      <c r="C489" s="643"/>
      <c r="D489" s="699" t="s">
        <v>131</v>
      </c>
      <c r="E489" s="681">
        <v>1</v>
      </c>
      <c r="F489" s="158"/>
      <c r="G489" s="623" t="s">
        <v>32</v>
      </c>
      <c r="H489" s="623" t="s">
        <v>41</v>
      </c>
      <c r="I489" s="623" t="s">
        <v>34</v>
      </c>
      <c r="J489" s="623" t="s">
        <v>34</v>
      </c>
      <c r="K489" s="623" t="s">
        <v>34</v>
      </c>
      <c r="L489" s="643">
        <v>17961.16</v>
      </c>
      <c r="M489" s="643">
        <v>898.06</v>
      </c>
      <c r="N489" s="622" t="s">
        <v>3775</v>
      </c>
      <c r="O489" s="674" t="s">
        <v>3690</v>
      </c>
      <c r="P489" s="675" t="s">
        <v>3691</v>
      </c>
      <c r="Q489" s="679">
        <v>18394477235</v>
      </c>
      <c r="R489" s="674" t="s">
        <v>3692</v>
      </c>
      <c r="S489" s="659" t="s">
        <v>3564</v>
      </c>
      <c r="T489" s="624"/>
    </row>
    <row r="490" spans="1:20" ht="24.95" customHeight="1">
      <c r="A490" s="708">
        <v>122</v>
      </c>
      <c r="B490" s="643" t="s">
        <v>4004</v>
      </c>
      <c r="C490" s="643"/>
      <c r="D490" s="699" t="s">
        <v>161</v>
      </c>
      <c r="E490" s="681">
        <v>700</v>
      </c>
      <c r="F490" s="158"/>
      <c r="G490" s="623" t="s">
        <v>32</v>
      </c>
      <c r="H490" s="623" t="s">
        <v>41</v>
      </c>
      <c r="I490" s="623" t="s">
        <v>34</v>
      </c>
      <c r="J490" s="623" t="s">
        <v>34</v>
      </c>
      <c r="K490" s="623" t="s">
        <v>34</v>
      </c>
      <c r="L490" s="643">
        <v>72413.789999999994</v>
      </c>
      <c r="M490" s="643">
        <v>3620.69</v>
      </c>
      <c r="N490" s="622" t="s">
        <v>3775</v>
      </c>
      <c r="O490" s="674" t="s">
        <v>3690</v>
      </c>
      <c r="P490" s="675" t="s">
        <v>3691</v>
      </c>
      <c r="Q490" s="679">
        <v>18394477236</v>
      </c>
      <c r="R490" s="674" t="s">
        <v>3692</v>
      </c>
      <c r="S490" s="659" t="s">
        <v>3564</v>
      </c>
      <c r="T490" s="624"/>
    </row>
    <row r="491" spans="1:20" ht="24.95" customHeight="1">
      <c r="A491" s="708">
        <v>123</v>
      </c>
      <c r="B491" s="643" t="s">
        <v>3331</v>
      </c>
      <c r="C491" s="643"/>
      <c r="D491" s="699" t="s">
        <v>161</v>
      </c>
      <c r="E491" s="681">
        <v>180</v>
      </c>
      <c r="F491" s="158"/>
      <c r="G491" s="623" t="s">
        <v>32</v>
      </c>
      <c r="H491" s="623" t="s">
        <v>41</v>
      </c>
      <c r="I491" s="623" t="s">
        <v>34</v>
      </c>
      <c r="J491" s="623" t="s">
        <v>34</v>
      </c>
      <c r="K491" s="623" t="s">
        <v>34</v>
      </c>
      <c r="L491" s="643">
        <v>19115.04</v>
      </c>
      <c r="M491" s="643">
        <v>955.75</v>
      </c>
      <c r="N491" s="622" t="s">
        <v>3775</v>
      </c>
      <c r="O491" s="674" t="s">
        <v>3690</v>
      </c>
      <c r="P491" s="675" t="s">
        <v>3691</v>
      </c>
      <c r="Q491" s="679">
        <v>18394477237</v>
      </c>
      <c r="R491" s="674" t="s">
        <v>3692</v>
      </c>
      <c r="S491" s="659" t="s">
        <v>3564</v>
      </c>
      <c r="T491" s="624"/>
    </row>
    <row r="492" spans="1:20" s="702" customFormat="1" ht="24.95" customHeight="1">
      <c r="A492" s="708">
        <v>124</v>
      </c>
      <c r="B492" s="623" t="s">
        <v>3291</v>
      </c>
      <c r="C492" s="623" t="s">
        <v>4005</v>
      </c>
      <c r="D492" s="623" t="s">
        <v>4006</v>
      </c>
      <c r="E492" s="158">
        <v>1</v>
      </c>
      <c r="F492" s="158" t="s">
        <v>34</v>
      </c>
      <c r="G492" s="623" t="s">
        <v>32</v>
      </c>
      <c r="H492" s="623" t="s">
        <v>33</v>
      </c>
      <c r="I492" s="623" t="s">
        <v>34</v>
      </c>
      <c r="J492" s="623" t="s">
        <v>34</v>
      </c>
      <c r="K492" s="623" t="s">
        <v>34</v>
      </c>
      <c r="L492" s="624">
        <v>60600</v>
      </c>
      <c r="M492" s="158">
        <v>45000</v>
      </c>
      <c r="N492" s="622" t="s">
        <v>3569</v>
      </c>
      <c r="O492" s="623" t="s">
        <v>3940</v>
      </c>
      <c r="P492" s="623" t="s">
        <v>3941</v>
      </c>
      <c r="Q492" s="623">
        <v>18522751195</v>
      </c>
      <c r="R492" s="632" t="s">
        <v>3942</v>
      </c>
      <c r="S492" s="623" t="s">
        <v>3564</v>
      </c>
      <c r="T492" s="624"/>
    </row>
    <row r="493" spans="1:20" ht="24.95" customHeight="1">
      <c r="A493" s="708">
        <v>125</v>
      </c>
      <c r="B493" s="680" t="s">
        <v>677</v>
      </c>
      <c r="C493" s="683" t="s">
        <v>4007</v>
      </c>
      <c r="D493" s="699" t="s">
        <v>62</v>
      </c>
      <c r="E493" s="681">
        <v>1.244</v>
      </c>
      <c r="F493" s="158"/>
      <c r="G493" s="623" t="s">
        <v>32</v>
      </c>
      <c r="H493" s="623" t="s">
        <v>41</v>
      </c>
      <c r="I493" s="623" t="s">
        <v>34</v>
      </c>
      <c r="J493" s="623" t="s">
        <v>34</v>
      </c>
      <c r="K493" s="623" t="s">
        <v>34</v>
      </c>
      <c r="L493" s="643">
        <v>5062.5</v>
      </c>
      <c r="M493" s="643">
        <v>253.13</v>
      </c>
      <c r="N493" s="622" t="s">
        <v>3775</v>
      </c>
      <c r="O493" s="674" t="s">
        <v>3690</v>
      </c>
      <c r="P493" s="675" t="s">
        <v>3691</v>
      </c>
      <c r="Q493" s="679">
        <v>18394477238</v>
      </c>
      <c r="R493" s="674" t="s">
        <v>3692</v>
      </c>
      <c r="S493" s="659" t="s">
        <v>3564</v>
      </c>
      <c r="T493" s="624"/>
    </row>
    <row r="494" spans="1:20" ht="24.95" customHeight="1">
      <c r="A494" s="708">
        <v>126</v>
      </c>
      <c r="B494" s="643" t="s">
        <v>4003</v>
      </c>
      <c r="C494" s="643" t="s">
        <v>4008</v>
      </c>
      <c r="D494" s="699" t="s">
        <v>131</v>
      </c>
      <c r="E494" s="681">
        <v>1</v>
      </c>
      <c r="F494" s="158"/>
      <c r="G494" s="623" t="s">
        <v>32</v>
      </c>
      <c r="H494" s="623" t="s">
        <v>41</v>
      </c>
      <c r="I494" s="623" t="s">
        <v>34</v>
      </c>
      <c r="J494" s="623" t="s">
        <v>34</v>
      </c>
      <c r="K494" s="623" t="s">
        <v>34</v>
      </c>
      <c r="L494" s="643">
        <v>17475.73</v>
      </c>
      <c r="M494" s="643">
        <v>873.79</v>
      </c>
      <c r="N494" s="622" t="s">
        <v>3695</v>
      </c>
      <c r="O494" s="674" t="s">
        <v>3690</v>
      </c>
      <c r="P494" s="675" t="s">
        <v>3691</v>
      </c>
      <c r="Q494" s="679">
        <v>18394477239</v>
      </c>
      <c r="R494" s="674" t="s">
        <v>3692</v>
      </c>
      <c r="S494" s="659" t="s">
        <v>3564</v>
      </c>
      <c r="T494" s="624"/>
    </row>
    <row r="495" spans="1:20" ht="24.95" customHeight="1">
      <c r="A495" s="708">
        <v>127</v>
      </c>
      <c r="B495" s="643" t="s">
        <v>3819</v>
      </c>
      <c r="C495" s="643" t="s">
        <v>3820</v>
      </c>
      <c r="D495" s="699" t="s">
        <v>3821</v>
      </c>
      <c r="E495" s="681">
        <v>920</v>
      </c>
      <c r="F495" s="158"/>
      <c r="G495" s="623" t="s">
        <v>32</v>
      </c>
      <c r="H495" s="623" t="s">
        <v>41</v>
      </c>
      <c r="I495" s="623" t="s">
        <v>34</v>
      </c>
      <c r="J495" s="623" t="s">
        <v>34</v>
      </c>
      <c r="K495" s="623" t="s">
        <v>34</v>
      </c>
      <c r="L495" s="643">
        <v>12951.46</v>
      </c>
      <c r="M495" s="643">
        <v>647.57000000000005</v>
      </c>
      <c r="N495" s="622" t="s">
        <v>3695</v>
      </c>
      <c r="O495" s="674" t="s">
        <v>3690</v>
      </c>
      <c r="P495" s="675" t="s">
        <v>3691</v>
      </c>
      <c r="Q495" s="679">
        <v>18394477240</v>
      </c>
      <c r="R495" s="674" t="s">
        <v>3692</v>
      </c>
      <c r="S495" s="659" t="s">
        <v>3564</v>
      </c>
      <c r="T495" s="624"/>
    </row>
    <row r="496" spans="1:20" ht="24.95" customHeight="1">
      <c r="A496" s="708">
        <v>128</v>
      </c>
      <c r="B496" s="643" t="s">
        <v>4004</v>
      </c>
      <c r="C496" s="683"/>
      <c r="D496" s="699" t="s">
        <v>161</v>
      </c>
      <c r="E496" s="681">
        <v>100</v>
      </c>
      <c r="F496" s="158"/>
      <c r="G496" s="623" t="s">
        <v>32</v>
      </c>
      <c r="H496" s="623" t="s">
        <v>41</v>
      </c>
      <c r="I496" s="623" t="s">
        <v>34</v>
      </c>
      <c r="J496" s="623" t="s">
        <v>34</v>
      </c>
      <c r="K496" s="623" t="s">
        <v>34</v>
      </c>
      <c r="L496" s="643">
        <v>10619.47</v>
      </c>
      <c r="M496" s="643">
        <v>530.97</v>
      </c>
      <c r="N496" s="622" t="s">
        <v>3695</v>
      </c>
      <c r="O496" s="674" t="s">
        <v>3690</v>
      </c>
      <c r="P496" s="675" t="s">
        <v>3691</v>
      </c>
      <c r="Q496" s="679">
        <v>18394477241</v>
      </c>
      <c r="R496" s="674" t="s">
        <v>3692</v>
      </c>
      <c r="S496" s="659" t="s">
        <v>3564</v>
      </c>
      <c r="T496" s="624"/>
    </row>
    <row r="497" spans="1:20" ht="24.95" customHeight="1">
      <c r="A497" s="708">
        <v>129</v>
      </c>
      <c r="B497" s="643" t="s">
        <v>4009</v>
      </c>
      <c r="C497" s="643" t="s">
        <v>4010</v>
      </c>
      <c r="D497" s="699" t="s">
        <v>131</v>
      </c>
      <c r="E497" s="681"/>
      <c r="F497" s="158"/>
      <c r="G497" s="623" t="s">
        <v>32</v>
      </c>
      <c r="H497" s="623" t="s">
        <v>41</v>
      </c>
      <c r="I497" s="623"/>
      <c r="J497" s="623"/>
      <c r="K497" s="623"/>
      <c r="L497" s="643">
        <v>1407.77</v>
      </c>
      <c r="M497" s="643">
        <v>70.39</v>
      </c>
      <c r="N497" s="622" t="s">
        <v>3695</v>
      </c>
      <c r="O497" s="674" t="s">
        <v>3690</v>
      </c>
      <c r="P497" s="675" t="s">
        <v>3691</v>
      </c>
      <c r="Q497" s="679">
        <v>18394477242</v>
      </c>
      <c r="R497" s="674" t="s">
        <v>3692</v>
      </c>
      <c r="S497" s="659" t="s">
        <v>3564</v>
      </c>
      <c r="T497" s="624"/>
    </row>
    <row r="498" spans="1:20" ht="24.95" customHeight="1">
      <c r="A498" s="708">
        <v>130</v>
      </c>
      <c r="B498" s="643" t="s">
        <v>4011</v>
      </c>
      <c r="C498" s="643" t="s">
        <v>3734</v>
      </c>
      <c r="D498" s="642" t="s">
        <v>62</v>
      </c>
      <c r="E498" s="653">
        <v>21.25</v>
      </c>
      <c r="F498" s="158" t="s">
        <v>34</v>
      </c>
      <c r="G498" s="623" t="s">
        <v>32</v>
      </c>
      <c r="H498" s="623" t="s">
        <v>33</v>
      </c>
      <c r="I498" s="623" t="s">
        <v>34</v>
      </c>
      <c r="J498" s="623" t="s">
        <v>34</v>
      </c>
      <c r="K498" s="623" t="s">
        <v>34</v>
      </c>
      <c r="L498" s="707">
        <v>65818.6875</v>
      </c>
      <c r="M498" s="653">
        <v>65818.6875</v>
      </c>
      <c r="N498" s="622" t="s">
        <v>2749</v>
      </c>
      <c r="O498" s="102" t="s">
        <v>3683</v>
      </c>
      <c r="P498" s="102" t="s">
        <v>3684</v>
      </c>
      <c r="Q498" s="102">
        <v>18649012127</v>
      </c>
      <c r="R498" s="623" t="s">
        <v>3685</v>
      </c>
      <c r="S498" s="623" t="s">
        <v>3564</v>
      </c>
      <c r="T498" s="624"/>
    </row>
    <row r="499" spans="1:20" ht="24.95" customHeight="1">
      <c r="A499" s="708">
        <v>131</v>
      </c>
      <c r="B499" s="643" t="s">
        <v>4011</v>
      </c>
      <c r="C499" s="643" t="s">
        <v>4012</v>
      </c>
      <c r="D499" s="642" t="s">
        <v>62</v>
      </c>
      <c r="E499" s="653">
        <v>5.375</v>
      </c>
      <c r="F499" s="158" t="s">
        <v>34</v>
      </c>
      <c r="G499" s="623" t="s">
        <v>32</v>
      </c>
      <c r="H499" s="623" t="s">
        <v>33</v>
      </c>
      <c r="I499" s="623" t="s">
        <v>34</v>
      </c>
      <c r="J499" s="623" t="s">
        <v>34</v>
      </c>
      <c r="K499" s="623" t="s">
        <v>34</v>
      </c>
      <c r="L499" s="707">
        <v>16648.256249999999</v>
      </c>
      <c r="M499" s="653">
        <v>16648.256249999999</v>
      </c>
      <c r="N499" s="622" t="s">
        <v>2749</v>
      </c>
      <c r="O499" s="102" t="s">
        <v>3683</v>
      </c>
      <c r="P499" s="102" t="s">
        <v>3684</v>
      </c>
      <c r="Q499" s="102">
        <v>18649012127</v>
      </c>
      <c r="R499" s="623" t="s">
        <v>3685</v>
      </c>
      <c r="S499" s="623" t="s">
        <v>3564</v>
      </c>
      <c r="T499" s="624"/>
    </row>
    <row r="500" spans="1:20" ht="24.95" customHeight="1">
      <c r="A500" s="708">
        <v>132</v>
      </c>
      <c r="B500" s="643" t="s">
        <v>4011</v>
      </c>
      <c r="C500" s="643" t="s">
        <v>4013</v>
      </c>
      <c r="D500" s="642" t="s">
        <v>62</v>
      </c>
      <c r="E500" s="653">
        <v>4.6100000000000003</v>
      </c>
      <c r="F500" s="158" t="s">
        <v>34</v>
      </c>
      <c r="G500" s="623" t="s">
        <v>32</v>
      </c>
      <c r="H500" s="623" t="s">
        <v>33</v>
      </c>
      <c r="I500" s="623" t="s">
        <v>34</v>
      </c>
      <c r="J500" s="623" t="s">
        <v>34</v>
      </c>
      <c r="K500" s="623" t="s">
        <v>34</v>
      </c>
      <c r="L500" s="707">
        <v>14278.7835</v>
      </c>
      <c r="M500" s="653">
        <v>14278.7835</v>
      </c>
      <c r="N500" s="622" t="s">
        <v>2749</v>
      </c>
      <c r="O500" s="102" t="s">
        <v>3683</v>
      </c>
      <c r="P500" s="102" t="s">
        <v>3684</v>
      </c>
      <c r="Q500" s="102">
        <v>18649012127</v>
      </c>
      <c r="R500" s="623" t="s">
        <v>3685</v>
      </c>
      <c r="S500" s="623" t="s">
        <v>3564</v>
      </c>
      <c r="T500" s="624"/>
    </row>
    <row r="501" spans="1:20" ht="24.95" customHeight="1">
      <c r="A501" s="708">
        <v>133</v>
      </c>
      <c r="B501" s="643" t="s">
        <v>3291</v>
      </c>
      <c r="C501" s="643" t="s">
        <v>4014</v>
      </c>
      <c r="D501" s="642" t="s">
        <v>79</v>
      </c>
      <c r="E501" s="653">
        <v>2</v>
      </c>
      <c r="F501" s="158" t="s">
        <v>34</v>
      </c>
      <c r="G501" s="623" t="s">
        <v>32</v>
      </c>
      <c r="H501" s="623" t="s">
        <v>33</v>
      </c>
      <c r="I501" s="623" t="s">
        <v>34</v>
      </c>
      <c r="J501" s="623" t="s">
        <v>34</v>
      </c>
      <c r="K501" s="623" t="s">
        <v>34</v>
      </c>
      <c r="L501" s="707">
        <v>78257.440000000002</v>
      </c>
      <c r="M501" s="653">
        <v>78257.440000000002</v>
      </c>
      <c r="N501" s="622" t="s">
        <v>3569</v>
      </c>
      <c r="O501" s="102" t="s">
        <v>3683</v>
      </c>
      <c r="P501" s="102" t="s">
        <v>3684</v>
      </c>
      <c r="Q501" s="102">
        <v>18649012127</v>
      </c>
      <c r="R501" s="623" t="s">
        <v>3685</v>
      </c>
      <c r="S501" s="623" t="s">
        <v>3564</v>
      </c>
      <c r="T501" s="624"/>
    </row>
    <row r="502" spans="1:20" ht="24.95" customHeight="1">
      <c r="A502" s="708">
        <v>134</v>
      </c>
      <c r="B502" s="643" t="s">
        <v>4015</v>
      </c>
      <c r="C502" s="643" t="s">
        <v>4016</v>
      </c>
      <c r="D502" s="642" t="s">
        <v>31</v>
      </c>
      <c r="E502" s="653">
        <v>10000</v>
      </c>
      <c r="F502" s="158" t="s">
        <v>34</v>
      </c>
      <c r="G502" s="623" t="s">
        <v>32</v>
      </c>
      <c r="H502" s="623" t="s">
        <v>33</v>
      </c>
      <c r="I502" s="623" t="s">
        <v>34</v>
      </c>
      <c r="J502" s="623" t="s">
        <v>34</v>
      </c>
      <c r="K502" s="623" t="s">
        <v>34</v>
      </c>
      <c r="L502" s="707">
        <v>403539.8</v>
      </c>
      <c r="M502" s="653">
        <v>403539.8</v>
      </c>
      <c r="N502" s="622" t="s">
        <v>3569</v>
      </c>
      <c r="O502" s="102" t="s">
        <v>3683</v>
      </c>
      <c r="P502" s="102" t="s">
        <v>3684</v>
      </c>
      <c r="Q502" s="102">
        <v>18649012127</v>
      </c>
      <c r="R502" s="623" t="s">
        <v>3685</v>
      </c>
      <c r="S502" s="623" t="s">
        <v>3564</v>
      </c>
      <c r="T502" s="624"/>
    </row>
    <row r="503" spans="1:20" s="630" customFormat="1" ht="24.95" customHeight="1">
      <c r="A503" s="708">
        <v>135</v>
      </c>
      <c r="B503" s="756" t="s">
        <v>4017</v>
      </c>
      <c r="C503" s="756" t="s">
        <v>4018</v>
      </c>
      <c r="D503" s="756" t="s">
        <v>1369</v>
      </c>
      <c r="E503" s="756">
        <v>1120</v>
      </c>
      <c r="F503" s="757" t="s">
        <v>34</v>
      </c>
      <c r="G503" s="758" t="s">
        <v>32</v>
      </c>
      <c r="H503" s="759" t="s">
        <v>33</v>
      </c>
      <c r="I503" s="759" t="s">
        <v>34</v>
      </c>
      <c r="J503" s="759" t="s">
        <v>34</v>
      </c>
      <c r="K503" s="759" t="s">
        <v>34</v>
      </c>
      <c r="L503" s="707">
        <v>17920</v>
      </c>
      <c r="M503" s="760">
        <f>L503</f>
        <v>17920</v>
      </c>
      <c r="N503" s="622" t="s">
        <v>3686</v>
      </c>
      <c r="O503" s="761" t="s">
        <v>3896</v>
      </c>
      <c r="P503" s="759" t="s">
        <v>3562</v>
      </c>
      <c r="Q503" s="759">
        <v>15222256701</v>
      </c>
      <c r="R503" s="759" t="s">
        <v>3563</v>
      </c>
      <c r="S503" s="759" t="s">
        <v>3564</v>
      </c>
      <c r="T503" s="762"/>
    </row>
    <row r="504" spans="1:20" s="630" customFormat="1" ht="24.95" customHeight="1">
      <c r="A504" s="708">
        <v>136</v>
      </c>
      <c r="B504" s="756" t="s">
        <v>4017</v>
      </c>
      <c r="C504" s="756" t="s">
        <v>1395</v>
      </c>
      <c r="D504" s="756" t="s">
        <v>1369</v>
      </c>
      <c r="E504" s="756">
        <v>1000</v>
      </c>
      <c r="F504" s="757" t="s">
        <v>34</v>
      </c>
      <c r="G504" s="758" t="s">
        <v>32</v>
      </c>
      <c r="H504" s="759" t="s">
        <v>33</v>
      </c>
      <c r="I504" s="759" t="s">
        <v>34</v>
      </c>
      <c r="J504" s="759" t="s">
        <v>34</v>
      </c>
      <c r="K504" s="759" t="s">
        <v>34</v>
      </c>
      <c r="L504" s="707">
        <v>16000</v>
      </c>
      <c r="M504" s="760">
        <f t="shared" ref="M504:M505" si="1">L504</f>
        <v>16000</v>
      </c>
      <c r="N504" s="622" t="s">
        <v>3686</v>
      </c>
      <c r="O504" s="761" t="s">
        <v>3896</v>
      </c>
      <c r="P504" s="759" t="s">
        <v>3562</v>
      </c>
      <c r="Q504" s="759">
        <v>15222256701</v>
      </c>
      <c r="R504" s="759" t="s">
        <v>3563</v>
      </c>
      <c r="S504" s="759" t="s">
        <v>3564</v>
      </c>
      <c r="T504" s="762"/>
    </row>
    <row r="505" spans="1:20" s="630" customFormat="1" ht="24.95" customHeight="1">
      <c r="A505" s="708">
        <v>137</v>
      </c>
      <c r="B505" s="756" t="s">
        <v>4019</v>
      </c>
      <c r="C505" s="756" t="s">
        <v>4020</v>
      </c>
      <c r="D505" s="756" t="s">
        <v>1369</v>
      </c>
      <c r="E505" s="756">
        <v>2400</v>
      </c>
      <c r="F505" s="757" t="s">
        <v>34</v>
      </c>
      <c r="G505" s="758" t="s">
        <v>32</v>
      </c>
      <c r="H505" s="759" t="s">
        <v>33</v>
      </c>
      <c r="I505" s="759" t="s">
        <v>34</v>
      </c>
      <c r="J505" s="759" t="s">
        <v>34</v>
      </c>
      <c r="K505" s="759" t="s">
        <v>34</v>
      </c>
      <c r="L505" s="707">
        <v>33600</v>
      </c>
      <c r="M505" s="760">
        <f t="shared" si="1"/>
        <v>33600</v>
      </c>
      <c r="N505" s="622" t="s">
        <v>3686</v>
      </c>
      <c r="O505" s="761" t="s">
        <v>3896</v>
      </c>
      <c r="P505" s="759" t="s">
        <v>3562</v>
      </c>
      <c r="Q505" s="759">
        <v>15222256701</v>
      </c>
      <c r="R505" s="759" t="s">
        <v>3563</v>
      </c>
      <c r="S505" s="759" t="s">
        <v>3564</v>
      </c>
      <c r="T505" s="762"/>
    </row>
    <row r="506" spans="1:20" ht="24.95" customHeight="1">
      <c r="A506" s="708">
        <v>138</v>
      </c>
      <c r="B506" s="763" t="s">
        <v>4021</v>
      </c>
      <c r="C506" s="650" t="s">
        <v>4022</v>
      </c>
      <c r="D506" s="650" t="s">
        <v>79</v>
      </c>
      <c r="E506" s="643">
        <v>900</v>
      </c>
      <c r="F506" s="650"/>
      <c r="G506" s="651" t="s">
        <v>32</v>
      </c>
      <c r="H506" s="651" t="s">
        <v>33</v>
      </c>
      <c r="I506" s="651" t="s">
        <v>3625</v>
      </c>
      <c r="J506" s="651" t="s">
        <v>34</v>
      </c>
      <c r="K506" s="651" t="s">
        <v>34</v>
      </c>
      <c r="L506" s="652">
        <v>1890.0041000000001</v>
      </c>
      <c r="M506" s="653">
        <v>1039.5022550000001</v>
      </c>
      <c r="N506" s="654">
        <v>2020.5</v>
      </c>
      <c r="O506" s="651" t="s">
        <v>3626</v>
      </c>
      <c r="P506" s="651" t="s">
        <v>3627</v>
      </c>
      <c r="Q506" s="651">
        <v>18522251335</v>
      </c>
      <c r="R506" s="651" t="s">
        <v>3628</v>
      </c>
      <c r="S506" s="651" t="s">
        <v>3564</v>
      </c>
      <c r="T506" s="642"/>
    </row>
    <row r="507" spans="1:20" ht="24.95" customHeight="1">
      <c r="A507" s="708">
        <v>139</v>
      </c>
      <c r="B507" s="763" t="s">
        <v>4023</v>
      </c>
      <c r="C507" s="650" t="s">
        <v>4024</v>
      </c>
      <c r="D507" s="650" t="s">
        <v>131</v>
      </c>
      <c r="E507" s="643">
        <v>304</v>
      </c>
      <c r="F507" s="650"/>
      <c r="G507" s="651" t="s">
        <v>32</v>
      </c>
      <c r="H507" s="651" t="s">
        <v>33</v>
      </c>
      <c r="I507" s="651" t="s">
        <v>3625</v>
      </c>
      <c r="J507" s="651" t="s">
        <v>34</v>
      </c>
      <c r="K507" s="651" t="s">
        <v>34</v>
      </c>
      <c r="L507" s="652">
        <v>6079.9988999999996</v>
      </c>
      <c r="M507" s="653">
        <v>3343.9993949999998</v>
      </c>
      <c r="N507" s="654">
        <v>2020.5</v>
      </c>
      <c r="O507" s="651" t="s">
        <v>3626</v>
      </c>
      <c r="P507" s="651" t="s">
        <v>3627</v>
      </c>
      <c r="Q507" s="651">
        <v>18522251335</v>
      </c>
      <c r="R507" s="651" t="s">
        <v>3628</v>
      </c>
      <c r="S507" s="651" t="s">
        <v>3564</v>
      </c>
      <c r="T507" s="642"/>
    </row>
    <row r="508" spans="1:20" ht="24.95" customHeight="1">
      <c r="A508" s="711" t="s">
        <v>4025</v>
      </c>
      <c r="B508" s="764" t="s">
        <v>1173</v>
      </c>
      <c r="C508" s="642"/>
      <c r="D508" s="642"/>
      <c r="E508" s="643"/>
      <c r="F508" s="158"/>
      <c r="G508" s="623"/>
      <c r="H508" s="623"/>
      <c r="I508" s="623"/>
      <c r="J508" s="623"/>
      <c r="K508" s="623"/>
      <c r="L508" s="624"/>
      <c r="M508" s="643"/>
      <c r="N508" s="622"/>
      <c r="O508" s="765"/>
      <c r="P508" s="623"/>
      <c r="Q508" s="623"/>
      <c r="R508" s="632"/>
      <c r="S508" s="623"/>
      <c r="T508" s="624"/>
    </row>
    <row r="509" spans="1:20" ht="24.95" customHeight="1">
      <c r="A509" s="708">
        <v>1</v>
      </c>
      <c r="B509" s="645" t="s">
        <v>4026</v>
      </c>
      <c r="C509" s="642"/>
      <c r="D509" s="645" t="s">
        <v>1218</v>
      </c>
      <c r="E509" s="644">
        <v>6</v>
      </c>
      <c r="F509" s="158" t="s">
        <v>34</v>
      </c>
      <c r="G509" s="645" t="s">
        <v>33</v>
      </c>
      <c r="H509" s="645" t="s">
        <v>33</v>
      </c>
      <c r="I509" s="623"/>
      <c r="J509" s="623"/>
      <c r="K509" s="623"/>
      <c r="L509" s="624"/>
      <c r="M509" s="647">
        <v>23700</v>
      </c>
      <c r="N509" s="622" t="s">
        <v>4027</v>
      </c>
      <c r="O509" s="623" t="s">
        <v>3618</v>
      </c>
      <c r="P509" s="623" t="s">
        <v>3619</v>
      </c>
      <c r="Q509" s="623">
        <v>13752429150</v>
      </c>
      <c r="R509" s="632" t="s">
        <v>3620</v>
      </c>
      <c r="S509" s="623" t="s">
        <v>3564</v>
      </c>
      <c r="T509" s="624"/>
    </row>
    <row r="510" spans="1:20" ht="24.95" customHeight="1">
      <c r="A510" s="708">
        <v>2</v>
      </c>
      <c r="B510" s="645" t="s">
        <v>4028</v>
      </c>
      <c r="C510" s="642"/>
      <c r="D510" s="645" t="s">
        <v>1218</v>
      </c>
      <c r="E510" s="644">
        <v>1</v>
      </c>
      <c r="F510" s="158" t="s">
        <v>34</v>
      </c>
      <c r="G510" s="645" t="s">
        <v>33</v>
      </c>
      <c r="H510" s="645" t="s">
        <v>33</v>
      </c>
      <c r="I510" s="623"/>
      <c r="J510" s="623"/>
      <c r="K510" s="623"/>
      <c r="L510" s="624"/>
      <c r="M510" s="647">
        <v>29000</v>
      </c>
      <c r="N510" s="622" t="s">
        <v>4027</v>
      </c>
      <c r="O510" s="623" t="s">
        <v>3618</v>
      </c>
      <c r="P510" s="623" t="s">
        <v>3619</v>
      </c>
      <c r="Q510" s="623">
        <v>13752429150</v>
      </c>
      <c r="R510" s="632" t="s">
        <v>3620</v>
      </c>
      <c r="S510" s="623" t="s">
        <v>3564</v>
      </c>
      <c r="T510" s="624"/>
    </row>
    <row r="511" spans="1:20" ht="24.95" customHeight="1">
      <c r="A511" s="708">
        <v>3</v>
      </c>
      <c r="B511" s="645" t="s">
        <v>4029</v>
      </c>
      <c r="C511" s="642"/>
      <c r="D511" s="645" t="s">
        <v>1218</v>
      </c>
      <c r="E511" s="644">
        <v>2</v>
      </c>
      <c r="F511" s="158" t="s">
        <v>34</v>
      </c>
      <c r="G511" s="645" t="s">
        <v>33</v>
      </c>
      <c r="H511" s="645" t="s">
        <v>33</v>
      </c>
      <c r="I511" s="623"/>
      <c r="J511" s="623"/>
      <c r="K511" s="623"/>
      <c r="L511" s="624"/>
      <c r="M511" s="644">
        <v>27000</v>
      </c>
      <c r="N511" s="622" t="s">
        <v>4027</v>
      </c>
      <c r="O511" s="623" t="s">
        <v>3618</v>
      </c>
      <c r="P511" s="623" t="s">
        <v>3619</v>
      </c>
      <c r="Q511" s="623">
        <v>13752429150</v>
      </c>
      <c r="R511" s="632" t="s">
        <v>3620</v>
      </c>
      <c r="S511" s="623" t="s">
        <v>3564</v>
      </c>
      <c r="T511" s="624"/>
    </row>
    <row r="512" spans="1:20" s="94" customFormat="1" ht="24.95" customHeight="1">
      <c r="A512" s="708">
        <v>4</v>
      </c>
      <c r="B512" s="623" t="s">
        <v>1173</v>
      </c>
      <c r="C512" s="102" t="s">
        <v>4030</v>
      </c>
      <c r="D512" s="102" t="s">
        <v>161</v>
      </c>
      <c r="E512" s="102">
        <v>14</v>
      </c>
      <c r="F512" s="623" t="s">
        <v>34</v>
      </c>
      <c r="G512" s="102" t="s">
        <v>32</v>
      </c>
      <c r="H512" s="623" t="s">
        <v>41</v>
      </c>
      <c r="I512" s="623" t="s">
        <v>34</v>
      </c>
      <c r="J512" s="623" t="s">
        <v>34</v>
      </c>
      <c r="K512" s="623" t="s">
        <v>34</v>
      </c>
      <c r="L512" s="102"/>
      <c r="M512" s="102">
        <v>6600</v>
      </c>
      <c r="N512" s="102">
        <v>2019.11</v>
      </c>
      <c r="O512" s="102" t="s">
        <v>3683</v>
      </c>
      <c r="P512" s="102" t="s">
        <v>3684</v>
      </c>
      <c r="Q512" s="102">
        <v>18649012127</v>
      </c>
      <c r="R512" s="623" t="s">
        <v>3685</v>
      </c>
      <c r="S512" s="623" t="s">
        <v>3564</v>
      </c>
      <c r="T512" s="102"/>
    </row>
    <row r="513" spans="1:20" s="94" customFormat="1" ht="24.95" customHeight="1">
      <c r="A513" s="708">
        <v>5</v>
      </c>
      <c r="B513" s="623" t="s">
        <v>4031</v>
      </c>
      <c r="C513" s="102" t="s">
        <v>4032</v>
      </c>
      <c r="D513" s="102" t="s">
        <v>79</v>
      </c>
      <c r="E513" s="102">
        <v>8</v>
      </c>
      <c r="F513" s="623" t="s">
        <v>34</v>
      </c>
      <c r="G513" s="102" t="s">
        <v>32</v>
      </c>
      <c r="H513" s="623" t="s">
        <v>41</v>
      </c>
      <c r="I513" s="623" t="s">
        <v>34</v>
      </c>
      <c r="J513" s="623" t="s">
        <v>34</v>
      </c>
      <c r="K513" s="623" t="s">
        <v>34</v>
      </c>
      <c r="L513" s="102"/>
      <c r="M513" s="102">
        <v>310</v>
      </c>
      <c r="N513" s="102">
        <v>2019.11</v>
      </c>
      <c r="O513" s="102" t="s">
        <v>3683</v>
      </c>
      <c r="P513" s="102" t="s">
        <v>3684</v>
      </c>
      <c r="Q513" s="102">
        <v>18649012127</v>
      </c>
      <c r="R513" s="623" t="s">
        <v>3685</v>
      </c>
      <c r="S513" s="623" t="s">
        <v>3564</v>
      </c>
      <c r="T513" s="102"/>
    </row>
    <row r="514" spans="1:20" s="662" customFormat="1" ht="24.95" customHeight="1">
      <c r="A514" s="708">
        <v>6</v>
      </c>
      <c r="B514" s="668" t="s">
        <v>4033</v>
      </c>
      <c r="C514" s="667"/>
      <c r="D514" s="668" t="s">
        <v>161</v>
      </c>
      <c r="E514" s="661">
        <v>239.2</v>
      </c>
      <c r="F514" s="669"/>
      <c r="G514" s="645" t="s">
        <v>33</v>
      </c>
      <c r="H514" s="645" t="s">
        <v>33</v>
      </c>
      <c r="I514" s="624"/>
      <c r="J514" s="624"/>
      <c r="K514" s="624"/>
      <c r="L514" s="305">
        <v>67454.399999999994</v>
      </c>
      <c r="M514" s="305">
        <v>67454.399999999994</v>
      </c>
      <c r="N514" s="622" t="s">
        <v>3706</v>
      </c>
      <c r="O514" s="623" t="s">
        <v>3639</v>
      </c>
      <c r="P514" s="623" t="s">
        <v>3640</v>
      </c>
      <c r="Q514" s="623">
        <v>15822939828</v>
      </c>
      <c r="R514" s="632" t="s">
        <v>3641</v>
      </c>
      <c r="S514" s="623" t="s">
        <v>3564</v>
      </c>
      <c r="T514" s="624"/>
    </row>
    <row r="515" spans="1:20" ht="24.95" customHeight="1">
      <c r="A515" s="708"/>
      <c r="B515" s="660" t="s">
        <v>3717</v>
      </c>
      <c r="C515" s="660"/>
      <c r="D515" s="624"/>
      <c r="E515" s="661"/>
      <c r="F515" s="661"/>
      <c r="G515" s="624"/>
      <c r="H515" s="624"/>
      <c r="I515" s="624"/>
      <c r="J515" s="624"/>
      <c r="K515" s="624"/>
      <c r="L515" s="624"/>
      <c r="M515" s="661"/>
      <c r="N515" s="624"/>
      <c r="O515" s="624"/>
      <c r="P515" s="624"/>
      <c r="Q515" s="624"/>
      <c r="R515" s="624"/>
      <c r="S515" s="624"/>
      <c r="T515" s="624"/>
    </row>
    <row r="516" spans="1:20" ht="81" customHeight="1">
      <c r="A516" s="1879" t="s">
        <v>4034</v>
      </c>
      <c r="B516" s="1879"/>
      <c r="C516" s="1879"/>
      <c r="D516" s="1879"/>
      <c r="E516" s="1879"/>
      <c r="F516" s="1879"/>
      <c r="G516" s="1879"/>
      <c r="H516" s="1879"/>
      <c r="I516" s="1879"/>
      <c r="J516" s="1879"/>
      <c r="K516" s="1879"/>
      <c r="L516" s="1879"/>
      <c r="M516" s="1879"/>
      <c r="N516" s="1879"/>
      <c r="O516" s="1879"/>
      <c r="P516" s="1879"/>
      <c r="Q516" s="1879"/>
      <c r="R516" s="1879"/>
      <c r="S516" s="1879"/>
      <c r="T516" s="1879"/>
    </row>
    <row r="521" spans="1:20">
      <c r="S521" s="623"/>
    </row>
  </sheetData>
  <autoFilter ref="A5:T5"/>
  <mergeCells count="36">
    <mergeCell ref="B195:B196"/>
    <mergeCell ref="A516:T516"/>
    <mergeCell ref="B210:B215"/>
    <mergeCell ref="M210:M215"/>
    <mergeCell ref="B216:B221"/>
    <mergeCell ref="M216:M221"/>
    <mergeCell ref="O244:O252"/>
    <mergeCell ref="T301:T303"/>
    <mergeCell ref="B198:B203"/>
    <mergeCell ref="M198:M203"/>
    <mergeCell ref="B50:B51"/>
    <mergeCell ref="B191:B194"/>
    <mergeCell ref="M17:M18"/>
    <mergeCell ref="O17:O18"/>
    <mergeCell ref="N4:N5"/>
    <mergeCell ref="O4:O5"/>
    <mergeCell ref="B20:B22"/>
    <mergeCell ref="M20:M22"/>
    <mergeCell ref="B17:B18"/>
    <mergeCell ref="C17:C18"/>
    <mergeCell ref="D17:D18"/>
    <mergeCell ref="A2:T2"/>
    <mergeCell ref="A3:T3"/>
    <mergeCell ref="A4:A5"/>
    <mergeCell ref="B4:B5"/>
    <mergeCell ref="C4:C5"/>
    <mergeCell ref="D4:D5"/>
    <mergeCell ref="E4:E5"/>
    <mergeCell ref="G4:G5"/>
    <mergeCell ref="H4:H5"/>
    <mergeCell ref="J4:J5"/>
    <mergeCell ref="T4:T5"/>
    <mergeCell ref="Q4:Q5"/>
    <mergeCell ref="R4:R5"/>
    <mergeCell ref="S4:S5"/>
    <mergeCell ref="P4:P5"/>
  </mergeCells>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XFD596"/>
  <sheetViews>
    <sheetView workbookViewId="0">
      <selection activeCell="K15" sqref="K15"/>
    </sheetView>
  </sheetViews>
  <sheetFormatPr defaultColWidth="9" defaultRowHeight="30" customHeight="1"/>
  <cols>
    <col min="1" max="1" width="6" style="1188" customWidth="1"/>
    <col min="2" max="2" width="21.5" style="1188" customWidth="1"/>
    <col min="3" max="3" width="19.25" style="1188" customWidth="1"/>
    <col min="4" max="4" width="6.5" style="1188" customWidth="1"/>
    <col min="5" max="5" width="10" style="1188" customWidth="1"/>
    <col min="6" max="6" width="9.125" style="1188" customWidth="1"/>
    <col min="7" max="7" width="7.125" style="1188" customWidth="1"/>
    <col min="8" max="8" width="8.5" style="1188" customWidth="1"/>
    <col min="9" max="9" width="12" style="1189" customWidth="1"/>
    <col min="10" max="10" width="18.5" style="1188" customWidth="1"/>
    <col min="11" max="11" width="22.5" style="1189" customWidth="1"/>
    <col min="12" max="12" width="12" style="1190" customWidth="1"/>
    <col min="13" max="13" width="13" style="1190" customWidth="1"/>
    <col min="14" max="14" width="12.375" style="1190" customWidth="1"/>
    <col min="15" max="15" width="18.375" style="1188" customWidth="1"/>
    <col min="16" max="16" width="8.25" style="1188" customWidth="1"/>
    <col min="17" max="17" width="15.875" style="1188" customWidth="1"/>
    <col min="18" max="18" width="14.5" style="1188" customWidth="1"/>
    <col min="19" max="19" width="13.5" style="1188" customWidth="1"/>
    <col min="20" max="20" width="11.25" style="1188" customWidth="1"/>
    <col min="21" max="16384" width="9" style="1188"/>
  </cols>
  <sheetData>
    <row r="1" spans="1:20" s="1046" customFormat="1" ht="12">
      <c r="A1" s="1041" t="s">
        <v>0</v>
      </c>
      <c r="B1" s="1042"/>
      <c r="C1" s="1041"/>
      <c r="D1" s="1041"/>
      <c r="E1" s="1041"/>
      <c r="F1" s="1041"/>
      <c r="G1" s="1041"/>
      <c r="H1" s="1041"/>
      <c r="I1" s="1043"/>
      <c r="J1" s="1041"/>
      <c r="K1" s="1043"/>
      <c r="L1" s="1044"/>
      <c r="M1" s="1045"/>
      <c r="N1" s="1044"/>
      <c r="O1" s="1041"/>
      <c r="P1" s="1041"/>
      <c r="Q1" s="1041"/>
      <c r="R1" s="1041"/>
      <c r="S1" s="864"/>
    </row>
    <row r="2" spans="1:20" s="1046" customFormat="1" ht="20.25">
      <c r="A2" s="1886" t="s">
        <v>4035</v>
      </c>
      <c r="B2" s="1887"/>
      <c r="C2" s="1886"/>
      <c r="D2" s="1886"/>
      <c r="E2" s="1886"/>
      <c r="F2" s="1886"/>
      <c r="G2" s="1886"/>
      <c r="H2" s="1886"/>
      <c r="I2" s="1888"/>
      <c r="J2" s="1886"/>
      <c r="K2" s="1888"/>
      <c r="L2" s="1889"/>
      <c r="M2" s="1889"/>
      <c r="N2" s="1889"/>
      <c r="O2" s="1886"/>
      <c r="P2" s="1886"/>
      <c r="Q2" s="1886"/>
      <c r="R2" s="1886"/>
      <c r="S2" s="1886"/>
      <c r="T2" s="1886"/>
    </row>
    <row r="3" spans="1:20" s="1046" customFormat="1" ht="15.75" customHeight="1">
      <c r="A3" s="1890">
        <v>44593</v>
      </c>
      <c r="B3" s="1891"/>
      <c r="C3" s="1892"/>
      <c r="D3" s="1892"/>
      <c r="E3" s="1892"/>
      <c r="F3" s="1892"/>
      <c r="G3" s="1892"/>
      <c r="H3" s="1892"/>
      <c r="I3" s="1893"/>
      <c r="J3" s="1892"/>
      <c r="K3" s="1893"/>
      <c r="L3" s="1894"/>
      <c r="M3" s="1894"/>
      <c r="N3" s="1894"/>
      <c r="O3" s="1892"/>
      <c r="P3" s="1892"/>
      <c r="Q3" s="1892"/>
      <c r="R3" s="1892"/>
      <c r="S3" s="1892"/>
      <c r="T3" s="1892"/>
    </row>
    <row r="4" spans="1:20" s="1046" customFormat="1" ht="12">
      <c r="A4" s="1895" t="s">
        <v>2</v>
      </c>
      <c r="B4" s="1896" t="s">
        <v>3</v>
      </c>
      <c r="C4" s="1897" t="s">
        <v>4</v>
      </c>
      <c r="D4" s="1895" t="s">
        <v>5</v>
      </c>
      <c r="E4" s="1897" t="s">
        <v>1729</v>
      </c>
      <c r="F4" s="1047" t="s">
        <v>1730</v>
      </c>
      <c r="G4" s="1897" t="s">
        <v>8</v>
      </c>
      <c r="H4" s="1897" t="s">
        <v>9</v>
      </c>
      <c r="I4" s="1047" t="s">
        <v>10</v>
      </c>
      <c r="J4" s="1897" t="s">
        <v>11</v>
      </c>
      <c r="K4" s="1047" t="s">
        <v>12</v>
      </c>
      <c r="L4" s="1048" t="s">
        <v>13</v>
      </c>
      <c r="M4" s="294" t="s">
        <v>14</v>
      </c>
      <c r="N4" s="1900" t="s">
        <v>15</v>
      </c>
      <c r="O4" s="1897" t="s">
        <v>16</v>
      </c>
      <c r="P4" s="1895" t="s">
        <v>17</v>
      </c>
      <c r="Q4" s="1897" t="s">
        <v>18</v>
      </c>
      <c r="R4" s="1897" t="s">
        <v>19</v>
      </c>
      <c r="S4" s="1898" t="s">
        <v>20</v>
      </c>
      <c r="T4" s="1898" t="s">
        <v>21</v>
      </c>
    </row>
    <row r="5" spans="1:20" s="1046" customFormat="1" ht="12">
      <c r="A5" s="1895"/>
      <c r="B5" s="1897"/>
      <c r="C5" s="1897"/>
      <c r="D5" s="1895"/>
      <c r="E5" s="1897"/>
      <c r="F5" s="1047" t="s">
        <v>22</v>
      </c>
      <c r="G5" s="1897"/>
      <c r="H5" s="1897"/>
      <c r="I5" s="1047" t="s">
        <v>23</v>
      </c>
      <c r="J5" s="1897"/>
      <c r="K5" s="1047" t="s">
        <v>24</v>
      </c>
      <c r="L5" s="294" t="s">
        <v>25</v>
      </c>
      <c r="M5" s="294" t="s">
        <v>25</v>
      </c>
      <c r="N5" s="1901"/>
      <c r="O5" s="1897"/>
      <c r="P5" s="1895"/>
      <c r="Q5" s="1897"/>
      <c r="R5" s="1897"/>
      <c r="S5" s="1898"/>
      <c r="T5" s="1898"/>
    </row>
    <row r="6" spans="1:20" s="1046" customFormat="1" ht="24.95" customHeight="1">
      <c r="A6" s="1049" t="s">
        <v>26</v>
      </c>
      <c r="B6" s="1050" t="s">
        <v>27</v>
      </c>
      <c r="C6" s="1047"/>
      <c r="D6" s="1051"/>
      <c r="E6" s="1047"/>
      <c r="F6" s="1047"/>
      <c r="G6" s="1047"/>
      <c r="H6" s="1047"/>
      <c r="I6" s="1047"/>
      <c r="J6" s="1047"/>
      <c r="K6" s="1047"/>
      <c r="L6" s="1048"/>
      <c r="M6" s="294"/>
      <c r="N6" s="1052"/>
      <c r="O6" s="1047"/>
      <c r="P6" s="1051"/>
      <c r="Q6" s="1047"/>
      <c r="R6" s="1047"/>
      <c r="S6" s="803"/>
      <c r="T6" s="803"/>
    </row>
    <row r="7" spans="1:20" s="1046" customFormat="1" ht="24.95" customHeight="1">
      <c r="A7" s="1049">
        <v>1</v>
      </c>
      <c r="B7" s="1050" t="s">
        <v>28</v>
      </c>
      <c r="C7" s="1047"/>
      <c r="D7" s="1051"/>
      <c r="E7" s="1047"/>
      <c r="F7" s="1047"/>
      <c r="G7" s="1047"/>
      <c r="H7" s="1047"/>
      <c r="I7" s="1047"/>
      <c r="J7" s="1047"/>
      <c r="K7" s="1047"/>
      <c r="L7" s="1048"/>
      <c r="M7" s="294"/>
      <c r="N7" s="1052"/>
      <c r="O7" s="1047"/>
      <c r="P7" s="1051"/>
      <c r="Q7" s="1047"/>
      <c r="R7" s="1047"/>
      <c r="S7" s="803"/>
      <c r="T7" s="803"/>
    </row>
    <row r="8" spans="1:20" s="1056" customFormat="1" ht="24.95" customHeight="1">
      <c r="A8" s="1053">
        <v>1</v>
      </c>
      <c r="B8" s="1054" t="s">
        <v>243</v>
      </c>
      <c r="C8" s="1054" t="s">
        <v>4036</v>
      </c>
      <c r="D8" s="1054" t="s">
        <v>79</v>
      </c>
      <c r="E8" s="1054">
        <v>3</v>
      </c>
      <c r="F8" s="1054">
        <v>33</v>
      </c>
      <c r="G8" s="1054" t="s">
        <v>32</v>
      </c>
      <c r="H8" s="1054" t="s">
        <v>33</v>
      </c>
      <c r="I8" s="1054" t="s">
        <v>4037</v>
      </c>
      <c r="J8" s="1054" t="s">
        <v>4038</v>
      </c>
      <c r="K8" s="1054" t="s">
        <v>4039</v>
      </c>
      <c r="L8" s="1054">
        <v>268950</v>
      </c>
      <c r="M8" s="1054">
        <v>17115</v>
      </c>
      <c r="N8" s="1054">
        <v>2019.7</v>
      </c>
      <c r="O8" s="1902" t="s">
        <v>4040</v>
      </c>
      <c r="P8" s="1053" t="s">
        <v>4041</v>
      </c>
      <c r="Q8" s="1055">
        <v>18881106155</v>
      </c>
      <c r="R8" s="1055" t="s">
        <v>4042</v>
      </c>
      <c r="S8" s="125" t="s">
        <v>4043</v>
      </c>
      <c r="T8" s="125"/>
    </row>
    <row r="9" spans="1:20" s="1056" customFormat="1" ht="24.95" customHeight="1">
      <c r="A9" s="1053">
        <v>2</v>
      </c>
      <c r="B9" s="1054" t="s">
        <v>4044</v>
      </c>
      <c r="C9" s="1054" t="s">
        <v>34</v>
      </c>
      <c r="D9" s="1054" t="s">
        <v>79</v>
      </c>
      <c r="E9" s="1054">
        <v>1</v>
      </c>
      <c r="F9" s="1054">
        <v>36.44</v>
      </c>
      <c r="G9" s="1054" t="s">
        <v>32</v>
      </c>
      <c r="H9" s="1054" t="s">
        <v>33</v>
      </c>
      <c r="I9" s="1054" t="s">
        <v>4037</v>
      </c>
      <c r="J9" s="1054" t="s">
        <v>4038</v>
      </c>
      <c r="K9" s="1054" t="s">
        <v>4045</v>
      </c>
      <c r="L9" s="1054">
        <v>289698</v>
      </c>
      <c r="M9" s="1054">
        <v>173818.8</v>
      </c>
      <c r="N9" s="1054">
        <v>2021.8</v>
      </c>
      <c r="O9" s="1899"/>
      <c r="P9" s="1053" t="s">
        <v>4041</v>
      </c>
      <c r="Q9" s="1055">
        <v>18881106155</v>
      </c>
      <c r="R9" s="1055" t="s">
        <v>4042</v>
      </c>
      <c r="S9" s="125" t="s">
        <v>4043</v>
      </c>
      <c r="T9" s="125"/>
    </row>
    <row r="10" spans="1:20" s="1056" customFormat="1" ht="24.95" customHeight="1">
      <c r="A10" s="1053">
        <v>3</v>
      </c>
      <c r="B10" s="140" t="s">
        <v>4046</v>
      </c>
      <c r="C10" s="103" t="s">
        <v>1036</v>
      </c>
      <c r="D10" s="1057" t="s">
        <v>62</v>
      </c>
      <c r="E10" s="148">
        <v>13.82</v>
      </c>
      <c r="F10" s="147">
        <v>13.82</v>
      </c>
      <c r="G10" s="147" t="s">
        <v>32</v>
      </c>
      <c r="H10" s="1055" t="s">
        <v>41</v>
      </c>
      <c r="I10" s="1055"/>
      <c r="J10" s="1058" t="s">
        <v>2413</v>
      </c>
      <c r="K10" s="140" t="s">
        <v>3712</v>
      </c>
      <c r="L10" s="344">
        <v>97693.17</v>
      </c>
      <c r="M10" s="344">
        <v>12724.15</v>
      </c>
      <c r="N10" s="1057">
        <v>2019.06</v>
      </c>
      <c r="O10" s="1903" t="s">
        <v>4047</v>
      </c>
      <c r="P10" s="1053" t="s">
        <v>4048</v>
      </c>
      <c r="Q10" s="1055">
        <v>19902766690</v>
      </c>
      <c r="R10" s="1055" t="s">
        <v>4049</v>
      </c>
      <c r="S10" s="125" t="s">
        <v>4043</v>
      </c>
      <c r="T10" s="125"/>
    </row>
    <row r="11" spans="1:20" s="1056" customFormat="1" ht="24.95" customHeight="1">
      <c r="A11" s="1053">
        <v>4</v>
      </c>
      <c r="B11" s="1059" t="s">
        <v>4050</v>
      </c>
      <c r="C11" s="1060" t="s">
        <v>4051</v>
      </c>
      <c r="D11" s="1061" t="s">
        <v>79</v>
      </c>
      <c r="E11" s="293">
        <v>71</v>
      </c>
      <c r="F11" s="103"/>
      <c r="G11" s="147" t="s">
        <v>32</v>
      </c>
      <c r="H11" s="1055" t="s">
        <v>41</v>
      </c>
      <c r="I11" s="1055"/>
      <c r="J11" s="1058" t="s">
        <v>2413</v>
      </c>
      <c r="K11" s="140" t="s">
        <v>4052</v>
      </c>
      <c r="L11" s="1062">
        <v>13441.75</v>
      </c>
      <c r="M11" s="344">
        <v>4032.5249999999801</v>
      </c>
      <c r="N11" s="264">
        <v>2020.07</v>
      </c>
      <c r="O11" s="1903"/>
      <c r="P11" s="1053" t="s">
        <v>4048</v>
      </c>
      <c r="Q11" s="1055">
        <v>19902766690</v>
      </c>
      <c r="R11" s="1055" t="s">
        <v>4049</v>
      </c>
      <c r="S11" s="125" t="s">
        <v>4043</v>
      </c>
      <c r="T11" s="125"/>
    </row>
    <row r="12" spans="1:20" s="1056" customFormat="1" ht="24.95" customHeight="1">
      <c r="A12" s="1053">
        <v>5</v>
      </c>
      <c r="B12" s="1059" t="s">
        <v>4053</v>
      </c>
      <c r="C12" s="1060" t="s">
        <v>4054</v>
      </c>
      <c r="D12" s="1061" t="s">
        <v>79</v>
      </c>
      <c r="E12" s="293">
        <v>89</v>
      </c>
      <c r="F12" s="103"/>
      <c r="G12" s="147" t="s">
        <v>32</v>
      </c>
      <c r="H12" s="1055" t="s">
        <v>41</v>
      </c>
      <c r="I12" s="1055"/>
      <c r="J12" s="1058" t="s">
        <v>2413</v>
      </c>
      <c r="K12" s="140" t="s">
        <v>4052</v>
      </c>
      <c r="L12" s="1062">
        <v>3456.31</v>
      </c>
      <c r="M12" s="344">
        <v>1036.89299999999</v>
      </c>
      <c r="N12" s="264">
        <v>2020.07</v>
      </c>
      <c r="O12" s="1903"/>
      <c r="P12" s="1053" t="s">
        <v>4048</v>
      </c>
      <c r="Q12" s="1055">
        <v>19902766690</v>
      </c>
      <c r="R12" s="1055" t="s">
        <v>4049</v>
      </c>
      <c r="S12" s="125" t="s">
        <v>4043</v>
      </c>
      <c r="T12" s="125"/>
    </row>
    <row r="13" spans="1:20" s="1056" customFormat="1" ht="24.95" customHeight="1">
      <c r="A13" s="1053">
        <v>6</v>
      </c>
      <c r="B13" s="1059" t="s">
        <v>4055</v>
      </c>
      <c r="C13" s="1060" t="s">
        <v>4056</v>
      </c>
      <c r="D13" s="1061" t="s">
        <v>79</v>
      </c>
      <c r="E13" s="293">
        <v>10</v>
      </c>
      <c r="F13" s="103"/>
      <c r="G13" s="147" t="s">
        <v>32</v>
      </c>
      <c r="H13" s="1055" t="s">
        <v>41</v>
      </c>
      <c r="I13" s="1055"/>
      <c r="J13" s="1058" t="s">
        <v>2413</v>
      </c>
      <c r="K13" s="140" t="s">
        <v>4052</v>
      </c>
      <c r="L13" s="1062">
        <v>1601.94</v>
      </c>
      <c r="M13" s="344">
        <v>480.58199999999999</v>
      </c>
      <c r="N13" s="264">
        <v>2020.07</v>
      </c>
      <c r="O13" s="1903"/>
      <c r="P13" s="1053" t="s">
        <v>4048</v>
      </c>
      <c r="Q13" s="1055">
        <v>19902766690</v>
      </c>
      <c r="R13" s="1055" t="s">
        <v>4049</v>
      </c>
      <c r="S13" s="125" t="s">
        <v>4043</v>
      </c>
      <c r="T13" s="125"/>
    </row>
    <row r="14" spans="1:20" s="1056" customFormat="1" ht="24.95" customHeight="1">
      <c r="A14" s="1053">
        <v>7</v>
      </c>
      <c r="B14" s="1059" t="s">
        <v>4057</v>
      </c>
      <c r="C14" s="1060" t="s">
        <v>4058</v>
      </c>
      <c r="D14" s="1061" t="s">
        <v>79</v>
      </c>
      <c r="E14" s="293">
        <v>71</v>
      </c>
      <c r="F14" s="103"/>
      <c r="G14" s="147" t="s">
        <v>32</v>
      </c>
      <c r="H14" s="1055" t="s">
        <v>41</v>
      </c>
      <c r="I14" s="1055"/>
      <c r="J14" s="1058" t="s">
        <v>2413</v>
      </c>
      <c r="K14" s="140" t="s">
        <v>4052</v>
      </c>
      <c r="L14" s="1062">
        <v>2619.42</v>
      </c>
      <c r="M14" s="344">
        <v>785.82600000000002</v>
      </c>
      <c r="N14" s="264">
        <v>2020.07</v>
      </c>
      <c r="O14" s="1903"/>
      <c r="P14" s="1053" t="s">
        <v>4048</v>
      </c>
      <c r="Q14" s="1055">
        <v>19902766690</v>
      </c>
      <c r="R14" s="1055" t="s">
        <v>4049</v>
      </c>
      <c r="S14" s="125" t="s">
        <v>4043</v>
      </c>
      <c r="T14" s="125"/>
    </row>
    <row r="15" spans="1:20" s="1056" customFormat="1" ht="24.95" customHeight="1">
      <c r="A15" s="1053">
        <v>8</v>
      </c>
      <c r="B15" s="1059" t="s">
        <v>4057</v>
      </c>
      <c r="C15" s="1060" t="s">
        <v>4059</v>
      </c>
      <c r="D15" s="1061" t="s">
        <v>79</v>
      </c>
      <c r="E15" s="293">
        <v>71</v>
      </c>
      <c r="F15" s="103"/>
      <c r="G15" s="147" t="s">
        <v>32</v>
      </c>
      <c r="H15" s="1055" t="s">
        <v>41</v>
      </c>
      <c r="I15" s="1055"/>
      <c r="J15" s="1058" t="s">
        <v>2413</v>
      </c>
      <c r="K15" s="140" t="s">
        <v>4052</v>
      </c>
      <c r="L15" s="1062">
        <v>2067.96</v>
      </c>
      <c r="M15" s="344">
        <v>620.38800000000003</v>
      </c>
      <c r="N15" s="264">
        <v>2020.07</v>
      </c>
      <c r="O15" s="1903"/>
      <c r="P15" s="1053" t="s">
        <v>4048</v>
      </c>
      <c r="Q15" s="1055">
        <v>19902766690</v>
      </c>
      <c r="R15" s="1055" t="s">
        <v>4049</v>
      </c>
      <c r="S15" s="125" t="s">
        <v>4043</v>
      </c>
      <c r="T15" s="125"/>
    </row>
    <row r="16" spans="1:20" s="1056" customFormat="1" ht="24.95" customHeight="1">
      <c r="A16" s="1053">
        <v>9</v>
      </c>
      <c r="B16" s="1059" t="s">
        <v>4060</v>
      </c>
      <c r="C16" s="1060" t="s">
        <v>4061</v>
      </c>
      <c r="D16" s="1061" t="s">
        <v>79</v>
      </c>
      <c r="E16" s="293">
        <v>30</v>
      </c>
      <c r="F16" s="103"/>
      <c r="G16" s="147" t="s">
        <v>32</v>
      </c>
      <c r="H16" s="1055" t="s">
        <v>41</v>
      </c>
      <c r="I16" s="1055"/>
      <c r="J16" s="1058" t="s">
        <v>2413</v>
      </c>
      <c r="K16" s="140" t="s">
        <v>4052</v>
      </c>
      <c r="L16" s="1062">
        <v>2708.74</v>
      </c>
      <c r="M16" s="344">
        <v>812.62199999999302</v>
      </c>
      <c r="N16" s="264">
        <v>2020.07</v>
      </c>
      <c r="O16" s="1903"/>
      <c r="P16" s="1053" t="s">
        <v>4048</v>
      </c>
      <c r="Q16" s="1055">
        <v>19902766690</v>
      </c>
      <c r="R16" s="1055" t="s">
        <v>4049</v>
      </c>
      <c r="S16" s="125" t="s">
        <v>4043</v>
      </c>
      <c r="T16" s="125"/>
    </row>
    <row r="17" spans="1:20" s="1056" customFormat="1" ht="24.95" customHeight="1">
      <c r="A17" s="1053">
        <v>10</v>
      </c>
      <c r="B17" s="1059" t="s">
        <v>4062</v>
      </c>
      <c r="C17" s="1060" t="s">
        <v>4063</v>
      </c>
      <c r="D17" s="1061" t="s">
        <v>79</v>
      </c>
      <c r="E17" s="293">
        <v>10</v>
      </c>
      <c r="F17" s="103"/>
      <c r="G17" s="147" t="s">
        <v>32</v>
      </c>
      <c r="H17" s="1055" t="s">
        <v>41</v>
      </c>
      <c r="I17" s="1055"/>
      <c r="J17" s="1058" t="s">
        <v>2413</v>
      </c>
      <c r="K17" s="140" t="s">
        <v>4052</v>
      </c>
      <c r="L17" s="1062">
        <v>3097.09</v>
      </c>
      <c r="M17" s="344">
        <v>929.12699999999302</v>
      </c>
      <c r="N17" s="264">
        <v>2020.07</v>
      </c>
      <c r="O17" s="1903"/>
      <c r="P17" s="1053" t="s">
        <v>4048</v>
      </c>
      <c r="Q17" s="1055">
        <v>19902766690</v>
      </c>
      <c r="R17" s="1055" t="s">
        <v>4049</v>
      </c>
      <c r="S17" s="125" t="s">
        <v>4043</v>
      </c>
      <c r="T17" s="125"/>
    </row>
    <row r="18" spans="1:20" s="1056" customFormat="1" ht="24.95" customHeight="1">
      <c r="A18" s="1053">
        <v>11</v>
      </c>
      <c r="B18" s="1059" t="s">
        <v>4064</v>
      </c>
      <c r="C18" s="1060" t="s">
        <v>4065</v>
      </c>
      <c r="D18" s="1061" t="s">
        <v>79</v>
      </c>
      <c r="E18" s="293">
        <v>30</v>
      </c>
      <c r="F18" s="103"/>
      <c r="G18" s="147" t="s">
        <v>32</v>
      </c>
      <c r="H18" s="1055" t="s">
        <v>41</v>
      </c>
      <c r="I18" s="1055"/>
      <c r="J18" s="1058" t="s">
        <v>2413</v>
      </c>
      <c r="K18" s="140" t="s">
        <v>4052</v>
      </c>
      <c r="L18" s="1062">
        <v>553.4</v>
      </c>
      <c r="M18" s="344">
        <v>166.020000000001</v>
      </c>
      <c r="N18" s="264">
        <v>2020.07</v>
      </c>
      <c r="O18" s="1903"/>
      <c r="P18" s="1053" t="s">
        <v>4048</v>
      </c>
      <c r="Q18" s="1055">
        <v>19902766690</v>
      </c>
      <c r="R18" s="1055" t="s">
        <v>4049</v>
      </c>
      <c r="S18" s="125" t="s">
        <v>4043</v>
      </c>
      <c r="T18" s="125"/>
    </row>
    <row r="19" spans="1:20" s="1056" customFormat="1" ht="24.95" customHeight="1">
      <c r="A19" s="1053">
        <v>12</v>
      </c>
      <c r="B19" s="1059" t="s">
        <v>4066</v>
      </c>
      <c r="C19" s="1060" t="s">
        <v>4067</v>
      </c>
      <c r="D19" s="1061" t="s">
        <v>79</v>
      </c>
      <c r="E19" s="293">
        <v>61</v>
      </c>
      <c r="F19" s="103"/>
      <c r="G19" s="147" t="s">
        <v>32</v>
      </c>
      <c r="H19" s="1055" t="s">
        <v>41</v>
      </c>
      <c r="I19" s="1055"/>
      <c r="J19" s="1058" t="s">
        <v>2413</v>
      </c>
      <c r="K19" s="140" t="s">
        <v>4052</v>
      </c>
      <c r="L19" s="1062">
        <v>10956.31</v>
      </c>
      <c r="M19" s="344">
        <v>3286.89299999998</v>
      </c>
      <c r="N19" s="264">
        <v>2020.07</v>
      </c>
      <c r="O19" s="1903"/>
      <c r="P19" s="1053" t="s">
        <v>4048</v>
      </c>
      <c r="Q19" s="1055">
        <v>19902766690</v>
      </c>
      <c r="R19" s="1055" t="s">
        <v>4049</v>
      </c>
      <c r="S19" s="125" t="s">
        <v>4043</v>
      </c>
      <c r="T19" s="125"/>
    </row>
    <row r="20" spans="1:20" s="1056" customFormat="1" ht="24.95" customHeight="1">
      <c r="A20" s="1053">
        <v>13</v>
      </c>
      <c r="B20" s="1059" t="s">
        <v>4068</v>
      </c>
      <c r="C20" s="1060" t="s">
        <v>4069</v>
      </c>
      <c r="D20" s="1061" t="s">
        <v>79</v>
      </c>
      <c r="E20" s="293">
        <v>30</v>
      </c>
      <c r="F20" s="103"/>
      <c r="G20" s="147" t="s">
        <v>32</v>
      </c>
      <c r="H20" s="1055" t="s">
        <v>41</v>
      </c>
      <c r="I20" s="1055"/>
      <c r="J20" s="1058" t="s">
        <v>2413</v>
      </c>
      <c r="K20" s="140" t="s">
        <v>4052</v>
      </c>
      <c r="L20" s="1062">
        <v>4951.46</v>
      </c>
      <c r="M20" s="344">
        <v>1485.4380000000101</v>
      </c>
      <c r="N20" s="264">
        <v>2020.07</v>
      </c>
      <c r="O20" s="1903"/>
      <c r="P20" s="1053" t="s">
        <v>4048</v>
      </c>
      <c r="Q20" s="1055">
        <v>19902766690</v>
      </c>
      <c r="R20" s="1055" t="s">
        <v>4049</v>
      </c>
      <c r="S20" s="125" t="s">
        <v>4043</v>
      </c>
      <c r="T20" s="125"/>
    </row>
    <row r="21" spans="1:20" s="1056" customFormat="1" ht="24.95" customHeight="1">
      <c r="A21" s="1053">
        <v>14</v>
      </c>
      <c r="B21" s="1059" t="s">
        <v>4070</v>
      </c>
      <c r="C21" s="1060" t="s">
        <v>4071</v>
      </c>
      <c r="D21" s="1061" t="s">
        <v>79</v>
      </c>
      <c r="E21" s="293">
        <v>30</v>
      </c>
      <c r="F21" s="103"/>
      <c r="G21" s="147" t="s">
        <v>32</v>
      </c>
      <c r="H21" s="1055" t="s">
        <v>41</v>
      </c>
      <c r="I21" s="1055"/>
      <c r="J21" s="1058" t="s">
        <v>2413</v>
      </c>
      <c r="K21" s="140" t="s">
        <v>4052</v>
      </c>
      <c r="L21" s="1062">
        <v>4660.1899999999996</v>
      </c>
      <c r="M21" s="344">
        <v>1398.05700000001</v>
      </c>
      <c r="N21" s="264">
        <v>2020.07</v>
      </c>
      <c r="O21" s="1903"/>
      <c r="P21" s="1053" t="s">
        <v>4048</v>
      </c>
      <c r="Q21" s="1055">
        <v>19902766690</v>
      </c>
      <c r="R21" s="1055" t="s">
        <v>4049</v>
      </c>
      <c r="S21" s="125" t="s">
        <v>4043</v>
      </c>
      <c r="T21" s="125"/>
    </row>
    <row r="22" spans="1:20" s="1056" customFormat="1" ht="24.95" customHeight="1">
      <c r="A22" s="1053">
        <v>15</v>
      </c>
      <c r="B22" s="1059" t="s">
        <v>4072</v>
      </c>
      <c r="C22" s="1060" t="s">
        <v>4073</v>
      </c>
      <c r="D22" s="1061" t="s">
        <v>79</v>
      </c>
      <c r="E22" s="293">
        <v>757</v>
      </c>
      <c r="F22" s="103"/>
      <c r="G22" s="147" t="s">
        <v>32</v>
      </c>
      <c r="H22" s="1055" t="s">
        <v>41</v>
      </c>
      <c r="I22" s="1055"/>
      <c r="J22" s="1058" t="s">
        <v>2413</v>
      </c>
      <c r="K22" s="140" t="s">
        <v>4052</v>
      </c>
      <c r="L22" s="1062">
        <v>19843.689999999999</v>
      </c>
      <c r="M22" s="344">
        <v>5953.10700000003</v>
      </c>
      <c r="N22" s="264">
        <v>2020.07</v>
      </c>
      <c r="O22" s="1903"/>
      <c r="P22" s="1053" t="s">
        <v>4048</v>
      </c>
      <c r="Q22" s="1055">
        <v>19902766690</v>
      </c>
      <c r="R22" s="1055" t="s">
        <v>4049</v>
      </c>
      <c r="S22" s="125" t="s">
        <v>4043</v>
      </c>
      <c r="T22" s="125"/>
    </row>
    <row r="23" spans="1:20" s="1056" customFormat="1" ht="24.95" customHeight="1">
      <c r="A23" s="1053">
        <v>16</v>
      </c>
      <c r="B23" s="1059" t="s">
        <v>4074</v>
      </c>
      <c r="C23" s="1060" t="s">
        <v>4075</v>
      </c>
      <c r="D23" s="1061" t="s">
        <v>79</v>
      </c>
      <c r="E23" s="293">
        <v>500</v>
      </c>
      <c r="F23" s="103"/>
      <c r="G23" s="147" t="s">
        <v>32</v>
      </c>
      <c r="H23" s="1055" t="s">
        <v>41</v>
      </c>
      <c r="I23" s="1055"/>
      <c r="J23" s="1058" t="s">
        <v>2413</v>
      </c>
      <c r="K23" s="140" t="s">
        <v>4052</v>
      </c>
      <c r="L23" s="1062">
        <v>15048.54</v>
      </c>
      <c r="M23" s="344">
        <v>4514.5619999999999</v>
      </c>
      <c r="N23" s="264">
        <v>2020.07</v>
      </c>
      <c r="O23" s="1903"/>
      <c r="P23" s="1053" t="s">
        <v>4048</v>
      </c>
      <c r="Q23" s="1055">
        <v>19902766690</v>
      </c>
      <c r="R23" s="1055" t="s">
        <v>4049</v>
      </c>
      <c r="S23" s="125" t="s">
        <v>4043</v>
      </c>
      <c r="T23" s="125"/>
    </row>
    <row r="24" spans="1:20" s="1056" customFormat="1" ht="24.95" customHeight="1">
      <c r="A24" s="1053">
        <v>17</v>
      </c>
      <c r="B24" s="1059" t="s">
        <v>4076</v>
      </c>
      <c r="C24" s="1060" t="s">
        <v>4077</v>
      </c>
      <c r="D24" s="1061" t="s">
        <v>79</v>
      </c>
      <c r="E24" s="293">
        <v>226</v>
      </c>
      <c r="F24" s="103"/>
      <c r="G24" s="147" t="s">
        <v>32</v>
      </c>
      <c r="H24" s="1055" t="s">
        <v>41</v>
      </c>
      <c r="I24" s="1055"/>
      <c r="J24" s="1058" t="s">
        <v>2413</v>
      </c>
      <c r="K24" s="140" t="s">
        <v>4052</v>
      </c>
      <c r="L24" s="1062">
        <v>8337.86</v>
      </c>
      <c r="M24" s="344">
        <v>2501.3580000000102</v>
      </c>
      <c r="N24" s="264">
        <v>2020.07</v>
      </c>
      <c r="O24" s="1903"/>
      <c r="P24" s="1053" t="s">
        <v>4048</v>
      </c>
      <c r="Q24" s="1055">
        <v>19902766690</v>
      </c>
      <c r="R24" s="1055" t="s">
        <v>4049</v>
      </c>
      <c r="S24" s="125" t="s">
        <v>4043</v>
      </c>
      <c r="T24" s="125"/>
    </row>
    <row r="25" spans="1:20" s="1056" customFormat="1" ht="24.95" customHeight="1">
      <c r="A25" s="1053">
        <v>18</v>
      </c>
      <c r="B25" s="1059" t="s">
        <v>4078</v>
      </c>
      <c r="C25" s="1060" t="s">
        <v>4079</v>
      </c>
      <c r="D25" s="1061" t="s">
        <v>79</v>
      </c>
      <c r="E25" s="293">
        <v>30</v>
      </c>
      <c r="F25" s="103"/>
      <c r="G25" s="147" t="s">
        <v>32</v>
      </c>
      <c r="H25" s="1055" t="s">
        <v>41</v>
      </c>
      <c r="I25" s="1055"/>
      <c r="J25" s="1058" t="s">
        <v>2413</v>
      </c>
      <c r="K25" s="140" t="s">
        <v>4052</v>
      </c>
      <c r="L25" s="1062">
        <v>14126.21</v>
      </c>
      <c r="M25" s="344">
        <v>4237.8630000000203</v>
      </c>
      <c r="N25" s="264">
        <v>2020.07</v>
      </c>
      <c r="O25" s="1903"/>
      <c r="P25" s="1053" t="s">
        <v>4048</v>
      </c>
      <c r="Q25" s="1055">
        <v>19902766690</v>
      </c>
      <c r="R25" s="1055" t="s">
        <v>4049</v>
      </c>
      <c r="S25" s="125" t="s">
        <v>4043</v>
      </c>
      <c r="T25" s="125"/>
    </row>
    <row r="26" spans="1:20" s="1056" customFormat="1" ht="24.95" customHeight="1">
      <c r="A26" s="1053">
        <v>19</v>
      </c>
      <c r="B26" s="1059" t="s">
        <v>4080</v>
      </c>
      <c r="C26" s="1060" t="s">
        <v>4079</v>
      </c>
      <c r="D26" s="1061" t="s">
        <v>79</v>
      </c>
      <c r="E26" s="293">
        <v>5</v>
      </c>
      <c r="F26" s="103"/>
      <c r="G26" s="147" t="s">
        <v>32</v>
      </c>
      <c r="H26" s="1055" t="s">
        <v>41</v>
      </c>
      <c r="I26" s="1055"/>
      <c r="J26" s="1058" t="s">
        <v>2413</v>
      </c>
      <c r="K26" s="140" t="s">
        <v>4052</v>
      </c>
      <c r="L26" s="1062">
        <v>2354.37</v>
      </c>
      <c r="M26" s="344">
        <v>706.31100000000004</v>
      </c>
      <c r="N26" s="264">
        <v>2020.07</v>
      </c>
      <c r="O26" s="1903"/>
      <c r="P26" s="1053" t="s">
        <v>4048</v>
      </c>
      <c r="Q26" s="1055">
        <v>19902766690</v>
      </c>
      <c r="R26" s="1055" t="s">
        <v>4049</v>
      </c>
      <c r="S26" s="125" t="s">
        <v>4043</v>
      </c>
      <c r="T26" s="125"/>
    </row>
    <row r="27" spans="1:20" s="1056" customFormat="1" ht="24.95" customHeight="1">
      <c r="A27" s="1053">
        <v>20</v>
      </c>
      <c r="B27" s="1059" t="s">
        <v>4081</v>
      </c>
      <c r="C27" s="1060" t="s">
        <v>4079</v>
      </c>
      <c r="D27" s="1061" t="s">
        <v>79</v>
      </c>
      <c r="E27" s="293">
        <v>5</v>
      </c>
      <c r="F27" s="103"/>
      <c r="G27" s="147" t="s">
        <v>32</v>
      </c>
      <c r="H27" s="1055" t="s">
        <v>41</v>
      </c>
      <c r="I27" s="1055"/>
      <c r="J27" s="1058" t="s">
        <v>2413</v>
      </c>
      <c r="K27" s="140" t="s">
        <v>4052</v>
      </c>
      <c r="L27" s="1062">
        <v>2354.37</v>
      </c>
      <c r="M27" s="344">
        <v>706.31100000000004</v>
      </c>
      <c r="N27" s="264">
        <v>2020.07</v>
      </c>
      <c r="O27" s="1903"/>
      <c r="P27" s="1053" t="s">
        <v>4048</v>
      </c>
      <c r="Q27" s="1055">
        <v>19902766690</v>
      </c>
      <c r="R27" s="1055" t="s">
        <v>4049</v>
      </c>
      <c r="S27" s="125" t="s">
        <v>4043</v>
      </c>
      <c r="T27" s="125"/>
    </row>
    <row r="28" spans="1:20" s="1056" customFormat="1" ht="24.95" customHeight="1">
      <c r="A28" s="1053">
        <v>21</v>
      </c>
      <c r="B28" s="1059" t="s">
        <v>4082</v>
      </c>
      <c r="C28" s="1060" t="s">
        <v>4079</v>
      </c>
      <c r="D28" s="1061" t="s">
        <v>79</v>
      </c>
      <c r="E28" s="293">
        <v>30</v>
      </c>
      <c r="F28" s="103"/>
      <c r="G28" s="147" t="s">
        <v>32</v>
      </c>
      <c r="H28" s="1055" t="s">
        <v>41</v>
      </c>
      <c r="I28" s="1055"/>
      <c r="J28" s="1058" t="s">
        <v>2413</v>
      </c>
      <c r="K28" s="140" t="s">
        <v>4052</v>
      </c>
      <c r="L28" s="1062">
        <v>6932.04</v>
      </c>
      <c r="M28" s="344">
        <v>2079.6120000000001</v>
      </c>
      <c r="N28" s="264">
        <v>2020.07</v>
      </c>
      <c r="O28" s="1903"/>
      <c r="P28" s="1053" t="s">
        <v>4048</v>
      </c>
      <c r="Q28" s="1055">
        <v>19902766690</v>
      </c>
      <c r="R28" s="1055" t="s">
        <v>4049</v>
      </c>
      <c r="S28" s="125" t="s">
        <v>4043</v>
      </c>
      <c r="T28" s="125"/>
    </row>
    <row r="29" spans="1:20" s="1056" customFormat="1" ht="24.95" customHeight="1">
      <c r="A29" s="1053">
        <v>22</v>
      </c>
      <c r="B29" s="1059" t="s">
        <v>4083</v>
      </c>
      <c r="C29" s="1060" t="s">
        <v>4079</v>
      </c>
      <c r="D29" s="1061" t="s">
        <v>79</v>
      </c>
      <c r="E29" s="293">
        <v>30</v>
      </c>
      <c r="F29" s="103"/>
      <c r="G29" s="147" t="s">
        <v>32</v>
      </c>
      <c r="H29" s="1055" t="s">
        <v>41</v>
      </c>
      <c r="I29" s="1055"/>
      <c r="J29" s="1058" t="s">
        <v>2413</v>
      </c>
      <c r="K29" s="140" t="s">
        <v>4052</v>
      </c>
      <c r="L29" s="1062">
        <v>6495.15</v>
      </c>
      <c r="M29" s="344">
        <v>1948.5450000000001</v>
      </c>
      <c r="N29" s="264">
        <v>2020.07</v>
      </c>
      <c r="O29" s="1903"/>
      <c r="P29" s="1053" t="s">
        <v>4048</v>
      </c>
      <c r="Q29" s="1055">
        <v>19902766690</v>
      </c>
      <c r="R29" s="1055" t="s">
        <v>4049</v>
      </c>
      <c r="S29" s="125" t="s">
        <v>4043</v>
      </c>
      <c r="T29" s="125"/>
    </row>
    <row r="30" spans="1:20" s="1056" customFormat="1" ht="24.95" customHeight="1">
      <c r="A30" s="1053">
        <v>23</v>
      </c>
      <c r="B30" s="1059" t="s">
        <v>4066</v>
      </c>
      <c r="C30" s="1060" t="s">
        <v>4079</v>
      </c>
      <c r="D30" s="1061" t="s">
        <v>79</v>
      </c>
      <c r="E30" s="293">
        <v>30</v>
      </c>
      <c r="F30" s="103"/>
      <c r="G30" s="147" t="s">
        <v>32</v>
      </c>
      <c r="H30" s="1055" t="s">
        <v>41</v>
      </c>
      <c r="I30" s="1055"/>
      <c r="J30" s="1058" t="s">
        <v>2413</v>
      </c>
      <c r="K30" s="140" t="s">
        <v>4052</v>
      </c>
      <c r="L30" s="1062">
        <v>13398.06</v>
      </c>
      <c r="M30" s="344">
        <v>4019.4180000000001</v>
      </c>
      <c r="N30" s="264">
        <v>2020.07</v>
      </c>
      <c r="O30" s="1903"/>
      <c r="P30" s="1053" t="s">
        <v>4048</v>
      </c>
      <c r="Q30" s="1055">
        <v>19902766690</v>
      </c>
      <c r="R30" s="1055" t="s">
        <v>4049</v>
      </c>
      <c r="S30" s="125" t="s">
        <v>4043</v>
      </c>
      <c r="T30" s="125"/>
    </row>
    <row r="31" spans="1:20" s="1056" customFormat="1" ht="24.95" customHeight="1">
      <c r="A31" s="1053">
        <v>24</v>
      </c>
      <c r="B31" s="1059" t="s">
        <v>2453</v>
      </c>
      <c r="C31" s="1060" t="s">
        <v>4084</v>
      </c>
      <c r="D31" s="1061" t="s">
        <v>31</v>
      </c>
      <c r="E31" s="293">
        <v>60</v>
      </c>
      <c r="F31" s="103">
        <v>8.1</v>
      </c>
      <c r="G31" s="147" t="s">
        <v>32</v>
      </c>
      <c r="H31" s="1055" t="s">
        <v>41</v>
      </c>
      <c r="I31" s="1055"/>
      <c r="J31" s="1058" t="s">
        <v>2413</v>
      </c>
      <c r="K31" s="140" t="s">
        <v>4085</v>
      </c>
      <c r="L31" s="1062">
        <v>46592.92</v>
      </c>
      <c r="M31" s="344">
        <v>13977.876</v>
      </c>
      <c r="N31" s="264">
        <v>2020.1</v>
      </c>
      <c r="O31" s="1903"/>
      <c r="P31" s="1053" t="s">
        <v>4048</v>
      </c>
      <c r="Q31" s="1055">
        <v>19902766690</v>
      </c>
      <c r="R31" s="1055" t="s">
        <v>4049</v>
      </c>
      <c r="S31" s="125" t="s">
        <v>4043</v>
      </c>
      <c r="T31" s="125"/>
    </row>
    <row r="32" spans="1:20" s="1063" customFormat="1" ht="24.95" customHeight="1">
      <c r="A32" s="1053">
        <v>25</v>
      </c>
      <c r="B32" s="103" t="s">
        <v>60</v>
      </c>
      <c r="C32" s="103" t="s">
        <v>4086</v>
      </c>
      <c r="D32" s="103" t="s">
        <v>62</v>
      </c>
      <c r="E32" s="103">
        <v>5</v>
      </c>
      <c r="F32" s="103">
        <v>101.92</v>
      </c>
      <c r="G32" s="103" t="s">
        <v>32</v>
      </c>
      <c r="H32" s="103" t="s">
        <v>33</v>
      </c>
      <c r="I32" s="103" t="s">
        <v>4087</v>
      </c>
      <c r="J32" s="103" t="s">
        <v>4088</v>
      </c>
      <c r="K32" s="103" t="s">
        <v>1104</v>
      </c>
      <c r="L32" s="103">
        <v>646958.27</v>
      </c>
      <c r="M32" s="103">
        <v>194087.481</v>
      </c>
      <c r="N32" s="103" t="s">
        <v>4089</v>
      </c>
      <c r="O32" s="140" t="s">
        <v>4090</v>
      </c>
      <c r="P32" s="103" t="s">
        <v>4091</v>
      </c>
      <c r="Q32" s="103">
        <v>19906957772</v>
      </c>
      <c r="R32" s="103" t="s">
        <v>4092</v>
      </c>
      <c r="S32" s="125" t="s">
        <v>4043</v>
      </c>
      <c r="T32" s="125"/>
    </row>
    <row r="33" spans="1:20" s="1063" customFormat="1" ht="24.95" customHeight="1">
      <c r="A33" s="1053">
        <v>26</v>
      </c>
      <c r="B33" s="103" t="s">
        <v>135</v>
      </c>
      <c r="C33" s="103" t="s">
        <v>4093</v>
      </c>
      <c r="D33" s="103" t="s">
        <v>62</v>
      </c>
      <c r="E33" s="103">
        <v>1</v>
      </c>
      <c r="F33" s="103">
        <v>552.75599999999997</v>
      </c>
      <c r="G33" s="103" t="s">
        <v>32</v>
      </c>
      <c r="H33" s="103" t="s">
        <v>33</v>
      </c>
      <c r="I33" s="103" t="s">
        <v>4087</v>
      </c>
      <c r="J33" s="103" t="s">
        <v>4088</v>
      </c>
      <c r="K33" s="103" t="s">
        <v>1104</v>
      </c>
      <c r="L33" s="103">
        <v>5640028.6200000001</v>
      </c>
      <c r="M33" s="103">
        <v>978679.03200000001</v>
      </c>
      <c r="N33" s="103" t="s">
        <v>4089</v>
      </c>
      <c r="O33" s="140" t="s">
        <v>4090</v>
      </c>
      <c r="P33" s="103" t="s">
        <v>4091</v>
      </c>
      <c r="Q33" s="103">
        <v>19906957772</v>
      </c>
      <c r="R33" s="103" t="s">
        <v>4092</v>
      </c>
      <c r="S33" s="125" t="s">
        <v>4043</v>
      </c>
      <c r="T33" s="125"/>
    </row>
    <row r="34" spans="1:20" s="1063" customFormat="1" ht="24.95" customHeight="1">
      <c r="A34" s="1053">
        <v>27</v>
      </c>
      <c r="B34" s="103" t="s">
        <v>135</v>
      </c>
      <c r="C34" s="103" t="s">
        <v>4094</v>
      </c>
      <c r="D34" s="103" t="s">
        <v>62</v>
      </c>
      <c r="E34" s="103">
        <v>3</v>
      </c>
      <c r="F34" s="103">
        <v>140.63999999999999</v>
      </c>
      <c r="G34" s="103" t="s">
        <v>32</v>
      </c>
      <c r="H34" s="103" t="s">
        <v>33</v>
      </c>
      <c r="I34" s="103" t="s">
        <v>4087</v>
      </c>
      <c r="J34" s="103" t="s">
        <v>4088</v>
      </c>
      <c r="K34" s="103" t="s">
        <v>1104</v>
      </c>
      <c r="L34" s="103">
        <v>923859.31033900799</v>
      </c>
      <c r="M34" s="103">
        <v>277157.793101702</v>
      </c>
      <c r="N34" s="103" t="s">
        <v>4095</v>
      </c>
      <c r="O34" s="140" t="s">
        <v>4090</v>
      </c>
      <c r="P34" s="103" t="s">
        <v>4091</v>
      </c>
      <c r="Q34" s="103">
        <v>19906957772</v>
      </c>
      <c r="R34" s="103" t="s">
        <v>4092</v>
      </c>
      <c r="S34" s="125" t="s">
        <v>4043</v>
      </c>
      <c r="T34" s="125"/>
    </row>
    <row r="35" spans="1:20" s="1063" customFormat="1" ht="24.95" customHeight="1">
      <c r="A35" s="1053">
        <v>28</v>
      </c>
      <c r="B35" s="103" t="s">
        <v>135</v>
      </c>
      <c r="C35" s="103" t="s">
        <v>4096</v>
      </c>
      <c r="D35" s="103" t="s">
        <v>62</v>
      </c>
      <c r="E35" s="103">
        <v>1</v>
      </c>
      <c r="F35" s="103">
        <v>25.46</v>
      </c>
      <c r="G35" s="103" t="s">
        <v>32</v>
      </c>
      <c r="H35" s="103" t="s">
        <v>33</v>
      </c>
      <c r="I35" s="103" t="s">
        <v>4097</v>
      </c>
      <c r="J35" s="103" t="s">
        <v>4088</v>
      </c>
      <c r="K35" s="103" t="s">
        <v>1104</v>
      </c>
      <c r="L35" s="103">
        <v>166806.9</v>
      </c>
      <c r="M35" s="103">
        <v>50042.07</v>
      </c>
      <c r="N35" s="103" t="s">
        <v>4095</v>
      </c>
      <c r="O35" s="140" t="s">
        <v>4090</v>
      </c>
      <c r="P35" s="103" t="s">
        <v>4091</v>
      </c>
      <c r="Q35" s="103">
        <v>19906957772</v>
      </c>
      <c r="R35" s="103" t="s">
        <v>4092</v>
      </c>
      <c r="S35" s="125" t="s">
        <v>4043</v>
      </c>
      <c r="T35" s="125"/>
    </row>
    <row r="36" spans="1:20" s="1063" customFormat="1" ht="24.95" customHeight="1">
      <c r="A36" s="1053">
        <v>29</v>
      </c>
      <c r="B36" s="103" t="s">
        <v>135</v>
      </c>
      <c r="C36" s="103" t="s">
        <v>4098</v>
      </c>
      <c r="D36" s="103" t="s">
        <v>62</v>
      </c>
      <c r="E36" s="103"/>
      <c r="F36" s="103">
        <v>3.72</v>
      </c>
      <c r="G36" s="103" t="s">
        <v>32</v>
      </c>
      <c r="H36" s="103" t="s">
        <v>33</v>
      </c>
      <c r="I36" s="103" t="s">
        <v>4097</v>
      </c>
      <c r="J36" s="103" t="s">
        <v>4088</v>
      </c>
      <c r="K36" s="103" t="s">
        <v>1104</v>
      </c>
      <c r="L36" s="103">
        <v>25019.47</v>
      </c>
      <c r="M36" s="103">
        <v>7505.8410000000003</v>
      </c>
      <c r="N36" s="103" t="s">
        <v>4099</v>
      </c>
      <c r="O36" s="140" t="s">
        <v>4090</v>
      </c>
      <c r="P36" s="103" t="s">
        <v>4091</v>
      </c>
      <c r="Q36" s="103">
        <v>19906957772</v>
      </c>
      <c r="R36" s="103" t="s">
        <v>4092</v>
      </c>
      <c r="S36" s="125" t="s">
        <v>4043</v>
      </c>
      <c r="T36" s="125"/>
    </row>
    <row r="37" spans="1:20" s="1063" customFormat="1" ht="24.95" customHeight="1">
      <c r="A37" s="1053">
        <v>30</v>
      </c>
      <c r="B37" s="103" t="s">
        <v>135</v>
      </c>
      <c r="C37" s="103" t="s">
        <v>4100</v>
      </c>
      <c r="D37" s="103" t="s">
        <v>62</v>
      </c>
      <c r="E37" s="103">
        <v>1</v>
      </c>
      <c r="F37" s="103">
        <v>318.22000000000003</v>
      </c>
      <c r="G37" s="103" t="s">
        <v>32</v>
      </c>
      <c r="H37" s="103" t="s">
        <v>33</v>
      </c>
      <c r="I37" s="103" t="s">
        <v>4101</v>
      </c>
      <c r="J37" s="103" t="s">
        <v>4088</v>
      </c>
      <c r="K37" s="103" t="s">
        <v>1104</v>
      </c>
      <c r="L37" s="103">
        <v>2044493.09</v>
      </c>
      <c r="M37" s="103">
        <v>613347.92700000003</v>
      </c>
      <c r="N37" s="103" t="s">
        <v>4099</v>
      </c>
      <c r="O37" s="140" t="s">
        <v>4090</v>
      </c>
      <c r="P37" s="103" t="s">
        <v>4091</v>
      </c>
      <c r="Q37" s="103">
        <v>19906957772</v>
      </c>
      <c r="R37" s="103" t="s">
        <v>4092</v>
      </c>
      <c r="S37" s="125" t="s">
        <v>4043</v>
      </c>
      <c r="T37" s="125"/>
    </row>
    <row r="38" spans="1:20" s="1063" customFormat="1" ht="24.95" customHeight="1">
      <c r="A38" s="1053">
        <v>31</v>
      </c>
      <c r="B38" s="103" t="s">
        <v>135</v>
      </c>
      <c r="C38" s="103" t="s">
        <v>4102</v>
      </c>
      <c r="D38" s="103" t="s">
        <v>62</v>
      </c>
      <c r="E38" s="103">
        <v>1</v>
      </c>
      <c r="F38" s="103">
        <v>14.28</v>
      </c>
      <c r="G38" s="103" t="s">
        <v>32</v>
      </c>
      <c r="H38" s="103" t="s">
        <v>33</v>
      </c>
      <c r="I38" s="103" t="s">
        <v>4097</v>
      </c>
      <c r="J38" s="103" t="s">
        <v>4088</v>
      </c>
      <c r="K38" s="103" t="s">
        <v>1104</v>
      </c>
      <c r="L38" s="103">
        <v>92756.81</v>
      </c>
      <c r="M38" s="103">
        <v>27827.043000000001</v>
      </c>
      <c r="N38" s="103" t="s">
        <v>1699</v>
      </c>
      <c r="O38" s="140" t="s">
        <v>4090</v>
      </c>
      <c r="P38" s="103" t="s">
        <v>4091</v>
      </c>
      <c r="Q38" s="103">
        <v>19906957772</v>
      </c>
      <c r="R38" s="103" t="s">
        <v>4092</v>
      </c>
      <c r="S38" s="125" t="s">
        <v>4043</v>
      </c>
      <c r="T38" s="125"/>
    </row>
    <row r="39" spans="1:20" s="1063" customFormat="1" ht="24.95" customHeight="1">
      <c r="A39" s="1053">
        <v>32</v>
      </c>
      <c r="B39" s="103" t="s">
        <v>135</v>
      </c>
      <c r="C39" s="103" t="s">
        <v>4103</v>
      </c>
      <c r="D39" s="103" t="s">
        <v>62</v>
      </c>
      <c r="E39" s="103">
        <v>1</v>
      </c>
      <c r="F39" s="103">
        <v>140.47999999999999</v>
      </c>
      <c r="G39" s="103" t="s">
        <v>32</v>
      </c>
      <c r="H39" s="103" t="s">
        <v>33</v>
      </c>
      <c r="I39" s="103" t="s">
        <v>4097</v>
      </c>
      <c r="J39" s="103" t="s">
        <v>4088</v>
      </c>
      <c r="K39" s="103" t="s">
        <v>1104</v>
      </c>
      <c r="L39" s="103">
        <v>903796.11</v>
      </c>
      <c r="M39" s="103">
        <v>271138.83299999998</v>
      </c>
      <c r="N39" s="103" t="s">
        <v>4104</v>
      </c>
      <c r="O39" s="140" t="s">
        <v>4090</v>
      </c>
      <c r="P39" s="103" t="s">
        <v>4091</v>
      </c>
      <c r="Q39" s="103">
        <v>19906957772</v>
      </c>
      <c r="R39" s="103" t="s">
        <v>4092</v>
      </c>
      <c r="S39" s="125" t="s">
        <v>4043</v>
      </c>
      <c r="T39" s="125"/>
    </row>
    <row r="40" spans="1:20" s="1063" customFormat="1" ht="24.95" customHeight="1">
      <c r="A40" s="1053">
        <v>33</v>
      </c>
      <c r="B40" s="103" t="s">
        <v>135</v>
      </c>
      <c r="C40" s="103" t="s">
        <v>4105</v>
      </c>
      <c r="D40" s="103" t="s">
        <v>62</v>
      </c>
      <c r="E40" s="103">
        <v>1</v>
      </c>
      <c r="F40" s="103">
        <v>41.95</v>
      </c>
      <c r="G40" s="103" t="s">
        <v>32</v>
      </c>
      <c r="H40" s="103" t="s">
        <v>33</v>
      </c>
      <c r="I40" s="103" t="s">
        <v>4101</v>
      </c>
      <c r="J40" s="103" t="s">
        <v>4088</v>
      </c>
      <c r="K40" s="103" t="s">
        <v>4106</v>
      </c>
      <c r="L40" s="103">
        <v>272860.62</v>
      </c>
      <c r="M40" s="103">
        <v>81858.186000000002</v>
      </c>
      <c r="N40" s="103" t="s">
        <v>4107</v>
      </c>
      <c r="O40" s="140" t="s">
        <v>4090</v>
      </c>
      <c r="P40" s="103" t="s">
        <v>4091</v>
      </c>
      <c r="Q40" s="103">
        <v>19906957772</v>
      </c>
      <c r="R40" s="103" t="s">
        <v>4092</v>
      </c>
      <c r="S40" s="125" t="s">
        <v>4043</v>
      </c>
      <c r="T40" s="125"/>
    </row>
    <row r="41" spans="1:20" s="1063" customFormat="1" ht="24.95" customHeight="1">
      <c r="A41" s="1053">
        <v>34</v>
      </c>
      <c r="B41" s="103" t="s">
        <v>135</v>
      </c>
      <c r="C41" s="103" t="s">
        <v>4108</v>
      </c>
      <c r="D41" s="103" t="s">
        <v>62</v>
      </c>
      <c r="E41" s="103">
        <v>1</v>
      </c>
      <c r="F41" s="103">
        <v>62.96</v>
      </c>
      <c r="G41" s="103" t="s">
        <v>32</v>
      </c>
      <c r="H41" s="103" t="s">
        <v>33</v>
      </c>
      <c r="I41" s="103" t="s">
        <v>4101</v>
      </c>
      <c r="J41" s="103" t="s">
        <v>4088</v>
      </c>
      <c r="K41" s="103" t="s">
        <v>137</v>
      </c>
      <c r="L41" s="103">
        <v>403946.9</v>
      </c>
      <c r="M41" s="103">
        <v>121184.07</v>
      </c>
      <c r="N41" s="103" t="s">
        <v>4107</v>
      </c>
      <c r="O41" s="140" t="s">
        <v>4090</v>
      </c>
      <c r="P41" s="103" t="s">
        <v>4091</v>
      </c>
      <c r="Q41" s="103">
        <v>19906957772</v>
      </c>
      <c r="R41" s="103" t="s">
        <v>4092</v>
      </c>
      <c r="S41" s="125" t="s">
        <v>4043</v>
      </c>
      <c r="T41" s="125"/>
    </row>
    <row r="42" spans="1:20" s="1063" customFormat="1" ht="24.95" customHeight="1">
      <c r="A42" s="1053">
        <v>35</v>
      </c>
      <c r="B42" s="103" t="s">
        <v>135</v>
      </c>
      <c r="C42" s="103" t="s">
        <v>4108</v>
      </c>
      <c r="D42" s="103" t="s">
        <v>62</v>
      </c>
      <c r="E42" s="103">
        <v>2</v>
      </c>
      <c r="F42" s="103">
        <v>100</v>
      </c>
      <c r="G42" s="103" t="s">
        <v>32</v>
      </c>
      <c r="H42" s="103" t="s">
        <v>33</v>
      </c>
      <c r="I42" s="103" t="s">
        <v>4101</v>
      </c>
      <c r="J42" s="103" t="s">
        <v>4088</v>
      </c>
      <c r="K42" s="103" t="s">
        <v>137</v>
      </c>
      <c r="L42" s="103">
        <v>641592.92000000004</v>
      </c>
      <c r="M42" s="103">
        <v>192477.87599999999</v>
      </c>
      <c r="N42" s="103" t="s">
        <v>4107</v>
      </c>
      <c r="O42" s="140" t="s">
        <v>4090</v>
      </c>
      <c r="P42" s="103" t="s">
        <v>4091</v>
      </c>
      <c r="Q42" s="103">
        <v>19906957772</v>
      </c>
      <c r="R42" s="103" t="s">
        <v>4092</v>
      </c>
      <c r="S42" s="125" t="s">
        <v>4043</v>
      </c>
      <c r="T42" s="125"/>
    </row>
    <row r="43" spans="1:20" s="1063" customFormat="1" ht="24.95" customHeight="1">
      <c r="A43" s="1053">
        <v>36</v>
      </c>
      <c r="B43" s="103" t="s">
        <v>135</v>
      </c>
      <c r="C43" s="103" t="s">
        <v>4109</v>
      </c>
      <c r="D43" s="103" t="s">
        <v>62</v>
      </c>
      <c r="E43" s="103">
        <v>1</v>
      </c>
      <c r="F43" s="103">
        <v>74.42</v>
      </c>
      <c r="G43" s="103" t="s">
        <v>32</v>
      </c>
      <c r="H43" s="103" t="s">
        <v>33</v>
      </c>
      <c r="I43" s="103" t="s">
        <v>4101</v>
      </c>
      <c r="J43" s="103" t="s">
        <v>4088</v>
      </c>
      <c r="K43" s="103" t="s">
        <v>343</v>
      </c>
      <c r="L43" s="103">
        <v>484717.88</v>
      </c>
      <c r="M43" s="103">
        <v>145415.364</v>
      </c>
      <c r="N43" s="103" t="s">
        <v>4110</v>
      </c>
      <c r="O43" s="140" t="s">
        <v>4090</v>
      </c>
      <c r="P43" s="103" t="s">
        <v>4091</v>
      </c>
      <c r="Q43" s="103">
        <v>19906957772</v>
      </c>
      <c r="R43" s="103" t="s">
        <v>4092</v>
      </c>
      <c r="S43" s="125" t="s">
        <v>4043</v>
      </c>
      <c r="T43" s="125"/>
    </row>
    <row r="44" spans="1:20" s="1063" customFormat="1" ht="24.95" customHeight="1">
      <c r="A44" s="1053">
        <v>37</v>
      </c>
      <c r="B44" s="103" t="s">
        <v>135</v>
      </c>
      <c r="C44" s="103" t="s">
        <v>376</v>
      </c>
      <c r="D44" s="103" t="s">
        <v>62</v>
      </c>
      <c r="E44" s="103">
        <v>1</v>
      </c>
      <c r="F44" s="103">
        <v>83.52</v>
      </c>
      <c r="G44" s="103" t="s">
        <v>32</v>
      </c>
      <c r="H44" s="103" t="s">
        <v>33</v>
      </c>
      <c r="I44" s="103" t="s">
        <v>4101</v>
      </c>
      <c r="J44" s="103" t="s">
        <v>4088</v>
      </c>
      <c r="K44" s="103" t="s">
        <v>343</v>
      </c>
      <c r="L44" s="103">
        <v>543988.67000000004</v>
      </c>
      <c r="M44" s="103">
        <v>163196.601</v>
      </c>
      <c r="N44" s="103" t="s">
        <v>4110</v>
      </c>
      <c r="O44" s="140" t="s">
        <v>4090</v>
      </c>
      <c r="P44" s="103" t="s">
        <v>4091</v>
      </c>
      <c r="Q44" s="103">
        <v>19906957772</v>
      </c>
      <c r="R44" s="103" t="s">
        <v>4092</v>
      </c>
      <c r="S44" s="125" t="s">
        <v>4043</v>
      </c>
      <c r="T44" s="125"/>
    </row>
    <row r="45" spans="1:20" s="1063" customFormat="1" ht="24.95" customHeight="1">
      <c r="A45" s="1053">
        <v>38</v>
      </c>
      <c r="B45" s="103" t="s">
        <v>135</v>
      </c>
      <c r="C45" s="103" t="s">
        <v>4111</v>
      </c>
      <c r="D45" s="103" t="s">
        <v>62</v>
      </c>
      <c r="E45" s="103">
        <v>1</v>
      </c>
      <c r="F45" s="103">
        <v>106.2</v>
      </c>
      <c r="G45" s="103" t="s">
        <v>32</v>
      </c>
      <c r="H45" s="103" t="s">
        <v>33</v>
      </c>
      <c r="I45" s="103" t="s">
        <v>4101</v>
      </c>
      <c r="J45" s="103" t="s">
        <v>4088</v>
      </c>
      <c r="K45" s="103" t="s">
        <v>343</v>
      </c>
      <c r="L45" s="103">
        <v>663515.05000000005</v>
      </c>
      <c r="M45" s="103">
        <v>199054.51500000001</v>
      </c>
      <c r="N45" s="103" t="s">
        <v>4112</v>
      </c>
      <c r="O45" s="140" t="s">
        <v>4090</v>
      </c>
      <c r="P45" s="103" t="s">
        <v>4091</v>
      </c>
      <c r="Q45" s="103">
        <v>19906957772</v>
      </c>
      <c r="R45" s="103" t="s">
        <v>4092</v>
      </c>
      <c r="S45" s="125" t="s">
        <v>4043</v>
      </c>
      <c r="T45" s="125"/>
    </row>
    <row r="46" spans="1:20" s="1063" customFormat="1" ht="24.95" customHeight="1">
      <c r="A46" s="1053">
        <v>39</v>
      </c>
      <c r="B46" s="103" t="s">
        <v>135</v>
      </c>
      <c r="C46" s="103" t="s">
        <v>4113</v>
      </c>
      <c r="D46" s="103" t="s">
        <v>62</v>
      </c>
      <c r="E46" s="103">
        <v>1</v>
      </c>
      <c r="F46" s="103">
        <v>83.94</v>
      </c>
      <c r="G46" s="103" t="s">
        <v>32</v>
      </c>
      <c r="H46" s="103" t="s">
        <v>33</v>
      </c>
      <c r="I46" s="103" t="s">
        <v>4101</v>
      </c>
      <c r="J46" s="103" t="s">
        <v>4088</v>
      </c>
      <c r="K46" s="103" t="s">
        <v>343</v>
      </c>
      <c r="L46" s="103">
        <v>527850.09</v>
      </c>
      <c r="M46" s="103">
        <v>158355.027</v>
      </c>
      <c r="N46" s="103" t="s">
        <v>4112</v>
      </c>
      <c r="O46" s="140" t="s">
        <v>4090</v>
      </c>
      <c r="P46" s="103" t="s">
        <v>4091</v>
      </c>
      <c r="Q46" s="103">
        <v>19906957772</v>
      </c>
      <c r="R46" s="103" t="s">
        <v>4092</v>
      </c>
      <c r="S46" s="125" t="s">
        <v>4043</v>
      </c>
      <c r="T46" s="125"/>
    </row>
    <row r="47" spans="1:20" s="1063" customFormat="1" ht="24.95" customHeight="1">
      <c r="A47" s="1053">
        <v>40</v>
      </c>
      <c r="B47" s="103" t="s">
        <v>135</v>
      </c>
      <c r="C47" s="103" t="s">
        <v>4114</v>
      </c>
      <c r="D47" s="103" t="s">
        <v>62</v>
      </c>
      <c r="E47" s="103">
        <v>1</v>
      </c>
      <c r="F47" s="103">
        <v>140.30000000000001</v>
      </c>
      <c r="G47" s="103" t="s">
        <v>32</v>
      </c>
      <c r="H47" s="103" t="s">
        <v>33</v>
      </c>
      <c r="I47" s="103" t="s">
        <v>4101</v>
      </c>
      <c r="J47" s="103" t="s">
        <v>4088</v>
      </c>
      <c r="K47" s="103" t="s">
        <v>1104</v>
      </c>
      <c r="L47" s="103">
        <v>881530.97</v>
      </c>
      <c r="M47" s="103">
        <v>264459.29100000003</v>
      </c>
      <c r="N47" s="103" t="s">
        <v>4115</v>
      </c>
      <c r="O47" s="140" t="s">
        <v>4090</v>
      </c>
      <c r="P47" s="103" t="s">
        <v>4091</v>
      </c>
      <c r="Q47" s="103">
        <v>19906957772</v>
      </c>
      <c r="R47" s="103" t="s">
        <v>4092</v>
      </c>
      <c r="S47" s="125" t="s">
        <v>4043</v>
      </c>
      <c r="T47" s="125"/>
    </row>
    <row r="48" spans="1:20" s="1063" customFormat="1" ht="24.95" customHeight="1">
      <c r="A48" s="1053">
        <v>41</v>
      </c>
      <c r="B48" s="103" t="s">
        <v>135</v>
      </c>
      <c r="C48" s="103" t="s">
        <v>4114</v>
      </c>
      <c r="D48" s="103" t="s">
        <v>62</v>
      </c>
      <c r="E48" s="103">
        <v>1</v>
      </c>
      <c r="F48" s="103">
        <v>10.130000000000001</v>
      </c>
      <c r="G48" s="103" t="s">
        <v>32</v>
      </c>
      <c r="H48" s="103" t="s">
        <v>33</v>
      </c>
      <c r="I48" s="103" t="s">
        <v>4101</v>
      </c>
      <c r="J48" s="103" t="s">
        <v>4088</v>
      </c>
      <c r="K48" s="103" t="s">
        <v>1104</v>
      </c>
      <c r="L48" s="103">
        <v>65889.820000000007</v>
      </c>
      <c r="M48" s="103">
        <v>19766.946</v>
      </c>
      <c r="N48" s="103" t="s">
        <v>4115</v>
      </c>
      <c r="O48" s="140" t="s">
        <v>4090</v>
      </c>
      <c r="P48" s="103" t="s">
        <v>4091</v>
      </c>
      <c r="Q48" s="103">
        <v>19906957772</v>
      </c>
      <c r="R48" s="103" t="s">
        <v>4092</v>
      </c>
      <c r="S48" s="125" t="s">
        <v>4043</v>
      </c>
      <c r="T48" s="125"/>
    </row>
    <row r="49" spans="1:20" s="1063" customFormat="1" ht="24.95" customHeight="1">
      <c r="A49" s="1053">
        <v>42</v>
      </c>
      <c r="B49" s="103" t="s">
        <v>135</v>
      </c>
      <c r="C49" s="103" t="s">
        <v>4114</v>
      </c>
      <c r="D49" s="103" t="s">
        <v>62</v>
      </c>
      <c r="E49" s="103">
        <v>1</v>
      </c>
      <c r="F49" s="103">
        <v>2.0299999999999998</v>
      </c>
      <c r="G49" s="103" t="s">
        <v>32</v>
      </c>
      <c r="H49" s="103" t="s">
        <v>33</v>
      </c>
      <c r="I49" s="103" t="s">
        <v>4116</v>
      </c>
      <c r="J49" s="103" t="s">
        <v>4088</v>
      </c>
      <c r="K49" s="103" t="s">
        <v>1104</v>
      </c>
      <c r="L49" s="103">
        <v>13221.95</v>
      </c>
      <c r="M49" s="103">
        <v>3966.585</v>
      </c>
      <c r="N49" s="103" t="s">
        <v>4115</v>
      </c>
      <c r="O49" s="140" t="s">
        <v>4090</v>
      </c>
      <c r="P49" s="103" t="s">
        <v>4091</v>
      </c>
      <c r="Q49" s="103">
        <v>19906957772</v>
      </c>
      <c r="R49" s="103" t="s">
        <v>4092</v>
      </c>
      <c r="S49" s="125" t="s">
        <v>4043</v>
      </c>
      <c r="T49" s="125"/>
    </row>
    <row r="50" spans="1:20" s="1063" customFormat="1" ht="24.95" customHeight="1">
      <c r="A50" s="1053">
        <v>43</v>
      </c>
      <c r="B50" s="103" t="s">
        <v>135</v>
      </c>
      <c r="C50" s="103" t="s">
        <v>4114</v>
      </c>
      <c r="D50" s="103" t="s">
        <v>62</v>
      </c>
      <c r="E50" s="103">
        <v>1</v>
      </c>
      <c r="F50" s="103">
        <v>6.2</v>
      </c>
      <c r="G50" s="103" t="s">
        <v>32</v>
      </c>
      <c r="H50" s="103" t="s">
        <v>33</v>
      </c>
      <c r="I50" s="103" t="s">
        <v>4117</v>
      </c>
      <c r="J50" s="103" t="s">
        <v>4088</v>
      </c>
      <c r="K50" s="103" t="s">
        <v>1104</v>
      </c>
      <c r="L50" s="103">
        <v>40382.300000000003</v>
      </c>
      <c r="M50" s="103">
        <v>12114.69</v>
      </c>
      <c r="N50" s="103" t="s">
        <v>1396</v>
      </c>
      <c r="O50" s="140" t="s">
        <v>4090</v>
      </c>
      <c r="P50" s="103" t="s">
        <v>4091</v>
      </c>
      <c r="Q50" s="103">
        <v>19906957772</v>
      </c>
      <c r="R50" s="103" t="s">
        <v>4092</v>
      </c>
      <c r="S50" s="125" t="s">
        <v>4043</v>
      </c>
      <c r="T50" s="125"/>
    </row>
    <row r="51" spans="1:20" s="1063" customFormat="1" ht="24.95" customHeight="1">
      <c r="A51" s="1053">
        <v>44</v>
      </c>
      <c r="B51" s="103" t="s">
        <v>135</v>
      </c>
      <c r="C51" s="103" t="s">
        <v>4118</v>
      </c>
      <c r="D51" s="103" t="s">
        <v>62</v>
      </c>
      <c r="E51" s="103">
        <v>1</v>
      </c>
      <c r="F51" s="103">
        <v>12.68</v>
      </c>
      <c r="G51" s="103" t="s">
        <v>32</v>
      </c>
      <c r="H51" s="103" t="s">
        <v>33</v>
      </c>
      <c r="I51" s="103" t="s">
        <v>4087</v>
      </c>
      <c r="J51" s="103" t="s">
        <v>4088</v>
      </c>
      <c r="K51" s="103" t="s">
        <v>1104</v>
      </c>
      <c r="L51" s="103">
        <v>86627.96</v>
      </c>
      <c r="M51" s="103">
        <v>25988.387999999999</v>
      </c>
      <c r="N51" s="103" t="s">
        <v>4119</v>
      </c>
      <c r="O51" s="140" t="s">
        <v>4090</v>
      </c>
      <c r="P51" s="103" t="s">
        <v>4091</v>
      </c>
      <c r="Q51" s="103">
        <v>19906957772</v>
      </c>
      <c r="R51" s="103" t="s">
        <v>4092</v>
      </c>
      <c r="S51" s="125" t="s">
        <v>4043</v>
      </c>
      <c r="T51" s="125"/>
    </row>
    <row r="52" spans="1:20" s="1063" customFormat="1" ht="24.95" customHeight="1">
      <c r="A52" s="1053">
        <v>45</v>
      </c>
      <c r="B52" s="1064" t="s">
        <v>135</v>
      </c>
      <c r="C52" s="222" t="s">
        <v>4120</v>
      </c>
      <c r="D52" s="103" t="s">
        <v>62</v>
      </c>
      <c r="E52" s="1055">
        <v>2</v>
      </c>
      <c r="F52" s="803">
        <v>66.94</v>
      </c>
      <c r="G52" s="1055" t="s">
        <v>32</v>
      </c>
      <c r="H52" s="1055" t="s">
        <v>33</v>
      </c>
      <c r="I52" s="168"/>
      <c r="J52" s="290" t="s">
        <v>4088</v>
      </c>
      <c r="K52" s="1065" t="s">
        <v>1104</v>
      </c>
      <c r="L52" s="1055">
        <v>525449.38</v>
      </c>
      <c r="M52" s="148">
        <v>157634.81400000001</v>
      </c>
      <c r="N52" s="1055" t="s">
        <v>4121</v>
      </c>
      <c r="O52" s="140" t="s">
        <v>4090</v>
      </c>
      <c r="P52" s="103" t="s">
        <v>4091</v>
      </c>
      <c r="Q52" s="103">
        <v>19906957772</v>
      </c>
      <c r="R52" s="103" t="s">
        <v>4092</v>
      </c>
      <c r="S52" s="125" t="s">
        <v>4043</v>
      </c>
      <c r="T52" s="125"/>
    </row>
    <row r="53" spans="1:20" s="1063" customFormat="1" ht="24.95" customHeight="1">
      <c r="A53" s="1053">
        <v>46</v>
      </c>
      <c r="B53" s="1064" t="s">
        <v>135</v>
      </c>
      <c r="C53" s="222" t="s">
        <v>4122</v>
      </c>
      <c r="D53" s="103" t="s">
        <v>62</v>
      </c>
      <c r="E53" s="1055">
        <v>3</v>
      </c>
      <c r="F53" s="803">
        <v>5.52</v>
      </c>
      <c r="G53" s="1055" t="s">
        <v>32</v>
      </c>
      <c r="H53" s="1055" t="s">
        <v>33</v>
      </c>
      <c r="I53" s="168"/>
      <c r="J53" s="290" t="s">
        <v>4088</v>
      </c>
      <c r="K53" s="1065" t="s">
        <v>1104</v>
      </c>
      <c r="L53" s="1055">
        <v>43720.35</v>
      </c>
      <c r="M53" s="148">
        <v>13116.102000000001</v>
      </c>
      <c r="N53" s="1055" t="s">
        <v>4123</v>
      </c>
      <c r="O53" s="140" t="s">
        <v>4090</v>
      </c>
      <c r="P53" s="103" t="s">
        <v>4091</v>
      </c>
      <c r="Q53" s="103">
        <v>19906957772</v>
      </c>
      <c r="R53" s="103" t="s">
        <v>4092</v>
      </c>
      <c r="S53" s="125" t="s">
        <v>4043</v>
      </c>
      <c r="T53" s="125"/>
    </row>
    <row r="54" spans="1:20" s="1063" customFormat="1" ht="24.95" customHeight="1">
      <c r="A54" s="1053">
        <v>47</v>
      </c>
      <c r="B54" s="103" t="s">
        <v>135</v>
      </c>
      <c r="C54" s="103" t="s">
        <v>4124</v>
      </c>
      <c r="D54" s="103" t="s">
        <v>62</v>
      </c>
      <c r="E54" s="103">
        <v>1</v>
      </c>
      <c r="F54" s="103">
        <v>18.420000000000002</v>
      </c>
      <c r="G54" s="103" t="s">
        <v>32</v>
      </c>
      <c r="H54" s="103" t="s">
        <v>33</v>
      </c>
      <c r="I54" s="103"/>
      <c r="J54" s="103"/>
      <c r="K54" s="103" t="s">
        <v>4125</v>
      </c>
      <c r="L54" s="103">
        <v>64470</v>
      </c>
      <c r="M54" s="103">
        <v>19341</v>
      </c>
      <c r="N54" s="103" t="s">
        <v>4126</v>
      </c>
      <c r="O54" s="140" t="s">
        <v>4090</v>
      </c>
      <c r="P54" s="103" t="s">
        <v>4091</v>
      </c>
      <c r="Q54" s="103">
        <v>19906957772</v>
      </c>
      <c r="R54" s="103" t="s">
        <v>4092</v>
      </c>
      <c r="S54" s="125" t="s">
        <v>4043</v>
      </c>
      <c r="T54" s="125"/>
    </row>
    <row r="55" spans="1:20" s="1056" customFormat="1" ht="24.95" customHeight="1">
      <c r="A55" s="1053">
        <v>48</v>
      </c>
      <c r="B55" s="103" t="s">
        <v>29</v>
      </c>
      <c r="C55" s="103" t="s">
        <v>2453</v>
      </c>
      <c r="D55" s="103" t="s">
        <v>62</v>
      </c>
      <c r="E55" s="103"/>
      <c r="F55" s="103">
        <v>18.86</v>
      </c>
      <c r="G55" s="103" t="s">
        <v>32</v>
      </c>
      <c r="H55" s="103" t="s">
        <v>41</v>
      </c>
      <c r="I55" s="103" t="s">
        <v>4127</v>
      </c>
      <c r="J55" s="103" t="s">
        <v>4128</v>
      </c>
      <c r="K55" s="103" t="s">
        <v>4129</v>
      </c>
      <c r="L55" s="103">
        <v>47391.79</v>
      </c>
      <c r="M55" s="103">
        <v>14217.55</v>
      </c>
      <c r="N55" s="1066">
        <v>43678</v>
      </c>
      <c r="O55" s="1902" t="s">
        <v>4130</v>
      </c>
      <c r="P55" s="103" t="s">
        <v>4131</v>
      </c>
      <c r="Q55" s="103">
        <v>17373170973</v>
      </c>
      <c r="R55" s="103" t="s">
        <v>4132</v>
      </c>
      <c r="S55" s="125" t="s">
        <v>4043</v>
      </c>
      <c r="T55" s="125"/>
    </row>
    <row r="56" spans="1:20" s="1056" customFormat="1" ht="24.95" customHeight="1">
      <c r="A56" s="1053">
        <v>49</v>
      </c>
      <c r="B56" s="103" t="s">
        <v>60</v>
      </c>
      <c r="C56" s="103" t="s">
        <v>34</v>
      </c>
      <c r="D56" s="103" t="s">
        <v>62</v>
      </c>
      <c r="E56" s="103"/>
      <c r="F56" s="103">
        <v>5.45</v>
      </c>
      <c r="G56" s="103" t="s">
        <v>32</v>
      </c>
      <c r="H56" s="103" t="s">
        <v>41</v>
      </c>
      <c r="I56" s="103" t="s">
        <v>4127</v>
      </c>
      <c r="J56" s="103" t="s">
        <v>4128</v>
      </c>
      <c r="K56" s="103" t="s">
        <v>4133</v>
      </c>
      <c r="L56" s="103">
        <v>49473.77</v>
      </c>
      <c r="M56" s="103">
        <v>11007.88</v>
      </c>
      <c r="N56" s="1066">
        <v>44105</v>
      </c>
      <c r="O56" s="1899"/>
      <c r="P56" s="103" t="s">
        <v>4131</v>
      </c>
      <c r="Q56" s="103">
        <v>17373170973</v>
      </c>
      <c r="R56" s="103" t="s">
        <v>4132</v>
      </c>
      <c r="S56" s="125" t="s">
        <v>4043</v>
      </c>
      <c r="T56" s="125"/>
    </row>
    <row r="57" spans="1:20" s="1056" customFormat="1" ht="24.95" customHeight="1">
      <c r="A57" s="1053">
        <v>50</v>
      </c>
      <c r="B57" s="103" t="s">
        <v>4134</v>
      </c>
      <c r="C57" s="103" t="s">
        <v>34</v>
      </c>
      <c r="D57" s="103" t="s">
        <v>62</v>
      </c>
      <c r="E57" s="103"/>
      <c r="F57" s="103">
        <v>11.1</v>
      </c>
      <c r="G57" s="103" t="s">
        <v>32</v>
      </c>
      <c r="H57" s="103" t="s">
        <v>33</v>
      </c>
      <c r="I57" s="103"/>
      <c r="J57" s="103"/>
      <c r="K57" s="103"/>
      <c r="L57" s="103">
        <v>38362.49</v>
      </c>
      <c r="M57" s="103">
        <v>7213.5</v>
      </c>
      <c r="N57" s="1066">
        <v>44013</v>
      </c>
      <c r="O57" s="1899"/>
      <c r="P57" s="103" t="s">
        <v>4131</v>
      </c>
      <c r="Q57" s="103">
        <v>17373170973</v>
      </c>
      <c r="R57" s="103" t="s">
        <v>4132</v>
      </c>
      <c r="S57" s="125" t="s">
        <v>4043</v>
      </c>
      <c r="T57" s="125"/>
    </row>
    <row r="58" spans="1:20" s="1056" customFormat="1" ht="24.95" customHeight="1">
      <c r="A58" s="1053">
        <v>51</v>
      </c>
      <c r="B58" s="103" t="s">
        <v>4135</v>
      </c>
      <c r="C58" s="103" t="s">
        <v>4136</v>
      </c>
      <c r="D58" s="103" t="s">
        <v>62</v>
      </c>
      <c r="E58" s="103">
        <v>2.5</v>
      </c>
      <c r="F58" s="103">
        <v>8.1920000000000002</v>
      </c>
      <c r="G58" s="103" t="s">
        <v>32</v>
      </c>
      <c r="H58" s="103" t="s">
        <v>41</v>
      </c>
      <c r="I58" s="103" t="s">
        <v>4137</v>
      </c>
      <c r="J58" s="103" t="s">
        <v>4138</v>
      </c>
      <c r="K58" s="103" t="s">
        <v>4139</v>
      </c>
      <c r="L58" s="103">
        <v>50021.95</v>
      </c>
      <c r="M58" s="103">
        <v>15006.58</v>
      </c>
      <c r="N58" s="103">
        <v>43789</v>
      </c>
      <c r="O58" s="1902" t="s">
        <v>4140</v>
      </c>
      <c r="P58" s="1053" t="s">
        <v>4141</v>
      </c>
      <c r="Q58" s="1055">
        <v>18535240344</v>
      </c>
      <c r="R58" s="1055" t="s">
        <v>4142</v>
      </c>
      <c r="S58" s="1060" t="s">
        <v>4043</v>
      </c>
      <c r="T58" s="125"/>
    </row>
    <row r="59" spans="1:20" s="1056" customFormat="1" ht="24.95" customHeight="1">
      <c r="A59" s="1053">
        <v>52</v>
      </c>
      <c r="B59" s="103" t="s">
        <v>2014</v>
      </c>
      <c r="C59" s="103"/>
      <c r="D59" s="103" t="s">
        <v>888</v>
      </c>
      <c r="E59" s="103">
        <v>1</v>
      </c>
      <c r="F59" s="103">
        <v>786.42</v>
      </c>
      <c r="G59" s="103" t="s">
        <v>32</v>
      </c>
      <c r="H59" s="103" t="s">
        <v>41</v>
      </c>
      <c r="I59" s="103" t="s">
        <v>34</v>
      </c>
      <c r="J59" s="103"/>
      <c r="K59" s="103" t="s">
        <v>4143</v>
      </c>
      <c r="L59" s="103">
        <v>243581.42</v>
      </c>
      <c r="M59" s="103">
        <v>73074.429999999993</v>
      </c>
      <c r="N59" s="103"/>
      <c r="O59" s="1899"/>
      <c r="P59" s="1053" t="s">
        <v>4141</v>
      </c>
      <c r="Q59" s="1055">
        <v>18535240344</v>
      </c>
      <c r="R59" s="1055" t="s">
        <v>4142</v>
      </c>
      <c r="S59" s="1060" t="s">
        <v>4043</v>
      </c>
      <c r="T59" s="125"/>
    </row>
    <row r="60" spans="1:20" s="1056" customFormat="1" ht="24.95" customHeight="1">
      <c r="A60" s="1053">
        <v>53</v>
      </c>
      <c r="B60" s="103" t="s">
        <v>4144</v>
      </c>
      <c r="C60" s="103" t="s">
        <v>4145</v>
      </c>
      <c r="D60" s="103" t="s">
        <v>131</v>
      </c>
      <c r="E60" s="103"/>
      <c r="F60" s="103">
        <v>1500</v>
      </c>
      <c r="G60" s="103" t="s">
        <v>32</v>
      </c>
      <c r="H60" s="103" t="s">
        <v>41</v>
      </c>
      <c r="I60" s="103" t="s">
        <v>34</v>
      </c>
      <c r="J60" s="103"/>
      <c r="K60" s="103" t="s">
        <v>4143</v>
      </c>
      <c r="L60" s="103">
        <v>3982.3</v>
      </c>
      <c r="M60" s="103">
        <v>1194.69</v>
      </c>
      <c r="N60" s="103"/>
      <c r="O60" s="1899"/>
      <c r="P60" s="1053" t="s">
        <v>4141</v>
      </c>
      <c r="Q60" s="1055">
        <v>18535240344</v>
      </c>
      <c r="R60" s="1055" t="s">
        <v>4142</v>
      </c>
      <c r="S60" s="1060" t="s">
        <v>4043</v>
      </c>
      <c r="T60" s="125"/>
    </row>
    <row r="61" spans="1:20" s="250" customFormat="1" ht="24.95" customHeight="1">
      <c r="A61" s="1053">
        <v>54</v>
      </c>
      <c r="B61" s="103" t="s">
        <v>4146</v>
      </c>
      <c r="C61" s="103" t="s">
        <v>4147</v>
      </c>
      <c r="D61" s="103" t="s">
        <v>62</v>
      </c>
      <c r="E61" s="103"/>
      <c r="F61" s="103">
        <v>2.13</v>
      </c>
      <c r="G61" s="103" t="s">
        <v>32</v>
      </c>
      <c r="H61" s="103" t="s">
        <v>33</v>
      </c>
      <c r="I61" s="103" t="s">
        <v>4148</v>
      </c>
      <c r="J61" s="103" t="s">
        <v>4149</v>
      </c>
      <c r="K61" s="103" t="s">
        <v>4150</v>
      </c>
      <c r="L61" s="103">
        <v>18001.327362</v>
      </c>
      <c r="M61" s="103">
        <v>5400.3973619999997</v>
      </c>
      <c r="N61" s="103">
        <v>2021.4</v>
      </c>
      <c r="O61" s="1899" t="s">
        <v>4140</v>
      </c>
      <c r="P61" s="147" t="s">
        <v>4151</v>
      </c>
      <c r="Q61" s="147">
        <v>18835241171</v>
      </c>
      <c r="R61" s="140" t="s">
        <v>4152</v>
      </c>
      <c r="S61" s="1067" t="s">
        <v>4043</v>
      </c>
      <c r="T61" s="147"/>
    </row>
    <row r="62" spans="1:20" s="250" customFormat="1" ht="24.95" customHeight="1">
      <c r="A62" s="1053">
        <v>55</v>
      </c>
      <c r="B62" s="103" t="s">
        <v>4146</v>
      </c>
      <c r="C62" s="103" t="s">
        <v>4153</v>
      </c>
      <c r="D62" s="103" t="s">
        <v>62</v>
      </c>
      <c r="E62" s="103"/>
      <c r="F62" s="103">
        <v>11.62</v>
      </c>
      <c r="G62" s="103" t="s">
        <v>32</v>
      </c>
      <c r="H62" s="103" t="s">
        <v>33</v>
      </c>
      <c r="I62" s="103" t="s">
        <v>4148</v>
      </c>
      <c r="J62" s="103" t="s">
        <v>4149</v>
      </c>
      <c r="K62" s="103" t="s">
        <v>4150</v>
      </c>
      <c r="L62" s="103">
        <v>98204.424387999999</v>
      </c>
      <c r="M62" s="103">
        <v>29461.334387999999</v>
      </c>
      <c r="N62" s="103">
        <v>2021.4</v>
      </c>
      <c r="O62" s="1899"/>
      <c r="P62" s="147" t="s">
        <v>4151</v>
      </c>
      <c r="Q62" s="147">
        <v>18835241171</v>
      </c>
      <c r="R62" s="140" t="s">
        <v>4152</v>
      </c>
      <c r="S62" s="1067" t="s">
        <v>4043</v>
      </c>
      <c r="T62" s="147"/>
    </row>
    <row r="63" spans="1:20" s="250" customFormat="1" ht="24.95" customHeight="1">
      <c r="A63" s="1053">
        <v>56</v>
      </c>
      <c r="B63" s="103" t="s">
        <v>4146</v>
      </c>
      <c r="C63" s="103" t="s">
        <v>4154</v>
      </c>
      <c r="D63" s="103" t="s">
        <v>62</v>
      </c>
      <c r="E63" s="103"/>
      <c r="F63" s="103">
        <v>8</v>
      </c>
      <c r="G63" s="103" t="s">
        <v>32</v>
      </c>
      <c r="H63" s="103" t="s">
        <v>33</v>
      </c>
      <c r="I63" s="103" t="s">
        <v>4148</v>
      </c>
      <c r="J63" s="103" t="s">
        <v>4149</v>
      </c>
      <c r="K63" s="103" t="s">
        <v>4150</v>
      </c>
      <c r="L63" s="103">
        <v>67610.619200000001</v>
      </c>
      <c r="M63" s="103">
        <v>20283.189200000001</v>
      </c>
      <c r="N63" s="103">
        <v>2021.4</v>
      </c>
      <c r="O63" s="1899"/>
      <c r="P63" s="147" t="s">
        <v>4151</v>
      </c>
      <c r="Q63" s="147">
        <v>18835241171</v>
      </c>
      <c r="R63" s="140" t="s">
        <v>4152</v>
      </c>
      <c r="S63" s="1067" t="s">
        <v>4043</v>
      </c>
      <c r="T63" s="147"/>
    </row>
    <row r="64" spans="1:20" s="1069" customFormat="1" ht="24.95" customHeight="1">
      <c r="A64" s="1053">
        <v>57</v>
      </c>
      <c r="B64" s="103" t="s">
        <v>4155</v>
      </c>
      <c r="C64" s="103" t="s">
        <v>251</v>
      </c>
      <c r="D64" s="103" t="s">
        <v>62</v>
      </c>
      <c r="E64" s="103">
        <v>1</v>
      </c>
      <c r="F64" s="103">
        <v>5.32</v>
      </c>
      <c r="G64" s="103" t="s">
        <v>32</v>
      </c>
      <c r="H64" s="103" t="s">
        <v>33</v>
      </c>
      <c r="I64" s="103" t="s">
        <v>4156</v>
      </c>
      <c r="J64" s="103" t="s">
        <v>4157</v>
      </c>
      <c r="K64" s="103" t="s">
        <v>4133</v>
      </c>
      <c r="L64" s="103">
        <v>44961.06</v>
      </c>
      <c r="M64" s="103">
        <v>23979.232</v>
      </c>
      <c r="N64" s="103">
        <v>2021.08</v>
      </c>
      <c r="O64" s="1904" t="s">
        <v>4158</v>
      </c>
      <c r="P64" s="168" t="s">
        <v>4159</v>
      </c>
      <c r="Q64" s="351">
        <v>18035204008</v>
      </c>
      <c r="R64" s="174" t="s">
        <v>4160</v>
      </c>
      <c r="S64" s="174" t="s">
        <v>4043</v>
      </c>
      <c r="T64" s="1068"/>
    </row>
    <row r="65" spans="1:20" s="1069" customFormat="1" ht="24.95" customHeight="1">
      <c r="A65" s="1053">
        <v>58</v>
      </c>
      <c r="B65" s="103" t="s">
        <v>4155</v>
      </c>
      <c r="C65" s="103" t="s">
        <v>4161</v>
      </c>
      <c r="D65" s="103" t="s">
        <v>62</v>
      </c>
      <c r="E65" s="103">
        <v>1</v>
      </c>
      <c r="F65" s="103">
        <v>6.53</v>
      </c>
      <c r="G65" s="103" t="s">
        <v>32</v>
      </c>
      <c r="H65" s="103" t="s">
        <v>33</v>
      </c>
      <c r="I65" s="103" t="s">
        <v>4156</v>
      </c>
      <c r="J65" s="103" t="s">
        <v>4157</v>
      </c>
      <c r="K65" s="103" t="s">
        <v>4133</v>
      </c>
      <c r="L65" s="103">
        <v>55187.17</v>
      </c>
      <c r="M65" s="103">
        <v>29433.1573333333</v>
      </c>
      <c r="N65" s="103">
        <v>2021.08</v>
      </c>
      <c r="O65" s="1904"/>
      <c r="P65" s="168" t="s">
        <v>4159</v>
      </c>
      <c r="Q65" s="351">
        <v>18035204008</v>
      </c>
      <c r="R65" s="174" t="s">
        <v>4160</v>
      </c>
      <c r="S65" s="174" t="s">
        <v>4043</v>
      </c>
      <c r="T65" s="1068"/>
    </row>
    <row r="66" spans="1:20" s="1069" customFormat="1" ht="24.95" customHeight="1">
      <c r="A66" s="1053">
        <v>59</v>
      </c>
      <c r="B66" s="103" t="s">
        <v>4162</v>
      </c>
      <c r="C66" s="103" t="s">
        <v>1510</v>
      </c>
      <c r="D66" s="103" t="s">
        <v>62</v>
      </c>
      <c r="E66" s="103">
        <v>1</v>
      </c>
      <c r="F66" s="103">
        <v>2.15</v>
      </c>
      <c r="G66" s="103" t="s">
        <v>32</v>
      </c>
      <c r="H66" s="103" t="s">
        <v>33</v>
      </c>
      <c r="I66" s="103" t="s">
        <v>4156</v>
      </c>
      <c r="J66" s="103" t="s">
        <v>4157</v>
      </c>
      <c r="K66" s="103" t="s">
        <v>4133</v>
      </c>
      <c r="L66" s="103">
        <v>18170.349999999999</v>
      </c>
      <c r="M66" s="103">
        <v>9690.8533333333307</v>
      </c>
      <c r="N66" s="103">
        <v>2021.08</v>
      </c>
      <c r="O66" s="1904"/>
      <c r="P66" s="168" t="s">
        <v>4159</v>
      </c>
      <c r="Q66" s="351">
        <v>18035204008</v>
      </c>
      <c r="R66" s="174" t="s">
        <v>4160</v>
      </c>
      <c r="S66" s="174" t="s">
        <v>4043</v>
      </c>
      <c r="T66" s="1068"/>
    </row>
    <row r="67" spans="1:20" s="1069" customFormat="1" ht="24.95" customHeight="1">
      <c r="A67" s="1053">
        <v>60</v>
      </c>
      <c r="B67" s="103" t="s">
        <v>4163</v>
      </c>
      <c r="C67" s="103" t="s">
        <v>259</v>
      </c>
      <c r="D67" s="103" t="s">
        <v>62</v>
      </c>
      <c r="E67" s="103">
        <v>2</v>
      </c>
      <c r="F67" s="103">
        <v>11.71</v>
      </c>
      <c r="G67" s="103" t="s">
        <v>32</v>
      </c>
      <c r="H67" s="103" t="s">
        <v>33</v>
      </c>
      <c r="I67" s="103" t="s">
        <v>4156</v>
      </c>
      <c r="J67" s="103" t="s">
        <v>4157</v>
      </c>
      <c r="K67" s="103" t="s">
        <v>4133</v>
      </c>
      <c r="L67" s="103">
        <v>98965.04</v>
      </c>
      <c r="M67" s="103">
        <v>52781.354666666703</v>
      </c>
      <c r="N67" s="103">
        <v>2021.08</v>
      </c>
      <c r="O67" s="1904"/>
      <c r="P67" s="168" t="s">
        <v>4159</v>
      </c>
      <c r="Q67" s="351">
        <v>18035204008</v>
      </c>
      <c r="R67" s="174" t="s">
        <v>4160</v>
      </c>
      <c r="S67" s="174" t="s">
        <v>4043</v>
      </c>
      <c r="T67" s="1068"/>
    </row>
    <row r="68" spans="1:20" s="1069" customFormat="1" ht="24.95" customHeight="1">
      <c r="A68" s="1053">
        <v>61</v>
      </c>
      <c r="B68" s="103" t="s">
        <v>4164</v>
      </c>
      <c r="C68" s="103" t="s">
        <v>259</v>
      </c>
      <c r="D68" s="103" t="s">
        <v>62</v>
      </c>
      <c r="E68" s="103">
        <v>3</v>
      </c>
      <c r="F68" s="103">
        <v>3.5</v>
      </c>
      <c r="G68" s="103" t="s">
        <v>32</v>
      </c>
      <c r="H68" s="103" t="s">
        <v>33</v>
      </c>
      <c r="I68" s="103" t="s">
        <v>4156</v>
      </c>
      <c r="J68" s="103" t="s">
        <v>4157</v>
      </c>
      <c r="K68" s="103" t="s">
        <v>4133</v>
      </c>
      <c r="L68" s="103">
        <v>29579.65</v>
      </c>
      <c r="M68" s="103">
        <v>15775.813333333301</v>
      </c>
      <c r="N68" s="103">
        <v>2021.08</v>
      </c>
      <c r="O68" s="1904"/>
      <c r="P68" s="168" t="s">
        <v>4159</v>
      </c>
      <c r="Q68" s="351">
        <v>18035204008</v>
      </c>
      <c r="R68" s="174" t="s">
        <v>4160</v>
      </c>
      <c r="S68" s="174" t="s">
        <v>4043</v>
      </c>
      <c r="T68" s="1068"/>
    </row>
    <row r="69" spans="1:20" s="1069" customFormat="1" ht="24.95" customHeight="1">
      <c r="A69" s="1053">
        <v>62</v>
      </c>
      <c r="B69" s="103" t="s">
        <v>4163</v>
      </c>
      <c r="C69" s="103" t="s">
        <v>251</v>
      </c>
      <c r="D69" s="103" t="s">
        <v>62</v>
      </c>
      <c r="E69" s="103">
        <v>2</v>
      </c>
      <c r="F69" s="103">
        <v>15.75</v>
      </c>
      <c r="G69" s="103" t="s">
        <v>32</v>
      </c>
      <c r="H69" s="103" t="s">
        <v>33</v>
      </c>
      <c r="I69" s="103" t="s">
        <v>4156</v>
      </c>
      <c r="J69" s="103" t="s">
        <v>4157</v>
      </c>
      <c r="K69" s="103" t="s">
        <v>4133</v>
      </c>
      <c r="L69" s="103">
        <v>133108.41</v>
      </c>
      <c r="M69" s="103">
        <v>70991.152000000002</v>
      </c>
      <c r="N69" s="103">
        <v>2021.08</v>
      </c>
      <c r="O69" s="1904"/>
      <c r="P69" s="168" t="s">
        <v>4159</v>
      </c>
      <c r="Q69" s="351">
        <v>18035204008</v>
      </c>
      <c r="R69" s="174" t="s">
        <v>4160</v>
      </c>
      <c r="S69" s="174" t="s">
        <v>4043</v>
      </c>
      <c r="T69" s="1068"/>
    </row>
    <row r="70" spans="1:20" s="1069" customFormat="1" ht="24.95" customHeight="1">
      <c r="A70" s="1053">
        <v>63</v>
      </c>
      <c r="B70" s="103" t="s">
        <v>4164</v>
      </c>
      <c r="C70" s="103" t="s">
        <v>251</v>
      </c>
      <c r="D70" s="103" t="s">
        <v>62</v>
      </c>
      <c r="E70" s="103">
        <v>3</v>
      </c>
      <c r="F70" s="103">
        <v>3.96</v>
      </c>
      <c r="G70" s="103" t="s">
        <v>32</v>
      </c>
      <c r="H70" s="103" t="s">
        <v>33</v>
      </c>
      <c r="I70" s="103" t="s">
        <v>4156</v>
      </c>
      <c r="J70" s="103" t="s">
        <v>4157</v>
      </c>
      <c r="K70" s="103" t="s">
        <v>4133</v>
      </c>
      <c r="L70" s="103">
        <v>33467.26</v>
      </c>
      <c r="M70" s="103">
        <v>17849.205333333299</v>
      </c>
      <c r="N70" s="103">
        <v>2021.08</v>
      </c>
      <c r="O70" s="1904"/>
      <c r="P70" s="168" t="s">
        <v>4159</v>
      </c>
      <c r="Q70" s="351">
        <v>18035204008</v>
      </c>
      <c r="R70" s="174" t="s">
        <v>4160</v>
      </c>
      <c r="S70" s="174" t="s">
        <v>4043</v>
      </c>
      <c r="T70" s="1068"/>
    </row>
    <row r="71" spans="1:20" s="1069" customFormat="1" ht="24.95" customHeight="1">
      <c r="A71" s="1053">
        <v>64</v>
      </c>
      <c r="B71" s="103" t="s">
        <v>4165</v>
      </c>
      <c r="C71" s="103" t="s">
        <v>4161</v>
      </c>
      <c r="D71" s="103" t="s">
        <v>62</v>
      </c>
      <c r="E71" s="103">
        <v>1</v>
      </c>
      <c r="F71" s="103">
        <v>1.43</v>
      </c>
      <c r="G71" s="103" t="s">
        <v>32</v>
      </c>
      <c r="H71" s="103" t="s">
        <v>33</v>
      </c>
      <c r="I71" s="103" t="s">
        <v>4156</v>
      </c>
      <c r="J71" s="103" t="s">
        <v>4157</v>
      </c>
      <c r="K71" s="103" t="s">
        <v>4133</v>
      </c>
      <c r="L71" s="103">
        <v>12085.4</v>
      </c>
      <c r="M71" s="103">
        <v>6445.5466666666698</v>
      </c>
      <c r="N71" s="103">
        <v>2021.08</v>
      </c>
      <c r="O71" s="1904"/>
      <c r="P71" s="168" t="s">
        <v>4159</v>
      </c>
      <c r="Q71" s="351">
        <v>18035204008</v>
      </c>
      <c r="R71" s="174" t="s">
        <v>4160</v>
      </c>
      <c r="S71" s="174" t="s">
        <v>4043</v>
      </c>
      <c r="T71" s="1068"/>
    </row>
    <row r="72" spans="1:20" s="1069" customFormat="1" ht="24.95" customHeight="1">
      <c r="A72" s="1053">
        <v>65</v>
      </c>
      <c r="B72" s="103" t="s">
        <v>4165</v>
      </c>
      <c r="C72" s="103" t="s">
        <v>4161</v>
      </c>
      <c r="D72" s="103" t="s">
        <v>62</v>
      </c>
      <c r="E72" s="103">
        <v>1</v>
      </c>
      <c r="F72" s="103">
        <v>7.61</v>
      </c>
      <c r="G72" s="103" t="s">
        <v>32</v>
      </c>
      <c r="H72" s="103" t="s">
        <v>33</v>
      </c>
      <c r="I72" s="103" t="s">
        <v>4156</v>
      </c>
      <c r="J72" s="103" t="s">
        <v>4157</v>
      </c>
      <c r="K72" s="103" t="s">
        <v>4133</v>
      </c>
      <c r="L72" s="103">
        <v>64314.6</v>
      </c>
      <c r="M72" s="103">
        <v>34301.120000000003</v>
      </c>
      <c r="N72" s="103">
        <v>2021.08</v>
      </c>
      <c r="O72" s="1904"/>
      <c r="P72" s="168" t="s">
        <v>4159</v>
      </c>
      <c r="Q72" s="351">
        <v>18035204008</v>
      </c>
      <c r="R72" s="174" t="s">
        <v>4160</v>
      </c>
      <c r="S72" s="174" t="s">
        <v>4043</v>
      </c>
      <c r="T72" s="1068"/>
    </row>
    <row r="73" spans="1:20" s="1069" customFormat="1" ht="24.95" customHeight="1">
      <c r="A73" s="1053">
        <v>66</v>
      </c>
      <c r="B73" s="103" t="s">
        <v>4166</v>
      </c>
      <c r="C73" s="103" t="s">
        <v>4167</v>
      </c>
      <c r="D73" s="103" t="s">
        <v>62</v>
      </c>
      <c r="E73" s="103">
        <v>2</v>
      </c>
      <c r="F73" s="103">
        <v>18.34</v>
      </c>
      <c r="G73" s="103" t="s">
        <v>32</v>
      </c>
      <c r="H73" s="103" t="s">
        <v>33</v>
      </c>
      <c r="I73" s="103" t="s">
        <v>4168</v>
      </c>
      <c r="J73" s="103" t="s">
        <v>4157</v>
      </c>
      <c r="K73" s="103" t="s">
        <v>4133</v>
      </c>
      <c r="L73" s="103">
        <v>154997.35</v>
      </c>
      <c r="M73" s="103">
        <v>82665.253333333298</v>
      </c>
      <c r="N73" s="103">
        <v>2021.08</v>
      </c>
      <c r="O73" s="1904"/>
      <c r="P73" s="168" t="s">
        <v>4159</v>
      </c>
      <c r="Q73" s="351">
        <v>18035204008</v>
      </c>
      <c r="R73" s="174" t="s">
        <v>4160</v>
      </c>
      <c r="S73" s="174" t="s">
        <v>4043</v>
      </c>
      <c r="T73" s="1068"/>
    </row>
    <row r="74" spans="1:20" s="1069" customFormat="1" ht="24.95" customHeight="1">
      <c r="A74" s="1053">
        <v>67</v>
      </c>
      <c r="B74" s="103" t="s">
        <v>4169</v>
      </c>
      <c r="C74" s="103" t="s">
        <v>259</v>
      </c>
      <c r="D74" s="103" t="s">
        <v>62</v>
      </c>
      <c r="E74" s="103">
        <v>2</v>
      </c>
      <c r="F74" s="103">
        <v>8.98</v>
      </c>
      <c r="G74" s="103" t="s">
        <v>32</v>
      </c>
      <c r="H74" s="103" t="s">
        <v>33</v>
      </c>
      <c r="I74" s="103" t="s">
        <v>4168</v>
      </c>
      <c r="J74" s="103" t="s">
        <v>4157</v>
      </c>
      <c r="K74" s="103" t="s">
        <v>4133</v>
      </c>
      <c r="L74" s="103">
        <v>75892.92</v>
      </c>
      <c r="M74" s="103">
        <v>40476.224000000002</v>
      </c>
      <c r="N74" s="103">
        <v>2021.08</v>
      </c>
      <c r="O74" s="1904"/>
      <c r="P74" s="168" t="s">
        <v>4159</v>
      </c>
      <c r="Q74" s="351">
        <v>18035204008</v>
      </c>
      <c r="R74" s="174" t="s">
        <v>4160</v>
      </c>
      <c r="S74" s="174" t="s">
        <v>4043</v>
      </c>
      <c r="T74" s="1068"/>
    </row>
    <row r="75" spans="1:20" s="1069" customFormat="1" ht="24.95" customHeight="1">
      <c r="A75" s="1053">
        <v>68</v>
      </c>
      <c r="B75" s="103" t="s">
        <v>4169</v>
      </c>
      <c r="C75" s="103" t="s">
        <v>251</v>
      </c>
      <c r="D75" s="103" t="s">
        <v>62</v>
      </c>
      <c r="E75" s="103">
        <v>2</v>
      </c>
      <c r="F75" s="103">
        <v>8.8699999999999992</v>
      </c>
      <c r="G75" s="103" t="s">
        <v>32</v>
      </c>
      <c r="H75" s="103" t="s">
        <v>33</v>
      </c>
      <c r="I75" s="103" t="s">
        <v>4168</v>
      </c>
      <c r="J75" s="103" t="s">
        <v>4157</v>
      </c>
      <c r="K75" s="103" t="s">
        <v>4133</v>
      </c>
      <c r="L75" s="103">
        <v>74963.27</v>
      </c>
      <c r="M75" s="103">
        <v>39980.410666666699</v>
      </c>
      <c r="N75" s="103">
        <v>2021.08</v>
      </c>
      <c r="O75" s="1904"/>
      <c r="P75" s="168" t="s">
        <v>4159</v>
      </c>
      <c r="Q75" s="351">
        <v>18035204008</v>
      </c>
      <c r="R75" s="174" t="s">
        <v>4160</v>
      </c>
      <c r="S75" s="174" t="s">
        <v>4043</v>
      </c>
      <c r="T75" s="1068"/>
    </row>
    <row r="76" spans="1:20" s="1069" customFormat="1" ht="24.95" customHeight="1">
      <c r="A76" s="1053">
        <v>69</v>
      </c>
      <c r="B76" s="103" t="s">
        <v>4170</v>
      </c>
      <c r="C76" s="103" t="s">
        <v>4161</v>
      </c>
      <c r="D76" s="103" t="s">
        <v>62</v>
      </c>
      <c r="E76" s="103">
        <v>1</v>
      </c>
      <c r="F76" s="103">
        <v>15.93</v>
      </c>
      <c r="G76" s="103" t="s">
        <v>32</v>
      </c>
      <c r="H76" s="103" t="s">
        <v>33</v>
      </c>
      <c r="I76" s="103" t="s">
        <v>4156</v>
      </c>
      <c r="J76" s="103" t="s">
        <v>4157</v>
      </c>
      <c r="K76" s="103" t="s">
        <v>4133</v>
      </c>
      <c r="L76" s="103">
        <v>134629.65</v>
      </c>
      <c r="M76" s="103">
        <v>71802.48</v>
      </c>
      <c r="N76" s="103">
        <v>2021.08</v>
      </c>
      <c r="O76" s="1904"/>
      <c r="P76" s="168" t="s">
        <v>4159</v>
      </c>
      <c r="Q76" s="351">
        <v>18035204008</v>
      </c>
      <c r="R76" s="174" t="s">
        <v>4160</v>
      </c>
      <c r="S76" s="174" t="s">
        <v>4043</v>
      </c>
      <c r="T76" s="1068"/>
    </row>
    <row r="77" spans="1:20" s="1069" customFormat="1" ht="24.95" customHeight="1">
      <c r="A77" s="1053">
        <v>70</v>
      </c>
      <c r="B77" s="103" t="s">
        <v>4171</v>
      </c>
      <c r="C77" s="103" t="s">
        <v>4172</v>
      </c>
      <c r="D77" s="103" t="s">
        <v>62</v>
      </c>
      <c r="E77" s="103">
        <v>3</v>
      </c>
      <c r="F77" s="103">
        <v>19.239999999999998</v>
      </c>
      <c r="G77" s="103" t="s">
        <v>32</v>
      </c>
      <c r="H77" s="103" t="s">
        <v>33</v>
      </c>
      <c r="I77" s="103" t="s">
        <v>4156</v>
      </c>
      <c r="J77" s="103" t="s">
        <v>4157</v>
      </c>
      <c r="K77" s="103" t="s">
        <v>4133</v>
      </c>
      <c r="L77" s="103">
        <v>162603.54</v>
      </c>
      <c r="M77" s="103">
        <v>86721.888000000006</v>
      </c>
      <c r="N77" s="103">
        <v>2021.08</v>
      </c>
      <c r="O77" s="1904"/>
      <c r="P77" s="168" t="s">
        <v>4159</v>
      </c>
      <c r="Q77" s="351">
        <v>18035204008</v>
      </c>
      <c r="R77" s="174" t="s">
        <v>4160</v>
      </c>
      <c r="S77" s="174" t="s">
        <v>4043</v>
      </c>
      <c r="T77" s="1068"/>
    </row>
    <row r="78" spans="1:20" s="1069" customFormat="1" ht="24.95" customHeight="1">
      <c r="A78" s="1053">
        <v>71</v>
      </c>
      <c r="B78" s="103" t="s">
        <v>4173</v>
      </c>
      <c r="C78" s="103" t="s">
        <v>4174</v>
      </c>
      <c r="D78" s="103" t="s">
        <v>62</v>
      </c>
      <c r="E78" s="103">
        <v>3</v>
      </c>
      <c r="F78" s="103">
        <v>30.72</v>
      </c>
      <c r="G78" s="103" t="s">
        <v>32</v>
      </c>
      <c r="H78" s="103" t="s">
        <v>33</v>
      </c>
      <c r="I78" s="103" t="s">
        <v>4156</v>
      </c>
      <c r="J78" s="103" t="s">
        <v>4157</v>
      </c>
      <c r="K78" s="103" t="s">
        <v>4133</v>
      </c>
      <c r="L78" s="103">
        <v>259624.78</v>
      </c>
      <c r="M78" s="103">
        <v>138466.54933333301</v>
      </c>
      <c r="N78" s="103">
        <v>2021.08</v>
      </c>
      <c r="O78" s="1904"/>
      <c r="P78" s="168" t="s">
        <v>4159</v>
      </c>
      <c r="Q78" s="351">
        <v>18035204008</v>
      </c>
      <c r="R78" s="174" t="s">
        <v>4160</v>
      </c>
      <c r="S78" s="174" t="s">
        <v>4043</v>
      </c>
      <c r="T78" s="1068"/>
    </row>
    <row r="79" spans="1:20" s="1069" customFormat="1" ht="24.95" customHeight="1">
      <c r="A79" s="1053">
        <v>72</v>
      </c>
      <c r="B79" s="103" t="s">
        <v>4175</v>
      </c>
      <c r="C79" s="103" t="s">
        <v>4176</v>
      </c>
      <c r="D79" s="103" t="s">
        <v>62</v>
      </c>
      <c r="E79" s="103">
        <v>3</v>
      </c>
      <c r="F79" s="103">
        <v>29.42</v>
      </c>
      <c r="G79" s="103" t="s">
        <v>32</v>
      </c>
      <c r="H79" s="103" t="s">
        <v>33</v>
      </c>
      <c r="I79" s="103" t="s">
        <v>4156</v>
      </c>
      <c r="J79" s="103" t="s">
        <v>4157</v>
      </c>
      <c r="K79" s="103" t="s">
        <v>4133</v>
      </c>
      <c r="L79" s="103">
        <v>248638.09</v>
      </c>
      <c r="M79" s="103">
        <v>132606.98133333301</v>
      </c>
      <c r="N79" s="103">
        <v>2021.08</v>
      </c>
      <c r="O79" s="1904"/>
      <c r="P79" s="168" t="s">
        <v>4159</v>
      </c>
      <c r="Q79" s="351">
        <v>18035204008</v>
      </c>
      <c r="R79" s="174" t="s">
        <v>4160</v>
      </c>
      <c r="S79" s="174" t="s">
        <v>4043</v>
      </c>
      <c r="T79" s="1068"/>
    </row>
    <row r="80" spans="1:20" s="1069" customFormat="1" ht="24.95" customHeight="1">
      <c r="A80" s="1053">
        <v>73</v>
      </c>
      <c r="B80" s="103" t="s">
        <v>4171</v>
      </c>
      <c r="C80" s="103" t="s">
        <v>4172</v>
      </c>
      <c r="D80" s="103" t="s">
        <v>62</v>
      </c>
      <c r="E80" s="103">
        <v>1</v>
      </c>
      <c r="F80" s="103">
        <v>4.0199999999999996</v>
      </c>
      <c r="G80" s="103" t="s">
        <v>32</v>
      </c>
      <c r="H80" s="103" t="s">
        <v>33</v>
      </c>
      <c r="I80" s="103" t="s">
        <v>4156</v>
      </c>
      <c r="J80" s="103" t="s">
        <v>4157</v>
      </c>
      <c r="K80" s="103" t="s">
        <v>4133</v>
      </c>
      <c r="L80" s="103">
        <v>33974.339999999997</v>
      </c>
      <c r="M80" s="103">
        <v>20384.603999999999</v>
      </c>
      <c r="N80" s="103">
        <v>2021.09</v>
      </c>
      <c r="O80" s="1904"/>
      <c r="P80" s="168" t="s">
        <v>4159</v>
      </c>
      <c r="Q80" s="351">
        <v>18035204008</v>
      </c>
      <c r="R80" s="174" t="s">
        <v>4160</v>
      </c>
      <c r="S80" s="174" t="s">
        <v>4043</v>
      </c>
      <c r="T80" s="1068"/>
    </row>
    <row r="81" spans="1:16384" s="1069" customFormat="1" ht="24.95" customHeight="1">
      <c r="A81" s="1053">
        <v>74</v>
      </c>
      <c r="B81" s="103" t="s">
        <v>4173</v>
      </c>
      <c r="C81" s="103" t="s">
        <v>4174</v>
      </c>
      <c r="D81" s="103" t="s">
        <v>62</v>
      </c>
      <c r="E81" s="103">
        <v>1</v>
      </c>
      <c r="F81" s="103">
        <v>12.36</v>
      </c>
      <c r="G81" s="103" t="s">
        <v>32</v>
      </c>
      <c r="H81" s="103" t="s">
        <v>33</v>
      </c>
      <c r="I81" s="103" t="s">
        <v>4156</v>
      </c>
      <c r="J81" s="103" t="s">
        <v>4157</v>
      </c>
      <c r="K81" s="103" t="s">
        <v>4133</v>
      </c>
      <c r="L81" s="103">
        <v>104458.4</v>
      </c>
      <c r="M81" s="103">
        <v>62675.040000000001</v>
      </c>
      <c r="N81" s="103">
        <v>2021.09</v>
      </c>
      <c r="O81" s="1904"/>
      <c r="P81" s="168" t="s">
        <v>4159</v>
      </c>
      <c r="Q81" s="351">
        <v>18035204008</v>
      </c>
      <c r="R81" s="174" t="s">
        <v>4160</v>
      </c>
      <c r="S81" s="174" t="s">
        <v>4043</v>
      </c>
      <c r="T81" s="1068"/>
    </row>
    <row r="82" spans="1:16384" s="1069" customFormat="1" ht="24.95" customHeight="1">
      <c r="A82" s="1053">
        <v>75</v>
      </c>
      <c r="B82" s="103" t="s">
        <v>4177</v>
      </c>
      <c r="C82" s="103" t="s">
        <v>4178</v>
      </c>
      <c r="D82" s="103" t="s">
        <v>62</v>
      </c>
      <c r="E82" s="103">
        <v>6</v>
      </c>
      <c r="F82" s="103">
        <v>119.74</v>
      </c>
      <c r="G82" s="103" t="s">
        <v>32</v>
      </c>
      <c r="H82" s="103" t="s">
        <v>33</v>
      </c>
      <c r="I82" s="103" t="s">
        <v>4179</v>
      </c>
      <c r="J82" s="103" t="s">
        <v>4157</v>
      </c>
      <c r="K82" s="103" t="s">
        <v>4180</v>
      </c>
      <c r="L82" s="103">
        <v>1214566.27</v>
      </c>
      <c r="M82" s="103">
        <v>1020235.6668</v>
      </c>
      <c r="N82" s="103">
        <v>2022.03</v>
      </c>
      <c r="O82" s="1904"/>
      <c r="P82" s="168" t="s">
        <v>4159</v>
      </c>
      <c r="Q82" s="351">
        <v>18035204008</v>
      </c>
      <c r="R82" s="174" t="s">
        <v>4160</v>
      </c>
      <c r="S82" s="174" t="s">
        <v>4043</v>
      </c>
      <c r="T82" s="1068"/>
    </row>
    <row r="83" spans="1:16384" s="1069" customFormat="1" ht="24.95" customHeight="1">
      <c r="A83" s="1053">
        <v>76</v>
      </c>
      <c r="B83" s="103" t="s">
        <v>4181</v>
      </c>
      <c r="C83" s="103" t="s">
        <v>4182</v>
      </c>
      <c r="D83" s="103" t="s">
        <v>62</v>
      </c>
      <c r="E83" s="103">
        <v>4</v>
      </c>
      <c r="F83" s="103">
        <v>71.775999999999996</v>
      </c>
      <c r="G83" s="103" t="s">
        <v>32</v>
      </c>
      <c r="H83" s="103" t="s">
        <v>33</v>
      </c>
      <c r="I83" s="103" t="s">
        <v>4179</v>
      </c>
      <c r="J83" s="103" t="s">
        <v>4157</v>
      </c>
      <c r="K83" s="103" t="s">
        <v>4180</v>
      </c>
      <c r="L83" s="103">
        <v>512594.95</v>
      </c>
      <c r="M83" s="103">
        <v>430579.75799999997</v>
      </c>
      <c r="N83" s="103">
        <v>2022.03</v>
      </c>
      <c r="O83" s="1904"/>
      <c r="P83" s="168" t="s">
        <v>4159</v>
      </c>
      <c r="Q83" s="351">
        <v>18035204008</v>
      </c>
      <c r="R83" s="174" t="s">
        <v>4160</v>
      </c>
      <c r="S83" s="174" t="s">
        <v>4043</v>
      </c>
      <c r="T83" s="1068"/>
    </row>
    <row r="84" spans="1:16384" s="1069" customFormat="1" ht="24.95" customHeight="1">
      <c r="A84" s="1070">
        <v>2</v>
      </c>
      <c r="B84" s="1071" t="s">
        <v>84</v>
      </c>
      <c r="C84" s="103"/>
      <c r="D84" s="103"/>
      <c r="E84" s="103"/>
      <c r="F84" s="103"/>
      <c r="G84" s="103"/>
      <c r="H84" s="103"/>
      <c r="I84" s="103"/>
      <c r="J84" s="103"/>
      <c r="K84" s="103"/>
      <c r="L84" s="103"/>
      <c r="M84" s="103"/>
      <c r="N84" s="103"/>
      <c r="O84" s="1072"/>
      <c r="P84" s="168"/>
      <c r="Q84" s="351"/>
      <c r="R84" s="174"/>
      <c r="S84" s="174"/>
      <c r="T84" s="1068"/>
    </row>
    <row r="85" spans="1:16384" s="1074" customFormat="1" ht="24.95" customHeight="1">
      <c r="A85" s="147">
        <v>1</v>
      </c>
      <c r="B85" s="103" t="s">
        <v>85</v>
      </c>
      <c r="C85" s="103" t="s">
        <v>1760</v>
      </c>
      <c r="D85" s="103" t="s">
        <v>62</v>
      </c>
      <c r="E85" s="103"/>
      <c r="F85" s="103">
        <v>109.74</v>
      </c>
      <c r="G85" s="103" t="s">
        <v>32</v>
      </c>
      <c r="H85" s="103" t="s">
        <v>33</v>
      </c>
      <c r="I85" s="103" t="s">
        <v>4183</v>
      </c>
      <c r="J85" s="103" t="s">
        <v>4128</v>
      </c>
      <c r="K85" s="103" t="s">
        <v>4133</v>
      </c>
      <c r="L85" s="103">
        <v>1000994.07</v>
      </c>
      <c r="M85" s="103">
        <v>367374.27</v>
      </c>
      <c r="N85" s="1066">
        <v>43770</v>
      </c>
      <c r="O85" s="1899" t="s">
        <v>4130</v>
      </c>
      <c r="P85" s="1073" t="s">
        <v>4131</v>
      </c>
      <c r="Q85" s="103">
        <v>17373170973</v>
      </c>
      <c r="R85" s="103" t="s">
        <v>4132</v>
      </c>
      <c r="S85" s="1060" t="s">
        <v>4043</v>
      </c>
      <c r="T85" s="147"/>
    </row>
    <row r="86" spans="1:16384" s="1076" customFormat="1" ht="24.95" customHeight="1">
      <c r="A86" s="147">
        <v>2</v>
      </c>
      <c r="B86" s="103" t="s">
        <v>85</v>
      </c>
      <c r="C86" s="103" t="s">
        <v>1760</v>
      </c>
      <c r="D86" s="103" t="s">
        <v>62</v>
      </c>
      <c r="E86" s="103"/>
      <c r="F86" s="103">
        <v>9.89</v>
      </c>
      <c r="G86" s="103" t="s">
        <v>32</v>
      </c>
      <c r="H86" s="103" t="s">
        <v>33</v>
      </c>
      <c r="I86" s="103" t="s">
        <v>4183</v>
      </c>
      <c r="J86" s="103" t="s">
        <v>4128</v>
      </c>
      <c r="K86" s="103" t="s">
        <v>4184</v>
      </c>
      <c r="L86" s="103">
        <v>23765.38</v>
      </c>
      <c r="M86" s="103">
        <v>19.77</v>
      </c>
      <c r="N86" s="1075">
        <v>43922</v>
      </c>
      <c r="O86" s="1899"/>
      <c r="P86" s="1073" t="s">
        <v>4131</v>
      </c>
      <c r="Q86" s="103">
        <v>17373170973</v>
      </c>
      <c r="R86" s="103" t="s">
        <v>4132</v>
      </c>
      <c r="S86" s="1060" t="s">
        <v>4043</v>
      </c>
      <c r="T86" s="147"/>
    </row>
    <row r="87" spans="1:16384" s="1076" customFormat="1" ht="24.95" customHeight="1">
      <c r="A87" s="147">
        <v>3</v>
      </c>
      <c r="B87" s="103" t="s">
        <v>85</v>
      </c>
      <c r="C87" s="103" t="s">
        <v>1760</v>
      </c>
      <c r="D87" s="103" t="s">
        <v>62</v>
      </c>
      <c r="E87" s="103"/>
      <c r="F87" s="103">
        <v>15.8</v>
      </c>
      <c r="G87" s="103" t="s">
        <v>32</v>
      </c>
      <c r="H87" s="103" t="s">
        <v>33</v>
      </c>
      <c r="I87" s="103" t="s">
        <v>4183</v>
      </c>
      <c r="J87" s="103" t="s">
        <v>4128</v>
      </c>
      <c r="K87" s="103" t="s">
        <v>4133</v>
      </c>
      <c r="L87" s="103">
        <v>162304.64000000001</v>
      </c>
      <c r="M87" s="103">
        <v>31912.78</v>
      </c>
      <c r="N87" s="1066">
        <v>44105</v>
      </c>
      <c r="O87" s="1899"/>
      <c r="P87" s="1073" t="s">
        <v>4131</v>
      </c>
      <c r="Q87" s="103">
        <v>17373170973</v>
      </c>
      <c r="R87" s="103" t="s">
        <v>4132</v>
      </c>
      <c r="S87" s="1060" t="s">
        <v>4043</v>
      </c>
      <c r="T87" s="147"/>
    </row>
    <row r="88" spans="1:16384" s="1076" customFormat="1" ht="24.95" customHeight="1">
      <c r="A88" s="147">
        <v>4</v>
      </c>
      <c r="B88" s="103" t="s">
        <v>85</v>
      </c>
      <c r="C88" s="103" t="s">
        <v>1760</v>
      </c>
      <c r="D88" s="103" t="s">
        <v>62</v>
      </c>
      <c r="E88" s="103"/>
      <c r="F88" s="103">
        <v>8.58</v>
      </c>
      <c r="G88" s="103"/>
      <c r="H88" s="103"/>
      <c r="I88" s="103"/>
      <c r="J88" s="103"/>
      <c r="K88" s="103"/>
      <c r="L88" s="103">
        <v>39903.61</v>
      </c>
      <c r="M88" s="103">
        <v>6630.1</v>
      </c>
      <c r="N88" s="1066">
        <v>44044</v>
      </c>
      <c r="O88" s="1899"/>
      <c r="P88" s="1073" t="s">
        <v>4131</v>
      </c>
      <c r="Q88" s="103">
        <v>17373170973</v>
      </c>
      <c r="R88" s="103" t="s">
        <v>4132</v>
      </c>
      <c r="S88" s="1060" t="s">
        <v>4043</v>
      </c>
      <c r="T88" s="147"/>
    </row>
    <row r="89" spans="1:16384" s="1056" customFormat="1" ht="24.95" customHeight="1">
      <c r="A89" s="147">
        <v>5</v>
      </c>
      <c r="B89" s="103" t="s">
        <v>4185</v>
      </c>
      <c r="C89" s="103" t="s">
        <v>4186</v>
      </c>
      <c r="D89" s="103" t="s">
        <v>62</v>
      </c>
      <c r="E89" s="103"/>
      <c r="F89" s="103">
        <v>0.68</v>
      </c>
      <c r="G89" s="103" t="s">
        <v>32</v>
      </c>
      <c r="H89" s="103" t="s">
        <v>41</v>
      </c>
      <c r="I89" s="103" t="s">
        <v>4187</v>
      </c>
      <c r="J89" s="103" t="s">
        <v>4138</v>
      </c>
      <c r="K89" s="103" t="s">
        <v>4188</v>
      </c>
      <c r="L89" s="103">
        <v>58232.82</v>
      </c>
      <c r="M89" s="103">
        <v>3359.1218390804602</v>
      </c>
      <c r="N89" s="103">
        <v>44206</v>
      </c>
      <c r="O89" s="1899" t="s">
        <v>4140</v>
      </c>
      <c r="P89" s="1055" t="s">
        <v>4141</v>
      </c>
      <c r="Q89" s="1055">
        <v>18535240344</v>
      </c>
      <c r="R89" s="1055" t="s">
        <v>4142</v>
      </c>
      <c r="S89" s="1055" t="s">
        <v>4043</v>
      </c>
      <c r="T89" s="1055"/>
      <c r="U89" s="1055"/>
      <c r="V89" s="1055"/>
      <c r="W89" s="1055"/>
      <c r="X89" s="1055"/>
      <c r="Y89" s="1055"/>
      <c r="Z89" s="1055"/>
      <c r="AA89" s="1055"/>
      <c r="AB89" s="1055"/>
      <c r="AC89" s="1055"/>
      <c r="AD89" s="1055"/>
      <c r="AE89" s="1055"/>
      <c r="AF89" s="1055"/>
      <c r="AG89" s="1055"/>
      <c r="AH89" s="1055"/>
      <c r="AI89" s="1055"/>
      <c r="AJ89" s="1055"/>
      <c r="AK89" s="1055"/>
      <c r="AL89" s="1055"/>
      <c r="AM89" s="1055"/>
      <c r="AN89" s="1055"/>
      <c r="AO89" s="1055"/>
      <c r="AP89" s="1055"/>
      <c r="AQ89" s="1055"/>
      <c r="AR89" s="1055"/>
      <c r="AS89" s="1055"/>
      <c r="AT89" s="1055"/>
      <c r="AU89" s="1055"/>
      <c r="AV89" s="1055"/>
      <c r="AW89" s="1055"/>
      <c r="AX89" s="1055"/>
      <c r="AY89" s="1055"/>
      <c r="AZ89" s="1055"/>
      <c r="BA89" s="1055"/>
      <c r="BB89" s="1055"/>
      <c r="BC89" s="1055"/>
      <c r="BD89" s="1055"/>
      <c r="BE89" s="1055"/>
      <c r="BF89" s="1055"/>
      <c r="BG89" s="1055"/>
      <c r="BH89" s="1055"/>
      <c r="BI89" s="1055"/>
      <c r="BJ89" s="1055"/>
      <c r="BK89" s="1055"/>
      <c r="BL89" s="1055"/>
      <c r="BM89" s="1055"/>
      <c r="BN89" s="1055"/>
      <c r="BO89" s="1055"/>
      <c r="BP89" s="1055"/>
      <c r="BQ89" s="1055"/>
      <c r="BR89" s="1055"/>
      <c r="BS89" s="1055"/>
      <c r="BT89" s="1055"/>
      <c r="BU89" s="1055"/>
      <c r="BV89" s="1055"/>
      <c r="BW89" s="1055"/>
      <c r="BX89" s="1055"/>
      <c r="BY89" s="1055"/>
      <c r="BZ89" s="1055"/>
      <c r="CA89" s="1055"/>
      <c r="CB89" s="1055"/>
      <c r="CC89" s="1055"/>
      <c r="CD89" s="1055"/>
      <c r="CE89" s="1055"/>
      <c r="CF89" s="1055"/>
      <c r="CG89" s="1055"/>
      <c r="CH89" s="1055"/>
      <c r="CI89" s="1055"/>
      <c r="CJ89" s="1055"/>
      <c r="CK89" s="1055"/>
      <c r="CL89" s="1055"/>
      <c r="CM89" s="1055"/>
      <c r="CN89" s="1055"/>
      <c r="CO89" s="1055"/>
      <c r="CP89" s="1055"/>
      <c r="CQ89" s="1055"/>
      <c r="CR89" s="1055"/>
      <c r="CS89" s="1055"/>
      <c r="CT89" s="1055"/>
      <c r="CU89" s="1055"/>
      <c r="CV89" s="1055"/>
      <c r="CW89" s="1055"/>
      <c r="CX89" s="1055"/>
      <c r="CY89" s="1055"/>
      <c r="CZ89" s="1055"/>
      <c r="DA89" s="1055"/>
      <c r="DB89" s="1055"/>
      <c r="DC89" s="1055"/>
      <c r="DD89" s="1055"/>
      <c r="DE89" s="1055"/>
      <c r="DF89" s="1055"/>
      <c r="DG89" s="1055"/>
      <c r="DH89" s="1055"/>
      <c r="DI89" s="1055"/>
      <c r="DJ89" s="1055"/>
      <c r="DK89" s="1055"/>
      <c r="DL89" s="1055"/>
      <c r="DM89" s="1055"/>
      <c r="DN89" s="1055"/>
      <c r="DO89" s="1055"/>
      <c r="DP89" s="1055"/>
      <c r="DQ89" s="1055"/>
      <c r="DR89" s="1055"/>
      <c r="DS89" s="1055"/>
      <c r="DT89" s="1055"/>
      <c r="DU89" s="1055"/>
      <c r="DV89" s="1055"/>
      <c r="DW89" s="1055"/>
      <c r="DX89" s="1055"/>
      <c r="DY89" s="1055"/>
      <c r="DZ89" s="1055"/>
      <c r="EA89" s="1055"/>
      <c r="EB89" s="1055"/>
      <c r="EC89" s="1055"/>
      <c r="ED89" s="1055"/>
      <c r="EE89" s="1055"/>
      <c r="EF89" s="1055"/>
      <c r="EG89" s="1055"/>
      <c r="EH89" s="1055"/>
      <c r="EI89" s="1055"/>
      <c r="EJ89" s="1055"/>
      <c r="EK89" s="1055"/>
      <c r="EL89" s="1055"/>
      <c r="EM89" s="1055"/>
      <c r="EN89" s="1055"/>
      <c r="EO89" s="1055"/>
      <c r="EP89" s="1055"/>
      <c r="EQ89" s="1055"/>
      <c r="ER89" s="1055"/>
      <c r="ES89" s="1055"/>
      <c r="ET89" s="1055"/>
      <c r="EU89" s="1055"/>
      <c r="EV89" s="1055"/>
      <c r="EW89" s="1055"/>
      <c r="EX89" s="1055"/>
      <c r="EY89" s="1055"/>
      <c r="EZ89" s="1055"/>
      <c r="FA89" s="1055"/>
      <c r="FB89" s="1055"/>
      <c r="FC89" s="1055"/>
      <c r="FD89" s="1055"/>
      <c r="FE89" s="1055"/>
      <c r="FF89" s="1055"/>
      <c r="FG89" s="1055"/>
      <c r="FH89" s="1055"/>
      <c r="FI89" s="1055"/>
      <c r="FJ89" s="1055"/>
      <c r="FK89" s="1055"/>
      <c r="FL89" s="1055"/>
      <c r="FM89" s="1055"/>
      <c r="FN89" s="1055"/>
      <c r="FO89" s="1055"/>
      <c r="FP89" s="1055"/>
      <c r="FQ89" s="1055"/>
      <c r="FR89" s="1055"/>
      <c r="FS89" s="1055"/>
      <c r="FT89" s="1055"/>
      <c r="FU89" s="1055"/>
      <c r="FV89" s="1055"/>
      <c r="FW89" s="1055"/>
      <c r="FX89" s="1055"/>
      <c r="FY89" s="1055"/>
      <c r="FZ89" s="1055"/>
      <c r="GA89" s="1055"/>
      <c r="GB89" s="1055"/>
      <c r="GC89" s="1055"/>
      <c r="GD89" s="1055"/>
      <c r="GE89" s="1055"/>
      <c r="GF89" s="1055"/>
      <c r="GG89" s="1055"/>
      <c r="GH89" s="1055"/>
      <c r="GI89" s="1055"/>
      <c r="GJ89" s="1055"/>
      <c r="GK89" s="1055"/>
      <c r="GL89" s="1055"/>
      <c r="GM89" s="1055"/>
      <c r="GN89" s="1055"/>
      <c r="GO89" s="1055"/>
      <c r="GP89" s="1055"/>
      <c r="GQ89" s="1055"/>
      <c r="GR89" s="1055"/>
      <c r="GS89" s="1055"/>
      <c r="GT89" s="1055"/>
      <c r="GU89" s="1055"/>
      <c r="GV89" s="1055"/>
      <c r="GW89" s="1055"/>
      <c r="GX89" s="1055"/>
      <c r="GY89" s="1055"/>
      <c r="GZ89" s="1055"/>
      <c r="HA89" s="1055"/>
      <c r="HB89" s="1055"/>
      <c r="HC89" s="1055"/>
      <c r="HD89" s="1055"/>
      <c r="HE89" s="1055"/>
      <c r="HF89" s="1055"/>
      <c r="HG89" s="1055"/>
      <c r="HH89" s="1055"/>
      <c r="HI89" s="1055"/>
      <c r="HJ89" s="1055"/>
      <c r="HK89" s="1055"/>
      <c r="HL89" s="1055"/>
      <c r="HM89" s="1055"/>
      <c r="HN89" s="1055"/>
      <c r="HO89" s="1055"/>
      <c r="HP89" s="1055"/>
      <c r="HQ89" s="1055"/>
      <c r="HR89" s="1055"/>
      <c r="HS89" s="1055"/>
      <c r="HT89" s="1055"/>
      <c r="HU89" s="1055"/>
      <c r="HV89" s="1055"/>
      <c r="HW89" s="1055"/>
      <c r="HX89" s="1055"/>
      <c r="HY89" s="1055"/>
      <c r="HZ89" s="1055"/>
      <c r="IA89" s="1055"/>
      <c r="IB89" s="1055"/>
      <c r="IC89" s="1055"/>
      <c r="ID89" s="1055"/>
      <c r="IE89" s="1055"/>
      <c r="IF89" s="1055"/>
      <c r="IG89" s="1055"/>
      <c r="IH89" s="1055"/>
      <c r="II89" s="1055"/>
      <c r="IJ89" s="1055"/>
      <c r="IK89" s="1055"/>
      <c r="IL89" s="1055"/>
      <c r="IM89" s="1055"/>
      <c r="IN89" s="1055"/>
      <c r="IO89" s="1055"/>
      <c r="IP89" s="1055"/>
      <c r="IQ89" s="1055"/>
      <c r="IR89" s="1055"/>
      <c r="IS89" s="1055"/>
      <c r="IT89" s="1055"/>
      <c r="IU89" s="1055"/>
      <c r="IV89" s="1055"/>
      <c r="IW89" s="1055"/>
      <c r="IX89" s="1055"/>
      <c r="IY89" s="1055"/>
      <c r="IZ89" s="1055"/>
      <c r="JA89" s="1055"/>
      <c r="JB89" s="1055"/>
      <c r="JC89" s="1055"/>
      <c r="JD89" s="1055"/>
      <c r="JE89" s="1055"/>
      <c r="JF89" s="1055"/>
      <c r="JG89" s="1055"/>
      <c r="JH89" s="1055"/>
      <c r="JI89" s="1055"/>
      <c r="JJ89" s="1055"/>
      <c r="JK89" s="1055"/>
      <c r="JL89" s="1055"/>
      <c r="JM89" s="1055"/>
      <c r="JN89" s="1055"/>
      <c r="JO89" s="1055"/>
      <c r="JP89" s="1055"/>
      <c r="JQ89" s="1055"/>
      <c r="JR89" s="1055"/>
      <c r="JS89" s="1055"/>
      <c r="JT89" s="1055"/>
      <c r="JU89" s="1055"/>
      <c r="JV89" s="1055"/>
      <c r="JW89" s="1055"/>
      <c r="JX89" s="1055"/>
      <c r="JY89" s="1055"/>
      <c r="JZ89" s="1055"/>
      <c r="KA89" s="1055"/>
      <c r="KB89" s="1055"/>
      <c r="KC89" s="1055"/>
      <c r="KD89" s="1055"/>
      <c r="KE89" s="1055"/>
      <c r="KF89" s="1055"/>
      <c r="KG89" s="1055"/>
      <c r="KH89" s="1055"/>
      <c r="KI89" s="1055"/>
      <c r="KJ89" s="1055"/>
      <c r="KK89" s="1055"/>
      <c r="KL89" s="1055"/>
      <c r="KM89" s="1055"/>
      <c r="KN89" s="1055"/>
      <c r="KO89" s="1055"/>
      <c r="KP89" s="1055"/>
      <c r="KQ89" s="1055"/>
      <c r="KR89" s="1055"/>
      <c r="KS89" s="1055"/>
      <c r="KT89" s="1055"/>
      <c r="KU89" s="1055"/>
      <c r="KV89" s="1055"/>
      <c r="KW89" s="1055"/>
      <c r="KX89" s="1055"/>
      <c r="KY89" s="1055"/>
      <c r="KZ89" s="1055"/>
      <c r="LA89" s="1055"/>
      <c r="LB89" s="1055"/>
      <c r="LC89" s="1055"/>
      <c r="LD89" s="1055"/>
      <c r="LE89" s="1055"/>
      <c r="LF89" s="1055"/>
      <c r="LG89" s="1055"/>
      <c r="LH89" s="1055"/>
      <c r="LI89" s="1055"/>
      <c r="LJ89" s="1055"/>
      <c r="LK89" s="1055"/>
      <c r="LL89" s="1055"/>
      <c r="LM89" s="1055"/>
      <c r="LN89" s="1055"/>
      <c r="LO89" s="1055"/>
      <c r="LP89" s="1055"/>
      <c r="LQ89" s="1055"/>
      <c r="LR89" s="1055"/>
      <c r="LS89" s="1055"/>
      <c r="LT89" s="1055"/>
      <c r="LU89" s="1055"/>
      <c r="LV89" s="1055"/>
      <c r="LW89" s="1055"/>
      <c r="LX89" s="1055"/>
      <c r="LY89" s="1055"/>
      <c r="LZ89" s="1055"/>
      <c r="MA89" s="1055"/>
      <c r="MB89" s="1055"/>
      <c r="MC89" s="1055"/>
      <c r="MD89" s="1055"/>
      <c r="ME89" s="1055"/>
      <c r="MF89" s="1055"/>
      <c r="MG89" s="1055"/>
      <c r="MH89" s="1055"/>
      <c r="MI89" s="1055"/>
      <c r="MJ89" s="1055"/>
      <c r="MK89" s="1055"/>
      <c r="ML89" s="1055"/>
      <c r="MM89" s="1055"/>
      <c r="MN89" s="1055"/>
      <c r="MO89" s="1055"/>
      <c r="MP89" s="1055"/>
      <c r="MQ89" s="1055"/>
      <c r="MR89" s="1055"/>
      <c r="MS89" s="1055"/>
      <c r="MT89" s="1055"/>
      <c r="MU89" s="1055"/>
      <c r="MV89" s="1055"/>
      <c r="MW89" s="1055"/>
      <c r="MX89" s="1055"/>
      <c r="MY89" s="1055"/>
      <c r="MZ89" s="1055"/>
      <c r="NA89" s="1055"/>
      <c r="NB89" s="1055"/>
      <c r="NC89" s="1055"/>
      <c r="ND89" s="1055"/>
      <c r="NE89" s="1055"/>
      <c r="NF89" s="1055"/>
      <c r="NG89" s="1055"/>
      <c r="NH89" s="1055"/>
      <c r="NI89" s="1055"/>
      <c r="NJ89" s="1055"/>
      <c r="NK89" s="1055"/>
      <c r="NL89" s="1055"/>
      <c r="NM89" s="1055"/>
      <c r="NN89" s="1055"/>
      <c r="NO89" s="1055"/>
      <c r="NP89" s="1055"/>
      <c r="NQ89" s="1055"/>
      <c r="NR89" s="1055"/>
      <c r="NS89" s="1055"/>
      <c r="NT89" s="1055"/>
      <c r="NU89" s="1055"/>
      <c r="NV89" s="1055"/>
      <c r="NW89" s="1055"/>
      <c r="NX89" s="1055"/>
      <c r="NY89" s="1055"/>
      <c r="NZ89" s="1055"/>
      <c r="OA89" s="1055"/>
      <c r="OB89" s="1055"/>
      <c r="OC89" s="1055"/>
      <c r="OD89" s="1055"/>
      <c r="OE89" s="1055"/>
      <c r="OF89" s="1055"/>
      <c r="OG89" s="1055"/>
      <c r="OH89" s="1055"/>
      <c r="OI89" s="1055"/>
      <c r="OJ89" s="1055"/>
      <c r="OK89" s="1055"/>
      <c r="OL89" s="1055"/>
      <c r="OM89" s="1055"/>
      <c r="ON89" s="1055"/>
      <c r="OO89" s="1055"/>
      <c r="OP89" s="1055"/>
      <c r="OQ89" s="1055"/>
      <c r="OR89" s="1055"/>
      <c r="OS89" s="1055"/>
      <c r="OT89" s="1055"/>
      <c r="OU89" s="1055"/>
      <c r="OV89" s="1055"/>
      <c r="OW89" s="1055"/>
      <c r="OX89" s="1055"/>
      <c r="OY89" s="1055"/>
      <c r="OZ89" s="1055"/>
      <c r="PA89" s="1055"/>
      <c r="PB89" s="1055"/>
      <c r="PC89" s="1055"/>
      <c r="PD89" s="1055"/>
      <c r="PE89" s="1055"/>
      <c r="PF89" s="1055"/>
      <c r="PG89" s="1055"/>
      <c r="PH89" s="1055"/>
      <c r="PI89" s="1055"/>
      <c r="PJ89" s="1055"/>
      <c r="PK89" s="1055"/>
      <c r="PL89" s="1055"/>
      <c r="PM89" s="1055"/>
      <c r="PN89" s="1055"/>
      <c r="PO89" s="1055"/>
      <c r="PP89" s="1055"/>
      <c r="PQ89" s="1055"/>
      <c r="PR89" s="1055"/>
      <c r="PS89" s="1055"/>
      <c r="PT89" s="1055"/>
      <c r="PU89" s="1055"/>
      <c r="PV89" s="1055"/>
      <c r="PW89" s="1055"/>
      <c r="PX89" s="1055"/>
      <c r="PY89" s="1055"/>
      <c r="PZ89" s="1055"/>
      <c r="QA89" s="1055"/>
      <c r="QB89" s="1055"/>
      <c r="QC89" s="1055"/>
      <c r="QD89" s="1055"/>
      <c r="QE89" s="1055"/>
      <c r="QF89" s="1055"/>
      <c r="QG89" s="1055"/>
      <c r="QH89" s="1055"/>
      <c r="QI89" s="1055"/>
      <c r="QJ89" s="1055"/>
      <c r="QK89" s="1055"/>
      <c r="QL89" s="1055"/>
      <c r="QM89" s="1055"/>
      <c r="QN89" s="1055"/>
      <c r="QO89" s="1055"/>
      <c r="QP89" s="1055"/>
      <c r="QQ89" s="1055"/>
      <c r="QR89" s="1055"/>
      <c r="QS89" s="1055"/>
      <c r="QT89" s="1055"/>
      <c r="QU89" s="1055"/>
      <c r="QV89" s="1055"/>
      <c r="QW89" s="1055"/>
      <c r="QX89" s="1055"/>
      <c r="QY89" s="1055"/>
      <c r="QZ89" s="1055"/>
      <c r="RA89" s="1055"/>
      <c r="RB89" s="1055"/>
      <c r="RC89" s="1055"/>
      <c r="RD89" s="1055"/>
      <c r="RE89" s="1055"/>
      <c r="RF89" s="1055"/>
      <c r="RG89" s="1055"/>
      <c r="RH89" s="1055"/>
      <c r="RI89" s="1055"/>
      <c r="RJ89" s="1055"/>
      <c r="RK89" s="1055"/>
      <c r="RL89" s="1055"/>
      <c r="RM89" s="1055"/>
      <c r="RN89" s="1055"/>
      <c r="RO89" s="1055"/>
      <c r="RP89" s="1055"/>
      <c r="RQ89" s="1055"/>
      <c r="RR89" s="1055"/>
      <c r="RS89" s="1055"/>
      <c r="RT89" s="1055"/>
      <c r="RU89" s="1055"/>
      <c r="RV89" s="1055"/>
      <c r="RW89" s="1055"/>
      <c r="RX89" s="1055"/>
      <c r="RY89" s="1055"/>
      <c r="RZ89" s="1055"/>
      <c r="SA89" s="1055"/>
      <c r="SB89" s="1055"/>
      <c r="SC89" s="1055"/>
      <c r="SD89" s="1055"/>
      <c r="SE89" s="1055"/>
      <c r="SF89" s="1055"/>
      <c r="SG89" s="1055"/>
      <c r="SH89" s="1055"/>
      <c r="SI89" s="1055"/>
      <c r="SJ89" s="1055"/>
      <c r="SK89" s="1055"/>
      <c r="SL89" s="1055"/>
      <c r="SM89" s="1055"/>
      <c r="SN89" s="1055"/>
      <c r="SO89" s="1055"/>
      <c r="SP89" s="1055"/>
      <c r="SQ89" s="1055"/>
      <c r="SR89" s="1055"/>
      <c r="SS89" s="1055"/>
      <c r="ST89" s="1055"/>
      <c r="SU89" s="1055"/>
      <c r="SV89" s="1055"/>
      <c r="SW89" s="1055"/>
      <c r="SX89" s="1055"/>
      <c r="SY89" s="1055"/>
      <c r="SZ89" s="1055"/>
      <c r="TA89" s="1055"/>
      <c r="TB89" s="1055"/>
      <c r="TC89" s="1055"/>
      <c r="TD89" s="1055"/>
      <c r="TE89" s="1055"/>
      <c r="TF89" s="1055"/>
      <c r="TG89" s="1055"/>
      <c r="TH89" s="1055"/>
      <c r="TI89" s="1055"/>
      <c r="TJ89" s="1055"/>
      <c r="TK89" s="1055"/>
      <c r="TL89" s="1055"/>
      <c r="TM89" s="1055"/>
      <c r="TN89" s="1055"/>
      <c r="TO89" s="1055"/>
      <c r="TP89" s="1055"/>
      <c r="TQ89" s="1055"/>
      <c r="TR89" s="1055"/>
      <c r="TS89" s="1055"/>
      <c r="TT89" s="1055"/>
      <c r="TU89" s="1055"/>
      <c r="TV89" s="1055"/>
      <c r="TW89" s="1055"/>
      <c r="TX89" s="1055"/>
      <c r="TY89" s="1055"/>
      <c r="TZ89" s="1055"/>
      <c r="UA89" s="1055"/>
      <c r="UB89" s="1055"/>
      <c r="UC89" s="1055"/>
      <c r="UD89" s="1055"/>
      <c r="UE89" s="1055"/>
      <c r="UF89" s="1055"/>
      <c r="UG89" s="1055"/>
      <c r="UH89" s="1055"/>
      <c r="UI89" s="1055"/>
      <c r="UJ89" s="1055"/>
      <c r="UK89" s="1055"/>
      <c r="UL89" s="1055"/>
      <c r="UM89" s="1055"/>
      <c r="UN89" s="1055"/>
      <c r="UO89" s="1055"/>
      <c r="UP89" s="1055"/>
      <c r="UQ89" s="1055"/>
      <c r="UR89" s="1055"/>
      <c r="US89" s="1055"/>
      <c r="UT89" s="1055"/>
      <c r="UU89" s="1055"/>
      <c r="UV89" s="1055"/>
      <c r="UW89" s="1055"/>
      <c r="UX89" s="1055"/>
      <c r="UY89" s="1055"/>
      <c r="UZ89" s="1055"/>
      <c r="VA89" s="1055"/>
      <c r="VB89" s="1055"/>
      <c r="VC89" s="1055"/>
      <c r="VD89" s="1055"/>
      <c r="VE89" s="1055"/>
      <c r="VF89" s="1055"/>
      <c r="VG89" s="1055"/>
      <c r="VH89" s="1055"/>
      <c r="VI89" s="1055"/>
      <c r="VJ89" s="1055"/>
      <c r="VK89" s="1055"/>
      <c r="VL89" s="1055"/>
      <c r="VM89" s="1055"/>
      <c r="VN89" s="1055"/>
      <c r="VO89" s="1055"/>
      <c r="VP89" s="1055"/>
      <c r="VQ89" s="1055"/>
      <c r="VR89" s="1055"/>
      <c r="VS89" s="1055"/>
      <c r="VT89" s="1055"/>
      <c r="VU89" s="1055"/>
      <c r="VV89" s="1055"/>
      <c r="VW89" s="1055"/>
      <c r="VX89" s="1055"/>
      <c r="VY89" s="1055"/>
      <c r="VZ89" s="1055"/>
      <c r="WA89" s="1055"/>
      <c r="WB89" s="1055"/>
      <c r="WC89" s="1055"/>
      <c r="WD89" s="1055"/>
      <c r="WE89" s="1055"/>
      <c r="WF89" s="1055"/>
      <c r="WG89" s="1055"/>
      <c r="WH89" s="1055"/>
      <c r="WI89" s="1055"/>
      <c r="WJ89" s="1055"/>
      <c r="WK89" s="1055"/>
      <c r="WL89" s="1055"/>
      <c r="WM89" s="1055"/>
      <c r="WN89" s="1055"/>
      <c r="WO89" s="1055"/>
      <c r="WP89" s="1055"/>
      <c r="WQ89" s="1055"/>
      <c r="WR89" s="1055"/>
      <c r="WS89" s="1055"/>
      <c r="WT89" s="1055"/>
      <c r="WU89" s="1055"/>
      <c r="WV89" s="1055"/>
      <c r="WW89" s="1055"/>
      <c r="WX89" s="1055"/>
      <c r="WY89" s="1055"/>
      <c r="WZ89" s="1055"/>
      <c r="XA89" s="1055"/>
      <c r="XB89" s="1055"/>
      <c r="XC89" s="1055"/>
      <c r="XD89" s="1055"/>
      <c r="XE89" s="1055"/>
      <c r="XF89" s="1055"/>
      <c r="XG89" s="1055"/>
      <c r="XH89" s="1055"/>
      <c r="XI89" s="1055"/>
      <c r="XJ89" s="1055"/>
      <c r="XK89" s="1055"/>
      <c r="XL89" s="1055"/>
      <c r="XM89" s="1055"/>
      <c r="XN89" s="1055"/>
      <c r="XO89" s="1055"/>
      <c r="XP89" s="1055"/>
      <c r="XQ89" s="1055"/>
      <c r="XR89" s="1055"/>
      <c r="XS89" s="1055"/>
      <c r="XT89" s="1055"/>
      <c r="XU89" s="1055"/>
      <c r="XV89" s="1055"/>
      <c r="XW89" s="1055"/>
      <c r="XX89" s="1055"/>
      <c r="XY89" s="1055"/>
      <c r="XZ89" s="1055"/>
      <c r="YA89" s="1055"/>
      <c r="YB89" s="1055"/>
      <c r="YC89" s="1055"/>
      <c r="YD89" s="1055"/>
      <c r="YE89" s="1055"/>
      <c r="YF89" s="1055"/>
      <c r="YG89" s="1055"/>
      <c r="YH89" s="1055"/>
      <c r="YI89" s="1055"/>
      <c r="YJ89" s="1055"/>
      <c r="YK89" s="1055"/>
      <c r="YL89" s="1055"/>
      <c r="YM89" s="1055"/>
      <c r="YN89" s="1055"/>
      <c r="YO89" s="1055"/>
      <c r="YP89" s="1055"/>
      <c r="YQ89" s="1055"/>
      <c r="YR89" s="1055"/>
      <c r="YS89" s="1055"/>
      <c r="YT89" s="1055"/>
      <c r="YU89" s="1055"/>
      <c r="YV89" s="1055"/>
      <c r="YW89" s="1055"/>
      <c r="YX89" s="1055"/>
      <c r="YY89" s="1055"/>
      <c r="YZ89" s="1055"/>
      <c r="ZA89" s="1055"/>
      <c r="ZB89" s="1055"/>
      <c r="ZC89" s="1055"/>
      <c r="ZD89" s="1055"/>
      <c r="ZE89" s="1055"/>
      <c r="ZF89" s="1055"/>
      <c r="ZG89" s="1055"/>
      <c r="ZH89" s="1055"/>
      <c r="ZI89" s="1055"/>
      <c r="ZJ89" s="1055"/>
      <c r="ZK89" s="1055"/>
      <c r="ZL89" s="1055"/>
      <c r="ZM89" s="1055"/>
      <c r="ZN89" s="1055"/>
      <c r="ZO89" s="1055"/>
      <c r="ZP89" s="1055"/>
      <c r="ZQ89" s="1055"/>
      <c r="ZR89" s="1055"/>
      <c r="ZS89" s="1055"/>
      <c r="ZT89" s="1055"/>
      <c r="ZU89" s="1055"/>
      <c r="ZV89" s="1055"/>
      <c r="ZW89" s="1055"/>
      <c r="ZX89" s="1055"/>
      <c r="ZY89" s="1055"/>
      <c r="ZZ89" s="1055"/>
      <c r="AAA89" s="1055"/>
      <c r="AAB89" s="1055"/>
      <c r="AAC89" s="1055"/>
      <c r="AAD89" s="1055"/>
      <c r="AAE89" s="1055"/>
      <c r="AAF89" s="1055"/>
      <c r="AAG89" s="1055"/>
      <c r="AAH89" s="1055"/>
      <c r="AAI89" s="1055"/>
      <c r="AAJ89" s="1055"/>
      <c r="AAK89" s="1055"/>
      <c r="AAL89" s="1055"/>
      <c r="AAM89" s="1055"/>
      <c r="AAN89" s="1055"/>
      <c r="AAO89" s="1055"/>
      <c r="AAP89" s="1055"/>
      <c r="AAQ89" s="1055"/>
      <c r="AAR89" s="1055"/>
      <c r="AAS89" s="1055"/>
      <c r="AAT89" s="1055"/>
      <c r="AAU89" s="1055"/>
      <c r="AAV89" s="1055"/>
      <c r="AAW89" s="1055"/>
      <c r="AAX89" s="1055"/>
      <c r="AAY89" s="1055"/>
      <c r="AAZ89" s="1055"/>
      <c r="ABA89" s="1055"/>
      <c r="ABB89" s="1055"/>
      <c r="ABC89" s="1055"/>
      <c r="ABD89" s="1055"/>
      <c r="ABE89" s="1055"/>
      <c r="ABF89" s="1055"/>
      <c r="ABG89" s="1055"/>
      <c r="ABH89" s="1055"/>
      <c r="ABI89" s="1055"/>
      <c r="ABJ89" s="1055"/>
      <c r="ABK89" s="1055"/>
      <c r="ABL89" s="1055"/>
      <c r="ABM89" s="1055"/>
      <c r="ABN89" s="1055"/>
      <c r="ABO89" s="1055"/>
      <c r="ABP89" s="1055"/>
      <c r="ABQ89" s="1055"/>
      <c r="ABR89" s="1055"/>
      <c r="ABS89" s="1055"/>
      <c r="ABT89" s="1055"/>
      <c r="ABU89" s="1055"/>
      <c r="ABV89" s="1055"/>
      <c r="ABW89" s="1055"/>
      <c r="ABX89" s="1055"/>
      <c r="ABY89" s="1055"/>
      <c r="ABZ89" s="1055"/>
      <c r="ACA89" s="1055"/>
      <c r="ACB89" s="1055"/>
      <c r="ACC89" s="1055"/>
      <c r="ACD89" s="1055"/>
      <c r="ACE89" s="1055"/>
      <c r="ACF89" s="1055"/>
      <c r="ACG89" s="1055"/>
      <c r="ACH89" s="1055"/>
      <c r="ACI89" s="1055"/>
      <c r="ACJ89" s="1055"/>
      <c r="ACK89" s="1055"/>
      <c r="ACL89" s="1055"/>
      <c r="ACM89" s="1055"/>
      <c r="ACN89" s="1055"/>
      <c r="ACO89" s="1055"/>
      <c r="ACP89" s="1055"/>
      <c r="ACQ89" s="1055"/>
      <c r="ACR89" s="1055"/>
      <c r="ACS89" s="1055"/>
      <c r="ACT89" s="1055"/>
      <c r="ACU89" s="1055"/>
      <c r="ACV89" s="1055"/>
      <c r="ACW89" s="1055"/>
      <c r="ACX89" s="1055"/>
      <c r="ACY89" s="1055"/>
      <c r="ACZ89" s="1055"/>
      <c r="ADA89" s="1055"/>
      <c r="ADB89" s="1055"/>
      <c r="ADC89" s="1055"/>
      <c r="ADD89" s="1055"/>
      <c r="ADE89" s="1055"/>
      <c r="ADF89" s="1055"/>
      <c r="ADG89" s="1055"/>
      <c r="ADH89" s="1055"/>
      <c r="ADI89" s="1055"/>
      <c r="ADJ89" s="1055"/>
      <c r="ADK89" s="1055"/>
      <c r="ADL89" s="1055"/>
      <c r="ADM89" s="1055"/>
      <c r="ADN89" s="1055"/>
      <c r="ADO89" s="1055"/>
      <c r="ADP89" s="1055"/>
      <c r="ADQ89" s="1055"/>
      <c r="ADR89" s="1055"/>
      <c r="ADS89" s="1055"/>
      <c r="ADT89" s="1055"/>
      <c r="ADU89" s="1055"/>
      <c r="ADV89" s="1055"/>
      <c r="ADW89" s="1055"/>
      <c r="ADX89" s="1055"/>
      <c r="ADY89" s="1055"/>
      <c r="ADZ89" s="1055"/>
      <c r="AEA89" s="1055"/>
      <c r="AEB89" s="1055"/>
      <c r="AEC89" s="1055"/>
      <c r="AED89" s="1055"/>
      <c r="AEE89" s="1055"/>
      <c r="AEF89" s="1055"/>
      <c r="AEG89" s="1055"/>
      <c r="AEH89" s="1055"/>
      <c r="AEI89" s="1055"/>
      <c r="AEJ89" s="1055"/>
      <c r="AEK89" s="1055"/>
      <c r="AEL89" s="1055"/>
      <c r="AEM89" s="1055"/>
      <c r="AEN89" s="1055"/>
      <c r="AEO89" s="1055"/>
      <c r="AEP89" s="1055"/>
      <c r="AEQ89" s="1055"/>
      <c r="AER89" s="1055"/>
      <c r="AES89" s="1055"/>
      <c r="AET89" s="1055"/>
      <c r="AEU89" s="1055"/>
      <c r="AEV89" s="1055"/>
      <c r="AEW89" s="1055"/>
      <c r="AEX89" s="1055"/>
      <c r="AEY89" s="1055"/>
      <c r="AEZ89" s="1055"/>
      <c r="AFA89" s="1055"/>
      <c r="AFB89" s="1055"/>
      <c r="AFC89" s="1055"/>
      <c r="AFD89" s="1055"/>
      <c r="AFE89" s="1055"/>
      <c r="AFF89" s="1055"/>
      <c r="AFG89" s="1055"/>
      <c r="AFH89" s="1055"/>
      <c r="AFI89" s="1055"/>
      <c r="AFJ89" s="1055"/>
      <c r="AFK89" s="1055"/>
      <c r="AFL89" s="1055"/>
      <c r="AFM89" s="1055"/>
      <c r="AFN89" s="1055"/>
      <c r="AFO89" s="1055"/>
      <c r="AFP89" s="1055"/>
      <c r="AFQ89" s="1055"/>
      <c r="AFR89" s="1055"/>
      <c r="AFS89" s="1055"/>
      <c r="AFT89" s="1055"/>
      <c r="AFU89" s="1055"/>
      <c r="AFV89" s="1055"/>
      <c r="AFW89" s="1055"/>
      <c r="AFX89" s="1055"/>
      <c r="AFY89" s="1055"/>
      <c r="AFZ89" s="1055"/>
      <c r="AGA89" s="1055"/>
      <c r="AGB89" s="1055"/>
      <c r="AGC89" s="1055"/>
      <c r="AGD89" s="1055"/>
      <c r="AGE89" s="1055"/>
      <c r="AGF89" s="1055"/>
      <c r="AGG89" s="1055"/>
      <c r="AGH89" s="1055"/>
      <c r="AGI89" s="1055"/>
      <c r="AGJ89" s="1055"/>
      <c r="AGK89" s="1055"/>
      <c r="AGL89" s="1055"/>
      <c r="AGM89" s="1055"/>
      <c r="AGN89" s="1055"/>
      <c r="AGO89" s="1055"/>
      <c r="AGP89" s="1055"/>
      <c r="AGQ89" s="1055"/>
      <c r="AGR89" s="1055"/>
      <c r="AGS89" s="1055"/>
      <c r="AGT89" s="1055"/>
      <c r="AGU89" s="1055"/>
      <c r="AGV89" s="1055"/>
      <c r="AGW89" s="1055"/>
      <c r="AGX89" s="1055"/>
      <c r="AGY89" s="1055"/>
      <c r="AGZ89" s="1055"/>
      <c r="AHA89" s="1055"/>
      <c r="AHB89" s="1055"/>
      <c r="AHC89" s="1055"/>
      <c r="AHD89" s="1055"/>
      <c r="AHE89" s="1055"/>
      <c r="AHF89" s="1055"/>
      <c r="AHG89" s="1055"/>
      <c r="AHH89" s="1055"/>
      <c r="AHI89" s="1055"/>
      <c r="AHJ89" s="1055"/>
      <c r="AHK89" s="1055"/>
      <c r="AHL89" s="1055"/>
      <c r="AHM89" s="1055"/>
      <c r="AHN89" s="1055"/>
      <c r="AHO89" s="1055"/>
      <c r="AHP89" s="1055"/>
      <c r="AHQ89" s="1055"/>
      <c r="AHR89" s="1055"/>
      <c r="AHS89" s="1055"/>
      <c r="AHT89" s="1055"/>
      <c r="AHU89" s="1055"/>
      <c r="AHV89" s="1055"/>
      <c r="AHW89" s="1055"/>
      <c r="AHX89" s="1055"/>
      <c r="AHY89" s="1055"/>
      <c r="AHZ89" s="1055"/>
      <c r="AIA89" s="1055"/>
      <c r="AIB89" s="1055"/>
      <c r="AIC89" s="1055"/>
      <c r="AID89" s="1055"/>
      <c r="AIE89" s="1055"/>
      <c r="AIF89" s="1055"/>
      <c r="AIG89" s="1055"/>
      <c r="AIH89" s="1055"/>
      <c r="AII89" s="1055"/>
      <c r="AIJ89" s="1055"/>
      <c r="AIK89" s="1055"/>
      <c r="AIL89" s="1055"/>
      <c r="AIM89" s="1055"/>
      <c r="AIN89" s="1055"/>
      <c r="AIO89" s="1055"/>
      <c r="AIP89" s="1055"/>
      <c r="AIQ89" s="1055"/>
      <c r="AIR89" s="1055"/>
      <c r="AIS89" s="1055"/>
      <c r="AIT89" s="1055"/>
      <c r="AIU89" s="1055"/>
      <c r="AIV89" s="1055"/>
      <c r="AIW89" s="1055"/>
      <c r="AIX89" s="1055"/>
      <c r="AIY89" s="1055"/>
      <c r="AIZ89" s="1055"/>
      <c r="AJA89" s="1055"/>
      <c r="AJB89" s="1055"/>
      <c r="AJC89" s="1055"/>
      <c r="AJD89" s="1055"/>
      <c r="AJE89" s="1055"/>
      <c r="AJF89" s="1055"/>
      <c r="AJG89" s="1055"/>
      <c r="AJH89" s="1055"/>
      <c r="AJI89" s="1055"/>
      <c r="AJJ89" s="1055"/>
      <c r="AJK89" s="1055"/>
      <c r="AJL89" s="1055"/>
      <c r="AJM89" s="1055"/>
      <c r="AJN89" s="1055"/>
      <c r="AJO89" s="1055"/>
      <c r="AJP89" s="1055"/>
      <c r="AJQ89" s="1055"/>
      <c r="AJR89" s="1055"/>
      <c r="AJS89" s="1055"/>
      <c r="AJT89" s="1055"/>
      <c r="AJU89" s="1055"/>
      <c r="AJV89" s="1055"/>
      <c r="AJW89" s="1055"/>
      <c r="AJX89" s="1055"/>
      <c r="AJY89" s="1055"/>
      <c r="AJZ89" s="1055"/>
      <c r="AKA89" s="1055"/>
      <c r="AKB89" s="1055"/>
      <c r="AKC89" s="1055"/>
      <c r="AKD89" s="1055"/>
      <c r="AKE89" s="1055"/>
      <c r="AKF89" s="1055"/>
      <c r="AKG89" s="1055"/>
      <c r="AKH89" s="1055"/>
      <c r="AKI89" s="1055"/>
      <c r="AKJ89" s="1055"/>
      <c r="AKK89" s="1055"/>
      <c r="AKL89" s="1055"/>
      <c r="AKM89" s="1055"/>
      <c r="AKN89" s="1055"/>
      <c r="AKO89" s="1055"/>
      <c r="AKP89" s="1055"/>
      <c r="AKQ89" s="1055"/>
      <c r="AKR89" s="1055"/>
      <c r="AKS89" s="1055"/>
      <c r="AKT89" s="1055"/>
      <c r="AKU89" s="1055"/>
      <c r="AKV89" s="1055"/>
      <c r="AKW89" s="1055"/>
      <c r="AKX89" s="1055"/>
      <c r="AKY89" s="1055"/>
      <c r="AKZ89" s="1055"/>
      <c r="ALA89" s="1055"/>
      <c r="ALB89" s="1055"/>
      <c r="ALC89" s="1055"/>
      <c r="ALD89" s="1055"/>
      <c r="ALE89" s="1055"/>
      <c r="ALF89" s="1055"/>
      <c r="ALG89" s="1055"/>
      <c r="ALH89" s="1055"/>
      <c r="ALI89" s="1055"/>
      <c r="ALJ89" s="1055"/>
      <c r="ALK89" s="1055"/>
      <c r="ALL89" s="1055"/>
      <c r="ALM89" s="1055"/>
      <c r="ALN89" s="1055"/>
      <c r="ALO89" s="1055"/>
      <c r="ALP89" s="1055"/>
      <c r="ALQ89" s="1055"/>
      <c r="ALR89" s="1055"/>
      <c r="ALS89" s="1055"/>
      <c r="ALT89" s="1055"/>
      <c r="ALU89" s="1055"/>
      <c r="ALV89" s="1055"/>
      <c r="ALW89" s="1055"/>
      <c r="ALX89" s="1055"/>
      <c r="ALY89" s="1055"/>
      <c r="ALZ89" s="1055"/>
      <c r="AMA89" s="1055"/>
      <c r="AMB89" s="1055"/>
      <c r="AMC89" s="1055"/>
      <c r="AMD89" s="1055"/>
      <c r="AME89" s="1055"/>
      <c r="AMF89" s="1055"/>
      <c r="AMG89" s="1055"/>
      <c r="AMH89" s="1055"/>
      <c r="AMI89" s="1055"/>
      <c r="AMJ89" s="1055"/>
      <c r="AMK89" s="1055"/>
      <c r="AML89" s="1055"/>
      <c r="AMM89" s="1055"/>
      <c r="AMN89" s="1055"/>
      <c r="AMO89" s="1055"/>
      <c r="AMP89" s="1055"/>
      <c r="AMQ89" s="1055"/>
      <c r="AMR89" s="1055"/>
      <c r="AMS89" s="1055"/>
      <c r="AMT89" s="1055"/>
      <c r="AMU89" s="1055"/>
      <c r="AMV89" s="1055"/>
      <c r="AMW89" s="1055"/>
      <c r="AMX89" s="1055"/>
      <c r="AMY89" s="1055"/>
      <c r="AMZ89" s="1055"/>
      <c r="ANA89" s="1055"/>
      <c r="ANB89" s="1055"/>
      <c r="ANC89" s="1055"/>
      <c r="AND89" s="1055"/>
      <c r="ANE89" s="1055"/>
      <c r="ANF89" s="1055"/>
      <c r="ANG89" s="1055"/>
      <c r="ANH89" s="1055"/>
      <c r="ANI89" s="1055"/>
      <c r="ANJ89" s="1055"/>
      <c r="ANK89" s="1055"/>
      <c r="ANL89" s="1055"/>
      <c r="ANM89" s="1055"/>
      <c r="ANN89" s="1055"/>
      <c r="ANO89" s="1055"/>
      <c r="ANP89" s="1055"/>
      <c r="ANQ89" s="1055"/>
      <c r="ANR89" s="1055"/>
      <c r="ANS89" s="1055"/>
      <c r="ANT89" s="1055"/>
      <c r="ANU89" s="1055"/>
      <c r="ANV89" s="1055"/>
      <c r="ANW89" s="1055"/>
      <c r="ANX89" s="1055"/>
      <c r="ANY89" s="1055"/>
      <c r="ANZ89" s="1055"/>
      <c r="AOA89" s="1055"/>
      <c r="AOB89" s="1055"/>
      <c r="AOC89" s="1055"/>
      <c r="AOD89" s="1055"/>
      <c r="AOE89" s="1055"/>
      <c r="AOF89" s="1055"/>
      <c r="AOG89" s="1055"/>
      <c r="AOH89" s="1055"/>
      <c r="AOI89" s="1055"/>
      <c r="AOJ89" s="1055"/>
      <c r="AOK89" s="1055"/>
      <c r="AOL89" s="1055"/>
      <c r="AOM89" s="1055"/>
      <c r="AON89" s="1055"/>
      <c r="AOO89" s="1055"/>
      <c r="AOP89" s="1055"/>
      <c r="AOQ89" s="1055"/>
      <c r="AOR89" s="1055"/>
      <c r="AOS89" s="1055"/>
      <c r="AOT89" s="1055"/>
      <c r="AOU89" s="1055"/>
      <c r="AOV89" s="1055"/>
      <c r="AOW89" s="1055"/>
      <c r="AOX89" s="1055"/>
      <c r="AOY89" s="1055"/>
      <c r="AOZ89" s="1055"/>
      <c r="APA89" s="1055"/>
      <c r="APB89" s="1055"/>
      <c r="APC89" s="1055"/>
      <c r="APD89" s="1055"/>
      <c r="APE89" s="1055"/>
      <c r="APF89" s="1055"/>
      <c r="APG89" s="1055"/>
      <c r="APH89" s="1055"/>
      <c r="API89" s="1055"/>
      <c r="APJ89" s="1055"/>
      <c r="APK89" s="1055"/>
      <c r="APL89" s="1055"/>
      <c r="APM89" s="1055"/>
      <c r="APN89" s="1055"/>
      <c r="APO89" s="1055"/>
      <c r="APP89" s="1055"/>
      <c r="APQ89" s="1055"/>
      <c r="APR89" s="1055"/>
      <c r="APS89" s="1055"/>
      <c r="APT89" s="1055"/>
      <c r="APU89" s="1055"/>
      <c r="APV89" s="1055"/>
      <c r="APW89" s="1055"/>
      <c r="APX89" s="1055"/>
      <c r="APY89" s="1055"/>
      <c r="APZ89" s="1055"/>
      <c r="AQA89" s="1055"/>
      <c r="AQB89" s="1055"/>
      <c r="AQC89" s="1055"/>
      <c r="AQD89" s="1055"/>
      <c r="AQE89" s="1055"/>
      <c r="AQF89" s="1055"/>
      <c r="AQG89" s="1055"/>
      <c r="AQH89" s="1055"/>
      <c r="AQI89" s="1055"/>
      <c r="AQJ89" s="1055"/>
      <c r="AQK89" s="1055"/>
      <c r="AQL89" s="1055"/>
      <c r="AQM89" s="1055"/>
      <c r="AQN89" s="1055"/>
      <c r="AQO89" s="1055"/>
      <c r="AQP89" s="1055"/>
      <c r="AQQ89" s="1055"/>
      <c r="AQR89" s="1055"/>
      <c r="AQS89" s="1055"/>
      <c r="AQT89" s="1055"/>
      <c r="AQU89" s="1055"/>
      <c r="AQV89" s="1055"/>
      <c r="AQW89" s="1055"/>
      <c r="AQX89" s="1055"/>
      <c r="AQY89" s="1055"/>
      <c r="AQZ89" s="1055"/>
      <c r="ARA89" s="1055"/>
      <c r="ARB89" s="1055"/>
      <c r="ARC89" s="1055"/>
      <c r="ARD89" s="1055"/>
      <c r="ARE89" s="1055"/>
      <c r="ARF89" s="1055"/>
      <c r="ARG89" s="1055"/>
      <c r="ARH89" s="1055"/>
      <c r="ARI89" s="1055"/>
      <c r="ARJ89" s="1055"/>
      <c r="ARK89" s="1055"/>
      <c r="ARL89" s="1055"/>
      <c r="ARM89" s="1055"/>
      <c r="ARN89" s="1055"/>
      <c r="ARO89" s="1055"/>
      <c r="ARP89" s="1055"/>
      <c r="ARQ89" s="1055"/>
      <c r="ARR89" s="1055"/>
      <c r="ARS89" s="1055"/>
      <c r="ART89" s="1055"/>
      <c r="ARU89" s="1055"/>
      <c r="ARV89" s="1055"/>
      <c r="ARW89" s="1055"/>
      <c r="ARX89" s="1055"/>
      <c r="ARY89" s="1055"/>
      <c r="ARZ89" s="1055"/>
      <c r="ASA89" s="1055"/>
      <c r="ASB89" s="1055"/>
      <c r="ASC89" s="1055"/>
      <c r="ASD89" s="1055"/>
      <c r="ASE89" s="1055"/>
      <c r="ASF89" s="1055"/>
      <c r="ASG89" s="1055"/>
      <c r="ASH89" s="1055"/>
      <c r="ASI89" s="1055"/>
      <c r="ASJ89" s="1055"/>
      <c r="ASK89" s="1055"/>
      <c r="ASL89" s="1055"/>
      <c r="ASM89" s="1055"/>
      <c r="ASN89" s="1055"/>
      <c r="ASO89" s="1055"/>
      <c r="ASP89" s="1055"/>
      <c r="ASQ89" s="1055"/>
      <c r="ASR89" s="1055"/>
      <c r="ASS89" s="1055"/>
      <c r="AST89" s="1055"/>
      <c r="ASU89" s="1055"/>
      <c r="ASV89" s="1055"/>
      <c r="ASW89" s="1055"/>
      <c r="ASX89" s="1055"/>
      <c r="ASY89" s="1055"/>
      <c r="ASZ89" s="1055"/>
      <c r="ATA89" s="1055"/>
      <c r="ATB89" s="1055"/>
      <c r="ATC89" s="1055"/>
      <c r="ATD89" s="1055"/>
      <c r="ATE89" s="1055"/>
      <c r="ATF89" s="1055"/>
      <c r="ATG89" s="1055"/>
      <c r="ATH89" s="1055"/>
      <c r="ATI89" s="1055"/>
      <c r="ATJ89" s="1055"/>
      <c r="ATK89" s="1055"/>
      <c r="ATL89" s="1055"/>
      <c r="ATM89" s="1055"/>
      <c r="ATN89" s="1055"/>
      <c r="ATO89" s="1055"/>
      <c r="ATP89" s="1055"/>
      <c r="ATQ89" s="1055"/>
      <c r="ATR89" s="1055"/>
      <c r="ATS89" s="1055"/>
      <c r="ATT89" s="1055"/>
      <c r="ATU89" s="1055"/>
      <c r="ATV89" s="1055"/>
      <c r="ATW89" s="1055"/>
      <c r="ATX89" s="1055"/>
      <c r="ATY89" s="1055"/>
      <c r="ATZ89" s="1055"/>
      <c r="AUA89" s="1055"/>
      <c r="AUB89" s="1055"/>
      <c r="AUC89" s="1055"/>
      <c r="AUD89" s="1055"/>
      <c r="AUE89" s="1055"/>
      <c r="AUF89" s="1055"/>
      <c r="AUG89" s="1055"/>
      <c r="AUH89" s="1055"/>
      <c r="AUI89" s="1055"/>
      <c r="AUJ89" s="1055"/>
      <c r="AUK89" s="1055"/>
      <c r="AUL89" s="1055"/>
      <c r="AUM89" s="1055"/>
      <c r="AUN89" s="1055"/>
      <c r="AUO89" s="1055"/>
      <c r="AUP89" s="1055"/>
      <c r="AUQ89" s="1055"/>
      <c r="AUR89" s="1055"/>
      <c r="AUS89" s="1055"/>
      <c r="AUT89" s="1055"/>
      <c r="AUU89" s="1055"/>
      <c r="AUV89" s="1055"/>
      <c r="AUW89" s="1055"/>
      <c r="AUX89" s="1055"/>
      <c r="AUY89" s="1055"/>
      <c r="AUZ89" s="1055"/>
      <c r="AVA89" s="1055"/>
      <c r="AVB89" s="1055"/>
      <c r="AVC89" s="1055"/>
      <c r="AVD89" s="1055"/>
      <c r="AVE89" s="1055"/>
      <c r="AVF89" s="1055"/>
      <c r="AVG89" s="1055"/>
      <c r="AVH89" s="1055"/>
      <c r="AVI89" s="1055"/>
      <c r="AVJ89" s="1055"/>
      <c r="AVK89" s="1055"/>
      <c r="AVL89" s="1055"/>
      <c r="AVM89" s="1055"/>
      <c r="AVN89" s="1055"/>
      <c r="AVO89" s="1055"/>
      <c r="AVP89" s="1055"/>
      <c r="AVQ89" s="1055"/>
      <c r="AVR89" s="1055"/>
      <c r="AVS89" s="1055"/>
      <c r="AVT89" s="1055"/>
      <c r="AVU89" s="1055"/>
      <c r="AVV89" s="1055"/>
      <c r="AVW89" s="1055"/>
      <c r="AVX89" s="1055"/>
      <c r="AVY89" s="1055"/>
      <c r="AVZ89" s="1055"/>
      <c r="AWA89" s="1055"/>
      <c r="AWB89" s="1055"/>
      <c r="AWC89" s="1055"/>
      <c r="AWD89" s="1055"/>
      <c r="AWE89" s="1055"/>
      <c r="AWF89" s="1055"/>
      <c r="AWG89" s="1055"/>
      <c r="AWH89" s="1055"/>
      <c r="AWI89" s="1055"/>
      <c r="AWJ89" s="1055"/>
      <c r="AWK89" s="1055"/>
      <c r="AWL89" s="1055"/>
      <c r="AWM89" s="1055"/>
      <c r="AWN89" s="1055"/>
      <c r="AWO89" s="1055"/>
      <c r="AWP89" s="1055"/>
      <c r="AWQ89" s="1055"/>
      <c r="AWR89" s="1055"/>
      <c r="AWS89" s="1055"/>
      <c r="AWT89" s="1055"/>
      <c r="AWU89" s="1055"/>
      <c r="AWV89" s="1055"/>
      <c r="AWW89" s="1055"/>
      <c r="AWX89" s="1055"/>
      <c r="AWY89" s="1055"/>
      <c r="AWZ89" s="1055"/>
      <c r="AXA89" s="1055"/>
      <c r="AXB89" s="1055"/>
      <c r="AXC89" s="1055"/>
      <c r="AXD89" s="1055"/>
      <c r="AXE89" s="1055"/>
      <c r="AXF89" s="1055"/>
      <c r="AXG89" s="1055"/>
      <c r="AXH89" s="1055"/>
      <c r="AXI89" s="1055"/>
      <c r="AXJ89" s="1055"/>
      <c r="AXK89" s="1055"/>
      <c r="AXL89" s="1055"/>
      <c r="AXM89" s="1055"/>
      <c r="AXN89" s="1055"/>
      <c r="AXO89" s="1055"/>
      <c r="AXP89" s="1055"/>
      <c r="AXQ89" s="1055"/>
      <c r="AXR89" s="1055"/>
      <c r="AXS89" s="1055"/>
      <c r="AXT89" s="1055"/>
      <c r="AXU89" s="1055"/>
      <c r="AXV89" s="1055"/>
      <c r="AXW89" s="1055"/>
      <c r="AXX89" s="1055"/>
      <c r="AXY89" s="1055"/>
      <c r="AXZ89" s="1055"/>
      <c r="AYA89" s="1055"/>
      <c r="AYB89" s="1055"/>
      <c r="AYC89" s="1055"/>
      <c r="AYD89" s="1055"/>
      <c r="AYE89" s="1055"/>
      <c r="AYF89" s="1055"/>
      <c r="AYG89" s="1055"/>
      <c r="AYH89" s="1055"/>
      <c r="AYI89" s="1055"/>
      <c r="AYJ89" s="1055"/>
      <c r="AYK89" s="1055"/>
      <c r="AYL89" s="1055"/>
      <c r="AYM89" s="1055"/>
      <c r="AYN89" s="1055"/>
      <c r="AYO89" s="1055"/>
      <c r="AYP89" s="1055"/>
      <c r="AYQ89" s="1055"/>
      <c r="AYR89" s="1055"/>
      <c r="AYS89" s="1055"/>
      <c r="AYT89" s="1055"/>
      <c r="AYU89" s="1055"/>
      <c r="AYV89" s="1055"/>
      <c r="AYW89" s="1055"/>
      <c r="AYX89" s="1055"/>
      <c r="AYY89" s="1055"/>
      <c r="AYZ89" s="1055"/>
      <c r="AZA89" s="1055"/>
      <c r="AZB89" s="1055"/>
      <c r="AZC89" s="1055"/>
      <c r="AZD89" s="1055"/>
      <c r="AZE89" s="1055"/>
      <c r="AZF89" s="1055"/>
      <c r="AZG89" s="1055"/>
      <c r="AZH89" s="1055"/>
      <c r="AZI89" s="1055"/>
      <c r="AZJ89" s="1055"/>
      <c r="AZK89" s="1055"/>
      <c r="AZL89" s="1055"/>
      <c r="AZM89" s="1055"/>
      <c r="AZN89" s="1055"/>
      <c r="AZO89" s="1055"/>
      <c r="AZP89" s="1055"/>
      <c r="AZQ89" s="1055"/>
      <c r="AZR89" s="1055"/>
      <c r="AZS89" s="1055"/>
      <c r="AZT89" s="1055"/>
      <c r="AZU89" s="1055"/>
      <c r="AZV89" s="1055"/>
      <c r="AZW89" s="1055"/>
      <c r="AZX89" s="1055"/>
      <c r="AZY89" s="1055"/>
      <c r="AZZ89" s="1055"/>
      <c r="BAA89" s="1055"/>
      <c r="BAB89" s="1055"/>
      <c r="BAC89" s="1055"/>
      <c r="BAD89" s="1055"/>
      <c r="BAE89" s="1055"/>
      <c r="BAF89" s="1055"/>
      <c r="BAG89" s="1055"/>
      <c r="BAH89" s="1055"/>
      <c r="BAI89" s="1055"/>
      <c r="BAJ89" s="1055"/>
      <c r="BAK89" s="1055"/>
      <c r="BAL89" s="1055"/>
      <c r="BAM89" s="1055"/>
      <c r="BAN89" s="1055"/>
      <c r="BAO89" s="1055"/>
      <c r="BAP89" s="1055"/>
      <c r="BAQ89" s="1055"/>
      <c r="BAR89" s="1055"/>
      <c r="BAS89" s="1055"/>
      <c r="BAT89" s="1055"/>
      <c r="BAU89" s="1055"/>
      <c r="BAV89" s="1055"/>
      <c r="BAW89" s="1055"/>
      <c r="BAX89" s="1055"/>
      <c r="BAY89" s="1055"/>
      <c r="BAZ89" s="1055"/>
      <c r="BBA89" s="1055"/>
      <c r="BBB89" s="1055"/>
      <c r="BBC89" s="1055"/>
      <c r="BBD89" s="1055"/>
      <c r="BBE89" s="1055"/>
      <c r="BBF89" s="1055"/>
      <c r="BBG89" s="1055"/>
      <c r="BBH89" s="1055"/>
      <c r="BBI89" s="1055"/>
      <c r="BBJ89" s="1055"/>
      <c r="BBK89" s="1055"/>
      <c r="BBL89" s="1055"/>
      <c r="BBM89" s="1055"/>
      <c r="BBN89" s="1055"/>
      <c r="BBO89" s="1055"/>
      <c r="BBP89" s="1055"/>
      <c r="BBQ89" s="1055"/>
      <c r="BBR89" s="1055"/>
      <c r="BBS89" s="1055"/>
      <c r="BBT89" s="1055"/>
      <c r="BBU89" s="1055"/>
      <c r="BBV89" s="1055"/>
      <c r="BBW89" s="1055"/>
      <c r="BBX89" s="1055"/>
      <c r="BBY89" s="1055"/>
      <c r="BBZ89" s="1055"/>
      <c r="BCA89" s="1055"/>
      <c r="BCB89" s="1055"/>
      <c r="BCC89" s="1055"/>
      <c r="BCD89" s="1055"/>
      <c r="BCE89" s="1055"/>
      <c r="BCF89" s="1055"/>
      <c r="BCG89" s="1055"/>
      <c r="BCH89" s="1055"/>
      <c r="BCI89" s="1055"/>
      <c r="BCJ89" s="1055"/>
      <c r="BCK89" s="1055"/>
      <c r="BCL89" s="1055"/>
      <c r="BCM89" s="1055"/>
      <c r="BCN89" s="1055"/>
      <c r="BCO89" s="1055"/>
      <c r="BCP89" s="1055"/>
      <c r="BCQ89" s="1055"/>
      <c r="BCR89" s="1055"/>
      <c r="BCS89" s="1055"/>
      <c r="BCT89" s="1055"/>
      <c r="BCU89" s="1055"/>
      <c r="BCV89" s="1055"/>
      <c r="BCW89" s="1055"/>
      <c r="BCX89" s="1055"/>
      <c r="BCY89" s="1055"/>
      <c r="BCZ89" s="1055"/>
      <c r="BDA89" s="1055"/>
      <c r="BDB89" s="1055"/>
      <c r="BDC89" s="1055"/>
      <c r="BDD89" s="1055"/>
      <c r="BDE89" s="1055"/>
      <c r="BDF89" s="1055"/>
      <c r="BDG89" s="1055"/>
      <c r="BDH89" s="1055"/>
      <c r="BDI89" s="1055"/>
      <c r="BDJ89" s="1055"/>
      <c r="BDK89" s="1055"/>
      <c r="BDL89" s="1055"/>
      <c r="BDM89" s="1055"/>
      <c r="BDN89" s="1055"/>
      <c r="BDO89" s="1055"/>
      <c r="BDP89" s="1055"/>
      <c r="BDQ89" s="1055"/>
      <c r="BDR89" s="1055"/>
      <c r="BDS89" s="1055"/>
      <c r="BDT89" s="1055"/>
      <c r="BDU89" s="1055"/>
      <c r="BDV89" s="1055"/>
      <c r="BDW89" s="1055"/>
      <c r="BDX89" s="1055"/>
      <c r="BDY89" s="1055"/>
      <c r="BDZ89" s="1055"/>
      <c r="BEA89" s="1055"/>
      <c r="BEB89" s="1055"/>
      <c r="BEC89" s="1055"/>
      <c r="BED89" s="1055"/>
      <c r="BEE89" s="1055"/>
      <c r="BEF89" s="1055"/>
      <c r="BEG89" s="1055"/>
      <c r="BEH89" s="1055"/>
      <c r="BEI89" s="1055"/>
      <c r="BEJ89" s="1055"/>
      <c r="BEK89" s="1055"/>
      <c r="BEL89" s="1055"/>
      <c r="BEM89" s="1055"/>
      <c r="BEN89" s="1055"/>
      <c r="BEO89" s="1055"/>
      <c r="BEP89" s="1055"/>
      <c r="BEQ89" s="1055"/>
      <c r="BER89" s="1055"/>
      <c r="BES89" s="1055"/>
      <c r="BET89" s="1055"/>
      <c r="BEU89" s="1055"/>
      <c r="BEV89" s="1055"/>
      <c r="BEW89" s="1055"/>
      <c r="BEX89" s="1055"/>
      <c r="BEY89" s="1055"/>
      <c r="BEZ89" s="1055"/>
      <c r="BFA89" s="1055"/>
      <c r="BFB89" s="1055"/>
      <c r="BFC89" s="1055"/>
      <c r="BFD89" s="1055"/>
      <c r="BFE89" s="1055"/>
      <c r="BFF89" s="1055"/>
      <c r="BFG89" s="1055"/>
      <c r="BFH89" s="1055"/>
      <c r="BFI89" s="1055"/>
      <c r="BFJ89" s="1055"/>
      <c r="BFK89" s="1055"/>
      <c r="BFL89" s="1055"/>
      <c r="BFM89" s="1055"/>
      <c r="BFN89" s="1055"/>
      <c r="BFO89" s="1055"/>
      <c r="BFP89" s="1055"/>
      <c r="BFQ89" s="1055"/>
      <c r="BFR89" s="1055"/>
      <c r="BFS89" s="1055"/>
      <c r="BFT89" s="1055"/>
      <c r="BFU89" s="1055"/>
      <c r="BFV89" s="1055"/>
      <c r="BFW89" s="1055"/>
      <c r="BFX89" s="1055"/>
      <c r="BFY89" s="1055"/>
      <c r="BFZ89" s="1055"/>
      <c r="BGA89" s="1055"/>
      <c r="BGB89" s="1055"/>
      <c r="BGC89" s="1055"/>
      <c r="BGD89" s="1055"/>
      <c r="BGE89" s="1055"/>
      <c r="BGF89" s="1055"/>
      <c r="BGG89" s="1055"/>
      <c r="BGH89" s="1055"/>
      <c r="BGI89" s="1055"/>
      <c r="BGJ89" s="1055"/>
      <c r="BGK89" s="1055"/>
      <c r="BGL89" s="1055"/>
      <c r="BGM89" s="1055"/>
      <c r="BGN89" s="1055"/>
      <c r="BGO89" s="1055"/>
      <c r="BGP89" s="1055"/>
      <c r="BGQ89" s="1055"/>
      <c r="BGR89" s="1055"/>
      <c r="BGS89" s="1055"/>
      <c r="BGT89" s="1055"/>
      <c r="BGU89" s="1055"/>
      <c r="BGV89" s="1055"/>
      <c r="BGW89" s="1055"/>
      <c r="BGX89" s="1055"/>
      <c r="BGY89" s="1055"/>
      <c r="BGZ89" s="1055"/>
      <c r="BHA89" s="1055"/>
      <c r="BHB89" s="1055"/>
      <c r="BHC89" s="1055"/>
      <c r="BHD89" s="1055"/>
      <c r="BHE89" s="1055"/>
      <c r="BHF89" s="1055"/>
      <c r="BHG89" s="1055"/>
      <c r="BHH89" s="1055"/>
      <c r="BHI89" s="1055"/>
      <c r="BHJ89" s="1055"/>
      <c r="BHK89" s="1055"/>
      <c r="BHL89" s="1055"/>
      <c r="BHM89" s="1055"/>
      <c r="BHN89" s="1055"/>
      <c r="BHO89" s="1055"/>
      <c r="BHP89" s="1055"/>
      <c r="BHQ89" s="1055"/>
      <c r="BHR89" s="1055"/>
      <c r="BHS89" s="1055"/>
      <c r="BHT89" s="1055"/>
      <c r="BHU89" s="1055"/>
      <c r="BHV89" s="1055"/>
      <c r="BHW89" s="1055"/>
      <c r="BHX89" s="1055"/>
      <c r="BHY89" s="1055"/>
      <c r="BHZ89" s="1055"/>
      <c r="BIA89" s="1055"/>
      <c r="BIB89" s="1055"/>
      <c r="BIC89" s="1055"/>
      <c r="BID89" s="1055"/>
      <c r="BIE89" s="1055"/>
      <c r="BIF89" s="1055"/>
      <c r="BIG89" s="1055"/>
      <c r="BIH89" s="1055"/>
      <c r="BII89" s="1055"/>
      <c r="BIJ89" s="1055"/>
      <c r="BIK89" s="1055"/>
      <c r="BIL89" s="1055"/>
      <c r="BIM89" s="1055"/>
      <c r="BIN89" s="1055"/>
      <c r="BIO89" s="1055"/>
      <c r="BIP89" s="1055"/>
      <c r="BIQ89" s="1055"/>
      <c r="BIR89" s="1055"/>
      <c r="BIS89" s="1055"/>
      <c r="BIT89" s="1055"/>
      <c r="BIU89" s="1055"/>
      <c r="BIV89" s="1055"/>
      <c r="BIW89" s="1055"/>
      <c r="BIX89" s="1055"/>
      <c r="BIY89" s="1055"/>
      <c r="BIZ89" s="1055"/>
      <c r="BJA89" s="1055"/>
      <c r="BJB89" s="1055"/>
      <c r="BJC89" s="1055"/>
      <c r="BJD89" s="1055"/>
      <c r="BJE89" s="1055"/>
      <c r="BJF89" s="1055"/>
      <c r="BJG89" s="1055"/>
      <c r="BJH89" s="1055"/>
      <c r="BJI89" s="1055"/>
      <c r="BJJ89" s="1055"/>
      <c r="BJK89" s="1055"/>
      <c r="BJL89" s="1055"/>
      <c r="BJM89" s="1055"/>
      <c r="BJN89" s="1055"/>
      <c r="BJO89" s="1055"/>
      <c r="BJP89" s="1055"/>
      <c r="BJQ89" s="1055"/>
      <c r="BJR89" s="1055"/>
      <c r="BJS89" s="1055"/>
      <c r="BJT89" s="1055"/>
      <c r="BJU89" s="1055"/>
      <c r="BJV89" s="1055"/>
      <c r="BJW89" s="1055"/>
      <c r="BJX89" s="1055"/>
      <c r="BJY89" s="1055"/>
      <c r="BJZ89" s="1055"/>
      <c r="BKA89" s="1055"/>
      <c r="BKB89" s="1055"/>
      <c r="BKC89" s="1055"/>
      <c r="BKD89" s="1055"/>
      <c r="BKE89" s="1055"/>
      <c r="BKF89" s="1055"/>
      <c r="BKG89" s="1055"/>
      <c r="BKH89" s="1055"/>
      <c r="BKI89" s="1055"/>
      <c r="BKJ89" s="1055"/>
      <c r="BKK89" s="1055"/>
      <c r="BKL89" s="1055"/>
      <c r="BKM89" s="1055"/>
      <c r="BKN89" s="1055"/>
      <c r="BKO89" s="1055"/>
      <c r="BKP89" s="1055"/>
      <c r="BKQ89" s="1055"/>
      <c r="BKR89" s="1055"/>
      <c r="BKS89" s="1055"/>
      <c r="BKT89" s="1055"/>
      <c r="BKU89" s="1055"/>
      <c r="BKV89" s="1055"/>
      <c r="BKW89" s="1055"/>
      <c r="BKX89" s="1055"/>
      <c r="BKY89" s="1055"/>
      <c r="BKZ89" s="1055"/>
      <c r="BLA89" s="1055"/>
      <c r="BLB89" s="1055"/>
      <c r="BLC89" s="1055"/>
      <c r="BLD89" s="1055"/>
      <c r="BLE89" s="1055"/>
      <c r="BLF89" s="1055"/>
      <c r="BLG89" s="1055"/>
      <c r="BLH89" s="1055"/>
      <c r="BLI89" s="1055"/>
      <c r="BLJ89" s="1055"/>
      <c r="BLK89" s="1055"/>
      <c r="BLL89" s="1055"/>
      <c r="BLM89" s="1055"/>
      <c r="BLN89" s="1055"/>
      <c r="BLO89" s="1055"/>
      <c r="BLP89" s="1055"/>
      <c r="BLQ89" s="1055"/>
      <c r="BLR89" s="1055"/>
      <c r="BLS89" s="1055"/>
      <c r="BLT89" s="1055"/>
      <c r="BLU89" s="1055"/>
      <c r="BLV89" s="1055"/>
      <c r="BLW89" s="1055"/>
      <c r="BLX89" s="1055"/>
      <c r="BLY89" s="1055"/>
      <c r="BLZ89" s="1055"/>
      <c r="BMA89" s="1055"/>
      <c r="BMB89" s="1055"/>
      <c r="BMC89" s="1055"/>
      <c r="BMD89" s="1055"/>
      <c r="BME89" s="1055"/>
      <c r="BMF89" s="1055"/>
      <c r="BMG89" s="1055"/>
      <c r="BMH89" s="1055"/>
      <c r="BMI89" s="1055"/>
      <c r="BMJ89" s="1055"/>
      <c r="BMK89" s="1055"/>
      <c r="BML89" s="1055"/>
      <c r="BMM89" s="1055"/>
      <c r="BMN89" s="1055"/>
      <c r="BMO89" s="1055"/>
      <c r="BMP89" s="1055"/>
      <c r="BMQ89" s="1055"/>
      <c r="BMR89" s="1055"/>
      <c r="BMS89" s="1055"/>
      <c r="BMT89" s="1055"/>
      <c r="BMU89" s="1055"/>
      <c r="BMV89" s="1055"/>
      <c r="BMW89" s="1055"/>
      <c r="BMX89" s="1055"/>
      <c r="BMY89" s="1055"/>
      <c r="BMZ89" s="1055"/>
      <c r="BNA89" s="1055"/>
      <c r="BNB89" s="1055"/>
      <c r="BNC89" s="1055"/>
      <c r="BND89" s="1055"/>
      <c r="BNE89" s="1055"/>
      <c r="BNF89" s="1055"/>
      <c r="BNG89" s="1055"/>
      <c r="BNH89" s="1055"/>
      <c r="BNI89" s="1055"/>
      <c r="BNJ89" s="1055"/>
      <c r="BNK89" s="1055"/>
      <c r="BNL89" s="1055"/>
      <c r="BNM89" s="1055"/>
      <c r="BNN89" s="1055"/>
      <c r="BNO89" s="1055"/>
      <c r="BNP89" s="1055"/>
      <c r="BNQ89" s="1055"/>
      <c r="BNR89" s="1055"/>
      <c r="BNS89" s="1055"/>
      <c r="BNT89" s="1055"/>
      <c r="BNU89" s="1055"/>
      <c r="BNV89" s="1055"/>
      <c r="BNW89" s="1055"/>
      <c r="BNX89" s="1055"/>
      <c r="BNY89" s="1055"/>
      <c r="BNZ89" s="1055"/>
      <c r="BOA89" s="1055"/>
      <c r="BOB89" s="1055"/>
      <c r="BOC89" s="1055"/>
      <c r="BOD89" s="1055"/>
      <c r="BOE89" s="1055"/>
      <c r="BOF89" s="1055"/>
      <c r="BOG89" s="1055"/>
      <c r="BOH89" s="1055"/>
      <c r="BOI89" s="1055"/>
      <c r="BOJ89" s="1055"/>
      <c r="BOK89" s="1055"/>
      <c r="BOL89" s="1055"/>
      <c r="BOM89" s="1055"/>
      <c r="BON89" s="1055"/>
      <c r="BOO89" s="1055"/>
      <c r="BOP89" s="1055"/>
      <c r="BOQ89" s="1055"/>
      <c r="BOR89" s="1055"/>
      <c r="BOS89" s="1055"/>
      <c r="BOT89" s="1055"/>
      <c r="BOU89" s="1055"/>
      <c r="BOV89" s="1055"/>
      <c r="BOW89" s="1055"/>
      <c r="BOX89" s="1055"/>
      <c r="BOY89" s="1055"/>
      <c r="BOZ89" s="1055"/>
      <c r="BPA89" s="1055"/>
      <c r="BPB89" s="1055"/>
      <c r="BPC89" s="1055"/>
      <c r="BPD89" s="1055"/>
      <c r="BPE89" s="1055"/>
      <c r="BPF89" s="1055"/>
      <c r="BPG89" s="1055"/>
      <c r="BPH89" s="1055"/>
      <c r="BPI89" s="1055"/>
      <c r="BPJ89" s="1055"/>
      <c r="BPK89" s="1055"/>
      <c r="BPL89" s="1055"/>
      <c r="BPM89" s="1055"/>
      <c r="BPN89" s="1055"/>
      <c r="BPO89" s="1055"/>
      <c r="BPP89" s="1055"/>
      <c r="BPQ89" s="1055"/>
      <c r="BPR89" s="1055"/>
      <c r="BPS89" s="1055"/>
      <c r="BPT89" s="1055"/>
      <c r="BPU89" s="1055"/>
      <c r="BPV89" s="1055"/>
      <c r="BPW89" s="1055"/>
      <c r="BPX89" s="1055"/>
      <c r="BPY89" s="1055"/>
      <c r="BPZ89" s="1055"/>
      <c r="BQA89" s="1055"/>
      <c r="BQB89" s="1055"/>
      <c r="BQC89" s="1055"/>
      <c r="BQD89" s="1055"/>
      <c r="BQE89" s="1055"/>
      <c r="BQF89" s="1055"/>
      <c r="BQG89" s="1055"/>
      <c r="BQH89" s="1055"/>
      <c r="BQI89" s="1055"/>
      <c r="BQJ89" s="1055"/>
      <c r="BQK89" s="1055"/>
      <c r="BQL89" s="1055"/>
      <c r="BQM89" s="1055"/>
      <c r="BQN89" s="1055"/>
      <c r="BQO89" s="1055"/>
      <c r="BQP89" s="1055"/>
      <c r="BQQ89" s="1055"/>
      <c r="BQR89" s="1055"/>
      <c r="BQS89" s="1055"/>
      <c r="BQT89" s="1055"/>
      <c r="BQU89" s="1055"/>
      <c r="BQV89" s="1055"/>
      <c r="BQW89" s="1055"/>
      <c r="BQX89" s="1055"/>
      <c r="BQY89" s="1055"/>
      <c r="BQZ89" s="1055"/>
      <c r="BRA89" s="1055"/>
      <c r="BRB89" s="1055"/>
      <c r="BRC89" s="1055"/>
      <c r="BRD89" s="1055"/>
      <c r="BRE89" s="1055"/>
      <c r="BRF89" s="1055"/>
      <c r="BRG89" s="1055"/>
      <c r="BRH89" s="1055"/>
      <c r="BRI89" s="1055"/>
      <c r="BRJ89" s="1055"/>
      <c r="BRK89" s="1055"/>
      <c r="BRL89" s="1055"/>
      <c r="BRM89" s="1055"/>
      <c r="BRN89" s="1055"/>
      <c r="BRO89" s="1055"/>
      <c r="BRP89" s="1055"/>
      <c r="BRQ89" s="1055"/>
      <c r="BRR89" s="1055"/>
      <c r="BRS89" s="1055"/>
      <c r="BRT89" s="1055"/>
      <c r="BRU89" s="1055"/>
      <c r="BRV89" s="1055"/>
      <c r="BRW89" s="1055"/>
      <c r="BRX89" s="1055"/>
      <c r="BRY89" s="1055"/>
      <c r="BRZ89" s="1055"/>
      <c r="BSA89" s="1055"/>
      <c r="BSB89" s="1055"/>
      <c r="BSC89" s="1055"/>
      <c r="BSD89" s="1055"/>
      <c r="BSE89" s="1055"/>
      <c r="BSF89" s="1055"/>
      <c r="BSG89" s="1055"/>
      <c r="BSH89" s="1055"/>
      <c r="BSI89" s="1055"/>
      <c r="BSJ89" s="1055"/>
      <c r="BSK89" s="1055"/>
      <c r="BSL89" s="1055"/>
      <c r="BSM89" s="1055"/>
      <c r="BSN89" s="1055"/>
      <c r="BSO89" s="1055"/>
      <c r="BSP89" s="1055"/>
      <c r="BSQ89" s="1055"/>
      <c r="BSR89" s="1055"/>
      <c r="BSS89" s="1055"/>
      <c r="BST89" s="1055"/>
      <c r="BSU89" s="1055"/>
      <c r="BSV89" s="1055"/>
      <c r="BSW89" s="1055"/>
      <c r="BSX89" s="1055"/>
      <c r="BSY89" s="1055"/>
      <c r="BSZ89" s="1055"/>
      <c r="BTA89" s="1055"/>
      <c r="BTB89" s="1055"/>
      <c r="BTC89" s="1055"/>
      <c r="BTD89" s="1055"/>
      <c r="BTE89" s="1055"/>
      <c r="BTF89" s="1055"/>
      <c r="BTG89" s="1055"/>
      <c r="BTH89" s="1055"/>
      <c r="BTI89" s="1055"/>
      <c r="BTJ89" s="1055"/>
      <c r="BTK89" s="1055"/>
      <c r="BTL89" s="1055"/>
      <c r="BTM89" s="1055"/>
      <c r="BTN89" s="1055"/>
      <c r="BTO89" s="1055"/>
      <c r="BTP89" s="1055"/>
      <c r="BTQ89" s="1055"/>
      <c r="BTR89" s="1055"/>
      <c r="BTS89" s="1055"/>
      <c r="BTT89" s="1055"/>
      <c r="BTU89" s="1055"/>
      <c r="BTV89" s="1055"/>
      <c r="BTW89" s="1055"/>
      <c r="BTX89" s="1055"/>
      <c r="BTY89" s="1055"/>
      <c r="BTZ89" s="1055"/>
      <c r="BUA89" s="1055"/>
      <c r="BUB89" s="1055"/>
      <c r="BUC89" s="1055"/>
      <c r="BUD89" s="1055"/>
      <c r="BUE89" s="1055"/>
      <c r="BUF89" s="1055"/>
      <c r="BUG89" s="1055"/>
      <c r="BUH89" s="1055"/>
      <c r="BUI89" s="1055"/>
      <c r="BUJ89" s="1055"/>
      <c r="BUK89" s="1055"/>
      <c r="BUL89" s="1055"/>
      <c r="BUM89" s="1055"/>
      <c r="BUN89" s="1055"/>
      <c r="BUO89" s="1055"/>
      <c r="BUP89" s="1055"/>
      <c r="BUQ89" s="1055"/>
      <c r="BUR89" s="1055"/>
      <c r="BUS89" s="1055"/>
      <c r="BUT89" s="1055"/>
      <c r="BUU89" s="1055"/>
      <c r="BUV89" s="1055"/>
      <c r="BUW89" s="1055"/>
      <c r="BUX89" s="1055"/>
      <c r="BUY89" s="1055"/>
      <c r="BUZ89" s="1055"/>
      <c r="BVA89" s="1055"/>
      <c r="BVB89" s="1055"/>
      <c r="BVC89" s="1055"/>
      <c r="BVD89" s="1055"/>
      <c r="BVE89" s="1055"/>
      <c r="BVF89" s="1055"/>
      <c r="BVG89" s="1055"/>
      <c r="BVH89" s="1055"/>
      <c r="BVI89" s="1055"/>
      <c r="BVJ89" s="1055"/>
      <c r="BVK89" s="1055"/>
      <c r="BVL89" s="1055"/>
      <c r="BVM89" s="1055"/>
      <c r="BVN89" s="1055"/>
      <c r="BVO89" s="1055"/>
      <c r="BVP89" s="1055"/>
      <c r="BVQ89" s="1055"/>
      <c r="BVR89" s="1055"/>
      <c r="BVS89" s="1055"/>
      <c r="BVT89" s="1055"/>
      <c r="BVU89" s="1055"/>
      <c r="BVV89" s="1055"/>
      <c r="BVW89" s="1055"/>
      <c r="BVX89" s="1055"/>
      <c r="BVY89" s="1055"/>
      <c r="BVZ89" s="1055"/>
      <c r="BWA89" s="1055"/>
      <c r="BWB89" s="1055"/>
      <c r="BWC89" s="1055"/>
      <c r="BWD89" s="1055"/>
      <c r="BWE89" s="1055"/>
      <c r="BWF89" s="1055"/>
      <c r="BWG89" s="1055"/>
      <c r="BWH89" s="1055"/>
      <c r="BWI89" s="1055"/>
      <c r="BWJ89" s="1055"/>
      <c r="BWK89" s="1055"/>
      <c r="BWL89" s="1055"/>
      <c r="BWM89" s="1055"/>
      <c r="BWN89" s="1055"/>
      <c r="BWO89" s="1055"/>
      <c r="BWP89" s="1055"/>
      <c r="BWQ89" s="1055"/>
      <c r="BWR89" s="1055"/>
      <c r="BWS89" s="1055"/>
      <c r="BWT89" s="1055"/>
      <c r="BWU89" s="1055"/>
      <c r="BWV89" s="1055"/>
      <c r="BWW89" s="1055"/>
      <c r="BWX89" s="1055"/>
      <c r="BWY89" s="1055"/>
      <c r="BWZ89" s="1055"/>
      <c r="BXA89" s="1055"/>
      <c r="BXB89" s="1055"/>
      <c r="BXC89" s="1055"/>
      <c r="BXD89" s="1055"/>
      <c r="BXE89" s="1055"/>
      <c r="BXF89" s="1055"/>
      <c r="BXG89" s="1055"/>
      <c r="BXH89" s="1055"/>
      <c r="BXI89" s="1055"/>
      <c r="BXJ89" s="1055"/>
      <c r="BXK89" s="1055"/>
      <c r="BXL89" s="1055"/>
      <c r="BXM89" s="1055"/>
      <c r="BXN89" s="1055"/>
      <c r="BXO89" s="1055"/>
      <c r="BXP89" s="1055"/>
      <c r="BXQ89" s="1055"/>
      <c r="BXR89" s="1055"/>
      <c r="BXS89" s="1055"/>
      <c r="BXT89" s="1055"/>
      <c r="BXU89" s="1055"/>
      <c r="BXV89" s="1055"/>
      <c r="BXW89" s="1055"/>
      <c r="BXX89" s="1055"/>
      <c r="BXY89" s="1055"/>
      <c r="BXZ89" s="1055"/>
      <c r="BYA89" s="1055"/>
      <c r="BYB89" s="1055"/>
      <c r="BYC89" s="1055"/>
      <c r="BYD89" s="1055"/>
      <c r="BYE89" s="1055"/>
      <c r="BYF89" s="1055"/>
      <c r="BYG89" s="1055"/>
      <c r="BYH89" s="1055"/>
      <c r="BYI89" s="1055"/>
      <c r="BYJ89" s="1055"/>
      <c r="BYK89" s="1055"/>
      <c r="BYL89" s="1055"/>
      <c r="BYM89" s="1055"/>
      <c r="BYN89" s="1055"/>
      <c r="BYO89" s="1055"/>
      <c r="BYP89" s="1055"/>
      <c r="BYQ89" s="1055"/>
      <c r="BYR89" s="1055"/>
      <c r="BYS89" s="1055"/>
      <c r="BYT89" s="1055"/>
      <c r="BYU89" s="1055"/>
      <c r="BYV89" s="1055"/>
      <c r="BYW89" s="1055"/>
      <c r="BYX89" s="1055"/>
      <c r="BYY89" s="1055"/>
      <c r="BYZ89" s="1055"/>
      <c r="BZA89" s="1055"/>
      <c r="BZB89" s="1055"/>
      <c r="BZC89" s="1055"/>
      <c r="BZD89" s="1055"/>
      <c r="BZE89" s="1055"/>
      <c r="BZF89" s="1055"/>
      <c r="BZG89" s="1055"/>
      <c r="BZH89" s="1055"/>
      <c r="BZI89" s="1055"/>
      <c r="BZJ89" s="1055"/>
      <c r="BZK89" s="1055"/>
      <c r="BZL89" s="1055"/>
      <c r="BZM89" s="1055"/>
      <c r="BZN89" s="1055"/>
      <c r="BZO89" s="1055"/>
      <c r="BZP89" s="1055"/>
      <c r="BZQ89" s="1055"/>
      <c r="BZR89" s="1055"/>
      <c r="BZS89" s="1055"/>
      <c r="BZT89" s="1055"/>
      <c r="BZU89" s="1055"/>
      <c r="BZV89" s="1055"/>
      <c r="BZW89" s="1055"/>
      <c r="BZX89" s="1055"/>
      <c r="BZY89" s="1055"/>
      <c r="BZZ89" s="1055"/>
      <c r="CAA89" s="1055"/>
      <c r="CAB89" s="1055"/>
      <c r="CAC89" s="1055"/>
      <c r="CAD89" s="1055"/>
      <c r="CAE89" s="1055"/>
      <c r="CAF89" s="1055"/>
      <c r="CAG89" s="1055"/>
      <c r="CAH89" s="1055"/>
      <c r="CAI89" s="1055"/>
      <c r="CAJ89" s="1055"/>
      <c r="CAK89" s="1055"/>
      <c r="CAL89" s="1055"/>
      <c r="CAM89" s="1055"/>
      <c r="CAN89" s="1055"/>
      <c r="CAO89" s="1055"/>
      <c r="CAP89" s="1055"/>
      <c r="CAQ89" s="1055"/>
      <c r="CAR89" s="1055"/>
      <c r="CAS89" s="1055"/>
      <c r="CAT89" s="1055"/>
      <c r="CAU89" s="1055"/>
      <c r="CAV89" s="1055"/>
      <c r="CAW89" s="1055"/>
      <c r="CAX89" s="1055"/>
      <c r="CAY89" s="1055"/>
      <c r="CAZ89" s="1055"/>
      <c r="CBA89" s="1055"/>
      <c r="CBB89" s="1055"/>
      <c r="CBC89" s="1055"/>
      <c r="CBD89" s="1055"/>
      <c r="CBE89" s="1055"/>
      <c r="CBF89" s="1055"/>
      <c r="CBG89" s="1055"/>
      <c r="CBH89" s="1055"/>
      <c r="CBI89" s="1055"/>
      <c r="CBJ89" s="1055"/>
      <c r="CBK89" s="1055"/>
      <c r="CBL89" s="1055"/>
      <c r="CBM89" s="1055"/>
      <c r="CBN89" s="1055"/>
      <c r="CBO89" s="1055"/>
      <c r="CBP89" s="1055"/>
      <c r="CBQ89" s="1055"/>
      <c r="CBR89" s="1055"/>
      <c r="CBS89" s="1055"/>
      <c r="CBT89" s="1055"/>
      <c r="CBU89" s="1055"/>
      <c r="CBV89" s="1055"/>
      <c r="CBW89" s="1055"/>
      <c r="CBX89" s="1055"/>
      <c r="CBY89" s="1055"/>
      <c r="CBZ89" s="1055"/>
      <c r="CCA89" s="1055"/>
      <c r="CCB89" s="1055"/>
      <c r="CCC89" s="1055"/>
      <c r="CCD89" s="1055"/>
      <c r="CCE89" s="1055"/>
      <c r="CCF89" s="1055"/>
      <c r="CCG89" s="1055"/>
      <c r="CCH89" s="1055"/>
      <c r="CCI89" s="1055"/>
      <c r="CCJ89" s="1055"/>
      <c r="CCK89" s="1055"/>
      <c r="CCL89" s="1055"/>
      <c r="CCM89" s="1055"/>
      <c r="CCN89" s="1055"/>
      <c r="CCO89" s="1055"/>
      <c r="CCP89" s="1055"/>
      <c r="CCQ89" s="1055"/>
      <c r="CCR89" s="1055"/>
      <c r="CCS89" s="1055"/>
      <c r="CCT89" s="1055"/>
      <c r="CCU89" s="1055"/>
      <c r="CCV89" s="1055"/>
      <c r="CCW89" s="1055"/>
      <c r="CCX89" s="1055"/>
      <c r="CCY89" s="1055"/>
      <c r="CCZ89" s="1055"/>
      <c r="CDA89" s="1055"/>
      <c r="CDB89" s="1055"/>
      <c r="CDC89" s="1055"/>
      <c r="CDD89" s="1055"/>
      <c r="CDE89" s="1055"/>
      <c r="CDF89" s="1055"/>
      <c r="CDG89" s="1055"/>
      <c r="CDH89" s="1055"/>
      <c r="CDI89" s="1055"/>
      <c r="CDJ89" s="1055"/>
      <c r="CDK89" s="1055"/>
      <c r="CDL89" s="1055"/>
      <c r="CDM89" s="1055"/>
      <c r="CDN89" s="1055"/>
      <c r="CDO89" s="1055"/>
      <c r="CDP89" s="1055"/>
      <c r="CDQ89" s="1055"/>
      <c r="CDR89" s="1055"/>
      <c r="CDS89" s="1055"/>
      <c r="CDT89" s="1055"/>
      <c r="CDU89" s="1055"/>
      <c r="CDV89" s="1055"/>
      <c r="CDW89" s="1055"/>
      <c r="CDX89" s="1055"/>
      <c r="CDY89" s="1055"/>
      <c r="CDZ89" s="1055"/>
      <c r="CEA89" s="1055"/>
      <c r="CEB89" s="1055"/>
      <c r="CEC89" s="1055"/>
      <c r="CED89" s="1055"/>
      <c r="CEE89" s="1055"/>
      <c r="CEF89" s="1055"/>
      <c r="CEG89" s="1055"/>
      <c r="CEH89" s="1055"/>
      <c r="CEI89" s="1055"/>
      <c r="CEJ89" s="1055"/>
      <c r="CEK89" s="1055"/>
      <c r="CEL89" s="1055"/>
      <c r="CEM89" s="1055"/>
      <c r="CEN89" s="1055"/>
      <c r="CEO89" s="1055"/>
      <c r="CEP89" s="1055"/>
      <c r="CEQ89" s="1055"/>
      <c r="CER89" s="1055"/>
      <c r="CES89" s="1055"/>
      <c r="CET89" s="1055"/>
      <c r="CEU89" s="1055"/>
      <c r="CEV89" s="1055"/>
      <c r="CEW89" s="1055"/>
      <c r="CEX89" s="1055"/>
      <c r="CEY89" s="1055"/>
      <c r="CEZ89" s="1055"/>
      <c r="CFA89" s="1055"/>
      <c r="CFB89" s="1055"/>
      <c r="CFC89" s="1055"/>
      <c r="CFD89" s="1055"/>
      <c r="CFE89" s="1055"/>
      <c r="CFF89" s="1055"/>
      <c r="CFG89" s="1055"/>
      <c r="CFH89" s="1055"/>
      <c r="CFI89" s="1055"/>
      <c r="CFJ89" s="1055"/>
      <c r="CFK89" s="1055"/>
      <c r="CFL89" s="1055"/>
      <c r="CFM89" s="1055"/>
      <c r="CFN89" s="1055"/>
      <c r="CFO89" s="1055"/>
      <c r="CFP89" s="1055"/>
      <c r="CFQ89" s="1055"/>
      <c r="CFR89" s="1055"/>
      <c r="CFS89" s="1055"/>
      <c r="CFT89" s="1055"/>
      <c r="CFU89" s="1055"/>
      <c r="CFV89" s="1055"/>
      <c r="CFW89" s="1055"/>
      <c r="CFX89" s="1055"/>
      <c r="CFY89" s="1055"/>
      <c r="CFZ89" s="1055"/>
      <c r="CGA89" s="1055"/>
      <c r="CGB89" s="1055"/>
      <c r="CGC89" s="1055"/>
      <c r="CGD89" s="1055"/>
      <c r="CGE89" s="1055"/>
      <c r="CGF89" s="1055"/>
      <c r="CGG89" s="1055"/>
      <c r="CGH89" s="1055"/>
      <c r="CGI89" s="1055"/>
      <c r="CGJ89" s="1055"/>
      <c r="CGK89" s="1055"/>
      <c r="CGL89" s="1055"/>
      <c r="CGM89" s="1055"/>
      <c r="CGN89" s="1055"/>
      <c r="CGO89" s="1055"/>
      <c r="CGP89" s="1055"/>
      <c r="CGQ89" s="1055"/>
      <c r="CGR89" s="1055"/>
      <c r="CGS89" s="1055"/>
      <c r="CGT89" s="1055"/>
      <c r="CGU89" s="1055"/>
      <c r="CGV89" s="1055"/>
      <c r="CGW89" s="1055"/>
      <c r="CGX89" s="1055"/>
      <c r="CGY89" s="1055"/>
      <c r="CGZ89" s="1055"/>
      <c r="CHA89" s="1055"/>
      <c r="CHB89" s="1055"/>
      <c r="CHC89" s="1055"/>
      <c r="CHD89" s="1055"/>
      <c r="CHE89" s="1055"/>
      <c r="CHF89" s="1055"/>
      <c r="CHG89" s="1055"/>
      <c r="CHH89" s="1055"/>
      <c r="CHI89" s="1055"/>
      <c r="CHJ89" s="1055"/>
      <c r="CHK89" s="1055"/>
      <c r="CHL89" s="1055"/>
      <c r="CHM89" s="1055"/>
      <c r="CHN89" s="1055"/>
      <c r="CHO89" s="1055"/>
      <c r="CHP89" s="1055"/>
      <c r="CHQ89" s="1055"/>
      <c r="CHR89" s="1055"/>
      <c r="CHS89" s="1055"/>
      <c r="CHT89" s="1055"/>
      <c r="CHU89" s="1055"/>
      <c r="CHV89" s="1055"/>
      <c r="CHW89" s="1055"/>
      <c r="CHX89" s="1055"/>
      <c r="CHY89" s="1055"/>
      <c r="CHZ89" s="1055"/>
      <c r="CIA89" s="1055"/>
      <c r="CIB89" s="1055"/>
      <c r="CIC89" s="1055"/>
      <c r="CID89" s="1055"/>
      <c r="CIE89" s="1055"/>
      <c r="CIF89" s="1055"/>
      <c r="CIG89" s="1055"/>
      <c r="CIH89" s="1055"/>
      <c r="CII89" s="1055"/>
      <c r="CIJ89" s="1055"/>
      <c r="CIK89" s="1055"/>
      <c r="CIL89" s="1055"/>
      <c r="CIM89" s="1055"/>
      <c r="CIN89" s="1055"/>
      <c r="CIO89" s="1055"/>
      <c r="CIP89" s="1055"/>
      <c r="CIQ89" s="1055"/>
      <c r="CIR89" s="1055"/>
      <c r="CIS89" s="1055"/>
      <c r="CIT89" s="1055"/>
      <c r="CIU89" s="1055"/>
      <c r="CIV89" s="1055"/>
      <c r="CIW89" s="1055"/>
      <c r="CIX89" s="1055"/>
      <c r="CIY89" s="1055"/>
      <c r="CIZ89" s="1055"/>
      <c r="CJA89" s="1055"/>
      <c r="CJB89" s="1055"/>
      <c r="CJC89" s="1055"/>
      <c r="CJD89" s="1055"/>
      <c r="CJE89" s="1055"/>
      <c r="CJF89" s="1055"/>
      <c r="CJG89" s="1055"/>
      <c r="CJH89" s="1055"/>
      <c r="CJI89" s="1055"/>
      <c r="CJJ89" s="1055"/>
      <c r="CJK89" s="1055"/>
      <c r="CJL89" s="1055"/>
      <c r="CJM89" s="1055"/>
      <c r="CJN89" s="1055"/>
      <c r="CJO89" s="1055"/>
      <c r="CJP89" s="1055"/>
      <c r="CJQ89" s="1055"/>
      <c r="CJR89" s="1055"/>
      <c r="CJS89" s="1055"/>
      <c r="CJT89" s="1055"/>
      <c r="CJU89" s="1055"/>
      <c r="CJV89" s="1055"/>
      <c r="CJW89" s="1055"/>
      <c r="CJX89" s="1055"/>
      <c r="CJY89" s="1055"/>
      <c r="CJZ89" s="1055"/>
      <c r="CKA89" s="1055"/>
      <c r="CKB89" s="1055"/>
      <c r="CKC89" s="1055"/>
      <c r="CKD89" s="1055"/>
      <c r="CKE89" s="1055"/>
      <c r="CKF89" s="1055"/>
      <c r="CKG89" s="1055"/>
      <c r="CKH89" s="1055"/>
      <c r="CKI89" s="1055"/>
      <c r="CKJ89" s="1055"/>
      <c r="CKK89" s="1055"/>
      <c r="CKL89" s="1055"/>
      <c r="CKM89" s="1055"/>
      <c r="CKN89" s="1055"/>
      <c r="CKO89" s="1055"/>
      <c r="CKP89" s="1055"/>
      <c r="CKQ89" s="1055"/>
      <c r="CKR89" s="1055"/>
      <c r="CKS89" s="1055"/>
      <c r="CKT89" s="1055"/>
      <c r="CKU89" s="1055"/>
      <c r="CKV89" s="1055"/>
      <c r="CKW89" s="1055"/>
      <c r="CKX89" s="1055"/>
      <c r="CKY89" s="1055"/>
      <c r="CKZ89" s="1055"/>
      <c r="CLA89" s="1055"/>
      <c r="CLB89" s="1055"/>
      <c r="CLC89" s="1055"/>
      <c r="CLD89" s="1055"/>
      <c r="CLE89" s="1055"/>
      <c r="CLF89" s="1055"/>
      <c r="CLG89" s="1055"/>
      <c r="CLH89" s="1055"/>
      <c r="CLI89" s="1055"/>
      <c r="CLJ89" s="1055"/>
      <c r="CLK89" s="1055"/>
      <c r="CLL89" s="1055"/>
      <c r="CLM89" s="1055"/>
      <c r="CLN89" s="1055"/>
      <c r="CLO89" s="1055"/>
      <c r="CLP89" s="1055"/>
      <c r="CLQ89" s="1055"/>
      <c r="CLR89" s="1055"/>
      <c r="CLS89" s="1055"/>
      <c r="CLT89" s="1055"/>
      <c r="CLU89" s="1055"/>
      <c r="CLV89" s="1055"/>
      <c r="CLW89" s="1055"/>
      <c r="CLX89" s="1055"/>
      <c r="CLY89" s="1055"/>
      <c r="CLZ89" s="1055"/>
      <c r="CMA89" s="1055"/>
      <c r="CMB89" s="1055"/>
      <c r="CMC89" s="1055"/>
      <c r="CMD89" s="1055"/>
      <c r="CME89" s="1055"/>
      <c r="CMF89" s="1055"/>
      <c r="CMG89" s="1055"/>
      <c r="CMH89" s="1055"/>
      <c r="CMI89" s="1055"/>
      <c r="CMJ89" s="1055"/>
      <c r="CMK89" s="1055"/>
      <c r="CML89" s="1055"/>
      <c r="CMM89" s="1055"/>
      <c r="CMN89" s="1055"/>
      <c r="CMO89" s="1055"/>
      <c r="CMP89" s="1055"/>
      <c r="CMQ89" s="1055"/>
      <c r="CMR89" s="1055"/>
      <c r="CMS89" s="1055"/>
      <c r="CMT89" s="1055"/>
      <c r="CMU89" s="1055"/>
      <c r="CMV89" s="1055"/>
      <c r="CMW89" s="1055"/>
      <c r="CMX89" s="1055"/>
      <c r="CMY89" s="1055"/>
      <c r="CMZ89" s="1055"/>
      <c r="CNA89" s="1055"/>
      <c r="CNB89" s="1055"/>
      <c r="CNC89" s="1055"/>
      <c r="CND89" s="1055"/>
      <c r="CNE89" s="1055"/>
      <c r="CNF89" s="1055"/>
      <c r="CNG89" s="1055"/>
      <c r="CNH89" s="1055"/>
      <c r="CNI89" s="1055"/>
      <c r="CNJ89" s="1055"/>
      <c r="CNK89" s="1055"/>
      <c r="CNL89" s="1055"/>
      <c r="CNM89" s="1055"/>
      <c r="CNN89" s="1055"/>
      <c r="CNO89" s="1055"/>
      <c r="CNP89" s="1055"/>
      <c r="CNQ89" s="1055"/>
      <c r="CNR89" s="1055"/>
      <c r="CNS89" s="1055"/>
      <c r="CNT89" s="1055"/>
      <c r="CNU89" s="1055"/>
      <c r="CNV89" s="1055"/>
      <c r="CNW89" s="1055"/>
      <c r="CNX89" s="1055"/>
      <c r="CNY89" s="1055"/>
      <c r="CNZ89" s="1055"/>
      <c r="COA89" s="1055"/>
      <c r="COB89" s="1055"/>
      <c r="COC89" s="1055"/>
      <c r="COD89" s="1055"/>
      <c r="COE89" s="1055"/>
      <c r="COF89" s="1055"/>
      <c r="COG89" s="1055"/>
      <c r="COH89" s="1055"/>
      <c r="COI89" s="1055"/>
      <c r="COJ89" s="1055"/>
      <c r="COK89" s="1055"/>
      <c r="COL89" s="1055"/>
      <c r="COM89" s="1055"/>
      <c r="CON89" s="1055"/>
      <c r="COO89" s="1055"/>
      <c r="COP89" s="1055"/>
      <c r="COQ89" s="1055"/>
      <c r="COR89" s="1055"/>
      <c r="COS89" s="1055"/>
      <c r="COT89" s="1055"/>
      <c r="COU89" s="1055"/>
      <c r="COV89" s="1055"/>
      <c r="COW89" s="1055"/>
      <c r="COX89" s="1055"/>
      <c r="COY89" s="1055"/>
      <c r="COZ89" s="1055"/>
      <c r="CPA89" s="1055"/>
      <c r="CPB89" s="1055"/>
      <c r="CPC89" s="1055"/>
      <c r="CPD89" s="1055"/>
      <c r="CPE89" s="1055"/>
      <c r="CPF89" s="1055"/>
      <c r="CPG89" s="1055"/>
      <c r="CPH89" s="1055"/>
      <c r="CPI89" s="1055"/>
      <c r="CPJ89" s="1055"/>
      <c r="CPK89" s="1055"/>
      <c r="CPL89" s="1055"/>
      <c r="CPM89" s="1055"/>
      <c r="CPN89" s="1055"/>
      <c r="CPO89" s="1055"/>
      <c r="CPP89" s="1055"/>
      <c r="CPQ89" s="1055"/>
      <c r="CPR89" s="1055"/>
      <c r="CPS89" s="1055"/>
      <c r="CPT89" s="1055"/>
      <c r="CPU89" s="1055"/>
      <c r="CPV89" s="1055"/>
      <c r="CPW89" s="1055"/>
      <c r="CPX89" s="1055"/>
      <c r="CPY89" s="1055"/>
      <c r="CPZ89" s="1055"/>
      <c r="CQA89" s="1055"/>
      <c r="CQB89" s="1055"/>
      <c r="CQC89" s="1055"/>
      <c r="CQD89" s="1055"/>
      <c r="CQE89" s="1055"/>
      <c r="CQF89" s="1055"/>
      <c r="CQG89" s="1055"/>
      <c r="CQH89" s="1055"/>
      <c r="CQI89" s="1055"/>
      <c r="CQJ89" s="1055"/>
      <c r="CQK89" s="1055"/>
      <c r="CQL89" s="1055"/>
      <c r="CQM89" s="1055"/>
      <c r="CQN89" s="1055"/>
      <c r="CQO89" s="1055"/>
      <c r="CQP89" s="1055"/>
      <c r="CQQ89" s="1055"/>
      <c r="CQR89" s="1055"/>
      <c r="CQS89" s="1055"/>
      <c r="CQT89" s="1055"/>
      <c r="CQU89" s="1055"/>
      <c r="CQV89" s="1055"/>
      <c r="CQW89" s="1055"/>
      <c r="CQX89" s="1055"/>
      <c r="CQY89" s="1055"/>
      <c r="CQZ89" s="1055"/>
      <c r="CRA89" s="1055"/>
      <c r="CRB89" s="1055"/>
      <c r="CRC89" s="1055"/>
      <c r="CRD89" s="1055"/>
      <c r="CRE89" s="1055"/>
      <c r="CRF89" s="1055"/>
      <c r="CRG89" s="1055"/>
      <c r="CRH89" s="1055"/>
      <c r="CRI89" s="1055"/>
      <c r="CRJ89" s="1055"/>
      <c r="CRK89" s="1055"/>
      <c r="CRL89" s="1055"/>
      <c r="CRM89" s="1055"/>
      <c r="CRN89" s="1055"/>
      <c r="CRO89" s="1055"/>
      <c r="CRP89" s="1055"/>
      <c r="CRQ89" s="1055"/>
      <c r="CRR89" s="1055"/>
      <c r="CRS89" s="1055"/>
      <c r="CRT89" s="1055"/>
      <c r="CRU89" s="1055"/>
      <c r="CRV89" s="1055"/>
      <c r="CRW89" s="1055"/>
      <c r="CRX89" s="1055"/>
      <c r="CRY89" s="1055"/>
      <c r="CRZ89" s="1055"/>
      <c r="CSA89" s="1055"/>
      <c r="CSB89" s="1055"/>
      <c r="CSC89" s="1055"/>
      <c r="CSD89" s="1055"/>
      <c r="CSE89" s="1055"/>
      <c r="CSF89" s="1055"/>
      <c r="CSG89" s="1055"/>
      <c r="CSH89" s="1055"/>
      <c r="CSI89" s="1055"/>
      <c r="CSJ89" s="1055"/>
      <c r="CSK89" s="1055"/>
      <c r="CSL89" s="1055"/>
      <c r="CSM89" s="1055"/>
      <c r="CSN89" s="1055"/>
      <c r="CSO89" s="1055"/>
      <c r="CSP89" s="1055"/>
      <c r="CSQ89" s="1055"/>
      <c r="CSR89" s="1055"/>
      <c r="CSS89" s="1055"/>
      <c r="CST89" s="1055"/>
      <c r="CSU89" s="1055"/>
      <c r="CSV89" s="1055"/>
      <c r="CSW89" s="1055"/>
      <c r="CSX89" s="1055"/>
      <c r="CSY89" s="1055"/>
      <c r="CSZ89" s="1055"/>
      <c r="CTA89" s="1055"/>
      <c r="CTB89" s="1055"/>
      <c r="CTC89" s="1055"/>
      <c r="CTD89" s="1055"/>
      <c r="CTE89" s="1055"/>
      <c r="CTF89" s="1055"/>
      <c r="CTG89" s="1055"/>
      <c r="CTH89" s="1055"/>
      <c r="CTI89" s="1055"/>
      <c r="CTJ89" s="1055"/>
      <c r="CTK89" s="1055"/>
      <c r="CTL89" s="1055"/>
      <c r="CTM89" s="1055"/>
      <c r="CTN89" s="1055"/>
      <c r="CTO89" s="1055"/>
      <c r="CTP89" s="1055"/>
      <c r="CTQ89" s="1055"/>
      <c r="CTR89" s="1055"/>
      <c r="CTS89" s="1055"/>
      <c r="CTT89" s="1055"/>
      <c r="CTU89" s="1055"/>
      <c r="CTV89" s="1055"/>
      <c r="CTW89" s="1055"/>
      <c r="CTX89" s="1055"/>
      <c r="CTY89" s="1055"/>
      <c r="CTZ89" s="1055"/>
      <c r="CUA89" s="1055"/>
      <c r="CUB89" s="1055"/>
      <c r="CUC89" s="1055"/>
      <c r="CUD89" s="1055"/>
      <c r="CUE89" s="1055"/>
      <c r="CUF89" s="1055"/>
      <c r="CUG89" s="1055"/>
      <c r="CUH89" s="1055"/>
      <c r="CUI89" s="1055"/>
      <c r="CUJ89" s="1055"/>
      <c r="CUK89" s="1055"/>
      <c r="CUL89" s="1055"/>
      <c r="CUM89" s="1055"/>
      <c r="CUN89" s="1055"/>
      <c r="CUO89" s="1055"/>
      <c r="CUP89" s="1055"/>
      <c r="CUQ89" s="1055"/>
      <c r="CUR89" s="1055"/>
      <c r="CUS89" s="1055"/>
      <c r="CUT89" s="1055"/>
      <c r="CUU89" s="1055"/>
      <c r="CUV89" s="1055"/>
      <c r="CUW89" s="1055"/>
      <c r="CUX89" s="1055"/>
      <c r="CUY89" s="1055"/>
      <c r="CUZ89" s="1055"/>
      <c r="CVA89" s="1055"/>
      <c r="CVB89" s="1055"/>
      <c r="CVC89" s="1055"/>
      <c r="CVD89" s="1055"/>
      <c r="CVE89" s="1055"/>
      <c r="CVF89" s="1055"/>
      <c r="CVG89" s="1055"/>
      <c r="CVH89" s="1055"/>
      <c r="CVI89" s="1055"/>
      <c r="CVJ89" s="1055"/>
      <c r="CVK89" s="1055"/>
      <c r="CVL89" s="1055"/>
      <c r="CVM89" s="1055"/>
      <c r="CVN89" s="1055"/>
      <c r="CVO89" s="1055"/>
      <c r="CVP89" s="1055"/>
      <c r="CVQ89" s="1055"/>
      <c r="CVR89" s="1055"/>
      <c r="CVS89" s="1055"/>
      <c r="CVT89" s="1055"/>
      <c r="CVU89" s="1055"/>
      <c r="CVV89" s="1055"/>
      <c r="CVW89" s="1055"/>
      <c r="CVX89" s="1055"/>
      <c r="CVY89" s="1055"/>
      <c r="CVZ89" s="1055"/>
      <c r="CWA89" s="1055"/>
      <c r="CWB89" s="1055"/>
      <c r="CWC89" s="1055"/>
      <c r="CWD89" s="1055"/>
      <c r="CWE89" s="1055"/>
      <c r="CWF89" s="1055"/>
      <c r="CWG89" s="1055"/>
      <c r="CWH89" s="1055"/>
      <c r="CWI89" s="1055"/>
      <c r="CWJ89" s="1055"/>
      <c r="CWK89" s="1055"/>
      <c r="CWL89" s="1055"/>
      <c r="CWM89" s="1055"/>
      <c r="CWN89" s="1055"/>
      <c r="CWO89" s="1055"/>
      <c r="CWP89" s="1055"/>
      <c r="CWQ89" s="1055"/>
      <c r="CWR89" s="1055"/>
      <c r="CWS89" s="1055"/>
      <c r="CWT89" s="1055"/>
      <c r="CWU89" s="1055"/>
      <c r="CWV89" s="1055"/>
      <c r="CWW89" s="1055"/>
      <c r="CWX89" s="1055"/>
      <c r="CWY89" s="1055"/>
      <c r="CWZ89" s="1055"/>
      <c r="CXA89" s="1055"/>
      <c r="CXB89" s="1055"/>
      <c r="CXC89" s="1055"/>
      <c r="CXD89" s="1055"/>
      <c r="CXE89" s="1055"/>
      <c r="CXF89" s="1055"/>
      <c r="CXG89" s="1055"/>
      <c r="CXH89" s="1055"/>
      <c r="CXI89" s="1055"/>
      <c r="CXJ89" s="1055"/>
      <c r="CXK89" s="1055"/>
      <c r="CXL89" s="1055"/>
      <c r="CXM89" s="1055"/>
      <c r="CXN89" s="1055"/>
      <c r="CXO89" s="1055"/>
      <c r="CXP89" s="1055"/>
      <c r="CXQ89" s="1055"/>
      <c r="CXR89" s="1055"/>
      <c r="CXS89" s="1055"/>
      <c r="CXT89" s="1055"/>
      <c r="CXU89" s="1055"/>
      <c r="CXV89" s="1055"/>
      <c r="CXW89" s="1055"/>
      <c r="CXX89" s="1055"/>
      <c r="CXY89" s="1055"/>
      <c r="CXZ89" s="1055"/>
      <c r="CYA89" s="1055"/>
      <c r="CYB89" s="1055"/>
      <c r="CYC89" s="1055"/>
      <c r="CYD89" s="1055"/>
      <c r="CYE89" s="1055"/>
      <c r="CYF89" s="1055"/>
      <c r="CYG89" s="1055"/>
      <c r="CYH89" s="1055"/>
      <c r="CYI89" s="1055"/>
      <c r="CYJ89" s="1055"/>
      <c r="CYK89" s="1055"/>
      <c r="CYL89" s="1055"/>
      <c r="CYM89" s="1055"/>
      <c r="CYN89" s="1055"/>
      <c r="CYO89" s="1055"/>
      <c r="CYP89" s="1055"/>
      <c r="CYQ89" s="1055"/>
      <c r="CYR89" s="1055"/>
      <c r="CYS89" s="1055"/>
      <c r="CYT89" s="1055"/>
      <c r="CYU89" s="1055"/>
      <c r="CYV89" s="1055"/>
      <c r="CYW89" s="1055"/>
      <c r="CYX89" s="1055"/>
      <c r="CYY89" s="1055"/>
      <c r="CYZ89" s="1055"/>
      <c r="CZA89" s="1055"/>
      <c r="CZB89" s="1055"/>
      <c r="CZC89" s="1055"/>
      <c r="CZD89" s="1055"/>
      <c r="CZE89" s="1055"/>
      <c r="CZF89" s="1055"/>
      <c r="CZG89" s="1055"/>
      <c r="CZH89" s="1055"/>
      <c r="CZI89" s="1055"/>
      <c r="CZJ89" s="1055"/>
      <c r="CZK89" s="1055"/>
      <c r="CZL89" s="1055"/>
      <c r="CZM89" s="1055"/>
      <c r="CZN89" s="1055"/>
      <c r="CZO89" s="1055"/>
      <c r="CZP89" s="1055"/>
      <c r="CZQ89" s="1055"/>
      <c r="CZR89" s="1055"/>
      <c r="CZS89" s="1055"/>
      <c r="CZT89" s="1055"/>
      <c r="CZU89" s="1055"/>
      <c r="CZV89" s="1055"/>
      <c r="CZW89" s="1055"/>
      <c r="CZX89" s="1055"/>
      <c r="CZY89" s="1055"/>
      <c r="CZZ89" s="1055"/>
      <c r="DAA89" s="1055"/>
      <c r="DAB89" s="1055"/>
      <c r="DAC89" s="1055"/>
      <c r="DAD89" s="1055"/>
      <c r="DAE89" s="1055"/>
      <c r="DAF89" s="1055"/>
      <c r="DAG89" s="1055"/>
      <c r="DAH89" s="1055"/>
      <c r="DAI89" s="1055"/>
      <c r="DAJ89" s="1055"/>
      <c r="DAK89" s="1055"/>
      <c r="DAL89" s="1055"/>
      <c r="DAM89" s="1055"/>
      <c r="DAN89" s="1055"/>
      <c r="DAO89" s="1055"/>
      <c r="DAP89" s="1055"/>
      <c r="DAQ89" s="1055"/>
      <c r="DAR89" s="1055"/>
      <c r="DAS89" s="1055"/>
      <c r="DAT89" s="1055"/>
      <c r="DAU89" s="1055"/>
      <c r="DAV89" s="1055"/>
      <c r="DAW89" s="1055"/>
      <c r="DAX89" s="1055"/>
      <c r="DAY89" s="1055"/>
      <c r="DAZ89" s="1055"/>
      <c r="DBA89" s="1055"/>
      <c r="DBB89" s="1055"/>
      <c r="DBC89" s="1055"/>
      <c r="DBD89" s="1055"/>
      <c r="DBE89" s="1055"/>
      <c r="DBF89" s="1055"/>
      <c r="DBG89" s="1055"/>
      <c r="DBH89" s="1055"/>
      <c r="DBI89" s="1055"/>
      <c r="DBJ89" s="1055"/>
      <c r="DBK89" s="1055"/>
      <c r="DBL89" s="1055"/>
      <c r="DBM89" s="1055"/>
      <c r="DBN89" s="1055"/>
      <c r="DBO89" s="1055"/>
      <c r="DBP89" s="1055"/>
      <c r="DBQ89" s="1055"/>
      <c r="DBR89" s="1055"/>
      <c r="DBS89" s="1055"/>
      <c r="DBT89" s="1055"/>
      <c r="DBU89" s="1055"/>
      <c r="DBV89" s="1055"/>
      <c r="DBW89" s="1055"/>
      <c r="DBX89" s="1055"/>
      <c r="DBY89" s="1055"/>
      <c r="DBZ89" s="1055"/>
      <c r="DCA89" s="1055"/>
      <c r="DCB89" s="1055"/>
      <c r="DCC89" s="1055"/>
      <c r="DCD89" s="1055"/>
      <c r="DCE89" s="1055"/>
      <c r="DCF89" s="1055"/>
      <c r="DCG89" s="1055"/>
      <c r="DCH89" s="1055"/>
      <c r="DCI89" s="1055"/>
      <c r="DCJ89" s="1055"/>
      <c r="DCK89" s="1055"/>
      <c r="DCL89" s="1055"/>
      <c r="DCM89" s="1055"/>
      <c r="DCN89" s="1055"/>
      <c r="DCO89" s="1055"/>
      <c r="DCP89" s="1055"/>
      <c r="DCQ89" s="1055"/>
      <c r="DCR89" s="1055"/>
      <c r="DCS89" s="1055"/>
      <c r="DCT89" s="1055"/>
      <c r="DCU89" s="1055"/>
      <c r="DCV89" s="1055"/>
      <c r="DCW89" s="1055"/>
      <c r="DCX89" s="1055"/>
      <c r="DCY89" s="1055"/>
      <c r="DCZ89" s="1055"/>
      <c r="DDA89" s="1055"/>
      <c r="DDB89" s="1055"/>
      <c r="DDC89" s="1055"/>
      <c r="DDD89" s="1055"/>
      <c r="DDE89" s="1055"/>
      <c r="DDF89" s="1055"/>
      <c r="DDG89" s="1055"/>
      <c r="DDH89" s="1055"/>
      <c r="DDI89" s="1055"/>
      <c r="DDJ89" s="1055"/>
      <c r="DDK89" s="1055"/>
      <c r="DDL89" s="1055"/>
      <c r="DDM89" s="1055"/>
      <c r="DDN89" s="1055"/>
      <c r="DDO89" s="1055"/>
      <c r="DDP89" s="1055"/>
      <c r="DDQ89" s="1055"/>
      <c r="DDR89" s="1055"/>
      <c r="DDS89" s="1055"/>
      <c r="DDT89" s="1055"/>
      <c r="DDU89" s="1055"/>
      <c r="DDV89" s="1055"/>
      <c r="DDW89" s="1055"/>
      <c r="DDX89" s="1055"/>
      <c r="DDY89" s="1055"/>
      <c r="DDZ89" s="1055"/>
      <c r="DEA89" s="1055"/>
      <c r="DEB89" s="1055"/>
      <c r="DEC89" s="1055"/>
      <c r="DED89" s="1055"/>
      <c r="DEE89" s="1055"/>
      <c r="DEF89" s="1055"/>
      <c r="DEG89" s="1055"/>
      <c r="DEH89" s="1055"/>
      <c r="DEI89" s="1055"/>
      <c r="DEJ89" s="1055"/>
      <c r="DEK89" s="1055"/>
      <c r="DEL89" s="1055"/>
      <c r="DEM89" s="1055"/>
      <c r="DEN89" s="1055"/>
      <c r="DEO89" s="1055"/>
      <c r="DEP89" s="1055"/>
      <c r="DEQ89" s="1055"/>
      <c r="DER89" s="1055"/>
      <c r="DES89" s="1055"/>
      <c r="DET89" s="1055"/>
      <c r="DEU89" s="1055"/>
      <c r="DEV89" s="1055"/>
      <c r="DEW89" s="1055"/>
      <c r="DEX89" s="1055"/>
      <c r="DEY89" s="1055"/>
      <c r="DEZ89" s="1055"/>
      <c r="DFA89" s="1055"/>
      <c r="DFB89" s="1055"/>
      <c r="DFC89" s="1055"/>
      <c r="DFD89" s="1055"/>
      <c r="DFE89" s="1055"/>
      <c r="DFF89" s="1055"/>
      <c r="DFG89" s="1055"/>
      <c r="DFH89" s="1055"/>
      <c r="DFI89" s="1055"/>
      <c r="DFJ89" s="1055"/>
      <c r="DFK89" s="1055"/>
      <c r="DFL89" s="1055"/>
      <c r="DFM89" s="1055"/>
      <c r="DFN89" s="1055"/>
      <c r="DFO89" s="1055"/>
      <c r="DFP89" s="1055"/>
      <c r="DFQ89" s="1055"/>
      <c r="DFR89" s="1055"/>
      <c r="DFS89" s="1055"/>
      <c r="DFT89" s="1055"/>
      <c r="DFU89" s="1055"/>
      <c r="DFV89" s="1055"/>
      <c r="DFW89" s="1055"/>
      <c r="DFX89" s="1055"/>
      <c r="DFY89" s="1055"/>
      <c r="DFZ89" s="1055"/>
      <c r="DGA89" s="1055"/>
      <c r="DGB89" s="1055"/>
      <c r="DGC89" s="1055"/>
      <c r="DGD89" s="1055"/>
      <c r="DGE89" s="1055"/>
      <c r="DGF89" s="1055"/>
      <c r="DGG89" s="1055"/>
      <c r="DGH89" s="1055"/>
      <c r="DGI89" s="1055"/>
      <c r="DGJ89" s="1055"/>
      <c r="DGK89" s="1055"/>
      <c r="DGL89" s="1055"/>
      <c r="DGM89" s="1055"/>
      <c r="DGN89" s="1055"/>
      <c r="DGO89" s="1055"/>
      <c r="DGP89" s="1055"/>
      <c r="DGQ89" s="1055"/>
      <c r="DGR89" s="1055"/>
      <c r="DGS89" s="1055"/>
      <c r="DGT89" s="1055"/>
      <c r="DGU89" s="1055"/>
      <c r="DGV89" s="1055"/>
      <c r="DGW89" s="1055"/>
      <c r="DGX89" s="1055"/>
      <c r="DGY89" s="1055"/>
      <c r="DGZ89" s="1055"/>
      <c r="DHA89" s="1055"/>
      <c r="DHB89" s="1055"/>
      <c r="DHC89" s="1055"/>
      <c r="DHD89" s="1055"/>
      <c r="DHE89" s="1055"/>
      <c r="DHF89" s="1055"/>
      <c r="DHG89" s="1055"/>
      <c r="DHH89" s="1055"/>
      <c r="DHI89" s="1055"/>
      <c r="DHJ89" s="1055"/>
      <c r="DHK89" s="1055"/>
      <c r="DHL89" s="1055"/>
      <c r="DHM89" s="1055"/>
      <c r="DHN89" s="1055"/>
      <c r="DHO89" s="1055"/>
      <c r="DHP89" s="1055"/>
      <c r="DHQ89" s="1055"/>
      <c r="DHR89" s="1055"/>
      <c r="DHS89" s="1055"/>
      <c r="DHT89" s="1055"/>
      <c r="DHU89" s="1055"/>
      <c r="DHV89" s="1055"/>
      <c r="DHW89" s="1055"/>
      <c r="DHX89" s="1055"/>
      <c r="DHY89" s="1055"/>
      <c r="DHZ89" s="1055"/>
      <c r="DIA89" s="1055"/>
      <c r="DIB89" s="1055"/>
      <c r="DIC89" s="1055"/>
      <c r="DID89" s="1055"/>
      <c r="DIE89" s="1055"/>
      <c r="DIF89" s="1055"/>
      <c r="DIG89" s="1055"/>
      <c r="DIH89" s="1055"/>
      <c r="DII89" s="1055"/>
      <c r="DIJ89" s="1055"/>
      <c r="DIK89" s="1055"/>
      <c r="DIL89" s="1055"/>
      <c r="DIM89" s="1055"/>
      <c r="DIN89" s="1055"/>
      <c r="DIO89" s="1055"/>
      <c r="DIP89" s="1055"/>
      <c r="DIQ89" s="1055"/>
      <c r="DIR89" s="1055"/>
      <c r="DIS89" s="1055"/>
      <c r="DIT89" s="1055"/>
      <c r="DIU89" s="1055"/>
      <c r="DIV89" s="1055"/>
      <c r="DIW89" s="1055"/>
      <c r="DIX89" s="1055"/>
      <c r="DIY89" s="1055"/>
      <c r="DIZ89" s="1055"/>
      <c r="DJA89" s="1055"/>
      <c r="DJB89" s="1055"/>
      <c r="DJC89" s="1055"/>
      <c r="DJD89" s="1055"/>
      <c r="DJE89" s="1055"/>
      <c r="DJF89" s="1055"/>
      <c r="DJG89" s="1055"/>
      <c r="DJH89" s="1055"/>
      <c r="DJI89" s="1055"/>
      <c r="DJJ89" s="1055"/>
      <c r="DJK89" s="1055"/>
      <c r="DJL89" s="1055"/>
      <c r="DJM89" s="1055"/>
      <c r="DJN89" s="1055"/>
      <c r="DJO89" s="1055"/>
      <c r="DJP89" s="1055"/>
      <c r="DJQ89" s="1055"/>
      <c r="DJR89" s="1055"/>
      <c r="DJS89" s="1055"/>
      <c r="DJT89" s="1055"/>
      <c r="DJU89" s="1055"/>
      <c r="DJV89" s="1055"/>
      <c r="DJW89" s="1055"/>
      <c r="DJX89" s="1055"/>
      <c r="DJY89" s="1055"/>
      <c r="DJZ89" s="1055"/>
      <c r="DKA89" s="1055"/>
      <c r="DKB89" s="1055"/>
      <c r="DKC89" s="1055"/>
      <c r="DKD89" s="1055"/>
      <c r="DKE89" s="1055"/>
      <c r="DKF89" s="1055"/>
      <c r="DKG89" s="1055"/>
      <c r="DKH89" s="1055"/>
      <c r="DKI89" s="1055"/>
      <c r="DKJ89" s="1055"/>
      <c r="DKK89" s="1055"/>
      <c r="DKL89" s="1055"/>
      <c r="DKM89" s="1055"/>
      <c r="DKN89" s="1055"/>
      <c r="DKO89" s="1055"/>
      <c r="DKP89" s="1055"/>
      <c r="DKQ89" s="1055"/>
      <c r="DKR89" s="1055"/>
      <c r="DKS89" s="1055"/>
      <c r="DKT89" s="1055"/>
      <c r="DKU89" s="1055"/>
      <c r="DKV89" s="1055"/>
      <c r="DKW89" s="1055"/>
      <c r="DKX89" s="1055"/>
      <c r="DKY89" s="1055"/>
      <c r="DKZ89" s="1055"/>
      <c r="DLA89" s="1055"/>
      <c r="DLB89" s="1055"/>
      <c r="DLC89" s="1055"/>
      <c r="DLD89" s="1055"/>
      <c r="DLE89" s="1055"/>
      <c r="DLF89" s="1055"/>
      <c r="DLG89" s="1055"/>
      <c r="DLH89" s="1055"/>
      <c r="DLI89" s="1055"/>
      <c r="DLJ89" s="1055"/>
      <c r="DLK89" s="1055"/>
      <c r="DLL89" s="1055"/>
      <c r="DLM89" s="1055"/>
      <c r="DLN89" s="1055"/>
      <c r="DLO89" s="1055"/>
      <c r="DLP89" s="1055"/>
      <c r="DLQ89" s="1055"/>
      <c r="DLR89" s="1055"/>
      <c r="DLS89" s="1055"/>
      <c r="DLT89" s="1055"/>
      <c r="DLU89" s="1055"/>
      <c r="DLV89" s="1055"/>
      <c r="DLW89" s="1055"/>
      <c r="DLX89" s="1055"/>
      <c r="DLY89" s="1055"/>
      <c r="DLZ89" s="1055"/>
      <c r="DMA89" s="1055"/>
      <c r="DMB89" s="1055"/>
      <c r="DMC89" s="1055"/>
      <c r="DMD89" s="1055"/>
      <c r="DME89" s="1055"/>
      <c r="DMF89" s="1055"/>
      <c r="DMG89" s="1055"/>
      <c r="DMH89" s="1055"/>
      <c r="DMI89" s="1055"/>
      <c r="DMJ89" s="1055"/>
      <c r="DMK89" s="1055"/>
      <c r="DML89" s="1055"/>
      <c r="DMM89" s="1055"/>
      <c r="DMN89" s="1055"/>
      <c r="DMO89" s="1055"/>
      <c r="DMP89" s="1055"/>
      <c r="DMQ89" s="1055"/>
      <c r="DMR89" s="1055"/>
      <c r="DMS89" s="1055"/>
      <c r="DMT89" s="1055"/>
      <c r="DMU89" s="1055"/>
      <c r="DMV89" s="1055"/>
      <c r="DMW89" s="1055"/>
      <c r="DMX89" s="1055"/>
      <c r="DMY89" s="1055"/>
      <c r="DMZ89" s="1055"/>
      <c r="DNA89" s="1055"/>
      <c r="DNB89" s="1055"/>
      <c r="DNC89" s="1055"/>
      <c r="DND89" s="1055"/>
      <c r="DNE89" s="1055"/>
      <c r="DNF89" s="1055"/>
      <c r="DNG89" s="1055"/>
      <c r="DNH89" s="1055"/>
      <c r="DNI89" s="1055"/>
      <c r="DNJ89" s="1055"/>
      <c r="DNK89" s="1055"/>
      <c r="DNL89" s="1055"/>
      <c r="DNM89" s="1055"/>
      <c r="DNN89" s="1055"/>
      <c r="DNO89" s="1055"/>
      <c r="DNP89" s="1055"/>
      <c r="DNQ89" s="1055"/>
      <c r="DNR89" s="1055"/>
      <c r="DNS89" s="1055"/>
      <c r="DNT89" s="1055"/>
      <c r="DNU89" s="1055"/>
      <c r="DNV89" s="1055"/>
      <c r="DNW89" s="1055"/>
      <c r="DNX89" s="1055"/>
      <c r="DNY89" s="1055"/>
      <c r="DNZ89" s="1055"/>
      <c r="DOA89" s="1055"/>
      <c r="DOB89" s="1055"/>
      <c r="DOC89" s="1055"/>
      <c r="DOD89" s="1055"/>
      <c r="DOE89" s="1055"/>
      <c r="DOF89" s="1055"/>
      <c r="DOG89" s="1055"/>
      <c r="DOH89" s="1055"/>
      <c r="DOI89" s="1055"/>
      <c r="DOJ89" s="1055"/>
      <c r="DOK89" s="1055"/>
      <c r="DOL89" s="1055"/>
      <c r="DOM89" s="1055"/>
      <c r="DON89" s="1055"/>
      <c r="DOO89" s="1055"/>
      <c r="DOP89" s="1055"/>
      <c r="DOQ89" s="1055"/>
      <c r="DOR89" s="1055"/>
      <c r="DOS89" s="1055"/>
      <c r="DOT89" s="1055"/>
      <c r="DOU89" s="1055"/>
      <c r="DOV89" s="1055"/>
      <c r="DOW89" s="1055"/>
      <c r="DOX89" s="1055"/>
      <c r="DOY89" s="1055"/>
      <c r="DOZ89" s="1055"/>
      <c r="DPA89" s="1055"/>
      <c r="DPB89" s="1055"/>
      <c r="DPC89" s="1055"/>
      <c r="DPD89" s="1055"/>
      <c r="DPE89" s="1055"/>
      <c r="DPF89" s="1055"/>
      <c r="DPG89" s="1055"/>
      <c r="DPH89" s="1055"/>
      <c r="DPI89" s="1055"/>
      <c r="DPJ89" s="1055"/>
      <c r="DPK89" s="1055"/>
      <c r="DPL89" s="1055"/>
      <c r="DPM89" s="1055"/>
      <c r="DPN89" s="1055"/>
      <c r="DPO89" s="1055"/>
      <c r="DPP89" s="1055"/>
      <c r="DPQ89" s="1055"/>
      <c r="DPR89" s="1055"/>
      <c r="DPS89" s="1055"/>
      <c r="DPT89" s="1055"/>
      <c r="DPU89" s="1055"/>
      <c r="DPV89" s="1055"/>
      <c r="DPW89" s="1055"/>
      <c r="DPX89" s="1055"/>
      <c r="DPY89" s="1055"/>
      <c r="DPZ89" s="1055"/>
      <c r="DQA89" s="1055"/>
      <c r="DQB89" s="1055"/>
      <c r="DQC89" s="1055"/>
      <c r="DQD89" s="1055"/>
      <c r="DQE89" s="1055"/>
      <c r="DQF89" s="1055"/>
      <c r="DQG89" s="1055"/>
      <c r="DQH89" s="1055"/>
      <c r="DQI89" s="1055"/>
      <c r="DQJ89" s="1055"/>
      <c r="DQK89" s="1055"/>
      <c r="DQL89" s="1055"/>
      <c r="DQM89" s="1055"/>
      <c r="DQN89" s="1055"/>
      <c r="DQO89" s="1055"/>
      <c r="DQP89" s="1055"/>
      <c r="DQQ89" s="1055"/>
      <c r="DQR89" s="1055"/>
      <c r="DQS89" s="1055"/>
      <c r="DQT89" s="1055"/>
      <c r="DQU89" s="1055"/>
      <c r="DQV89" s="1055"/>
      <c r="DQW89" s="1055"/>
      <c r="DQX89" s="1055"/>
      <c r="DQY89" s="1055"/>
      <c r="DQZ89" s="1055"/>
      <c r="DRA89" s="1055"/>
      <c r="DRB89" s="1055"/>
      <c r="DRC89" s="1055"/>
      <c r="DRD89" s="1055"/>
      <c r="DRE89" s="1055"/>
      <c r="DRF89" s="1055"/>
      <c r="DRG89" s="1055"/>
      <c r="DRH89" s="1055"/>
      <c r="DRI89" s="1055"/>
      <c r="DRJ89" s="1055"/>
      <c r="DRK89" s="1055"/>
      <c r="DRL89" s="1055"/>
      <c r="DRM89" s="1055"/>
      <c r="DRN89" s="1055"/>
      <c r="DRO89" s="1055"/>
      <c r="DRP89" s="1055"/>
      <c r="DRQ89" s="1055"/>
      <c r="DRR89" s="1055"/>
      <c r="DRS89" s="1055"/>
      <c r="DRT89" s="1055"/>
      <c r="DRU89" s="1055"/>
      <c r="DRV89" s="1055"/>
      <c r="DRW89" s="1055"/>
      <c r="DRX89" s="1055"/>
      <c r="DRY89" s="1055"/>
      <c r="DRZ89" s="1055"/>
      <c r="DSA89" s="1055"/>
      <c r="DSB89" s="1055"/>
      <c r="DSC89" s="1055"/>
      <c r="DSD89" s="1055"/>
      <c r="DSE89" s="1055"/>
      <c r="DSF89" s="1055"/>
      <c r="DSG89" s="1055"/>
      <c r="DSH89" s="1055"/>
      <c r="DSI89" s="1055"/>
      <c r="DSJ89" s="1055"/>
      <c r="DSK89" s="1055"/>
      <c r="DSL89" s="1055"/>
      <c r="DSM89" s="1055"/>
      <c r="DSN89" s="1055"/>
      <c r="DSO89" s="1055"/>
      <c r="DSP89" s="1055"/>
      <c r="DSQ89" s="1055"/>
      <c r="DSR89" s="1055"/>
      <c r="DSS89" s="1055"/>
      <c r="DST89" s="1055"/>
      <c r="DSU89" s="1055"/>
      <c r="DSV89" s="1055"/>
      <c r="DSW89" s="1055"/>
      <c r="DSX89" s="1055"/>
      <c r="DSY89" s="1055"/>
      <c r="DSZ89" s="1055"/>
      <c r="DTA89" s="1055"/>
      <c r="DTB89" s="1055"/>
      <c r="DTC89" s="1055"/>
      <c r="DTD89" s="1055"/>
      <c r="DTE89" s="1055"/>
      <c r="DTF89" s="1055"/>
      <c r="DTG89" s="1055"/>
      <c r="DTH89" s="1055"/>
      <c r="DTI89" s="1055"/>
      <c r="DTJ89" s="1055"/>
      <c r="DTK89" s="1055"/>
      <c r="DTL89" s="1055"/>
      <c r="DTM89" s="1055"/>
      <c r="DTN89" s="1055"/>
      <c r="DTO89" s="1055"/>
      <c r="DTP89" s="1055"/>
      <c r="DTQ89" s="1055"/>
      <c r="DTR89" s="1055"/>
      <c r="DTS89" s="1055"/>
      <c r="DTT89" s="1055"/>
      <c r="DTU89" s="1055"/>
      <c r="DTV89" s="1055"/>
      <c r="DTW89" s="1055"/>
      <c r="DTX89" s="1055"/>
      <c r="DTY89" s="1055"/>
      <c r="DTZ89" s="1055"/>
      <c r="DUA89" s="1055"/>
      <c r="DUB89" s="1055"/>
      <c r="DUC89" s="1055"/>
      <c r="DUD89" s="1055"/>
      <c r="DUE89" s="1055"/>
      <c r="DUF89" s="1055"/>
      <c r="DUG89" s="1055"/>
      <c r="DUH89" s="1055"/>
      <c r="DUI89" s="1055"/>
      <c r="DUJ89" s="1055"/>
      <c r="DUK89" s="1055"/>
      <c r="DUL89" s="1055"/>
      <c r="DUM89" s="1055"/>
      <c r="DUN89" s="1055"/>
      <c r="DUO89" s="1055"/>
      <c r="DUP89" s="1055"/>
      <c r="DUQ89" s="1055"/>
      <c r="DUR89" s="1055"/>
      <c r="DUS89" s="1055"/>
      <c r="DUT89" s="1055"/>
      <c r="DUU89" s="1055"/>
      <c r="DUV89" s="1055"/>
      <c r="DUW89" s="1055"/>
      <c r="DUX89" s="1055"/>
      <c r="DUY89" s="1055"/>
      <c r="DUZ89" s="1055"/>
      <c r="DVA89" s="1055"/>
      <c r="DVB89" s="1055"/>
      <c r="DVC89" s="1055"/>
      <c r="DVD89" s="1055"/>
      <c r="DVE89" s="1055"/>
      <c r="DVF89" s="1055"/>
      <c r="DVG89" s="1055"/>
      <c r="DVH89" s="1055"/>
      <c r="DVI89" s="1055"/>
      <c r="DVJ89" s="1055"/>
      <c r="DVK89" s="1055"/>
      <c r="DVL89" s="1055"/>
      <c r="DVM89" s="1055"/>
      <c r="DVN89" s="1055"/>
      <c r="DVO89" s="1055"/>
      <c r="DVP89" s="1055"/>
      <c r="DVQ89" s="1055"/>
      <c r="DVR89" s="1055"/>
      <c r="DVS89" s="1055"/>
      <c r="DVT89" s="1055"/>
      <c r="DVU89" s="1055"/>
      <c r="DVV89" s="1055"/>
      <c r="DVW89" s="1055"/>
      <c r="DVX89" s="1055"/>
      <c r="DVY89" s="1055"/>
      <c r="DVZ89" s="1055"/>
      <c r="DWA89" s="1055"/>
      <c r="DWB89" s="1055"/>
      <c r="DWC89" s="1055"/>
      <c r="DWD89" s="1055"/>
      <c r="DWE89" s="1055"/>
      <c r="DWF89" s="1055"/>
      <c r="DWG89" s="1055"/>
      <c r="DWH89" s="1055"/>
      <c r="DWI89" s="1055"/>
      <c r="DWJ89" s="1055"/>
      <c r="DWK89" s="1055"/>
      <c r="DWL89" s="1055"/>
      <c r="DWM89" s="1055"/>
      <c r="DWN89" s="1055"/>
      <c r="DWO89" s="1055"/>
      <c r="DWP89" s="1055"/>
      <c r="DWQ89" s="1055"/>
      <c r="DWR89" s="1055"/>
      <c r="DWS89" s="1055"/>
      <c r="DWT89" s="1055"/>
      <c r="DWU89" s="1055"/>
      <c r="DWV89" s="1055"/>
      <c r="DWW89" s="1055"/>
      <c r="DWX89" s="1055"/>
      <c r="DWY89" s="1055"/>
      <c r="DWZ89" s="1055"/>
      <c r="DXA89" s="1055"/>
      <c r="DXB89" s="1055"/>
      <c r="DXC89" s="1055"/>
      <c r="DXD89" s="1055"/>
      <c r="DXE89" s="1055"/>
      <c r="DXF89" s="1055"/>
      <c r="DXG89" s="1055"/>
      <c r="DXH89" s="1055"/>
      <c r="DXI89" s="1055"/>
      <c r="DXJ89" s="1055"/>
      <c r="DXK89" s="1055"/>
      <c r="DXL89" s="1055"/>
      <c r="DXM89" s="1055"/>
      <c r="DXN89" s="1055"/>
      <c r="DXO89" s="1055"/>
      <c r="DXP89" s="1055"/>
      <c r="DXQ89" s="1055"/>
      <c r="DXR89" s="1055"/>
      <c r="DXS89" s="1055"/>
      <c r="DXT89" s="1055"/>
      <c r="DXU89" s="1055"/>
      <c r="DXV89" s="1055"/>
      <c r="DXW89" s="1055"/>
      <c r="DXX89" s="1055"/>
      <c r="DXY89" s="1055"/>
      <c r="DXZ89" s="1055"/>
      <c r="DYA89" s="1055"/>
      <c r="DYB89" s="1055"/>
      <c r="DYC89" s="1055"/>
      <c r="DYD89" s="1055"/>
      <c r="DYE89" s="1055"/>
      <c r="DYF89" s="1055"/>
      <c r="DYG89" s="1055"/>
      <c r="DYH89" s="1055"/>
      <c r="DYI89" s="1055"/>
      <c r="DYJ89" s="1055"/>
      <c r="DYK89" s="1055"/>
      <c r="DYL89" s="1055"/>
      <c r="DYM89" s="1055"/>
      <c r="DYN89" s="1055"/>
      <c r="DYO89" s="1055"/>
      <c r="DYP89" s="1055"/>
      <c r="DYQ89" s="1055"/>
      <c r="DYR89" s="1055"/>
      <c r="DYS89" s="1055"/>
      <c r="DYT89" s="1055"/>
      <c r="DYU89" s="1055"/>
      <c r="DYV89" s="1055"/>
      <c r="DYW89" s="1055"/>
      <c r="DYX89" s="1055"/>
      <c r="DYY89" s="1055"/>
      <c r="DYZ89" s="1055"/>
      <c r="DZA89" s="1055"/>
      <c r="DZB89" s="1055"/>
      <c r="DZC89" s="1055"/>
      <c r="DZD89" s="1055"/>
      <c r="DZE89" s="1055"/>
      <c r="DZF89" s="1055"/>
      <c r="DZG89" s="1055"/>
      <c r="DZH89" s="1055"/>
      <c r="DZI89" s="1055"/>
      <c r="DZJ89" s="1055"/>
      <c r="DZK89" s="1055"/>
      <c r="DZL89" s="1055"/>
      <c r="DZM89" s="1055"/>
      <c r="DZN89" s="1055"/>
      <c r="DZO89" s="1055"/>
      <c r="DZP89" s="1055"/>
      <c r="DZQ89" s="1055"/>
      <c r="DZR89" s="1055"/>
      <c r="DZS89" s="1055"/>
      <c r="DZT89" s="1055"/>
      <c r="DZU89" s="1055"/>
      <c r="DZV89" s="1055"/>
      <c r="DZW89" s="1055"/>
      <c r="DZX89" s="1055"/>
      <c r="DZY89" s="1055"/>
      <c r="DZZ89" s="1055"/>
      <c r="EAA89" s="1055"/>
      <c r="EAB89" s="1055"/>
      <c r="EAC89" s="1055"/>
      <c r="EAD89" s="1055"/>
      <c r="EAE89" s="1055"/>
      <c r="EAF89" s="1055"/>
      <c r="EAG89" s="1055"/>
      <c r="EAH89" s="1055"/>
      <c r="EAI89" s="1055"/>
      <c r="EAJ89" s="1055"/>
      <c r="EAK89" s="1055"/>
      <c r="EAL89" s="1055"/>
      <c r="EAM89" s="1055"/>
      <c r="EAN89" s="1055"/>
      <c r="EAO89" s="1055"/>
      <c r="EAP89" s="1055"/>
      <c r="EAQ89" s="1055"/>
      <c r="EAR89" s="1055"/>
      <c r="EAS89" s="1055"/>
      <c r="EAT89" s="1055"/>
      <c r="EAU89" s="1055"/>
      <c r="EAV89" s="1055"/>
      <c r="EAW89" s="1055"/>
      <c r="EAX89" s="1055"/>
      <c r="EAY89" s="1055"/>
      <c r="EAZ89" s="1055"/>
      <c r="EBA89" s="1055"/>
      <c r="EBB89" s="1055"/>
      <c r="EBC89" s="1055"/>
      <c r="EBD89" s="1055"/>
      <c r="EBE89" s="1055"/>
      <c r="EBF89" s="1055"/>
      <c r="EBG89" s="1055"/>
      <c r="EBH89" s="1055"/>
      <c r="EBI89" s="1055"/>
      <c r="EBJ89" s="1055"/>
      <c r="EBK89" s="1055"/>
      <c r="EBL89" s="1055"/>
      <c r="EBM89" s="1055"/>
      <c r="EBN89" s="1055"/>
      <c r="EBO89" s="1055"/>
      <c r="EBP89" s="1055"/>
      <c r="EBQ89" s="1055"/>
      <c r="EBR89" s="1055"/>
      <c r="EBS89" s="1055"/>
      <c r="EBT89" s="1055"/>
      <c r="EBU89" s="1055"/>
      <c r="EBV89" s="1055"/>
      <c r="EBW89" s="1055"/>
      <c r="EBX89" s="1055"/>
      <c r="EBY89" s="1055"/>
      <c r="EBZ89" s="1055"/>
      <c r="ECA89" s="1055"/>
      <c r="ECB89" s="1055"/>
      <c r="ECC89" s="1055"/>
      <c r="ECD89" s="1055"/>
      <c r="ECE89" s="1055"/>
      <c r="ECF89" s="1055"/>
      <c r="ECG89" s="1055"/>
      <c r="ECH89" s="1055"/>
      <c r="ECI89" s="1055"/>
      <c r="ECJ89" s="1055"/>
      <c r="ECK89" s="1055"/>
      <c r="ECL89" s="1055"/>
      <c r="ECM89" s="1055"/>
      <c r="ECN89" s="1055"/>
      <c r="ECO89" s="1055"/>
      <c r="ECP89" s="1055"/>
      <c r="ECQ89" s="1055"/>
      <c r="ECR89" s="1055"/>
      <c r="ECS89" s="1055"/>
      <c r="ECT89" s="1055"/>
      <c r="ECU89" s="1055"/>
      <c r="ECV89" s="1055"/>
      <c r="ECW89" s="1055"/>
      <c r="ECX89" s="1055"/>
      <c r="ECY89" s="1055"/>
      <c r="ECZ89" s="1055"/>
      <c r="EDA89" s="1055"/>
      <c r="EDB89" s="1055"/>
      <c r="EDC89" s="1055"/>
      <c r="EDD89" s="1055"/>
      <c r="EDE89" s="1055"/>
      <c r="EDF89" s="1055"/>
      <c r="EDG89" s="1055"/>
      <c r="EDH89" s="1055"/>
      <c r="EDI89" s="1055"/>
      <c r="EDJ89" s="1055"/>
      <c r="EDK89" s="1055"/>
      <c r="EDL89" s="1055"/>
      <c r="EDM89" s="1055"/>
      <c r="EDN89" s="1055"/>
      <c r="EDO89" s="1055"/>
      <c r="EDP89" s="1055"/>
      <c r="EDQ89" s="1055"/>
      <c r="EDR89" s="1055"/>
      <c r="EDS89" s="1055"/>
      <c r="EDT89" s="1055"/>
      <c r="EDU89" s="1055"/>
      <c r="EDV89" s="1055"/>
      <c r="EDW89" s="1055"/>
      <c r="EDX89" s="1055"/>
      <c r="EDY89" s="1055"/>
      <c r="EDZ89" s="1055"/>
      <c r="EEA89" s="1055"/>
      <c r="EEB89" s="1055"/>
      <c r="EEC89" s="1055"/>
      <c r="EED89" s="1055"/>
      <c r="EEE89" s="1055"/>
      <c r="EEF89" s="1055"/>
      <c r="EEG89" s="1055"/>
      <c r="EEH89" s="1055"/>
      <c r="EEI89" s="1055"/>
      <c r="EEJ89" s="1055"/>
      <c r="EEK89" s="1055"/>
      <c r="EEL89" s="1055"/>
      <c r="EEM89" s="1055"/>
      <c r="EEN89" s="1055"/>
      <c r="EEO89" s="1055"/>
      <c r="EEP89" s="1055"/>
      <c r="EEQ89" s="1055"/>
      <c r="EER89" s="1055"/>
      <c r="EES89" s="1055"/>
      <c r="EET89" s="1055"/>
      <c r="EEU89" s="1055"/>
      <c r="EEV89" s="1055"/>
      <c r="EEW89" s="1055"/>
      <c r="EEX89" s="1055"/>
      <c r="EEY89" s="1055"/>
      <c r="EEZ89" s="1055"/>
      <c r="EFA89" s="1055"/>
      <c r="EFB89" s="1055"/>
      <c r="EFC89" s="1055"/>
      <c r="EFD89" s="1055"/>
      <c r="EFE89" s="1055"/>
      <c r="EFF89" s="1055"/>
      <c r="EFG89" s="1055"/>
      <c r="EFH89" s="1055"/>
      <c r="EFI89" s="1055"/>
      <c r="EFJ89" s="1055"/>
      <c r="EFK89" s="1055"/>
      <c r="EFL89" s="1055"/>
      <c r="EFM89" s="1055"/>
      <c r="EFN89" s="1055"/>
      <c r="EFO89" s="1055"/>
      <c r="EFP89" s="1055"/>
      <c r="EFQ89" s="1055"/>
      <c r="EFR89" s="1055"/>
      <c r="EFS89" s="1055"/>
      <c r="EFT89" s="1055"/>
      <c r="EFU89" s="1055"/>
      <c r="EFV89" s="1055"/>
      <c r="EFW89" s="1055"/>
      <c r="EFX89" s="1055"/>
      <c r="EFY89" s="1055"/>
      <c r="EFZ89" s="1055"/>
      <c r="EGA89" s="1055"/>
      <c r="EGB89" s="1055"/>
      <c r="EGC89" s="1055"/>
      <c r="EGD89" s="1055"/>
      <c r="EGE89" s="1055"/>
      <c r="EGF89" s="1055"/>
      <c r="EGG89" s="1055"/>
      <c r="EGH89" s="1055"/>
      <c r="EGI89" s="1055"/>
      <c r="EGJ89" s="1055"/>
      <c r="EGK89" s="1055"/>
      <c r="EGL89" s="1055"/>
      <c r="EGM89" s="1055"/>
      <c r="EGN89" s="1055"/>
      <c r="EGO89" s="1055"/>
      <c r="EGP89" s="1055"/>
      <c r="EGQ89" s="1055"/>
      <c r="EGR89" s="1055"/>
      <c r="EGS89" s="1055"/>
      <c r="EGT89" s="1055"/>
      <c r="EGU89" s="1055"/>
      <c r="EGV89" s="1055"/>
      <c r="EGW89" s="1055"/>
      <c r="EGX89" s="1055"/>
      <c r="EGY89" s="1055"/>
      <c r="EGZ89" s="1055"/>
      <c r="EHA89" s="1055"/>
      <c r="EHB89" s="1055"/>
      <c r="EHC89" s="1055"/>
      <c r="EHD89" s="1055"/>
      <c r="EHE89" s="1055"/>
      <c r="EHF89" s="1055"/>
      <c r="EHG89" s="1055"/>
      <c r="EHH89" s="1055"/>
      <c r="EHI89" s="1055"/>
      <c r="EHJ89" s="1055"/>
      <c r="EHK89" s="1055"/>
      <c r="EHL89" s="1055"/>
      <c r="EHM89" s="1055"/>
      <c r="EHN89" s="1055"/>
      <c r="EHO89" s="1055"/>
      <c r="EHP89" s="1055"/>
      <c r="EHQ89" s="1055"/>
      <c r="EHR89" s="1055"/>
      <c r="EHS89" s="1055"/>
      <c r="EHT89" s="1055"/>
      <c r="EHU89" s="1055"/>
      <c r="EHV89" s="1055"/>
      <c r="EHW89" s="1055"/>
      <c r="EHX89" s="1055"/>
      <c r="EHY89" s="1055"/>
      <c r="EHZ89" s="1055"/>
      <c r="EIA89" s="1055"/>
      <c r="EIB89" s="1055"/>
      <c r="EIC89" s="1055"/>
      <c r="EID89" s="1055"/>
      <c r="EIE89" s="1055"/>
      <c r="EIF89" s="1055"/>
      <c r="EIG89" s="1055"/>
      <c r="EIH89" s="1055"/>
      <c r="EII89" s="1055"/>
      <c r="EIJ89" s="1055"/>
      <c r="EIK89" s="1055"/>
      <c r="EIL89" s="1055"/>
      <c r="EIM89" s="1055"/>
      <c r="EIN89" s="1055"/>
      <c r="EIO89" s="1055"/>
      <c r="EIP89" s="1055"/>
      <c r="EIQ89" s="1055"/>
      <c r="EIR89" s="1055"/>
      <c r="EIS89" s="1055"/>
      <c r="EIT89" s="1055"/>
      <c r="EIU89" s="1055"/>
      <c r="EIV89" s="1055"/>
      <c r="EIW89" s="1055"/>
      <c r="EIX89" s="1055"/>
      <c r="EIY89" s="1055"/>
      <c r="EIZ89" s="1055"/>
      <c r="EJA89" s="1055"/>
      <c r="EJB89" s="1055"/>
      <c r="EJC89" s="1055"/>
      <c r="EJD89" s="1055"/>
      <c r="EJE89" s="1055"/>
      <c r="EJF89" s="1055"/>
      <c r="EJG89" s="1055"/>
      <c r="EJH89" s="1055"/>
      <c r="EJI89" s="1055"/>
      <c r="EJJ89" s="1055"/>
      <c r="EJK89" s="1055"/>
      <c r="EJL89" s="1055"/>
      <c r="EJM89" s="1055"/>
      <c r="EJN89" s="1055"/>
      <c r="EJO89" s="1055"/>
      <c r="EJP89" s="1055"/>
      <c r="EJQ89" s="1055"/>
      <c r="EJR89" s="1055"/>
      <c r="EJS89" s="1055"/>
      <c r="EJT89" s="1055"/>
      <c r="EJU89" s="1055"/>
      <c r="EJV89" s="1055"/>
      <c r="EJW89" s="1055"/>
      <c r="EJX89" s="1055"/>
      <c r="EJY89" s="1055"/>
      <c r="EJZ89" s="1055"/>
      <c r="EKA89" s="1055"/>
      <c r="EKB89" s="1055"/>
      <c r="EKC89" s="1055"/>
      <c r="EKD89" s="1055"/>
      <c r="EKE89" s="1055"/>
      <c r="EKF89" s="1055"/>
      <c r="EKG89" s="1055"/>
      <c r="EKH89" s="1055"/>
      <c r="EKI89" s="1055"/>
      <c r="EKJ89" s="1055"/>
      <c r="EKK89" s="1055"/>
      <c r="EKL89" s="1055"/>
      <c r="EKM89" s="1055"/>
      <c r="EKN89" s="1055"/>
      <c r="EKO89" s="1055"/>
      <c r="EKP89" s="1055"/>
      <c r="EKQ89" s="1055"/>
      <c r="EKR89" s="1055"/>
      <c r="EKS89" s="1055"/>
      <c r="EKT89" s="1055"/>
      <c r="EKU89" s="1055"/>
      <c r="EKV89" s="1055"/>
      <c r="EKW89" s="1055"/>
      <c r="EKX89" s="1055"/>
      <c r="EKY89" s="1055"/>
      <c r="EKZ89" s="1055"/>
      <c r="ELA89" s="1055"/>
      <c r="ELB89" s="1055"/>
      <c r="ELC89" s="1055"/>
      <c r="ELD89" s="1055"/>
      <c r="ELE89" s="1055"/>
      <c r="ELF89" s="1055"/>
      <c r="ELG89" s="1055"/>
      <c r="ELH89" s="1055"/>
      <c r="ELI89" s="1055"/>
      <c r="ELJ89" s="1055"/>
      <c r="ELK89" s="1055"/>
      <c r="ELL89" s="1055"/>
      <c r="ELM89" s="1055"/>
      <c r="ELN89" s="1055"/>
      <c r="ELO89" s="1055"/>
      <c r="ELP89" s="1055"/>
      <c r="ELQ89" s="1055"/>
      <c r="ELR89" s="1055"/>
      <c r="ELS89" s="1055"/>
      <c r="ELT89" s="1055"/>
      <c r="ELU89" s="1055"/>
      <c r="ELV89" s="1055"/>
      <c r="ELW89" s="1055"/>
      <c r="ELX89" s="1055"/>
      <c r="ELY89" s="1055"/>
      <c r="ELZ89" s="1055"/>
      <c r="EMA89" s="1055"/>
      <c r="EMB89" s="1055"/>
      <c r="EMC89" s="1055"/>
      <c r="EMD89" s="1055"/>
      <c r="EME89" s="1055"/>
      <c r="EMF89" s="1055"/>
      <c r="EMG89" s="1055"/>
      <c r="EMH89" s="1055"/>
      <c r="EMI89" s="1055"/>
      <c r="EMJ89" s="1055"/>
      <c r="EMK89" s="1055"/>
      <c r="EML89" s="1055"/>
      <c r="EMM89" s="1055"/>
      <c r="EMN89" s="1055"/>
      <c r="EMO89" s="1055"/>
      <c r="EMP89" s="1055"/>
      <c r="EMQ89" s="1055"/>
      <c r="EMR89" s="1055"/>
      <c r="EMS89" s="1055"/>
      <c r="EMT89" s="1055"/>
      <c r="EMU89" s="1055"/>
      <c r="EMV89" s="1055"/>
      <c r="EMW89" s="1055"/>
      <c r="EMX89" s="1055"/>
      <c r="EMY89" s="1055"/>
      <c r="EMZ89" s="1055"/>
      <c r="ENA89" s="1055"/>
      <c r="ENB89" s="1055"/>
      <c r="ENC89" s="1055"/>
      <c r="END89" s="1055"/>
      <c r="ENE89" s="1055"/>
      <c r="ENF89" s="1055"/>
      <c r="ENG89" s="1055"/>
      <c r="ENH89" s="1055"/>
      <c r="ENI89" s="1055"/>
      <c r="ENJ89" s="1055"/>
      <c r="ENK89" s="1055"/>
      <c r="ENL89" s="1055"/>
      <c r="ENM89" s="1055"/>
      <c r="ENN89" s="1055"/>
      <c r="ENO89" s="1055"/>
      <c r="ENP89" s="1055"/>
      <c r="ENQ89" s="1055"/>
      <c r="ENR89" s="1055"/>
      <c r="ENS89" s="1055"/>
      <c r="ENT89" s="1055"/>
      <c r="ENU89" s="1055"/>
      <c r="ENV89" s="1055"/>
      <c r="ENW89" s="1055"/>
      <c r="ENX89" s="1055"/>
      <c r="ENY89" s="1055"/>
      <c r="ENZ89" s="1055"/>
      <c r="EOA89" s="1055"/>
      <c r="EOB89" s="1055"/>
      <c r="EOC89" s="1055"/>
      <c r="EOD89" s="1055"/>
      <c r="EOE89" s="1055"/>
      <c r="EOF89" s="1055"/>
      <c r="EOG89" s="1055"/>
      <c r="EOH89" s="1055"/>
      <c r="EOI89" s="1055"/>
      <c r="EOJ89" s="1055"/>
      <c r="EOK89" s="1055"/>
      <c r="EOL89" s="1055"/>
      <c r="EOM89" s="1055"/>
      <c r="EON89" s="1055"/>
      <c r="EOO89" s="1055"/>
      <c r="EOP89" s="1055"/>
      <c r="EOQ89" s="1055"/>
      <c r="EOR89" s="1055"/>
      <c r="EOS89" s="1055"/>
      <c r="EOT89" s="1055"/>
      <c r="EOU89" s="1055"/>
      <c r="EOV89" s="1055"/>
      <c r="EOW89" s="1055"/>
      <c r="EOX89" s="1055"/>
      <c r="EOY89" s="1055"/>
      <c r="EOZ89" s="1055"/>
      <c r="EPA89" s="1055"/>
      <c r="EPB89" s="1055"/>
      <c r="EPC89" s="1055"/>
      <c r="EPD89" s="1055"/>
      <c r="EPE89" s="1055"/>
      <c r="EPF89" s="1055"/>
      <c r="EPG89" s="1055"/>
      <c r="EPH89" s="1055"/>
      <c r="EPI89" s="1055"/>
      <c r="EPJ89" s="1055"/>
      <c r="EPK89" s="1055"/>
      <c r="EPL89" s="1055"/>
      <c r="EPM89" s="1055"/>
      <c r="EPN89" s="1055"/>
      <c r="EPO89" s="1055"/>
      <c r="EPP89" s="1055"/>
      <c r="EPQ89" s="1055"/>
      <c r="EPR89" s="1055"/>
      <c r="EPS89" s="1055"/>
      <c r="EPT89" s="1055"/>
      <c r="EPU89" s="1055"/>
      <c r="EPV89" s="1055"/>
      <c r="EPW89" s="1055"/>
      <c r="EPX89" s="1055"/>
      <c r="EPY89" s="1055"/>
      <c r="EPZ89" s="1055"/>
      <c r="EQA89" s="1055"/>
      <c r="EQB89" s="1055"/>
      <c r="EQC89" s="1055"/>
      <c r="EQD89" s="1055"/>
      <c r="EQE89" s="1055"/>
      <c r="EQF89" s="1055"/>
      <c r="EQG89" s="1055"/>
      <c r="EQH89" s="1055"/>
      <c r="EQI89" s="1055"/>
      <c r="EQJ89" s="1055"/>
      <c r="EQK89" s="1055"/>
      <c r="EQL89" s="1055"/>
      <c r="EQM89" s="1055"/>
      <c r="EQN89" s="1055"/>
      <c r="EQO89" s="1055"/>
      <c r="EQP89" s="1055"/>
      <c r="EQQ89" s="1055"/>
      <c r="EQR89" s="1055"/>
      <c r="EQS89" s="1055"/>
      <c r="EQT89" s="1055"/>
      <c r="EQU89" s="1055"/>
      <c r="EQV89" s="1055"/>
      <c r="EQW89" s="1055"/>
      <c r="EQX89" s="1055"/>
      <c r="EQY89" s="1055"/>
      <c r="EQZ89" s="1055"/>
      <c r="ERA89" s="1055"/>
      <c r="ERB89" s="1055"/>
      <c r="ERC89" s="1055"/>
      <c r="ERD89" s="1055"/>
      <c r="ERE89" s="1055"/>
      <c r="ERF89" s="1055"/>
      <c r="ERG89" s="1055"/>
      <c r="ERH89" s="1055"/>
      <c r="ERI89" s="1055"/>
      <c r="ERJ89" s="1055"/>
      <c r="ERK89" s="1055"/>
      <c r="ERL89" s="1055"/>
      <c r="ERM89" s="1055"/>
      <c r="ERN89" s="1055"/>
      <c r="ERO89" s="1055"/>
      <c r="ERP89" s="1055"/>
      <c r="ERQ89" s="1055"/>
      <c r="ERR89" s="1055"/>
      <c r="ERS89" s="1055"/>
      <c r="ERT89" s="1055"/>
      <c r="ERU89" s="1055"/>
      <c r="ERV89" s="1055"/>
      <c r="ERW89" s="1055"/>
      <c r="ERX89" s="1055"/>
      <c r="ERY89" s="1055"/>
      <c r="ERZ89" s="1055"/>
      <c r="ESA89" s="1055"/>
      <c r="ESB89" s="1055"/>
      <c r="ESC89" s="1055"/>
      <c r="ESD89" s="1055"/>
      <c r="ESE89" s="1055"/>
      <c r="ESF89" s="1055"/>
      <c r="ESG89" s="1055"/>
      <c r="ESH89" s="1055"/>
      <c r="ESI89" s="1055"/>
      <c r="ESJ89" s="1055"/>
      <c r="ESK89" s="1055"/>
      <c r="ESL89" s="1055"/>
      <c r="ESM89" s="1055"/>
      <c r="ESN89" s="1055"/>
      <c r="ESO89" s="1055"/>
      <c r="ESP89" s="1055"/>
      <c r="ESQ89" s="1055"/>
      <c r="ESR89" s="1055"/>
      <c r="ESS89" s="1055"/>
      <c r="EST89" s="1055"/>
      <c r="ESU89" s="1055"/>
      <c r="ESV89" s="1055"/>
      <c r="ESW89" s="1055"/>
      <c r="ESX89" s="1055"/>
      <c r="ESY89" s="1055"/>
      <c r="ESZ89" s="1055"/>
      <c r="ETA89" s="1055"/>
      <c r="ETB89" s="1055"/>
      <c r="ETC89" s="1055"/>
      <c r="ETD89" s="1055"/>
      <c r="ETE89" s="1055"/>
      <c r="ETF89" s="1055"/>
      <c r="ETG89" s="1055"/>
      <c r="ETH89" s="1055"/>
      <c r="ETI89" s="1055"/>
      <c r="ETJ89" s="1055"/>
      <c r="ETK89" s="1055"/>
      <c r="ETL89" s="1055"/>
      <c r="ETM89" s="1055"/>
      <c r="ETN89" s="1055"/>
      <c r="ETO89" s="1055"/>
      <c r="ETP89" s="1055"/>
      <c r="ETQ89" s="1055"/>
      <c r="ETR89" s="1055"/>
      <c r="ETS89" s="1055"/>
      <c r="ETT89" s="1055"/>
      <c r="ETU89" s="1055"/>
      <c r="ETV89" s="1055"/>
      <c r="ETW89" s="1055"/>
      <c r="ETX89" s="1055"/>
      <c r="ETY89" s="1055"/>
      <c r="ETZ89" s="1055"/>
      <c r="EUA89" s="1055"/>
      <c r="EUB89" s="1055"/>
      <c r="EUC89" s="1055"/>
      <c r="EUD89" s="1055"/>
      <c r="EUE89" s="1055"/>
      <c r="EUF89" s="1055"/>
      <c r="EUG89" s="1055"/>
      <c r="EUH89" s="1055"/>
      <c r="EUI89" s="1055"/>
      <c r="EUJ89" s="1055"/>
      <c r="EUK89" s="1055"/>
      <c r="EUL89" s="1055"/>
      <c r="EUM89" s="1055"/>
      <c r="EUN89" s="1055"/>
      <c r="EUO89" s="1055"/>
      <c r="EUP89" s="1055"/>
      <c r="EUQ89" s="1055"/>
      <c r="EUR89" s="1055"/>
      <c r="EUS89" s="1055"/>
      <c r="EUT89" s="1055"/>
      <c r="EUU89" s="1055"/>
      <c r="EUV89" s="1055"/>
      <c r="EUW89" s="1055"/>
      <c r="EUX89" s="1055"/>
      <c r="EUY89" s="1055"/>
      <c r="EUZ89" s="1055"/>
      <c r="EVA89" s="1055"/>
      <c r="EVB89" s="1055"/>
      <c r="EVC89" s="1055"/>
      <c r="EVD89" s="1055"/>
      <c r="EVE89" s="1055"/>
      <c r="EVF89" s="1055"/>
      <c r="EVG89" s="1055"/>
      <c r="EVH89" s="1055"/>
      <c r="EVI89" s="1055"/>
      <c r="EVJ89" s="1055"/>
      <c r="EVK89" s="1055"/>
      <c r="EVL89" s="1055"/>
      <c r="EVM89" s="1055"/>
      <c r="EVN89" s="1055"/>
      <c r="EVO89" s="1055"/>
      <c r="EVP89" s="1055"/>
      <c r="EVQ89" s="1055"/>
      <c r="EVR89" s="1055"/>
      <c r="EVS89" s="1055"/>
      <c r="EVT89" s="1055"/>
      <c r="EVU89" s="1055"/>
      <c r="EVV89" s="1055"/>
      <c r="EVW89" s="1055"/>
      <c r="EVX89" s="1055"/>
      <c r="EVY89" s="1055"/>
      <c r="EVZ89" s="1055"/>
      <c r="EWA89" s="1055"/>
      <c r="EWB89" s="1055"/>
      <c r="EWC89" s="1055"/>
      <c r="EWD89" s="1055"/>
      <c r="EWE89" s="1055"/>
      <c r="EWF89" s="1055"/>
      <c r="EWG89" s="1055"/>
      <c r="EWH89" s="1055"/>
      <c r="EWI89" s="1055"/>
      <c r="EWJ89" s="1055"/>
      <c r="EWK89" s="1055"/>
      <c r="EWL89" s="1055"/>
      <c r="EWM89" s="1055"/>
      <c r="EWN89" s="1055"/>
      <c r="EWO89" s="1055"/>
      <c r="EWP89" s="1055"/>
      <c r="EWQ89" s="1055"/>
      <c r="EWR89" s="1055"/>
      <c r="EWS89" s="1055"/>
      <c r="EWT89" s="1055"/>
      <c r="EWU89" s="1055"/>
      <c r="EWV89" s="1055"/>
      <c r="EWW89" s="1055"/>
      <c r="EWX89" s="1055"/>
      <c r="EWY89" s="1055"/>
      <c r="EWZ89" s="1055"/>
      <c r="EXA89" s="1055"/>
      <c r="EXB89" s="1055"/>
      <c r="EXC89" s="1055"/>
      <c r="EXD89" s="1055"/>
      <c r="EXE89" s="1055"/>
      <c r="EXF89" s="1055"/>
      <c r="EXG89" s="1055"/>
      <c r="EXH89" s="1055"/>
      <c r="EXI89" s="1055"/>
      <c r="EXJ89" s="1055"/>
      <c r="EXK89" s="1055"/>
      <c r="EXL89" s="1055"/>
      <c r="EXM89" s="1055"/>
      <c r="EXN89" s="1055"/>
      <c r="EXO89" s="1055"/>
      <c r="EXP89" s="1055"/>
      <c r="EXQ89" s="1055"/>
      <c r="EXR89" s="1055"/>
      <c r="EXS89" s="1055"/>
      <c r="EXT89" s="1055"/>
      <c r="EXU89" s="1055"/>
      <c r="EXV89" s="1055"/>
      <c r="EXW89" s="1055"/>
      <c r="EXX89" s="1055"/>
      <c r="EXY89" s="1055"/>
      <c r="EXZ89" s="1055"/>
      <c r="EYA89" s="1055"/>
      <c r="EYB89" s="1055"/>
      <c r="EYC89" s="1055"/>
      <c r="EYD89" s="1055"/>
      <c r="EYE89" s="1055"/>
      <c r="EYF89" s="1055"/>
      <c r="EYG89" s="1055"/>
      <c r="EYH89" s="1055"/>
      <c r="EYI89" s="1055"/>
      <c r="EYJ89" s="1055"/>
      <c r="EYK89" s="1055"/>
      <c r="EYL89" s="1055"/>
      <c r="EYM89" s="1055"/>
      <c r="EYN89" s="1055"/>
      <c r="EYO89" s="1055"/>
      <c r="EYP89" s="1055"/>
      <c r="EYQ89" s="1055"/>
      <c r="EYR89" s="1055"/>
      <c r="EYS89" s="1055"/>
      <c r="EYT89" s="1055"/>
      <c r="EYU89" s="1055"/>
      <c r="EYV89" s="1055"/>
      <c r="EYW89" s="1055"/>
      <c r="EYX89" s="1055"/>
      <c r="EYY89" s="1055"/>
      <c r="EYZ89" s="1055"/>
      <c r="EZA89" s="1055"/>
      <c r="EZB89" s="1055"/>
      <c r="EZC89" s="1055"/>
      <c r="EZD89" s="1055"/>
      <c r="EZE89" s="1055"/>
      <c r="EZF89" s="1055"/>
      <c r="EZG89" s="1055"/>
      <c r="EZH89" s="1055"/>
      <c r="EZI89" s="1055"/>
      <c r="EZJ89" s="1055"/>
      <c r="EZK89" s="1055"/>
      <c r="EZL89" s="1055"/>
      <c r="EZM89" s="1055"/>
      <c r="EZN89" s="1055"/>
      <c r="EZO89" s="1055"/>
      <c r="EZP89" s="1055"/>
      <c r="EZQ89" s="1055"/>
      <c r="EZR89" s="1055"/>
      <c r="EZS89" s="1055"/>
      <c r="EZT89" s="1055"/>
      <c r="EZU89" s="1055"/>
      <c r="EZV89" s="1055"/>
      <c r="EZW89" s="1055"/>
      <c r="EZX89" s="1055"/>
      <c r="EZY89" s="1055"/>
      <c r="EZZ89" s="1055"/>
      <c r="FAA89" s="1055"/>
      <c r="FAB89" s="1055"/>
      <c r="FAC89" s="1055"/>
      <c r="FAD89" s="1055"/>
      <c r="FAE89" s="1055"/>
      <c r="FAF89" s="1055"/>
      <c r="FAG89" s="1055"/>
      <c r="FAH89" s="1055"/>
      <c r="FAI89" s="1055"/>
      <c r="FAJ89" s="1055"/>
      <c r="FAK89" s="1055"/>
      <c r="FAL89" s="1055"/>
      <c r="FAM89" s="1055"/>
      <c r="FAN89" s="1055"/>
      <c r="FAO89" s="1055"/>
      <c r="FAP89" s="1055"/>
      <c r="FAQ89" s="1055"/>
      <c r="FAR89" s="1055"/>
      <c r="FAS89" s="1055"/>
      <c r="FAT89" s="1055"/>
      <c r="FAU89" s="1055"/>
      <c r="FAV89" s="1055"/>
      <c r="FAW89" s="1055"/>
      <c r="FAX89" s="1055"/>
      <c r="FAY89" s="1055"/>
      <c r="FAZ89" s="1055"/>
      <c r="FBA89" s="1055"/>
      <c r="FBB89" s="1055"/>
      <c r="FBC89" s="1055"/>
      <c r="FBD89" s="1055"/>
      <c r="FBE89" s="1055"/>
      <c r="FBF89" s="1055"/>
      <c r="FBG89" s="1055"/>
      <c r="FBH89" s="1055"/>
      <c r="FBI89" s="1055"/>
      <c r="FBJ89" s="1055"/>
      <c r="FBK89" s="1055"/>
      <c r="FBL89" s="1055"/>
      <c r="FBM89" s="1055"/>
      <c r="FBN89" s="1055"/>
      <c r="FBO89" s="1055"/>
      <c r="FBP89" s="1055"/>
      <c r="FBQ89" s="1055"/>
      <c r="FBR89" s="1055"/>
      <c r="FBS89" s="1055"/>
      <c r="FBT89" s="1055"/>
      <c r="FBU89" s="1055"/>
      <c r="FBV89" s="1055"/>
      <c r="FBW89" s="1055"/>
      <c r="FBX89" s="1055"/>
      <c r="FBY89" s="1055"/>
      <c r="FBZ89" s="1055"/>
      <c r="FCA89" s="1055"/>
      <c r="FCB89" s="1055"/>
      <c r="FCC89" s="1055"/>
      <c r="FCD89" s="1055"/>
      <c r="FCE89" s="1055"/>
      <c r="FCF89" s="1055"/>
      <c r="FCG89" s="1055"/>
      <c r="FCH89" s="1055"/>
      <c r="FCI89" s="1055"/>
      <c r="FCJ89" s="1055"/>
      <c r="FCK89" s="1055"/>
      <c r="FCL89" s="1055"/>
      <c r="FCM89" s="1055"/>
      <c r="FCN89" s="1055"/>
      <c r="FCO89" s="1055"/>
      <c r="FCP89" s="1055"/>
      <c r="FCQ89" s="1055"/>
      <c r="FCR89" s="1055"/>
      <c r="FCS89" s="1055"/>
      <c r="FCT89" s="1055"/>
      <c r="FCU89" s="1055"/>
      <c r="FCV89" s="1055"/>
      <c r="FCW89" s="1055"/>
      <c r="FCX89" s="1055"/>
      <c r="FCY89" s="1055"/>
      <c r="FCZ89" s="1055"/>
      <c r="FDA89" s="1055"/>
      <c r="FDB89" s="1055"/>
      <c r="FDC89" s="1055"/>
      <c r="FDD89" s="1055"/>
      <c r="FDE89" s="1055"/>
      <c r="FDF89" s="1055"/>
      <c r="FDG89" s="1055"/>
      <c r="FDH89" s="1055"/>
      <c r="FDI89" s="1055"/>
      <c r="FDJ89" s="1055"/>
      <c r="FDK89" s="1055"/>
      <c r="FDL89" s="1055"/>
      <c r="FDM89" s="1055"/>
      <c r="FDN89" s="1055"/>
      <c r="FDO89" s="1055"/>
      <c r="FDP89" s="1055"/>
      <c r="FDQ89" s="1055"/>
      <c r="FDR89" s="1055"/>
      <c r="FDS89" s="1055"/>
      <c r="FDT89" s="1055"/>
      <c r="FDU89" s="1055"/>
      <c r="FDV89" s="1055"/>
      <c r="FDW89" s="1055"/>
      <c r="FDX89" s="1055"/>
      <c r="FDY89" s="1055"/>
      <c r="FDZ89" s="1055"/>
      <c r="FEA89" s="1055"/>
      <c r="FEB89" s="1055"/>
      <c r="FEC89" s="1055"/>
      <c r="FED89" s="1055"/>
      <c r="FEE89" s="1055"/>
      <c r="FEF89" s="1055"/>
      <c r="FEG89" s="1055"/>
      <c r="FEH89" s="1055"/>
      <c r="FEI89" s="1055"/>
      <c r="FEJ89" s="1055"/>
      <c r="FEK89" s="1055"/>
      <c r="FEL89" s="1055"/>
      <c r="FEM89" s="1055"/>
      <c r="FEN89" s="1055"/>
      <c r="FEO89" s="1055"/>
      <c r="FEP89" s="1055"/>
      <c r="FEQ89" s="1055"/>
      <c r="FER89" s="1055"/>
      <c r="FES89" s="1055"/>
      <c r="FET89" s="1055"/>
      <c r="FEU89" s="1055"/>
      <c r="FEV89" s="1055"/>
      <c r="FEW89" s="1055"/>
      <c r="FEX89" s="1055"/>
      <c r="FEY89" s="1055"/>
      <c r="FEZ89" s="1055"/>
      <c r="FFA89" s="1055"/>
      <c r="FFB89" s="1055"/>
      <c r="FFC89" s="1055"/>
      <c r="FFD89" s="1055"/>
      <c r="FFE89" s="1055"/>
      <c r="FFF89" s="1055"/>
      <c r="FFG89" s="1055"/>
      <c r="FFH89" s="1055"/>
      <c r="FFI89" s="1055"/>
      <c r="FFJ89" s="1055"/>
      <c r="FFK89" s="1055"/>
      <c r="FFL89" s="1055"/>
      <c r="FFM89" s="1055"/>
      <c r="FFN89" s="1055"/>
      <c r="FFO89" s="1055"/>
      <c r="FFP89" s="1055"/>
      <c r="FFQ89" s="1055"/>
      <c r="FFR89" s="1055"/>
      <c r="FFS89" s="1055"/>
      <c r="FFT89" s="1055"/>
      <c r="FFU89" s="1055"/>
      <c r="FFV89" s="1055"/>
      <c r="FFW89" s="1055"/>
      <c r="FFX89" s="1055"/>
      <c r="FFY89" s="1055"/>
      <c r="FFZ89" s="1055"/>
      <c r="FGA89" s="1055"/>
      <c r="FGB89" s="1055"/>
      <c r="FGC89" s="1055"/>
      <c r="FGD89" s="1055"/>
      <c r="FGE89" s="1055"/>
      <c r="FGF89" s="1055"/>
      <c r="FGG89" s="1055"/>
      <c r="FGH89" s="1055"/>
      <c r="FGI89" s="1055"/>
      <c r="FGJ89" s="1055"/>
      <c r="FGK89" s="1055"/>
      <c r="FGL89" s="1055"/>
      <c r="FGM89" s="1055"/>
      <c r="FGN89" s="1055"/>
      <c r="FGO89" s="1055"/>
      <c r="FGP89" s="1055"/>
      <c r="FGQ89" s="1055"/>
      <c r="FGR89" s="1055"/>
      <c r="FGS89" s="1055"/>
      <c r="FGT89" s="1055"/>
      <c r="FGU89" s="1055"/>
      <c r="FGV89" s="1055"/>
      <c r="FGW89" s="1055"/>
      <c r="FGX89" s="1055"/>
      <c r="FGY89" s="1055"/>
      <c r="FGZ89" s="1055"/>
      <c r="FHA89" s="1055"/>
      <c r="FHB89" s="1055"/>
      <c r="FHC89" s="1055"/>
      <c r="FHD89" s="1055"/>
      <c r="FHE89" s="1055"/>
      <c r="FHF89" s="1055"/>
      <c r="FHG89" s="1055"/>
      <c r="FHH89" s="1055"/>
      <c r="FHI89" s="1055"/>
      <c r="FHJ89" s="1055"/>
      <c r="FHK89" s="1055"/>
      <c r="FHL89" s="1055"/>
      <c r="FHM89" s="1055"/>
      <c r="FHN89" s="1055"/>
      <c r="FHO89" s="1055"/>
      <c r="FHP89" s="1055"/>
      <c r="FHQ89" s="1055"/>
      <c r="FHR89" s="1055"/>
      <c r="FHS89" s="1055"/>
      <c r="FHT89" s="1055"/>
      <c r="FHU89" s="1055"/>
      <c r="FHV89" s="1055"/>
      <c r="FHW89" s="1055"/>
      <c r="FHX89" s="1055"/>
      <c r="FHY89" s="1055"/>
      <c r="FHZ89" s="1055"/>
      <c r="FIA89" s="1055"/>
      <c r="FIB89" s="1055"/>
      <c r="FIC89" s="1055"/>
      <c r="FID89" s="1055"/>
      <c r="FIE89" s="1055"/>
      <c r="FIF89" s="1055"/>
      <c r="FIG89" s="1055"/>
      <c r="FIH89" s="1055"/>
      <c r="FII89" s="1055"/>
      <c r="FIJ89" s="1055"/>
      <c r="FIK89" s="1055"/>
      <c r="FIL89" s="1055"/>
      <c r="FIM89" s="1055"/>
      <c r="FIN89" s="1055"/>
      <c r="FIO89" s="1055"/>
      <c r="FIP89" s="1055"/>
      <c r="FIQ89" s="1055"/>
      <c r="FIR89" s="1055"/>
      <c r="FIS89" s="1055"/>
      <c r="FIT89" s="1055"/>
      <c r="FIU89" s="1055"/>
      <c r="FIV89" s="1055"/>
      <c r="FIW89" s="1055"/>
      <c r="FIX89" s="1055"/>
      <c r="FIY89" s="1055"/>
      <c r="FIZ89" s="1055"/>
      <c r="FJA89" s="1055"/>
      <c r="FJB89" s="1055"/>
      <c r="FJC89" s="1055"/>
      <c r="FJD89" s="1055"/>
      <c r="FJE89" s="1055"/>
      <c r="FJF89" s="1055"/>
      <c r="FJG89" s="1055"/>
      <c r="FJH89" s="1055"/>
      <c r="FJI89" s="1055"/>
      <c r="FJJ89" s="1055"/>
      <c r="FJK89" s="1055"/>
      <c r="FJL89" s="1055"/>
      <c r="FJM89" s="1055"/>
      <c r="FJN89" s="1055"/>
      <c r="FJO89" s="1055"/>
      <c r="FJP89" s="1055"/>
      <c r="FJQ89" s="1055"/>
      <c r="FJR89" s="1055"/>
      <c r="FJS89" s="1055"/>
      <c r="FJT89" s="1055"/>
      <c r="FJU89" s="1055"/>
      <c r="FJV89" s="1055"/>
      <c r="FJW89" s="1055"/>
      <c r="FJX89" s="1055"/>
      <c r="FJY89" s="1055"/>
      <c r="FJZ89" s="1055"/>
      <c r="FKA89" s="1055"/>
      <c r="FKB89" s="1055"/>
      <c r="FKC89" s="1055"/>
      <c r="FKD89" s="1055"/>
      <c r="FKE89" s="1055"/>
      <c r="FKF89" s="1055"/>
      <c r="FKG89" s="1055"/>
      <c r="FKH89" s="1055"/>
      <c r="FKI89" s="1055"/>
      <c r="FKJ89" s="1055"/>
      <c r="FKK89" s="1055"/>
      <c r="FKL89" s="1055"/>
      <c r="FKM89" s="1055"/>
      <c r="FKN89" s="1055"/>
      <c r="FKO89" s="1055"/>
      <c r="FKP89" s="1055"/>
      <c r="FKQ89" s="1055"/>
      <c r="FKR89" s="1055"/>
      <c r="FKS89" s="1055"/>
      <c r="FKT89" s="1055"/>
      <c r="FKU89" s="1055"/>
      <c r="FKV89" s="1055"/>
      <c r="FKW89" s="1055"/>
      <c r="FKX89" s="1055"/>
      <c r="FKY89" s="1055"/>
      <c r="FKZ89" s="1055"/>
      <c r="FLA89" s="1055"/>
      <c r="FLB89" s="1055"/>
      <c r="FLC89" s="1055"/>
      <c r="FLD89" s="1055"/>
      <c r="FLE89" s="1055"/>
      <c r="FLF89" s="1055"/>
      <c r="FLG89" s="1055"/>
      <c r="FLH89" s="1055"/>
      <c r="FLI89" s="1055"/>
      <c r="FLJ89" s="1055"/>
      <c r="FLK89" s="1055"/>
      <c r="FLL89" s="1055"/>
      <c r="FLM89" s="1055"/>
      <c r="FLN89" s="1055"/>
      <c r="FLO89" s="1055"/>
      <c r="FLP89" s="1055"/>
      <c r="FLQ89" s="1055"/>
      <c r="FLR89" s="1055"/>
      <c r="FLS89" s="1055"/>
      <c r="FLT89" s="1055"/>
      <c r="FLU89" s="1055"/>
      <c r="FLV89" s="1055"/>
      <c r="FLW89" s="1055"/>
      <c r="FLX89" s="1055"/>
      <c r="FLY89" s="1055"/>
      <c r="FLZ89" s="1055"/>
      <c r="FMA89" s="1055"/>
      <c r="FMB89" s="1055"/>
      <c r="FMC89" s="1055"/>
      <c r="FMD89" s="1055"/>
      <c r="FME89" s="1055"/>
      <c r="FMF89" s="1055"/>
      <c r="FMG89" s="1055"/>
      <c r="FMH89" s="1055"/>
      <c r="FMI89" s="1055"/>
      <c r="FMJ89" s="1055"/>
      <c r="FMK89" s="1055"/>
      <c r="FML89" s="1055"/>
      <c r="FMM89" s="1055"/>
      <c r="FMN89" s="1055"/>
      <c r="FMO89" s="1055"/>
      <c r="FMP89" s="1055"/>
      <c r="FMQ89" s="1055"/>
      <c r="FMR89" s="1055"/>
      <c r="FMS89" s="1055"/>
      <c r="FMT89" s="1055"/>
      <c r="FMU89" s="1055"/>
      <c r="FMV89" s="1055"/>
      <c r="FMW89" s="1055"/>
      <c r="FMX89" s="1055"/>
      <c r="FMY89" s="1055"/>
      <c r="FMZ89" s="1055"/>
      <c r="FNA89" s="1055"/>
      <c r="FNB89" s="1055"/>
      <c r="FNC89" s="1055"/>
      <c r="FND89" s="1055"/>
      <c r="FNE89" s="1055"/>
      <c r="FNF89" s="1055"/>
      <c r="FNG89" s="1055"/>
      <c r="FNH89" s="1055"/>
      <c r="FNI89" s="1055"/>
      <c r="FNJ89" s="1055"/>
      <c r="FNK89" s="1055"/>
      <c r="FNL89" s="1055"/>
      <c r="FNM89" s="1055"/>
      <c r="FNN89" s="1055"/>
      <c r="FNO89" s="1055"/>
      <c r="FNP89" s="1055"/>
      <c r="FNQ89" s="1055"/>
      <c r="FNR89" s="1055"/>
      <c r="FNS89" s="1055"/>
      <c r="FNT89" s="1055"/>
      <c r="FNU89" s="1055"/>
      <c r="FNV89" s="1055"/>
      <c r="FNW89" s="1055"/>
      <c r="FNX89" s="1055"/>
      <c r="FNY89" s="1055"/>
      <c r="FNZ89" s="1055"/>
      <c r="FOA89" s="1055"/>
      <c r="FOB89" s="1055"/>
      <c r="FOC89" s="1055"/>
      <c r="FOD89" s="1055"/>
      <c r="FOE89" s="1055"/>
      <c r="FOF89" s="1055"/>
      <c r="FOG89" s="1055"/>
      <c r="FOH89" s="1055"/>
      <c r="FOI89" s="1055"/>
      <c r="FOJ89" s="1055"/>
      <c r="FOK89" s="1055"/>
      <c r="FOL89" s="1055"/>
      <c r="FOM89" s="1055"/>
      <c r="FON89" s="1055"/>
      <c r="FOO89" s="1055"/>
      <c r="FOP89" s="1055"/>
      <c r="FOQ89" s="1055"/>
      <c r="FOR89" s="1055"/>
      <c r="FOS89" s="1055"/>
      <c r="FOT89" s="1055"/>
      <c r="FOU89" s="1055"/>
      <c r="FOV89" s="1055"/>
      <c r="FOW89" s="1055"/>
      <c r="FOX89" s="1055"/>
      <c r="FOY89" s="1055"/>
      <c r="FOZ89" s="1055"/>
      <c r="FPA89" s="1055"/>
      <c r="FPB89" s="1055"/>
      <c r="FPC89" s="1055"/>
      <c r="FPD89" s="1055"/>
      <c r="FPE89" s="1055"/>
      <c r="FPF89" s="1055"/>
      <c r="FPG89" s="1055"/>
      <c r="FPH89" s="1055"/>
      <c r="FPI89" s="1055"/>
      <c r="FPJ89" s="1055"/>
      <c r="FPK89" s="1055"/>
      <c r="FPL89" s="1055"/>
      <c r="FPM89" s="1055"/>
      <c r="FPN89" s="1055"/>
      <c r="FPO89" s="1055"/>
      <c r="FPP89" s="1055"/>
      <c r="FPQ89" s="1055"/>
      <c r="FPR89" s="1055"/>
      <c r="FPS89" s="1055"/>
      <c r="FPT89" s="1055"/>
      <c r="FPU89" s="1055"/>
      <c r="FPV89" s="1055"/>
      <c r="FPW89" s="1055"/>
      <c r="FPX89" s="1055"/>
      <c r="FPY89" s="1055"/>
      <c r="FPZ89" s="1055"/>
      <c r="FQA89" s="1055"/>
      <c r="FQB89" s="1055"/>
      <c r="FQC89" s="1055"/>
      <c r="FQD89" s="1055"/>
      <c r="FQE89" s="1055"/>
      <c r="FQF89" s="1055"/>
      <c r="FQG89" s="1055"/>
      <c r="FQH89" s="1055"/>
      <c r="FQI89" s="1055"/>
      <c r="FQJ89" s="1055"/>
      <c r="FQK89" s="1055"/>
      <c r="FQL89" s="1055"/>
      <c r="FQM89" s="1055"/>
      <c r="FQN89" s="1055"/>
      <c r="FQO89" s="1055"/>
      <c r="FQP89" s="1055"/>
      <c r="FQQ89" s="1055"/>
      <c r="FQR89" s="1055"/>
      <c r="FQS89" s="1055"/>
      <c r="FQT89" s="1055"/>
      <c r="FQU89" s="1055"/>
      <c r="FQV89" s="1055"/>
      <c r="FQW89" s="1055"/>
      <c r="FQX89" s="1055"/>
      <c r="FQY89" s="1055"/>
      <c r="FQZ89" s="1055"/>
      <c r="FRA89" s="1055"/>
      <c r="FRB89" s="1055"/>
      <c r="FRC89" s="1055"/>
      <c r="FRD89" s="1055"/>
      <c r="FRE89" s="1055"/>
      <c r="FRF89" s="1055"/>
      <c r="FRG89" s="1055"/>
      <c r="FRH89" s="1055"/>
      <c r="FRI89" s="1055"/>
      <c r="FRJ89" s="1055"/>
      <c r="FRK89" s="1055"/>
      <c r="FRL89" s="1055"/>
      <c r="FRM89" s="1055"/>
      <c r="FRN89" s="1055"/>
      <c r="FRO89" s="1055"/>
      <c r="FRP89" s="1055"/>
      <c r="FRQ89" s="1055"/>
      <c r="FRR89" s="1055"/>
      <c r="FRS89" s="1055"/>
      <c r="FRT89" s="1055"/>
      <c r="FRU89" s="1055"/>
      <c r="FRV89" s="1055"/>
      <c r="FRW89" s="1055"/>
      <c r="FRX89" s="1055"/>
      <c r="FRY89" s="1055"/>
      <c r="FRZ89" s="1055"/>
      <c r="FSA89" s="1055"/>
      <c r="FSB89" s="1055"/>
      <c r="FSC89" s="1055"/>
      <c r="FSD89" s="1055"/>
      <c r="FSE89" s="1055"/>
      <c r="FSF89" s="1055"/>
      <c r="FSG89" s="1055"/>
      <c r="FSH89" s="1055"/>
      <c r="FSI89" s="1055"/>
      <c r="FSJ89" s="1055"/>
      <c r="FSK89" s="1055"/>
      <c r="FSL89" s="1055"/>
      <c r="FSM89" s="1055"/>
      <c r="FSN89" s="1055"/>
      <c r="FSO89" s="1055"/>
      <c r="FSP89" s="1055"/>
      <c r="FSQ89" s="1055"/>
      <c r="FSR89" s="1055"/>
      <c r="FSS89" s="1055"/>
      <c r="FST89" s="1055"/>
      <c r="FSU89" s="1055"/>
      <c r="FSV89" s="1055"/>
      <c r="FSW89" s="1055"/>
      <c r="FSX89" s="1055"/>
      <c r="FSY89" s="1055"/>
      <c r="FSZ89" s="1055"/>
      <c r="FTA89" s="1055"/>
      <c r="FTB89" s="1055"/>
      <c r="FTC89" s="1055"/>
      <c r="FTD89" s="1055"/>
      <c r="FTE89" s="1055"/>
      <c r="FTF89" s="1055"/>
      <c r="FTG89" s="1055"/>
      <c r="FTH89" s="1055"/>
      <c r="FTI89" s="1055"/>
      <c r="FTJ89" s="1055"/>
      <c r="FTK89" s="1055"/>
      <c r="FTL89" s="1055"/>
      <c r="FTM89" s="1055"/>
      <c r="FTN89" s="1055"/>
      <c r="FTO89" s="1055"/>
      <c r="FTP89" s="1055"/>
      <c r="FTQ89" s="1055"/>
      <c r="FTR89" s="1055"/>
      <c r="FTS89" s="1055"/>
      <c r="FTT89" s="1055"/>
      <c r="FTU89" s="1055"/>
      <c r="FTV89" s="1055"/>
      <c r="FTW89" s="1055"/>
      <c r="FTX89" s="1055"/>
      <c r="FTY89" s="1055"/>
      <c r="FTZ89" s="1055"/>
      <c r="FUA89" s="1055"/>
      <c r="FUB89" s="1055"/>
      <c r="FUC89" s="1055"/>
      <c r="FUD89" s="1055"/>
      <c r="FUE89" s="1055"/>
      <c r="FUF89" s="1055"/>
      <c r="FUG89" s="1055"/>
      <c r="FUH89" s="1055"/>
      <c r="FUI89" s="1055"/>
      <c r="FUJ89" s="1055"/>
      <c r="FUK89" s="1055"/>
      <c r="FUL89" s="1055"/>
      <c r="FUM89" s="1055"/>
      <c r="FUN89" s="1055"/>
      <c r="FUO89" s="1055"/>
      <c r="FUP89" s="1055"/>
      <c r="FUQ89" s="1055"/>
      <c r="FUR89" s="1055"/>
      <c r="FUS89" s="1055"/>
      <c r="FUT89" s="1055"/>
      <c r="FUU89" s="1055"/>
      <c r="FUV89" s="1055"/>
      <c r="FUW89" s="1055"/>
      <c r="FUX89" s="1055"/>
      <c r="FUY89" s="1055"/>
      <c r="FUZ89" s="1055"/>
      <c r="FVA89" s="1055"/>
      <c r="FVB89" s="1055"/>
      <c r="FVC89" s="1055"/>
      <c r="FVD89" s="1055"/>
      <c r="FVE89" s="1055"/>
      <c r="FVF89" s="1055"/>
      <c r="FVG89" s="1055"/>
      <c r="FVH89" s="1055"/>
      <c r="FVI89" s="1055"/>
      <c r="FVJ89" s="1055"/>
      <c r="FVK89" s="1055"/>
      <c r="FVL89" s="1055"/>
      <c r="FVM89" s="1055"/>
      <c r="FVN89" s="1055"/>
      <c r="FVO89" s="1055"/>
      <c r="FVP89" s="1055"/>
      <c r="FVQ89" s="1055"/>
      <c r="FVR89" s="1055"/>
      <c r="FVS89" s="1055"/>
      <c r="FVT89" s="1055"/>
      <c r="FVU89" s="1055"/>
      <c r="FVV89" s="1055"/>
      <c r="FVW89" s="1055"/>
      <c r="FVX89" s="1055"/>
      <c r="FVY89" s="1055"/>
      <c r="FVZ89" s="1055"/>
      <c r="FWA89" s="1055"/>
      <c r="FWB89" s="1055"/>
      <c r="FWC89" s="1055"/>
      <c r="FWD89" s="1055"/>
      <c r="FWE89" s="1055"/>
      <c r="FWF89" s="1055"/>
      <c r="FWG89" s="1055"/>
      <c r="FWH89" s="1055"/>
      <c r="FWI89" s="1055"/>
      <c r="FWJ89" s="1055"/>
      <c r="FWK89" s="1055"/>
      <c r="FWL89" s="1055"/>
      <c r="FWM89" s="1055"/>
      <c r="FWN89" s="1055"/>
      <c r="FWO89" s="1055"/>
      <c r="FWP89" s="1055"/>
      <c r="FWQ89" s="1055"/>
      <c r="FWR89" s="1055"/>
      <c r="FWS89" s="1055"/>
      <c r="FWT89" s="1055"/>
      <c r="FWU89" s="1055"/>
      <c r="FWV89" s="1055"/>
      <c r="FWW89" s="1055"/>
      <c r="FWX89" s="1055"/>
      <c r="FWY89" s="1055"/>
      <c r="FWZ89" s="1055"/>
      <c r="FXA89" s="1055"/>
      <c r="FXB89" s="1055"/>
      <c r="FXC89" s="1055"/>
      <c r="FXD89" s="1055"/>
      <c r="FXE89" s="1055"/>
      <c r="FXF89" s="1055"/>
      <c r="FXG89" s="1055"/>
      <c r="FXH89" s="1055"/>
      <c r="FXI89" s="1055"/>
      <c r="FXJ89" s="1055"/>
      <c r="FXK89" s="1055"/>
      <c r="FXL89" s="1055"/>
      <c r="FXM89" s="1055"/>
      <c r="FXN89" s="1055"/>
      <c r="FXO89" s="1055"/>
      <c r="FXP89" s="1055"/>
      <c r="FXQ89" s="1055"/>
      <c r="FXR89" s="1055"/>
      <c r="FXS89" s="1055"/>
      <c r="FXT89" s="1055"/>
      <c r="FXU89" s="1055"/>
      <c r="FXV89" s="1055"/>
      <c r="FXW89" s="1055"/>
      <c r="FXX89" s="1055"/>
      <c r="FXY89" s="1055"/>
      <c r="FXZ89" s="1055"/>
      <c r="FYA89" s="1055"/>
      <c r="FYB89" s="1055"/>
      <c r="FYC89" s="1055"/>
      <c r="FYD89" s="1055"/>
      <c r="FYE89" s="1055"/>
      <c r="FYF89" s="1055"/>
      <c r="FYG89" s="1055"/>
      <c r="FYH89" s="1055"/>
      <c r="FYI89" s="1055"/>
      <c r="FYJ89" s="1055"/>
      <c r="FYK89" s="1055"/>
      <c r="FYL89" s="1055"/>
      <c r="FYM89" s="1055"/>
      <c r="FYN89" s="1055"/>
      <c r="FYO89" s="1055"/>
      <c r="FYP89" s="1055"/>
      <c r="FYQ89" s="1055"/>
      <c r="FYR89" s="1055"/>
      <c r="FYS89" s="1055"/>
      <c r="FYT89" s="1055"/>
      <c r="FYU89" s="1055"/>
      <c r="FYV89" s="1055"/>
      <c r="FYW89" s="1055"/>
      <c r="FYX89" s="1055"/>
      <c r="FYY89" s="1055"/>
      <c r="FYZ89" s="1055"/>
      <c r="FZA89" s="1055"/>
      <c r="FZB89" s="1055"/>
      <c r="FZC89" s="1055"/>
      <c r="FZD89" s="1055"/>
      <c r="FZE89" s="1055"/>
      <c r="FZF89" s="1055"/>
      <c r="FZG89" s="1055"/>
      <c r="FZH89" s="1055"/>
      <c r="FZI89" s="1055"/>
      <c r="FZJ89" s="1055"/>
      <c r="FZK89" s="1055"/>
      <c r="FZL89" s="1055"/>
      <c r="FZM89" s="1055"/>
      <c r="FZN89" s="1055"/>
      <c r="FZO89" s="1055"/>
      <c r="FZP89" s="1055"/>
      <c r="FZQ89" s="1055"/>
      <c r="FZR89" s="1055"/>
      <c r="FZS89" s="1055"/>
      <c r="FZT89" s="1055"/>
      <c r="FZU89" s="1055"/>
      <c r="FZV89" s="1055"/>
      <c r="FZW89" s="1055"/>
      <c r="FZX89" s="1055"/>
      <c r="FZY89" s="1055"/>
      <c r="FZZ89" s="1055"/>
      <c r="GAA89" s="1055"/>
      <c r="GAB89" s="1055"/>
      <c r="GAC89" s="1055"/>
      <c r="GAD89" s="1055"/>
      <c r="GAE89" s="1055"/>
      <c r="GAF89" s="1055"/>
      <c r="GAG89" s="1055"/>
      <c r="GAH89" s="1055"/>
      <c r="GAI89" s="1055"/>
      <c r="GAJ89" s="1055"/>
      <c r="GAK89" s="1055"/>
      <c r="GAL89" s="1055"/>
      <c r="GAM89" s="1055"/>
      <c r="GAN89" s="1055"/>
      <c r="GAO89" s="1055"/>
      <c r="GAP89" s="1055"/>
      <c r="GAQ89" s="1055"/>
      <c r="GAR89" s="1055"/>
      <c r="GAS89" s="1055"/>
      <c r="GAT89" s="1055"/>
      <c r="GAU89" s="1055"/>
      <c r="GAV89" s="1055"/>
      <c r="GAW89" s="1055"/>
      <c r="GAX89" s="1055"/>
      <c r="GAY89" s="1055"/>
      <c r="GAZ89" s="1055"/>
      <c r="GBA89" s="1055"/>
      <c r="GBB89" s="1055"/>
      <c r="GBC89" s="1055"/>
      <c r="GBD89" s="1055"/>
      <c r="GBE89" s="1055"/>
      <c r="GBF89" s="1055"/>
      <c r="GBG89" s="1055"/>
      <c r="GBH89" s="1055"/>
      <c r="GBI89" s="1055"/>
      <c r="GBJ89" s="1055"/>
      <c r="GBK89" s="1055"/>
      <c r="GBL89" s="1055"/>
      <c r="GBM89" s="1055"/>
      <c r="GBN89" s="1055"/>
      <c r="GBO89" s="1055"/>
      <c r="GBP89" s="1055"/>
      <c r="GBQ89" s="1055"/>
      <c r="GBR89" s="1055"/>
      <c r="GBS89" s="1055"/>
      <c r="GBT89" s="1055"/>
      <c r="GBU89" s="1055"/>
      <c r="GBV89" s="1055"/>
      <c r="GBW89" s="1055"/>
      <c r="GBX89" s="1055"/>
      <c r="GBY89" s="1055"/>
      <c r="GBZ89" s="1055"/>
      <c r="GCA89" s="1055"/>
      <c r="GCB89" s="1055"/>
      <c r="GCC89" s="1055"/>
      <c r="GCD89" s="1055"/>
      <c r="GCE89" s="1055"/>
      <c r="GCF89" s="1055"/>
      <c r="GCG89" s="1055"/>
      <c r="GCH89" s="1055"/>
      <c r="GCI89" s="1055"/>
      <c r="GCJ89" s="1055"/>
      <c r="GCK89" s="1055"/>
      <c r="GCL89" s="1055"/>
      <c r="GCM89" s="1055"/>
      <c r="GCN89" s="1055"/>
      <c r="GCO89" s="1055"/>
      <c r="GCP89" s="1055"/>
      <c r="GCQ89" s="1055"/>
      <c r="GCR89" s="1055"/>
      <c r="GCS89" s="1055"/>
      <c r="GCT89" s="1055"/>
      <c r="GCU89" s="1055"/>
      <c r="GCV89" s="1055"/>
      <c r="GCW89" s="1055"/>
      <c r="GCX89" s="1055"/>
      <c r="GCY89" s="1055"/>
      <c r="GCZ89" s="1055"/>
      <c r="GDA89" s="1055"/>
      <c r="GDB89" s="1055"/>
      <c r="GDC89" s="1055"/>
      <c r="GDD89" s="1055"/>
      <c r="GDE89" s="1055"/>
      <c r="GDF89" s="1055"/>
      <c r="GDG89" s="1055"/>
      <c r="GDH89" s="1055"/>
      <c r="GDI89" s="1055"/>
      <c r="GDJ89" s="1055"/>
      <c r="GDK89" s="1055"/>
      <c r="GDL89" s="1055"/>
      <c r="GDM89" s="1055"/>
      <c r="GDN89" s="1055"/>
      <c r="GDO89" s="1055"/>
      <c r="GDP89" s="1055"/>
      <c r="GDQ89" s="1055"/>
      <c r="GDR89" s="1055"/>
      <c r="GDS89" s="1055"/>
      <c r="GDT89" s="1055"/>
      <c r="GDU89" s="1055"/>
      <c r="GDV89" s="1055"/>
      <c r="GDW89" s="1055"/>
      <c r="GDX89" s="1055"/>
      <c r="GDY89" s="1055"/>
      <c r="GDZ89" s="1055"/>
      <c r="GEA89" s="1055"/>
      <c r="GEB89" s="1055"/>
      <c r="GEC89" s="1055"/>
      <c r="GED89" s="1055"/>
      <c r="GEE89" s="1055"/>
      <c r="GEF89" s="1055"/>
      <c r="GEG89" s="1055"/>
      <c r="GEH89" s="1055"/>
      <c r="GEI89" s="1055"/>
      <c r="GEJ89" s="1055"/>
      <c r="GEK89" s="1055"/>
      <c r="GEL89" s="1055"/>
      <c r="GEM89" s="1055"/>
      <c r="GEN89" s="1055"/>
      <c r="GEO89" s="1055"/>
      <c r="GEP89" s="1055"/>
      <c r="GEQ89" s="1055"/>
      <c r="GER89" s="1055"/>
      <c r="GES89" s="1055"/>
      <c r="GET89" s="1055"/>
      <c r="GEU89" s="1055"/>
      <c r="GEV89" s="1055"/>
      <c r="GEW89" s="1055"/>
      <c r="GEX89" s="1055"/>
      <c r="GEY89" s="1055"/>
      <c r="GEZ89" s="1055"/>
      <c r="GFA89" s="1055"/>
      <c r="GFB89" s="1055"/>
      <c r="GFC89" s="1055"/>
      <c r="GFD89" s="1055"/>
      <c r="GFE89" s="1055"/>
      <c r="GFF89" s="1055"/>
      <c r="GFG89" s="1055"/>
      <c r="GFH89" s="1055"/>
      <c r="GFI89" s="1055"/>
      <c r="GFJ89" s="1055"/>
      <c r="GFK89" s="1055"/>
      <c r="GFL89" s="1055"/>
      <c r="GFM89" s="1055"/>
      <c r="GFN89" s="1055"/>
      <c r="GFO89" s="1055"/>
      <c r="GFP89" s="1055"/>
      <c r="GFQ89" s="1055"/>
      <c r="GFR89" s="1055"/>
      <c r="GFS89" s="1055"/>
      <c r="GFT89" s="1055"/>
      <c r="GFU89" s="1055"/>
      <c r="GFV89" s="1055"/>
      <c r="GFW89" s="1055"/>
      <c r="GFX89" s="1055"/>
      <c r="GFY89" s="1055"/>
      <c r="GFZ89" s="1055"/>
      <c r="GGA89" s="1055"/>
      <c r="GGB89" s="1055"/>
      <c r="GGC89" s="1055"/>
      <c r="GGD89" s="1055"/>
      <c r="GGE89" s="1055"/>
      <c r="GGF89" s="1055"/>
      <c r="GGG89" s="1055"/>
      <c r="GGH89" s="1055"/>
      <c r="GGI89" s="1055"/>
      <c r="GGJ89" s="1055"/>
      <c r="GGK89" s="1055"/>
      <c r="GGL89" s="1055"/>
      <c r="GGM89" s="1055"/>
      <c r="GGN89" s="1055"/>
      <c r="GGO89" s="1055"/>
      <c r="GGP89" s="1055"/>
      <c r="GGQ89" s="1055"/>
      <c r="GGR89" s="1055"/>
      <c r="GGS89" s="1055"/>
      <c r="GGT89" s="1055"/>
      <c r="GGU89" s="1055"/>
      <c r="GGV89" s="1055"/>
      <c r="GGW89" s="1055"/>
      <c r="GGX89" s="1055"/>
      <c r="GGY89" s="1055"/>
      <c r="GGZ89" s="1055"/>
      <c r="GHA89" s="1055"/>
      <c r="GHB89" s="1055"/>
      <c r="GHC89" s="1055"/>
      <c r="GHD89" s="1055"/>
      <c r="GHE89" s="1055"/>
      <c r="GHF89" s="1055"/>
      <c r="GHG89" s="1055"/>
      <c r="GHH89" s="1055"/>
      <c r="GHI89" s="1055"/>
      <c r="GHJ89" s="1055"/>
      <c r="GHK89" s="1055"/>
      <c r="GHL89" s="1055"/>
      <c r="GHM89" s="1055"/>
      <c r="GHN89" s="1055"/>
      <c r="GHO89" s="1055"/>
      <c r="GHP89" s="1055"/>
      <c r="GHQ89" s="1055"/>
      <c r="GHR89" s="1055"/>
      <c r="GHS89" s="1055"/>
      <c r="GHT89" s="1055"/>
      <c r="GHU89" s="1055"/>
      <c r="GHV89" s="1055"/>
      <c r="GHW89" s="1055"/>
      <c r="GHX89" s="1055"/>
      <c r="GHY89" s="1055"/>
      <c r="GHZ89" s="1055"/>
      <c r="GIA89" s="1055"/>
      <c r="GIB89" s="1055"/>
      <c r="GIC89" s="1055"/>
      <c r="GID89" s="1055"/>
      <c r="GIE89" s="1055"/>
      <c r="GIF89" s="1055"/>
      <c r="GIG89" s="1055"/>
      <c r="GIH89" s="1055"/>
      <c r="GII89" s="1055"/>
      <c r="GIJ89" s="1055"/>
      <c r="GIK89" s="1055"/>
      <c r="GIL89" s="1055"/>
      <c r="GIM89" s="1055"/>
      <c r="GIN89" s="1055"/>
      <c r="GIO89" s="1055"/>
      <c r="GIP89" s="1055"/>
      <c r="GIQ89" s="1055"/>
      <c r="GIR89" s="1055"/>
      <c r="GIS89" s="1055"/>
      <c r="GIT89" s="1055"/>
      <c r="GIU89" s="1055"/>
      <c r="GIV89" s="1055"/>
      <c r="GIW89" s="1055"/>
      <c r="GIX89" s="1055"/>
      <c r="GIY89" s="1055"/>
      <c r="GIZ89" s="1055"/>
      <c r="GJA89" s="1055"/>
      <c r="GJB89" s="1055"/>
      <c r="GJC89" s="1055"/>
      <c r="GJD89" s="1055"/>
      <c r="GJE89" s="1055"/>
      <c r="GJF89" s="1055"/>
      <c r="GJG89" s="1055"/>
      <c r="GJH89" s="1055"/>
      <c r="GJI89" s="1055"/>
      <c r="GJJ89" s="1055"/>
      <c r="GJK89" s="1055"/>
      <c r="GJL89" s="1055"/>
      <c r="GJM89" s="1055"/>
      <c r="GJN89" s="1055"/>
      <c r="GJO89" s="1055"/>
      <c r="GJP89" s="1055"/>
      <c r="GJQ89" s="1055"/>
      <c r="GJR89" s="1055"/>
      <c r="GJS89" s="1055"/>
      <c r="GJT89" s="1055"/>
      <c r="GJU89" s="1055"/>
      <c r="GJV89" s="1055"/>
      <c r="GJW89" s="1055"/>
      <c r="GJX89" s="1055"/>
      <c r="GJY89" s="1055"/>
      <c r="GJZ89" s="1055"/>
      <c r="GKA89" s="1055"/>
      <c r="GKB89" s="1055"/>
      <c r="GKC89" s="1055"/>
      <c r="GKD89" s="1055"/>
      <c r="GKE89" s="1055"/>
      <c r="GKF89" s="1055"/>
      <c r="GKG89" s="1055"/>
      <c r="GKH89" s="1055"/>
      <c r="GKI89" s="1055"/>
      <c r="GKJ89" s="1055"/>
      <c r="GKK89" s="1055"/>
      <c r="GKL89" s="1055"/>
      <c r="GKM89" s="1055"/>
      <c r="GKN89" s="1055"/>
      <c r="GKO89" s="1055"/>
      <c r="GKP89" s="1055"/>
      <c r="GKQ89" s="1055"/>
      <c r="GKR89" s="1055"/>
      <c r="GKS89" s="1055"/>
      <c r="GKT89" s="1055"/>
      <c r="GKU89" s="1055"/>
      <c r="GKV89" s="1055"/>
      <c r="GKW89" s="1055"/>
      <c r="GKX89" s="1055"/>
      <c r="GKY89" s="1055"/>
      <c r="GKZ89" s="1055"/>
      <c r="GLA89" s="1055"/>
      <c r="GLB89" s="1055"/>
      <c r="GLC89" s="1055"/>
      <c r="GLD89" s="1055"/>
      <c r="GLE89" s="1055"/>
      <c r="GLF89" s="1055"/>
      <c r="GLG89" s="1055"/>
      <c r="GLH89" s="1055"/>
      <c r="GLI89" s="1055"/>
      <c r="GLJ89" s="1055"/>
      <c r="GLK89" s="1055"/>
      <c r="GLL89" s="1055"/>
      <c r="GLM89" s="1055"/>
      <c r="GLN89" s="1055"/>
      <c r="GLO89" s="1055"/>
      <c r="GLP89" s="1055"/>
      <c r="GLQ89" s="1055"/>
      <c r="GLR89" s="1055"/>
      <c r="GLS89" s="1055"/>
      <c r="GLT89" s="1055"/>
      <c r="GLU89" s="1055"/>
      <c r="GLV89" s="1055"/>
      <c r="GLW89" s="1055"/>
      <c r="GLX89" s="1055"/>
      <c r="GLY89" s="1055"/>
      <c r="GLZ89" s="1055"/>
      <c r="GMA89" s="1055"/>
      <c r="GMB89" s="1055"/>
      <c r="GMC89" s="1055"/>
      <c r="GMD89" s="1055"/>
      <c r="GME89" s="1055"/>
      <c r="GMF89" s="1055"/>
      <c r="GMG89" s="1055"/>
      <c r="GMH89" s="1055"/>
      <c r="GMI89" s="1055"/>
      <c r="GMJ89" s="1055"/>
      <c r="GMK89" s="1055"/>
      <c r="GML89" s="1055"/>
      <c r="GMM89" s="1055"/>
      <c r="GMN89" s="1055"/>
      <c r="GMO89" s="1055"/>
      <c r="GMP89" s="1055"/>
      <c r="GMQ89" s="1055"/>
      <c r="GMR89" s="1055"/>
      <c r="GMS89" s="1055"/>
      <c r="GMT89" s="1055"/>
      <c r="GMU89" s="1055"/>
      <c r="GMV89" s="1055"/>
      <c r="GMW89" s="1055"/>
      <c r="GMX89" s="1055"/>
      <c r="GMY89" s="1055"/>
      <c r="GMZ89" s="1055"/>
      <c r="GNA89" s="1055"/>
      <c r="GNB89" s="1055"/>
      <c r="GNC89" s="1055"/>
      <c r="GND89" s="1055"/>
      <c r="GNE89" s="1055"/>
      <c r="GNF89" s="1055"/>
      <c r="GNG89" s="1055"/>
      <c r="GNH89" s="1055"/>
      <c r="GNI89" s="1055"/>
      <c r="GNJ89" s="1055"/>
      <c r="GNK89" s="1055"/>
      <c r="GNL89" s="1055"/>
      <c r="GNM89" s="1055"/>
      <c r="GNN89" s="1055"/>
      <c r="GNO89" s="1055"/>
      <c r="GNP89" s="1055"/>
      <c r="GNQ89" s="1055"/>
      <c r="GNR89" s="1055"/>
      <c r="GNS89" s="1055"/>
      <c r="GNT89" s="1055"/>
      <c r="GNU89" s="1055"/>
      <c r="GNV89" s="1055"/>
      <c r="GNW89" s="1055"/>
      <c r="GNX89" s="1055"/>
      <c r="GNY89" s="1055"/>
      <c r="GNZ89" s="1055"/>
      <c r="GOA89" s="1055"/>
      <c r="GOB89" s="1055"/>
      <c r="GOC89" s="1055"/>
      <c r="GOD89" s="1055"/>
      <c r="GOE89" s="1055"/>
      <c r="GOF89" s="1055"/>
      <c r="GOG89" s="1055"/>
      <c r="GOH89" s="1055"/>
      <c r="GOI89" s="1055"/>
      <c r="GOJ89" s="1055"/>
      <c r="GOK89" s="1055"/>
      <c r="GOL89" s="1055"/>
      <c r="GOM89" s="1055"/>
      <c r="GON89" s="1055"/>
      <c r="GOO89" s="1055"/>
      <c r="GOP89" s="1055"/>
      <c r="GOQ89" s="1055"/>
      <c r="GOR89" s="1055"/>
      <c r="GOS89" s="1055"/>
      <c r="GOT89" s="1055"/>
      <c r="GOU89" s="1055"/>
      <c r="GOV89" s="1055"/>
      <c r="GOW89" s="1055"/>
      <c r="GOX89" s="1055"/>
      <c r="GOY89" s="1055"/>
      <c r="GOZ89" s="1055"/>
      <c r="GPA89" s="1055"/>
      <c r="GPB89" s="1055"/>
      <c r="GPC89" s="1055"/>
      <c r="GPD89" s="1055"/>
      <c r="GPE89" s="1055"/>
      <c r="GPF89" s="1055"/>
      <c r="GPG89" s="1055"/>
      <c r="GPH89" s="1055"/>
      <c r="GPI89" s="1055"/>
      <c r="GPJ89" s="1055"/>
      <c r="GPK89" s="1055"/>
      <c r="GPL89" s="1055"/>
      <c r="GPM89" s="1055"/>
      <c r="GPN89" s="1055"/>
      <c r="GPO89" s="1055"/>
      <c r="GPP89" s="1055"/>
      <c r="GPQ89" s="1055"/>
      <c r="GPR89" s="1055"/>
      <c r="GPS89" s="1055"/>
      <c r="GPT89" s="1055"/>
      <c r="GPU89" s="1055"/>
      <c r="GPV89" s="1055"/>
      <c r="GPW89" s="1055"/>
      <c r="GPX89" s="1055"/>
      <c r="GPY89" s="1055"/>
      <c r="GPZ89" s="1055"/>
      <c r="GQA89" s="1055"/>
      <c r="GQB89" s="1055"/>
      <c r="GQC89" s="1055"/>
      <c r="GQD89" s="1055"/>
      <c r="GQE89" s="1055"/>
      <c r="GQF89" s="1055"/>
      <c r="GQG89" s="1055"/>
      <c r="GQH89" s="1055"/>
      <c r="GQI89" s="1055"/>
      <c r="GQJ89" s="1055"/>
      <c r="GQK89" s="1055"/>
      <c r="GQL89" s="1055"/>
      <c r="GQM89" s="1055"/>
      <c r="GQN89" s="1055"/>
      <c r="GQO89" s="1055"/>
      <c r="GQP89" s="1055"/>
      <c r="GQQ89" s="1055"/>
      <c r="GQR89" s="1055"/>
      <c r="GQS89" s="1055"/>
      <c r="GQT89" s="1055"/>
      <c r="GQU89" s="1055"/>
      <c r="GQV89" s="1055"/>
      <c r="GQW89" s="1055"/>
      <c r="GQX89" s="1055"/>
      <c r="GQY89" s="1055"/>
      <c r="GQZ89" s="1055"/>
      <c r="GRA89" s="1055"/>
      <c r="GRB89" s="1055"/>
      <c r="GRC89" s="1055"/>
      <c r="GRD89" s="1055"/>
      <c r="GRE89" s="1055"/>
      <c r="GRF89" s="1055"/>
      <c r="GRG89" s="1055"/>
      <c r="GRH89" s="1055"/>
      <c r="GRI89" s="1055"/>
      <c r="GRJ89" s="1055"/>
      <c r="GRK89" s="1055"/>
      <c r="GRL89" s="1055"/>
      <c r="GRM89" s="1055"/>
      <c r="GRN89" s="1055"/>
      <c r="GRO89" s="1055"/>
      <c r="GRP89" s="1055"/>
      <c r="GRQ89" s="1055"/>
      <c r="GRR89" s="1055"/>
      <c r="GRS89" s="1055"/>
      <c r="GRT89" s="1055"/>
      <c r="GRU89" s="1055"/>
      <c r="GRV89" s="1055"/>
      <c r="GRW89" s="1055"/>
      <c r="GRX89" s="1055"/>
      <c r="GRY89" s="1055"/>
      <c r="GRZ89" s="1055"/>
      <c r="GSA89" s="1055"/>
      <c r="GSB89" s="1055"/>
      <c r="GSC89" s="1055"/>
      <c r="GSD89" s="1055"/>
      <c r="GSE89" s="1055"/>
      <c r="GSF89" s="1055"/>
      <c r="GSG89" s="1055"/>
      <c r="GSH89" s="1055"/>
      <c r="GSI89" s="1055"/>
      <c r="GSJ89" s="1055"/>
      <c r="GSK89" s="1055"/>
      <c r="GSL89" s="1055"/>
      <c r="GSM89" s="1055"/>
      <c r="GSN89" s="1055"/>
      <c r="GSO89" s="1055"/>
      <c r="GSP89" s="1055"/>
      <c r="GSQ89" s="1055"/>
      <c r="GSR89" s="1055"/>
      <c r="GSS89" s="1055"/>
      <c r="GST89" s="1055"/>
      <c r="GSU89" s="1055"/>
      <c r="GSV89" s="1055"/>
      <c r="GSW89" s="1055"/>
      <c r="GSX89" s="1055"/>
      <c r="GSY89" s="1055"/>
      <c r="GSZ89" s="1055"/>
      <c r="GTA89" s="1055"/>
      <c r="GTB89" s="1055"/>
      <c r="GTC89" s="1055"/>
      <c r="GTD89" s="1055"/>
      <c r="GTE89" s="1055"/>
      <c r="GTF89" s="1055"/>
      <c r="GTG89" s="1055"/>
      <c r="GTH89" s="1055"/>
      <c r="GTI89" s="1055"/>
      <c r="GTJ89" s="1055"/>
      <c r="GTK89" s="1055"/>
      <c r="GTL89" s="1055"/>
      <c r="GTM89" s="1055"/>
      <c r="GTN89" s="1055"/>
      <c r="GTO89" s="1055"/>
      <c r="GTP89" s="1055"/>
      <c r="GTQ89" s="1055"/>
      <c r="GTR89" s="1055"/>
      <c r="GTS89" s="1055"/>
      <c r="GTT89" s="1055"/>
      <c r="GTU89" s="1055"/>
      <c r="GTV89" s="1055"/>
      <c r="GTW89" s="1055"/>
      <c r="GTX89" s="1055"/>
      <c r="GTY89" s="1055"/>
      <c r="GTZ89" s="1055"/>
      <c r="GUA89" s="1055"/>
      <c r="GUB89" s="1055"/>
      <c r="GUC89" s="1055"/>
      <c r="GUD89" s="1055"/>
      <c r="GUE89" s="1055"/>
      <c r="GUF89" s="1055"/>
      <c r="GUG89" s="1055"/>
      <c r="GUH89" s="1055"/>
      <c r="GUI89" s="1055"/>
      <c r="GUJ89" s="1055"/>
      <c r="GUK89" s="1055"/>
      <c r="GUL89" s="1055"/>
      <c r="GUM89" s="1055"/>
      <c r="GUN89" s="1055"/>
      <c r="GUO89" s="1055"/>
      <c r="GUP89" s="1055"/>
      <c r="GUQ89" s="1055"/>
      <c r="GUR89" s="1055"/>
      <c r="GUS89" s="1055"/>
      <c r="GUT89" s="1055"/>
      <c r="GUU89" s="1055"/>
      <c r="GUV89" s="1055"/>
      <c r="GUW89" s="1055"/>
      <c r="GUX89" s="1055"/>
      <c r="GUY89" s="1055"/>
      <c r="GUZ89" s="1055"/>
      <c r="GVA89" s="1055"/>
      <c r="GVB89" s="1055"/>
      <c r="GVC89" s="1055"/>
      <c r="GVD89" s="1055"/>
      <c r="GVE89" s="1055"/>
      <c r="GVF89" s="1055"/>
      <c r="GVG89" s="1055"/>
      <c r="GVH89" s="1055"/>
      <c r="GVI89" s="1055"/>
      <c r="GVJ89" s="1055"/>
      <c r="GVK89" s="1055"/>
      <c r="GVL89" s="1055"/>
      <c r="GVM89" s="1055"/>
      <c r="GVN89" s="1055"/>
      <c r="GVO89" s="1055"/>
      <c r="GVP89" s="1055"/>
      <c r="GVQ89" s="1055"/>
      <c r="GVR89" s="1055"/>
      <c r="GVS89" s="1055"/>
      <c r="GVT89" s="1055"/>
      <c r="GVU89" s="1055"/>
      <c r="GVV89" s="1055"/>
      <c r="GVW89" s="1055"/>
      <c r="GVX89" s="1055"/>
      <c r="GVY89" s="1055"/>
      <c r="GVZ89" s="1055"/>
      <c r="GWA89" s="1055"/>
      <c r="GWB89" s="1055"/>
      <c r="GWC89" s="1055"/>
      <c r="GWD89" s="1055"/>
      <c r="GWE89" s="1055"/>
      <c r="GWF89" s="1055"/>
      <c r="GWG89" s="1055"/>
      <c r="GWH89" s="1055"/>
      <c r="GWI89" s="1055"/>
      <c r="GWJ89" s="1055"/>
      <c r="GWK89" s="1055"/>
      <c r="GWL89" s="1055"/>
      <c r="GWM89" s="1055"/>
      <c r="GWN89" s="1055"/>
      <c r="GWO89" s="1055"/>
      <c r="GWP89" s="1055"/>
      <c r="GWQ89" s="1055"/>
      <c r="GWR89" s="1055"/>
      <c r="GWS89" s="1055"/>
      <c r="GWT89" s="1055"/>
      <c r="GWU89" s="1055"/>
      <c r="GWV89" s="1055"/>
      <c r="GWW89" s="1055"/>
      <c r="GWX89" s="1055"/>
      <c r="GWY89" s="1055"/>
      <c r="GWZ89" s="1055"/>
      <c r="GXA89" s="1055"/>
      <c r="GXB89" s="1055"/>
      <c r="GXC89" s="1055"/>
      <c r="GXD89" s="1055"/>
      <c r="GXE89" s="1055"/>
      <c r="GXF89" s="1055"/>
      <c r="GXG89" s="1055"/>
      <c r="GXH89" s="1055"/>
      <c r="GXI89" s="1055"/>
      <c r="GXJ89" s="1055"/>
      <c r="GXK89" s="1055"/>
      <c r="GXL89" s="1055"/>
      <c r="GXM89" s="1055"/>
      <c r="GXN89" s="1055"/>
      <c r="GXO89" s="1055"/>
      <c r="GXP89" s="1055"/>
      <c r="GXQ89" s="1055"/>
      <c r="GXR89" s="1055"/>
      <c r="GXS89" s="1055"/>
      <c r="GXT89" s="1055"/>
      <c r="GXU89" s="1055"/>
      <c r="GXV89" s="1055"/>
      <c r="GXW89" s="1055"/>
      <c r="GXX89" s="1055"/>
      <c r="GXY89" s="1055"/>
      <c r="GXZ89" s="1055"/>
      <c r="GYA89" s="1055"/>
      <c r="GYB89" s="1055"/>
      <c r="GYC89" s="1055"/>
      <c r="GYD89" s="1055"/>
      <c r="GYE89" s="1055"/>
      <c r="GYF89" s="1055"/>
      <c r="GYG89" s="1055"/>
      <c r="GYH89" s="1055"/>
      <c r="GYI89" s="1055"/>
      <c r="GYJ89" s="1055"/>
      <c r="GYK89" s="1055"/>
      <c r="GYL89" s="1055"/>
      <c r="GYM89" s="1055"/>
      <c r="GYN89" s="1055"/>
      <c r="GYO89" s="1055"/>
      <c r="GYP89" s="1055"/>
      <c r="GYQ89" s="1055"/>
      <c r="GYR89" s="1055"/>
      <c r="GYS89" s="1055"/>
      <c r="GYT89" s="1055"/>
      <c r="GYU89" s="1055"/>
      <c r="GYV89" s="1055"/>
      <c r="GYW89" s="1055"/>
      <c r="GYX89" s="1055"/>
      <c r="GYY89" s="1055"/>
      <c r="GYZ89" s="1055"/>
      <c r="GZA89" s="1055"/>
      <c r="GZB89" s="1055"/>
      <c r="GZC89" s="1055"/>
      <c r="GZD89" s="1055"/>
      <c r="GZE89" s="1055"/>
      <c r="GZF89" s="1055"/>
      <c r="GZG89" s="1055"/>
      <c r="GZH89" s="1055"/>
      <c r="GZI89" s="1055"/>
      <c r="GZJ89" s="1055"/>
      <c r="GZK89" s="1055"/>
      <c r="GZL89" s="1055"/>
      <c r="GZM89" s="1055"/>
      <c r="GZN89" s="1055"/>
      <c r="GZO89" s="1055"/>
      <c r="GZP89" s="1055"/>
      <c r="GZQ89" s="1055"/>
      <c r="GZR89" s="1055"/>
      <c r="GZS89" s="1055"/>
      <c r="GZT89" s="1055"/>
      <c r="GZU89" s="1055"/>
      <c r="GZV89" s="1055"/>
      <c r="GZW89" s="1055"/>
      <c r="GZX89" s="1055"/>
      <c r="GZY89" s="1055"/>
      <c r="GZZ89" s="1055"/>
      <c r="HAA89" s="1055"/>
      <c r="HAB89" s="1055"/>
      <c r="HAC89" s="1055"/>
      <c r="HAD89" s="1055"/>
      <c r="HAE89" s="1055"/>
      <c r="HAF89" s="1055"/>
      <c r="HAG89" s="1055"/>
      <c r="HAH89" s="1055"/>
      <c r="HAI89" s="1055"/>
      <c r="HAJ89" s="1055"/>
      <c r="HAK89" s="1055"/>
      <c r="HAL89" s="1055"/>
      <c r="HAM89" s="1055"/>
      <c r="HAN89" s="1055"/>
      <c r="HAO89" s="1055"/>
      <c r="HAP89" s="1055"/>
      <c r="HAQ89" s="1055"/>
      <c r="HAR89" s="1055"/>
      <c r="HAS89" s="1055"/>
      <c r="HAT89" s="1055"/>
      <c r="HAU89" s="1055"/>
      <c r="HAV89" s="1055"/>
      <c r="HAW89" s="1055"/>
      <c r="HAX89" s="1055"/>
      <c r="HAY89" s="1055"/>
      <c r="HAZ89" s="1055"/>
      <c r="HBA89" s="1055"/>
      <c r="HBB89" s="1055"/>
      <c r="HBC89" s="1055"/>
      <c r="HBD89" s="1055"/>
      <c r="HBE89" s="1055"/>
      <c r="HBF89" s="1055"/>
      <c r="HBG89" s="1055"/>
      <c r="HBH89" s="1055"/>
      <c r="HBI89" s="1055"/>
      <c r="HBJ89" s="1055"/>
      <c r="HBK89" s="1055"/>
      <c r="HBL89" s="1055"/>
      <c r="HBM89" s="1055"/>
      <c r="HBN89" s="1055"/>
      <c r="HBO89" s="1055"/>
      <c r="HBP89" s="1055"/>
      <c r="HBQ89" s="1055"/>
      <c r="HBR89" s="1055"/>
      <c r="HBS89" s="1055"/>
      <c r="HBT89" s="1055"/>
      <c r="HBU89" s="1055"/>
      <c r="HBV89" s="1055"/>
      <c r="HBW89" s="1055"/>
      <c r="HBX89" s="1055"/>
      <c r="HBY89" s="1055"/>
      <c r="HBZ89" s="1055"/>
      <c r="HCA89" s="1055"/>
      <c r="HCB89" s="1055"/>
      <c r="HCC89" s="1055"/>
      <c r="HCD89" s="1055"/>
      <c r="HCE89" s="1055"/>
      <c r="HCF89" s="1055"/>
      <c r="HCG89" s="1055"/>
      <c r="HCH89" s="1055"/>
      <c r="HCI89" s="1055"/>
      <c r="HCJ89" s="1055"/>
      <c r="HCK89" s="1055"/>
      <c r="HCL89" s="1055"/>
      <c r="HCM89" s="1055"/>
      <c r="HCN89" s="1055"/>
      <c r="HCO89" s="1055"/>
      <c r="HCP89" s="1055"/>
      <c r="HCQ89" s="1055"/>
      <c r="HCR89" s="1055"/>
      <c r="HCS89" s="1055"/>
      <c r="HCT89" s="1055"/>
      <c r="HCU89" s="1055"/>
      <c r="HCV89" s="1055"/>
      <c r="HCW89" s="1055"/>
      <c r="HCX89" s="1055"/>
      <c r="HCY89" s="1055"/>
      <c r="HCZ89" s="1055"/>
      <c r="HDA89" s="1055"/>
      <c r="HDB89" s="1055"/>
      <c r="HDC89" s="1055"/>
      <c r="HDD89" s="1055"/>
      <c r="HDE89" s="1055"/>
      <c r="HDF89" s="1055"/>
      <c r="HDG89" s="1055"/>
      <c r="HDH89" s="1055"/>
      <c r="HDI89" s="1055"/>
      <c r="HDJ89" s="1055"/>
      <c r="HDK89" s="1055"/>
      <c r="HDL89" s="1055"/>
      <c r="HDM89" s="1055"/>
      <c r="HDN89" s="1055"/>
      <c r="HDO89" s="1055"/>
      <c r="HDP89" s="1055"/>
      <c r="HDQ89" s="1055"/>
      <c r="HDR89" s="1055"/>
      <c r="HDS89" s="1055"/>
      <c r="HDT89" s="1055"/>
      <c r="HDU89" s="1055"/>
      <c r="HDV89" s="1055"/>
      <c r="HDW89" s="1055"/>
      <c r="HDX89" s="1055"/>
      <c r="HDY89" s="1055"/>
      <c r="HDZ89" s="1055"/>
      <c r="HEA89" s="1055"/>
      <c r="HEB89" s="1055"/>
      <c r="HEC89" s="1055"/>
      <c r="HED89" s="1055"/>
      <c r="HEE89" s="1055"/>
      <c r="HEF89" s="1055"/>
      <c r="HEG89" s="1055"/>
      <c r="HEH89" s="1055"/>
      <c r="HEI89" s="1055"/>
      <c r="HEJ89" s="1055"/>
      <c r="HEK89" s="1055"/>
      <c r="HEL89" s="1055"/>
      <c r="HEM89" s="1055"/>
      <c r="HEN89" s="1055"/>
      <c r="HEO89" s="1055"/>
      <c r="HEP89" s="1055"/>
      <c r="HEQ89" s="1055"/>
      <c r="HER89" s="1055"/>
      <c r="HES89" s="1055"/>
      <c r="HET89" s="1055"/>
      <c r="HEU89" s="1055"/>
      <c r="HEV89" s="1055"/>
      <c r="HEW89" s="1055"/>
      <c r="HEX89" s="1055"/>
      <c r="HEY89" s="1055"/>
      <c r="HEZ89" s="1055"/>
      <c r="HFA89" s="1055"/>
      <c r="HFB89" s="1055"/>
      <c r="HFC89" s="1055"/>
      <c r="HFD89" s="1055"/>
      <c r="HFE89" s="1055"/>
      <c r="HFF89" s="1055"/>
      <c r="HFG89" s="1055"/>
      <c r="HFH89" s="1055"/>
      <c r="HFI89" s="1055"/>
      <c r="HFJ89" s="1055"/>
      <c r="HFK89" s="1055"/>
      <c r="HFL89" s="1055"/>
      <c r="HFM89" s="1055"/>
      <c r="HFN89" s="1055"/>
      <c r="HFO89" s="1055"/>
      <c r="HFP89" s="1055"/>
      <c r="HFQ89" s="1055"/>
      <c r="HFR89" s="1055"/>
      <c r="HFS89" s="1055"/>
      <c r="HFT89" s="1055"/>
      <c r="HFU89" s="1055"/>
      <c r="HFV89" s="1055"/>
      <c r="HFW89" s="1055"/>
      <c r="HFX89" s="1055"/>
      <c r="HFY89" s="1055"/>
      <c r="HFZ89" s="1055"/>
      <c r="HGA89" s="1055"/>
      <c r="HGB89" s="1055"/>
      <c r="HGC89" s="1055"/>
      <c r="HGD89" s="1055"/>
      <c r="HGE89" s="1055"/>
      <c r="HGF89" s="1055"/>
      <c r="HGG89" s="1055"/>
      <c r="HGH89" s="1055"/>
      <c r="HGI89" s="1055"/>
      <c r="HGJ89" s="1055"/>
      <c r="HGK89" s="1055"/>
      <c r="HGL89" s="1055"/>
      <c r="HGM89" s="1055"/>
      <c r="HGN89" s="1055"/>
      <c r="HGO89" s="1055"/>
      <c r="HGP89" s="1055"/>
      <c r="HGQ89" s="1055"/>
      <c r="HGR89" s="1055"/>
      <c r="HGS89" s="1055"/>
      <c r="HGT89" s="1055"/>
      <c r="HGU89" s="1055"/>
      <c r="HGV89" s="1055"/>
      <c r="HGW89" s="1055"/>
      <c r="HGX89" s="1055"/>
      <c r="HGY89" s="1055"/>
      <c r="HGZ89" s="1055"/>
      <c r="HHA89" s="1055"/>
      <c r="HHB89" s="1055"/>
      <c r="HHC89" s="1055"/>
      <c r="HHD89" s="1055"/>
      <c r="HHE89" s="1055"/>
      <c r="HHF89" s="1055"/>
      <c r="HHG89" s="1055"/>
      <c r="HHH89" s="1055"/>
      <c r="HHI89" s="1055"/>
      <c r="HHJ89" s="1055"/>
      <c r="HHK89" s="1055"/>
      <c r="HHL89" s="1055"/>
      <c r="HHM89" s="1055"/>
      <c r="HHN89" s="1055"/>
      <c r="HHO89" s="1055"/>
      <c r="HHP89" s="1055"/>
      <c r="HHQ89" s="1055"/>
      <c r="HHR89" s="1055"/>
      <c r="HHS89" s="1055"/>
      <c r="HHT89" s="1055"/>
      <c r="HHU89" s="1055"/>
      <c r="HHV89" s="1055"/>
      <c r="HHW89" s="1055"/>
      <c r="HHX89" s="1055"/>
      <c r="HHY89" s="1055"/>
      <c r="HHZ89" s="1055"/>
      <c r="HIA89" s="1055"/>
      <c r="HIB89" s="1055"/>
      <c r="HIC89" s="1055"/>
      <c r="HID89" s="1055"/>
      <c r="HIE89" s="1055"/>
      <c r="HIF89" s="1055"/>
      <c r="HIG89" s="1055"/>
      <c r="HIH89" s="1055"/>
      <c r="HII89" s="1055"/>
      <c r="HIJ89" s="1055"/>
      <c r="HIK89" s="1055"/>
      <c r="HIL89" s="1055"/>
      <c r="HIM89" s="1055"/>
      <c r="HIN89" s="1055"/>
      <c r="HIO89" s="1055"/>
      <c r="HIP89" s="1055"/>
      <c r="HIQ89" s="1055"/>
      <c r="HIR89" s="1055"/>
      <c r="HIS89" s="1055"/>
      <c r="HIT89" s="1055"/>
      <c r="HIU89" s="1055"/>
      <c r="HIV89" s="1055"/>
      <c r="HIW89" s="1055"/>
      <c r="HIX89" s="1055"/>
      <c r="HIY89" s="1055"/>
      <c r="HIZ89" s="1055"/>
      <c r="HJA89" s="1055"/>
      <c r="HJB89" s="1055"/>
      <c r="HJC89" s="1055"/>
      <c r="HJD89" s="1055"/>
      <c r="HJE89" s="1055"/>
      <c r="HJF89" s="1055"/>
      <c r="HJG89" s="1055"/>
      <c r="HJH89" s="1055"/>
      <c r="HJI89" s="1055"/>
      <c r="HJJ89" s="1055"/>
      <c r="HJK89" s="1055"/>
      <c r="HJL89" s="1055"/>
      <c r="HJM89" s="1055"/>
      <c r="HJN89" s="1055"/>
      <c r="HJO89" s="1055"/>
      <c r="HJP89" s="1055"/>
      <c r="HJQ89" s="1055"/>
      <c r="HJR89" s="1055"/>
      <c r="HJS89" s="1055"/>
      <c r="HJT89" s="1055"/>
      <c r="HJU89" s="1055"/>
      <c r="HJV89" s="1055"/>
      <c r="HJW89" s="1055"/>
      <c r="HJX89" s="1055"/>
      <c r="HJY89" s="1055"/>
      <c r="HJZ89" s="1055"/>
      <c r="HKA89" s="1055"/>
      <c r="HKB89" s="1055"/>
      <c r="HKC89" s="1055"/>
      <c r="HKD89" s="1055"/>
      <c r="HKE89" s="1055"/>
      <c r="HKF89" s="1055"/>
      <c r="HKG89" s="1055"/>
      <c r="HKH89" s="1055"/>
      <c r="HKI89" s="1055"/>
      <c r="HKJ89" s="1055"/>
      <c r="HKK89" s="1055"/>
      <c r="HKL89" s="1055"/>
      <c r="HKM89" s="1055"/>
      <c r="HKN89" s="1055"/>
      <c r="HKO89" s="1055"/>
      <c r="HKP89" s="1055"/>
      <c r="HKQ89" s="1055"/>
      <c r="HKR89" s="1055"/>
      <c r="HKS89" s="1055"/>
      <c r="HKT89" s="1055"/>
      <c r="HKU89" s="1055"/>
      <c r="HKV89" s="1055"/>
      <c r="HKW89" s="1055"/>
      <c r="HKX89" s="1055"/>
      <c r="HKY89" s="1055"/>
      <c r="HKZ89" s="1055"/>
      <c r="HLA89" s="1055"/>
      <c r="HLB89" s="1055"/>
      <c r="HLC89" s="1055"/>
      <c r="HLD89" s="1055"/>
      <c r="HLE89" s="1055"/>
      <c r="HLF89" s="1055"/>
      <c r="HLG89" s="1055"/>
      <c r="HLH89" s="1055"/>
      <c r="HLI89" s="1055"/>
      <c r="HLJ89" s="1055"/>
      <c r="HLK89" s="1055"/>
      <c r="HLL89" s="1055"/>
      <c r="HLM89" s="1055"/>
      <c r="HLN89" s="1055"/>
      <c r="HLO89" s="1055"/>
      <c r="HLP89" s="1055"/>
      <c r="HLQ89" s="1055"/>
      <c r="HLR89" s="1055"/>
      <c r="HLS89" s="1055"/>
      <c r="HLT89" s="1055"/>
      <c r="HLU89" s="1055"/>
      <c r="HLV89" s="1055"/>
      <c r="HLW89" s="1055"/>
      <c r="HLX89" s="1055"/>
      <c r="HLY89" s="1055"/>
      <c r="HLZ89" s="1055"/>
      <c r="HMA89" s="1055"/>
      <c r="HMB89" s="1055"/>
      <c r="HMC89" s="1055"/>
      <c r="HMD89" s="1055"/>
      <c r="HME89" s="1055"/>
      <c r="HMF89" s="1055"/>
      <c r="HMG89" s="1055"/>
      <c r="HMH89" s="1055"/>
      <c r="HMI89" s="1055"/>
      <c r="HMJ89" s="1055"/>
      <c r="HMK89" s="1055"/>
      <c r="HML89" s="1055"/>
      <c r="HMM89" s="1055"/>
      <c r="HMN89" s="1055"/>
      <c r="HMO89" s="1055"/>
      <c r="HMP89" s="1055"/>
      <c r="HMQ89" s="1055"/>
      <c r="HMR89" s="1055"/>
      <c r="HMS89" s="1055"/>
      <c r="HMT89" s="1055"/>
      <c r="HMU89" s="1055"/>
      <c r="HMV89" s="1055"/>
      <c r="HMW89" s="1055"/>
      <c r="HMX89" s="1055"/>
      <c r="HMY89" s="1055"/>
      <c r="HMZ89" s="1055"/>
      <c r="HNA89" s="1055"/>
      <c r="HNB89" s="1055"/>
      <c r="HNC89" s="1055"/>
      <c r="HND89" s="1055"/>
      <c r="HNE89" s="1055"/>
      <c r="HNF89" s="1055"/>
      <c r="HNG89" s="1055"/>
      <c r="HNH89" s="1055"/>
      <c r="HNI89" s="1055"/>
      <c r="HNJ89" s="1055"/>
      <c r="HNK89" s="1055"/>
      <c r="HNL89" s="1055"/>
      <c r="HNM89" s="1055"/>
      <c r="HNN89" s="1055"/>
      <c r="HNO89" s="1055"/>
      <c r="HNP89" s="1055"/>
      <c r="HNQ89" s="1055"/>
      <c r="HNR89" s="1055"/>
      <c r="HNS89" s="1055"/>
      <c r="HNT89" s="1055"/>
      <c r="HNU89" s="1055"/>
      <c r="HNV89" s="1055"/>
      <c r="HNW89" s="1055"/>
      <c r="HNX89" s="1055"/>
      <c r="HNY89" s="1055"/>
      <c r="HNZ89" s="1055"/>
      <c r="HOA89" s="1055"/>
      <c r="HOB89" s="1055"/>
      <c r="HOC89" s="1055"/>
      <c r="HOD89" s="1055"/>
      <c r="HOE89" s="1055"/>
      <c r="HOF89" s="1055"/>
      <c r="HOG89" s="1055"/>
      <c r="HOH89" s="1055"/>
      <c r="HOI89" s="1055"/>
      <c r="HOJ89" s="1055"/>
      <c r="HOK89" s="1055"/>
      <c r="HOL89" s="1055"/>
      <c r="HOM89" s="1055"/>
      <c r="HON89" s="1055"/>
      <c r="HOO89" s="1055"/>
      <c r="HOP89" s="1055"/>
      <c r="HOQ89" s="1055"/>
      <c r="HOR89" s="1055"/>
      <c r="HOS89" s="1055"/>
      <c r="HOT89" s="1055"/>
      <c r="HOU89" s="1055"/>
      <c r="HOV89" s="1055"/>
      <c r="HOW89" s="1055"/>
      <c r="HOX89" s="1055"/>
      <c r="HOY89" s="1055"/>
      <c r="HOZ89" s="1055"/>
      <c r="HPA89" s="1055"/>
      <c r="HPB89" s="1055"/>
      <c r="HPC89" s="1055"/>
      <c r="HPD89" s="1055"/>
      <c r="HPE89" s="1055"/>
      <c r="HPF89" s="1055"/>
      <c r="HPG89" s="1055"/>
      <c r="HPH89" s="1055"/>
      <c r="HPI89" s="1055"/>
      <c r="HPJ89" s="1055"/>
      <c r="HPK89" s="1055"/>
      <c r="HPL89" s="1055"/>
      <c r="HPM89" s="1055"/>
      <c r="HPN89" s="1055"/>
      <c r="HPO89" s="1055"/>
      <c r="HPP89" s="1055"/>
      <c r="HPQ89" s="1055"/>
      <c r="HPR89" s="1055"/>
      <c r="HPS89" s="1055"/>
      <c r="HPT89" s="1055"/>
      <c r="HPU89" s="1055"/>
      <c r="HPV89" s="1055"/>
      <c r="HPW89" s="1055"/>
      <c r="HPX89" s="1055"/>
      <c r="HPY89" s="1055"/>
      <c r="HPZ89" s="1055"/>
      <c r="HQA89" s="1055"/>
      <c r="HQB89" s="1055"/>
      <c r="HQC89" s="1055"/>
      <c r="HQD89" s="1055"/>
      <c r="HQE89" s="1055"/>
      <c r="HQF89" s="1055"/>
      <c r="HQG89" s="1055"/>
      <c r="HQH89" s="1055"/>
      <c r="HQI89" s="1055"/>
      <c r="HQJ89" s="1055"/>
      <c r="HQK89" s="1055"/>
      <c r="HQL89" s="1055"/>
      <c r="HQM89" s="1055"/>
      <c r="HQN89" s="1055"/>
      <c r="HQO89" s="1055"/>
      <c r="HQP89" s="1055"/>
      <c r="HQQ89" s="1055"/>
      <c r="HQR89" s="1055"/>
      <c r="HQS89" s="1055"/>
      <c r="HQT89" s="1055"/>
      <c r="HQU89" s="1055"/>
      <c r="HQV89" s="1055"/>
      <c r="HQW89" s="1055"/>
      <c r="HQX89" s="1055"/>
      <c r="HQY89" s="1055"/>
      <c r="HQZ89" s="1055"/>
      <c r="HRA89" s="1055"/>
      <c r="HRB89" s="1055"/>
      <c r="HRC89" s="1055"/>
      <c r="HRD89" s="1055"/>
      <c r="HRE89" s="1055"/>
      <c r="HRF89" s="1055"/>
      <c r="HRG89" s="1055"/>
      <c r="HRH89" s="1055"/>
      <c r="HRI89" s="1055"/>
      <c r="HRJ89" s="1055"/>
      <c r="HRK89" s="1055"/>
      <c r="HRL89" s="1055"/>
      <c r="HRM89" s="1055"/>
      <c r="HRN89" s="1055"/>
      <c r="HRO89" s="1055"/>
      <c r="HRP89" s="1055"/>
      <c r="HRQ89" s="1055"/>
      <c r="HRR89" s="1055"/>
      <c r="HRS89" s="1055"/>
      <c r="HRT89" s="1055"/>
      <c r="HRU89" s="1055"/>
      <c r="HRV89" s="1055"/>
      <c r="HRW89" s="1055"/>
      <c r="HRX89" s="1055"/>
      <c r="HRY89" s="1055"/>
      <c r="HRZ89" s="1055"/>
      <c r="HSA89" s="1055"/>
      <c r="HSB89" s="1055"/>
      <c r="HSC89" s="1055"/>
      <c r="HSD89" s="1055"/>
      <c r="HSE89" s="1055"/>
      <c r="HSF89" s="1055"/>
      <c r="HSG89" s="1055"/>
      <c r="HSH89" s="1055"/>
      <c r="HSI89" s="1055"/>
      <c r="HSJ89" s="1055"/>
      <c r="HSK89" s="1055"/>
      <c r="HSL89" s="1055"/>
      <c r="HSM89" s="1055"/>
      <c r="HSN89" s="1055"/>
      <c r="HSO89" s="1055"/>
      <c r="HSP89" s="1055"/>
      <c r="HSQ89" s="1055"/>
      <c r="HSR89" s="1055"/>
      <c r="HSS89" s="1055"/>
      <c r="HST89" s="1055"/>
      <c r="HSU89" s="1055"/>
      <c r="HSV89" s="1055"/>
      <c r="HSW89" s="1055"/>
      <c r="HSX89" s="1055"/>
      <c r="HSY89" s="1055"/>
      <c r="HSZ89" s="1055"/>
      <c r="HTA89" s="1055"/>
      <c r="HTB89" s="1055"/>
      <c r="HTC89" s="1055"/>
      <c r="HTD89" s="1055"/>
      <c r="HTE89" s="1055"/>
      <c r="HTF89" s="1055"/>
      <c r="HTG89" s="1055"/>
      <c r="HTH89" s="1055"/>
      <c r="HTI89" s="1055"/>
      <c r="HTJ89" s="1055"/>
      <c r="HTK89" s="1055"/>
      <c r="HTL89" s="1055"/>
      <c r="HTM89" s="1055"/>
      <c r="HTN89" s="1055"/>
      <c r="HTO89" s="1055"/>
      <c r="HTP89" s="1055"/>
      <c r="HTQ89" s="1055"/>
      <c r="HTR89" s="1055"/>
      <c r="HTS89" s="1055"/>
      <c r="HTT89" s="1055"/>
      <c r="HTU89" s="1055"/>
      <c r="HTV89" s="1055"/>
      <c r="HTW89" s="1055"/>
      <c r="HTX89" s="1055"/>
      <c r="HTY89" s="1055"/>
      <c r="HTZ89" s="1055"/>
      <c r="HUA89" s="1055"/>
      <c r="HUB89" s="1055"/>
      <c r="HUC89" s="1055"/>
      <c r="HUD89" s="1055"/>
      <c r="HUE89" s="1055"/>
      <c r="HUF89" s="1055"/>
      <c r="HUG89" s="1055"/>
      <c r="HUH89" s="1055"/>
      <c r="HUI89" s="1055"/>
      <c r="HUJ89" s="1055"/>
      <c r="HUK89" s="1055"/>
      <c r="HUL89" s="1055"/>
      <c r="HUM89" s="1055"/>
      <c r="HUN89" s="1055"/>
      <c r="HUO89" s="1055"/>
      <c r="HUP89" s="1055"/>
      <c r="HUQ89" s="1055"/>
      <c r="HUR89" s="1055"/>
      <c r="HUS89" s="1055"/>
      <c r="HUT89" s="1055"/>
      <c r="HUU89" s="1055"/>
      <c r="HUV89" s="1055"/>
      <c r="HUW89" s="1055"/>
      <c r="HUX89" s="1055"/>
      <c r="HUY89" s="1055"/>
      <c r="HUZ89" s="1055"/>
      <c r="HVA89" s="1055"/>
      <c r="HVB89" s="1055"/>
      <c r="HVC89" s="1055"/>
      <c r="HVD89" s="1055"/>
      <c r="HVE89" s="1055"/>
      <c r="HVF89" s="1055"/>
      <c r="HVG89" s="1055"/>
      <c r="HVH89" s="1055"/>
      <c r="HVI89" s="1055"/>
      <c r="HVJ89" s="1055"/>
      <c r="HVK89" s="1055"/>
      <c r="HVL89" s="1055"/>
      <c r="HVM89" s="1055"/>
      <c r="HVN89" s="1055"/>
      <c r="HVO89" s="1055"/>
      <c r="HVP89" s="1055"/>
      <c r="HVQ89" s="1055"/>
      <c r="HVR89" s="1055"/>
      <c r="HVS89" s="1055"/>
      <c r="HVT89" s="1055"/>
      <c r="HVU89" s="1055"/>
      <c r="HVV89" s="1055"/>
      <c r="HVW89" s="1055"/>
      <c r="HVX89" s="1055"/>
      <c r="HVY89" s="1055"/>
      <c r="HVZ89" s="1055"/>
      <c r="HWA89" s="1055"/>
      <c r="HWB89" s="1055"/>
      <c r="HWC89" s="1055"/>
      <c r="HWD89" s="1055"/>
      <c r="HWE89" s="1055"/>
      <c r="HWF89" s="1055"/>
      <c r="HWG89" s="1055"/>
      <c r="HWH89" s="1055"/>
      <c r="HWI89" s="1055"/>
      <c r="HWJ89" s="1055"/>
      <c r="HWK89" s="1055"/>
      <c r="HWL89" s="1055"/>
      <c r="HWM89" s="1055"/>
      <c r="HWN89" s="1055"/>
      <c r="HWO89" s="1055"/>
      <c r="HWP89" s="1055"/>
      <c r="HWQ89" s="1055"/>
      <c r="HWR89" s="1055"/>
      <c r="HWS89" s="1055"/>
      <c r="HWT89" s="1055"/>
      <c r="HWU89" s="1055"/>
      <c r="HWV89" s="1055"/>
      <c r="HWW89" s="1055"/>
      <c r="HWX89" s="1055"/>
      <c r="HWY89" s="1055"/>
      <c r="HWZ89" s="1055"/>
      <c r="HXA89" s="1055"/>
      <c r="HXB89" s="1055"/>
      <c r="HXC89" s="1055"/>
      <c r="HXD89" s="1055"/>
      <c r="HXE89" s="1055"/>
      <c r="HXF89" s="1055"/>
      <c r="HXG89" s="1055"/>
      <c r="HXH89" s="1055"/>
      <c r="HXI89" s="1055"/>
      <c r="HXJ89" s="1055"/>
      <c r="HXK89" s="1055"/>
      <c r="HXL89" s="1055"/>
      <c r="HXM89" s="1055"/>
      <c r="HXN89" s="1055"/>
      <c r="HXO89" s="1055"/>
      <c r="HXP89" s="1055"/>
      <c r="HXQ89" s="1055"/>
      <c r="HXR89" s="1055"/>
      <c r="HXS89" s="1055"/>
      <c r="HXT89" s="1055"/>
      <c r="HXU89" s="1055"/>
      <c r="HXV89" s="1055"/>
      <c r="HXW89" s="1055"/>
      <c r="HXX89" s="1055"/>
      <c r="HXY89" s="1055"/>
      <c r="HXZ89" s="1055"/>
      <c r="HYA89" s="1055"/>
      <c r="HYB89" s="1055"/>
      <c r="HYC89" s="1055"/>
      <c r="HYD89" s="1055"/>
      <c r="HYE89" s="1055"/>
      <c r="HYF89" s="1055"/>
      <c r="HYG89" s="1055"/>
      <c r="HYH89" s="1055"/>
      <c r="HYI89" s="1055"/>
      <c r="HYJ89" s="1055"/>
      <c r="HYK89" s="1055"/>
      <c r="HYL89" s="1055"/>
      <c r="HYM89" s="1055"/>
      <c r="HYN89" s="1055"/>
      <c r="HYO89" s="1055"/>
      <c r="HYP89" s="1055"/>
      <c r="HYQ89" s="1055"/>
      <c r="HYR89" s="1055"/>
      <c r="HYS89" s="1055"/>
      <c r="HYT89" s="1055"/>
      <c r="HYU89" s="1055"/>
      <c r="HYV89" s="1055"/>
      <c r="HYW89" s="1055"/>
      <c r="HYX89" s="1055"/>
      <c r="HYY89" s="1055"/>
      <c r="HYZ89" s="1055"/>
      <c r="HZA89" s="1055"/>
      <c r="HZB89" s="1055"/>
      <c r="HZC89" s="1055"/>
      <c r="HZD89" s="1055"/>
      <c r="HZE89" s="1055"/>
      <c r="HZF89" s="1055"/>
      <c r="HZG89" s="1055"/>
      <c r="HZH89" s="1055"/>
      <c r="HZI89" s="1055"/>
      <c r="HZJ89" s="1055"/>
      <c r="HZK89" s="1055"/>
      <c r="HZL89" s="1055"/>
      <c r="HZM89" s="1055"/>
      <c r="HZN89" s="1055"/>
      <c r="HZO89" s="1055"/>
      <c r="HZP89" s="1055"/>
      <c r="HZQ89" s="1055"/>
      <c r="HZR89" s="1055"/>
      <c r="HZS89" s="1055"/>
      <c r="HZT89" s="1055"/>
      <c r="HZU89" s="1055"/>
      <c r="HZV89" s="1055"/>
      <c r="HZW89" s="1055"/>
      <c r="HZX89" s="1055"/>
      <c r="HZY89" s="1055"/>
      <c r="HZZ89" s="1055"/>
      <c r="IAA89" s="1055"/>
      <c r="IAB89" s="1055"/>
      <c r="IAC89" s="1055"/>
      <c r="IAD89" s="1055"/>
      <c r="IAE89" s="1055"/>
      <c r="IAF89" s="1055"/>
      <c r="IAG89" s="1055"/>
      <c r="IAH89" s="1055"/>
      <c r="IAI89" s="1055"/>
      <c r="IAJ89" s="1055"/>
      <c r="IAK89" s="1055"/>
      <c r="IAL89" s="1055"/>
      <c r="IAM89" s="1055"/>
      <c r="IAN89" s="1055"/>
      <c r="IAO89" s="1055"/>
      <c r="IAP89" s="1055"/>
      <c r="IAQ89" s="1055"/>
      <c r="IAR89" s="1055"/>
      <c r="IAS89" s="1055"/>
      <c r="IAT89" s="1055"/>
      <c r="IAU89" s="1055"/>
      <c r="IAV89" s="1055"/>
      <c r="IAW89" s="1055"/>
      <c r="IAX89" s="1055"/>
      <c r="IAY89" s="1055"/>
      <c r="IAZ89" s="1055"/>
      <c r="IBA89" s="1055"/>
      <c r="IBB89" s="1055"/>
      <c r="IBC89" s="1055"/>
      <c r="IBD89" s="1055"/>
      <c r="IBE89" s="1055"/>
      <c r="IBF89" s="1055"/>
      <c r="IBG89" s="1055"/>
      <c r="IBH89" s="1055"/>
      <c r="IBI89" s="1055"/>
      <c r="IBJ89" s="1055"/>
      <c r="IBK89" s="1055"/>
      <c r="IBL89" s="1055"/>
      <c r="IBM89" s="1055"/>
      <c r="IBN89" s="1055"/>
      <c r="IBO89" s="1055"/>
      <c r="IBP89" s="1055"/>
      <c r="IBQ89" s="1055"/>
      <c r="IBR89" s="1055"/>
      <c r="IBS89" s="1055"/>
      <c r="IBT89" s="1055"/>
      <c r="IBU89" s="1055"/>
      <c r="IBV89" s="1055"/>
      <c r="IBW89" s="1055"/>
      <c r="IBX89" s="1055"/>
      <c r="IBY89" s="1055"/>
      <c r="IBZ89" s="1055"/>
      <c r="ICA89" s="1055"/>
      <c r="ICB89" s="1055"/>
      <c r="ICC89" s="1055"/>
      <c r="ICD89" s="1055"/>
      <c r="ICE89" s="1055"/>
      <c r="ICF89" s="1055"/>
      <c r="ICG89" s="1055"/>
      <c r="ICH89" s="1055"/>
      <c r="ICI89" s="1055"/>
      <c r="ICJ89" s="1055"/>
      <c r="ICK89" s="1055"/>
      <c r="ICL89" s="1055"/>
      <c r="ICM89" s="1055"/>
      <c r="ICN89" s="1055"/>
      <c r="ICO89" s="1055"/>
      <c r="ICP89" s="1055"/>
      <c r="ICQ89" s="1055"/>
      <c r="ICR89" s="1055"/>
      <c r="ICS89" s="1055"/>
      <c r="ICT89" s="1055"/>
      <c r="ICU89" s="1055"/>
      <c r="ICV89" s="1055"/>
      <c r="ICW89" s="1055"/>
      <c r="ICX89" s="1055"/>
      <c r="ICY89" s="1055"/>
      <c r="ICZ89" s="1055"/>
      <c r="IDA89" s="1055"/>
      <c r="IDB89" s="1055"/>
      <c r="IDC89" s="1055"/>
      <c r="IDD89" s="1055"/>
      <c r="IDE89" s="1055"/>
      <c r="IDF89" s="1055"/>
      <c r="IDG89" s="1055"/>
      <c r="IDH89" s="1055"/>
      <c r="IDI89" s="1055"/>
      <c r="IDJ89" s="1055"/>
      <c r="IDK89" s="1055"/>
      <c r="IDL89" s="1055"/>
      <c r="IDM89" s="1055"/>
      <c r="IDN89" s="1055"/>
      <c r="IDO89" s="1055"/>
      <c r="IDP89" s="1055"/>
      <c r="IDQ89" s="1055"/>
      <c r="IDR89" s="1055"/>
      <c r="IDS89" s="1055"/>
      <c r="IDT89" s="1055"/>
      <c r="IDU89" s="1055"/>
      <c r="IDV89" s="1055"/>
      <c r="IDW89" s="1055"/>
      <c r="IDX89" s="1055"/>
      <c r="IDY89" s="1055"/>
      <c r="IDZ89" s="1055"/>
      <c r="IEA89" s="1055"/>
      <c r="IEB89" s="1055"/>
      <c r="IEC89" s="1055"/>
      <c r="IED89" s="1055"/>
      <c r="IEE89" s="1055"/>
      <c r="IEF89" s="1055"/>
      <c r="IEG89" s="1055"/>
      <c r="IEH89" s="1055"/>
      <c r="IEI89" s="1055"/>
      <c r="IEJ89" s="1055"/>
      <c r="IEK89" s="1055"/>
      <c r="IEL89" s="1055"/>
      <c r="IEM89" s="1055"/>
      <c r="IEN89" s="1055"/>
      <c r="IEO89" s="1055"/>
      <c r="IEP89" s="1055"/>
      <c r="IEQ89" s="1055"/>
      <c r="IER89" s="1055"/>
      <c r="IES89" s="1055"/>
      <c r="IET89" s="1055"/>
      <c r="IEU89" s="1055"/>
      <c r="IEV89" s="1055"/>
      <c r="IEW89" s="1055"/>
      <c r="IEX89" s="1055"/>
      <c r="IEY89" s="1055"/>
      <c r="IEZ89" s="1055"/>
      <c r="IFA89" s="1055"/>
      <c r="IFB89" s="1055"/>
      <c r="IFC89" s="1055"/>
      <c r="IFD89" s="1055"/>
      <c r="IFE89" s="1055"/>
      <c r="IFF89" s="1055"/>
      <c r="IFG89" s="1055"/>
      <c r="IFH89" s="1055"/>
      <c r="IFI89" s="1055"/>
      <c r="IFJ89" s="1055"/>
      <c r="IFK89" s="1055"/>
      <c r="IFL89" s="1055"/>
      <c r="IFM89" s="1055"/>
      <c r="IFN89" s="1055"/>
      <c r="IFO89" s="1055"/>
      <c r="IFP89" s="1055"/>
      <c r="IFQ89" s="1055"/>
      <c r="IFR89" s="1055"/>
      <c r="IFS89" s="1055"/>
      <c r="IFT89" s="1055"/>
      <c r="IFU89" s="1055"/>
      <c r="IFV89" s="1055"/>
      <c r="IFW89" s="1055"/>
      <c r="IFX89" s="1055"/>
      <c r="IFY89" s="1055"/>
      <c r="IFZ89" s="1055"/>
      <c r="IGA89" s="1055"/>
      <c r="IGB89" s="1055"/>
      <c r="IGC89" s="1055"/>
      <c r="IGD89" s="1055"/>
      <c r="IGE89" s="1055"/>
      <c r="IGF89" s="1055"/>
      <c r="IGG89" s="1055"/>
      <c r="IGH89" s="1055"/>
      <c r="IGI89" s="1055"/>
      <c r="IGJ89" s="1055"/>
      <c r="IGK89" s="1055"/>
      <c r="IGL89" s="1055"/>
      <c r="IGM89" s="1055"/>
      <c r="IGN89" s="1055"/>
      <c r="IGO89" s="1055"/>
      <c r="IGP89" s="1055"/>
      <c r="IGQ89" s="1055"/>
      <c r="IGR89" s="1055"/>
      <c r="IGS89" s="1055"/>
      <c r="IGT89" s="1055"/>
      <c r="IGU89" s="1055"/>
      <c r="IGV89" s="1055"/>
      <c r="IGW89" s="1055"/>
      <c r="IGX89" s="1055"/>
      <c r="IGY89" s="1055"/>
      <c r="IGZ89" s="1055"/>
      <c r="IHA89" s="1055"/>
      <c r="IHB89" s="1055"/>
      <c r="IHC89" s="1055"/>
      <c r="IHD89" s="1055"/>
      <c r="IHE89" s="1055"/>
      <c r="IHF89" s="1055"/>
      <c r="IHG89" s="1055"/>
      <c r="IHH89" s="1055"/>
      <c r="IHI89" s="1055"/>
      <c r="IHJ89" s="1055"/>
      <c r="IHK89" s="1055"/>
      <c r="IHL89" s="1055"/>
      <c r="IHM89" s="1055"/>
      <c r="IHN89" s="1055"/>
      <c r="IHO89" s="1055"/>
      <c r="IHP89" s="1055"/>
      <c r="IHQ89" s="1055"/>
      <c r="IHR89" s="1055"/>
      <c r="IHS89" s="1055"/>
      <c r="IHT89" s="1055"/>
      <c r="IHU89" s="1055"/>
      <c r="IHV89" s="1055"/>
      <c r="IHW89" s="1055"/>
      <c r="IHX89" s="1055"/>
      <c r="IHY89" s="1055"/>
      <c r="IHZ89" s="1055"/>
      <c r="IIA89" s="1055"/>
      <c r="IIB89" s="1055"/>
      <c r="IIC89" s="1055"/>
      <c r="IID89" s="1055"/>
      <c r="IIE89" s="1055"/>
      <c r="IIF89" s="1055"/>
      <c r="IIG89" s="1055"/>
      <c r="IIH89" s="1055"/>
      <c r="III89" s="1055"/>
      <c r="IIJ89" s="1055"/>
      <c r="IIK89" s="1055"/>
      <c r="IIL89" s="1055"/>
      <c r="IIM89" s="1055"/>
      <c r="IIN89" s="1055"/>
      <c r="IIO89" s="1055"/>
      <c r="IIP89" s="1055"/>
      <c r="IIQ89" s="1055"/>
      <c r="IIR89" s="1055"/>
      <c r="IIS89" s="1055"/>
      <c r="IIT89" s="1055"/>
      <c r="IIU89" s="1055"/>
      <c r="IIV89" s="1055"/>
      <c r="IIW89" s="1055"/>
      <c r="IIX89" s="1055"/>
      <c r="IIY89" s="1055"/>
      <c r="IIZ89" s="1055"/>
      <c r="IJA89" s="1055"/>
      <c r="IJB89" s="1055"/>
      <c r="IJC89" s="1055"/>
      <c r="IJD89" s="1055"/>
      <c r="IJE89" s="1055"/>
      <c r="IJF89" s="1055"/>
      <c r="IJG89" s="1055"/>
      <c r="IJH89" s="1055"/>
      <c r="IJI89" s="1055"/>
      <c r="IJJ89" s="1055"/>
      <c r="IJK89" s="1055"/>
      <c r="IJL89" s="1055"/>
      <c r="IJM89" s="1055"/>
      <c r="IJN89" s="1055"/>
      <c r="IJO89" s="1055"/>
      <c r="IJP89" s="1055"/>
      <c r="IJQ89" s="1055"/>
      <c r="IJR89" s="1055"/>
      <c r="IJS89" s="1055"/>
      <c r="IJT89" s="1055"/>
      <c r="IJU89" s="1055"/>
      <c r="IJV89" s="1055"/>
      <c r="IJW89" s="1055"/>
      <c r="IJX89" s="1055"/>
      <c r="IJY89" s="1055"/>
      <c r="IJZ89" s="1055"/>
      <c r="IKA89" s="1055"/>
      <c r="IKB89" s="1055"/>
      <c r="IKC89" s="1055"/>
      <c r="IKD89" s="1055"/>
      <c r="IKE89" s="1055"/>
      <c r="IKF89" s="1055"/>
      <c r="IKG89" s="1055"/>
      <c r="IKH89" s="1055"/>
      <c r="IKI89" s="1055"/>
      <c r="IKJ89" s="1055"/>
      <c r="IKK89" s="1055"/>
      <c r="IKL89" s="1055"/>
      <c r="IKM89" s="1055"/>
      <c r="IKN89" s="1055"/>
      <c r="IKO89" s="1055"/>
      <c r="IKP89" s="1055"/>
      <c r="IKQ89" s="1055"/>
      <c r="IKR89" s="1055"/>
      <c r="IKS89" s="1055"/>
      <c r="IKT89" s="1055"/>
      <c r="IKU89" s="1055"/>
      <c r="IKV89" s="1055"/>
      <c r="IKW89" s="1055"/>
      <c r="IKX89" s="1055"/>
      <c r="IKY89" s="1055"/>
      <c r="IKZ89" s="1055"/>
      <c r="ILA89" s="1055"/>
      <c r="ILB89" s="1055"/>
      <c r="ILC89" s="1055"/>
      <c r="ILD89" s="1055"/>
      <c r="ILE89" s="1055"/>
      <c r="ILF89" s="1055"/>
      <c r="ILG89" s="1055"/>
      <c r="ILH89" s="1055"/>
      <c r="ILI89" s="1055"/>
      <c r="ILJ89" s="1055"/>
      <c r="ILK89" s="1055"/>
      <c r="ILL89" s="1055"/>
      <c r="ILM89" s="1055"/>
      <c r="ILN89" s="1055"/>
      <c r="ILO89" s="1055"/>
      <c r="ILP89" s="1055"/>
      <c r="ILQ89" s="1055"/>
      <c r="ILR89" s="1055"/>
      <c r="ILS89" s="1055"/>
      <c r="ILT89" s="1055"/>
      <c r="ILU89" s="1055"/>
      <c r="ILV89" s="1055"/>
      <c r="ILW89" s="1055"/>
      <c r="ILX89" s="1055"/>
      <c r="ILY89" s="1055"/>
      <c r="ILZ89" s="1055"/>
      <c r="IMA89" s="1055"/>
      <c r="IMB89" s="1055"/>
      <c r="IMC89" s="1055"/>
      <c r="IMD89" s="1055"/>
      <c r="IME89" s="1055"/>
      <c r="IMF89" s="1055"/>
      <c r="IMG89" s="1055"/>
      <c r="IMH89" s="1055"/>
      <c r="IMI89" s="1055"/>
      <c r="IMJ89" s="1055"/>
      <c r="IMK89" s="1055"/>
      <c r="IML89" s="1055"/>
      <c r="IMM89" s="1055"/>
      <c r="IMN89" s="1055"/>
      <c r="IMO89" s="1055"/>
      <c r="IMP89" s="1055"/>
      <c r="IMQ89" s="1055"/>
      <c r="IMR89" s="1055"/>
      <c r="IMS89" s="1055"/>
      <c r="IMT89" s="1055"/>
      <c r="IMU89" s="1055"/>
      <c r="IMV89" s="1055"/>
      <c r="IMW89" s="1055"/>
      <c r="IMX89" s="1055"/>
      <c r="IMY89" s="1055"/>
      <c r="IMZ89" s="1055"/>
      <c r="INA89" s="1055"/>
      <c r="INB89" s="1055"/>
      <c r="INC89" s="1055"/>
      <c r="IND89" s="1055"/>
      <c r="INE89" s="1055"/>
      <c r="INF89" s="1055"/>
      <c r="ING89" s="1055"/>
      <c r="INH89" s="1055"/>
      <c r="INI89" s="1055"/>
      <c r="INJ89" s="1055"/>
      <c r="INK89" s="1055"/>
      <c r="INL89" s="1055"/>
      <c r="INM89" s="1055"/>
      <c r="INN89" s="1055"/>
      <c r="INO89" s="1055"/>
      <c r="INP89" s="1055"/>
      <c r="INQ89" s="1055"/>
      <c r="INR89" s="1055"/>
      <c r="INS89" s="1055"/>
      <c r="INT89" s="1055"/>
      <c r="INU89" s="1055"/>
      <c r="INV89" s="1055"/>
      <c r="INW89" s="1055"/>
      <c r="INX89" s="1055"/>
      <c r="INY89" s="1055"/>
      <c r="INZ89" s="1055"/>
      <c r="IOA89" s="1055"/>
      <c r="IOB89" s="1055"/>
      <c r="IOC89" s="1055"/>
      <c r="IOD89" s="1055"/>
      <c r="IOE89" s="1055"/>
      <c r="IOF89" s="1055"/>
      <c r="IOG89" s="1055"/>
      <c r="IOH89" s="1055"/>
      <c r="IOI89" s="1055"/>
      <c r="IOJ89" s="1055"/>
      <c r="IOK89" s="1055"/>
      <c r="IOL89" s="1055"/>
      <c r="IOM89" s="1055"/>
      <c r="ION89" s="1055"/>
      <c r="IOO89" s="1055"/>
      <c r="IOP89" s="1055"/>
      <c r="IOQ89" s="1055"/>
      <c r="IOR89" s="1055"/>
      <c r="IOS89" s="1055"/>
      <c r="IOT89" s="1055"/>
      <c r="IOU89" s="1055"/>
      <c r="IOV89" s="1055"/>
      <c r="IOW89" s="1055"/>
      <c r="IOX89" s="1055"/>
      <c r="IOY89" s="1055"/>
      <c r="IOZ89" s="1055"/>
      <c r="IPA89" s="1055"/>
      <c r="IPB89" s="1055"/>
      <c r="IPC89" s="1055"/>
      <c r="IPD89" s="1055"/>
      <c r="IPE89" s="1055"/>
      <c r="IPF89" s="1055"/>
      <c r="IPG89" s="1055"/>
      <c r="IPH89" s="1055"/>
      <c r="IPI89" s="1055"/>
      <c r="IPJ89" s="1055"/>
      <c r="IPK89" s="1055"/>
      <c r="IPL89" s="1055"/>
      <c r="IPM89" s="1055"/>
      <c r="IPN89" s="1055"/>
      <c r="IPO89" s="1055"/>
      <c r="IPP89" s="1055"/>
      <c r="IPQ89" s="1055"/>
      <c r="IPR89" s="1055"/>
      <c r="IPS89" s="1055"/>
      <c r="IPT89" s="1055"/>
      <c r="IPU89" s="1055"/>
      <c r="IPV89" s="1055"/>
      <c r="IPW89" s="1055"/>
      <c r="IPX89" s="1055"/>
      <c r="IPY89" s="1055"/>
      <c r="IPZ89" s="1055"/>
      <c r="IQA89" s="1055"/>
      <c r="IQB89" s="1055"/>
      <c r="IQC89" s="1055"/>
      <c r="IQD89" s="1055"/>
      <c r="IQE89" s="1055"/>
      <c r="IQF89" s="1055"/>
      <c r="IQG89" s="1055"/>
      <c r="IQH89" s="1055"/>
      <c r="IQI89" s="1055"/>
      <c r="IQJ89" s="1055"/>
      <c r="IQK89" s="1055"/>
      <c r="IQL89" s="1055"/>
      <c r="IQM89" s="1055"/>
      <c r="IQN89" s="1055"/>
      <c r="IQO89" s="1055"/>
      <c r="IQP89" s="1055"/>
      <c r="IQQ89" s="1055"/>
      <c r="IQR89" s="1055"/>
      <c r="IQS89" s="1055"/>
      <c r="IQT89" s="1055"/>
      <c r="IQU89" s="1055"/>
      <c r="IQV89" s="1055"/>
      <c r="IQW89" s="1055"/>
      <c r="IQX89" s="1055"/>
      <c r="IQY89" s="1055"/>
      <c r="IQZ89" s="1055"/>
      <c r="IRA89" s="1055"/>
      <c r="IRB89" s="1055"/>
      <c r="IRC89" s="1055"/>
      <c r="IRD89" s="1055"/>
      <c r="IRE89" s="1055"/>
      <c r="IRF89" s="1055"/>
      <c r="IRG89" s="1055"/>
      <c r="IRH89" s="1055"/>
      <c r="IRI89" s="1055"/>
      <c r="IRJ89" s="1055"/>
      <c r="IRK89" s="1055"/>
      <c r="IRL89" s="1055"/>
      <c r="IRM89" s="1055"/>
      <c r="IRN89" s="1055"/>
      <c r="IRO89" s="1055"/>
      <c r="IRP89" s="1055"/>
      <c r="IRQ89" s="1055"/>
      <c r="IRR89" s="1055"/>
      <c r="IRS89" s="1055"/>
      <c r="IRT89" s="1055"/>
      <c r="IRU89" s="1055"/>
      <c r="IRV89" s="1055"/>
      <c r="IRW89" s="1055"/>
      <c r="IRX89" s="1055"/>
      <c r="IRY89" s="1055"/>
      <c r="IRZ89" s="1055"/>
      <c r="ISA89" s="1055"/>
      <c r="ISB89" s="1055"/>
      <c r="ISC89" s="1055"/>
      <c r="ISD89" s="1055"/>
      <c r="ISE89" s="1055"/>
      <c r="ISF89" s="1055"/>
      <c r="ISG89" s="1055"/>
      <c r="ISH89" s="1055"/>
      <c r="ISI89" s="1055"/>
      <c r="ISJ89" s="1055"/>
      <c r="ISK89" s="1055"/>
      <c r="ISL89" s="1055"/>
      <c r="ISM89" s="1055"/>
      <c r="ISN89" s="1055"/>
      <c r="ISO89" s="1055"/>
      <c r="ISP89" s="1055"/>
      <c r="ISQ89" s="1055"/>
      <c r="ISR89" s="1055"/>
      <c r="ISS89" s="1055"/>
      <c r="IST89" s="1055"/>
      <c r="ISU89" s="1055"/>
      <c r="ISV89" s="1055"/>
      <c r="ISW89" s="1055"/>
      <c r="ISX89" s="1055"/>
      <c r="ISY89" s="1055"/>
      <c r="ISZ89" s="1055"/>
      <c r="ITA89" s="1055"/>
      <c r="ITB89" s="1055"/>
      <c r="ITC89" s="1055"/>
      <c r="ITD89" s="1055"/>
      <c r="ITE89" s="1055"/>
      <c r="ITF89" s="1055"/>
      <c r="ITG89" s="1055"/>
      <c r="ITH89" s="1055"/>
      <c r="ITI89" s="1055"/>
      <c r="ITJ89" s="1055"/>
      <c r="ITK89" s="1055"/>
      <c r="ITL89" s="1055"/>
      <c r="ITM89" s="1055"/>
      <c r="ITN89" s="1055"/>
      <c r="ITO89" s="1055"/>
      <c r="ITP89" s="1055"/>
      <c r="ITQ89" s="1055"/>
      <c r="ITR89" s="1055"/>
      <c r="ITS89" s="1055"/>
      <c r="ITT89" s="1055"/>
      <c r="ITU89" s="1055"/>
      <c r="ITV89" s="1055"/>
      <c r="ITW89" s="1055"/>
      <c r="ITX89" s="1055"/>
      <c r="ITY89" s="1055"/>
      <c r="ITZ89" s="1055"/>
      <c r="IUA89" s="1055"/>
      <c r="IUB89" s="1055"/>
      <c r="IUC89" s="1055"/>
      <c r="IUD89" s="1055"/>
      <c r="IUE89" s="1055"/>
      <c r="IUF89" s="1055"/>
      <c r="IUG89" s="1055"/>
      <c r="IUH89" s="1055"/>
      <c r="IUI89" s="1055"/>
      <c r="IUJ89" s="1055"/>
      <c r="IUK89" s="1055"/>
      <c r="IUL89" s="1055"/>
      <c r="IUM89" s="1055"/>
      <c r="IUN89" s="1055"/>
      <c r="IUO89" s="1055"/>
      <c r="IUP89" s="1055"/>
      <c r="IUQ89" s="1055"/>
      <c r="IUR89" s="1055"/>
      <c r="IUS89" s="1055"/>
      <c r="IUT89" s="1055"/>
      <c r="IUU89" s="1055"/>
      <c r="IUV89" s="1055"/>
      <c r="IUW89" s="1055"/>
      <c r="IUX89" s="1055"/>
      <c r="IUY89" s="1055"/>
      <c r="IUZ89" s="1055"/>
      <c r="IVA89" s="1055"/>
      <c r="IVB89" s="1055"/>
      <c r="IVC89" s="1055"/>
      <c r="IVD89" s="1055"/>
      <c r="IVE89" s="1055"/>
      <c r="IVF89" s="1055"/>
      <c r="IVG89" s="1055"/>
      <c r="IVH89" s="1055"/>
      <c r="IVI89" s="1055"/>
      <c r="IVJ89" s="1055"/>
      <c r="IVK89" s="1055"/>
      <c r="IVL89" s="1055"/>
      <c r="IVM89" s="1055"/>
      <c r="IVN89" s="1055"/>
      <c r="IVO89" s="1055"/>
      <c r="IVP89" s="1055"/>
      <c r="IVQ89" s="1055"/>
      <c r="IVR89" s="1055"/>
      <c r="IVS89" s="1055"/>
      <c r="IVT89" s="1055"/>
      <c r="IVU89" s="1055"/>
      <c r="IVV89" s="1055"/>
      <c r="IVW89" s="1055"/>
      <c r="IVX89" s="1055"/>
      <c r="IVY89" s="1055"/>
      <c r="IVZ89" s="1055"/>
      <c r="IWA89" s="1055"/>
      <c r="IWB89" s="1055"/>
      <c r="IWC89" s="1055"/>
      <c r="IWD89" s="1055"/>
      <c r="IWE89" s="1055"/>
      <c r="IWF89" s="1055"/>
      <c r="IWG89" s="1055"/>
      <c r="IWH89" s="1055"/>
      <c r="IWI89" s="1055"/>
      <c r="IWJ89" s="1055"/>
      <c r="IWK89" s="1055"/>
      <c r="IWL89" s="1055"/>
      <c r="IWM89" s="1055"/>
      <c r="IWN89" s="1055"/>
      <c r="IWO89" s="1055"/>
      <c r="IWP89" s="1055"/>
      <c r="IWQ89" s="1055"/>
      <c r="IWR89" s="1055"/>
      <c r="IWS89" s="1055"/>
      <c r="IWT89" s="1055"/>
      <c r="IWU89" s="1055"/>
      <c r="IWV89" s="1055"/>
      <c r="IWW89" s="1055"/>
      <c r="IWX89" s="1055"/>
      <c r="IWY89" s="1055"/>
      <c r="IWZ89" s="1055"/>
      <c r="IXA89" s="1055"/>
      <c r="IXB89" s="1055"/>
      <c r="IXC89" s="1055"/>
      <c r="IXD89" s="1055"/>
      <c r="IXE89" s="1055"/>
      <c r="IXF89" s="1055"/>
      <c r="IXG89" s="1055"/>
      <c r="IXH89" s="1055"/>
      <c r="IXI89" s="1055"/>
      <c r="IXJ89" s="1055"/>
      <c r="IXK89" s="1055"/>
      <c r="IXL89" s="1055"/>
      <c r="IXM89" s="1055"/>
      <c r="IXN89" s="1055"/>
      <c r="IXO89" s="1055"/>
      <c r="IXP89" s="1055"/>
      <c r="IXQ89" s="1055"/>
      <c r="IXR89" s="1055"/>
      <c r="IXS89" s="1055"/>
      <c r="IXT89" s="1055"/>
      <c r="IXU89" s="1055"/>
      <c r="IXV89" s="1055"/>
      <c r="IXW89" s="1055"/>
      <c r="IXX89" s="1055"/>
      <c r="IXY89" s="1055"/>
      <c r="IXZ89" s="1055"/>
      <c r="IYA89" s="1055"/>
      <c r="IYB89" s="1055"/>
      <c r="IYC89" s="1055"/>
      <c r="IYD89" s="1055"/>
      <c r="IYE89" s="1055"/>
      <c r="IYF89" s="1055"/>
      <c r="IYG89" s="1055"/>
      <c r="IYH89" s="1055"/>
      <c r="IYI89" s="1055"/>
      <c r="IYJ89" s="1055"/>
      <c r="IYK89" s="1055"/>
      <c r="IYL89" s="1055"/>
      <c r="IYM89" s="1055"/>
      <c r="IYN89" s="1055"/>
      <c r="IYO89" s="1055"/>
      <c r="IYP89" s="1055"/>
      <c r="IYQ89" s="1055"/>
      <c r="IYR89" s="1055"/>
      <c r="IYS89" s="1055"/>
      <c r="IYT89" s="1055"/>
      <c r="IYU89" s="1055"/>
      <c r="IYV89" s="1055"/>
      <c r="IYW89" s="1055"/>
      <c r="IYX89" s="1055"/>
      <c r="IYY89" s="1055"/>
      <c r="IYZ89" s="1055"/>
      <c r="IZA89" s="1055"/>
      <c r="IZB89" s="1055"/>
      <c r="IZC89" s="1055"/>
      <c r="IZD89" s="1055"/>
      <c r="IZE89" s="1055"/>
      <c r="IZF89" s="1055"/>
      <c r="IZG89" s="1055"/>
      <c r="IZH89" s="1055"/>
      <c r="IZI89" s="1055"/>
      <c r="IZJ89" s="1055"/>
      <c r="IZK89" s="1055"/>
      <c r="IZL89" s="1055"/>
      <c r="IZM89" s="1055"/>
      <c r="IZN89" s="1055"/>
      <c r="IZO89" s="1055"/>
      <c r="IZP89" s="1055"/>
      <c r="IZQ89" s="1055"/>
      <c r="IZR89" s="1055"/>
      <c r="IZS89" s="1055"/>
      <c r="IZT89" s="1055"/>
      <c r="IZU89" s="1055"/>
      <c r="IZV89" s="1055"/>
      <c r="IZW89" s="1055"/>
      <c r="IZX89" s="1055"/>
      <c r="IZY89" s="1055"/>
      <c r="IZZ89" s="1055"/>
      <c r="JAA89" s="1055"/>
      <c r="JAB89" s="1055"/>
      <c r="JAC89" s="1055"/>
      <c r="JAD89" s="1055"/>
      <c r="JAE89" s="1055"/>
      <c r="JAF89" s="1055"/>
      <c r="JAG89" s="1055"/>
      <c r="JAH89" s="1055"/>
      <c r="JAI89" s="1055"/>
      <c r="JAJ89" s="1055"/>
      <c r="JAK89" s="1055"/>
      <c r="JAL89" s="1055"/>
      <c r="JAM89" s="1055"/>
      <c r="JAN89" s="1055"/>
      <c r="JAO89" s="1055"/>
      <c r="JAP89" s="1055"/>
      <c r="JAQ89" s="1055"/>
      <c r="JAR89" s="1055"/>
      <c r="JAS89" s="1055"/>
      <c r="JAT89" s="1055"/>
      <c r="JAU89" s="1055"/>
      <c r="JAV89" s="1055"/>
      <c r="JAW89" s="1055"/>
      <c r="JAX89" s="1055"/>
      <c r="JAY89" s="1055"/>
      <c r="JAZ89" s="1055"/>
      <c r="JBA89" s="1055"/>
      <c r="JBB89" s="1055"/>
      <c r="JBC89" s="1055"/>
      <c r="JBD89" s="1055"/>
      <c r="JBE89" s="1055"/>
      <c r="JBF89" s="1055"/>
      <c r="JBG89" s="1055"/>
      <c r="JBH89" s="1055"/>
      <c r="JBI89" s="1055"/>
      <c r="JBJ89" s="1055"/>
      <c r="JBK89" s="1055"/>
      <c r="JBL89" s="1055"/>
      <c r="JBM89" s="1055"/>
      <c r="JBN89" s="1055"/>
      <c r="JBO89" s="1055"/>
      <c r="JBP89" s="1055"/>
      <c r="JBQ89" s="1055"/>
      <c r="JBR89" s="1055"/>
      <c r="JBS89" s="1055"/>
      <c r="JBT89" s="1055"/>
      <c r="JBU89" s="1055"/>
      <c r="JBV89" s="1055"/>
      <c r="JBW89" s="1055"/>
      <c r="JBX89" s="1055"/>
      <c r="JBY89" s="1055"/>
      <c r="JBZ89" s="1055"/>
      <c r="JCA89" s="1055"/>
      <c r="JCB89" s="1055"/>
      <c r="JCC89" s="1055"/>
      <c r="JCD89" s="1055"/>
      <c r="JCE89" s="1055"/>
      <c r="JCF89" s="1055"/>
      <c r="JCG89" s="1055"/>
      <c r="JCH89" s="1055"/>
      <c r="JCI89" s="1055"/>
      <c r="JCJ89" s="1055"/>
      <c r="JCK89" s="1055"/>
      <c r="JCL89" s="1055"/>
      <c r="JCM89" s="1055"/>
      <c r="JCN89" s="1055"/>
      <c r="JCO89" s="1055"/>
      <c r="JCP89" s="1055"/>
      <c r="JCQ89" s="1055"/>
      <c r="JCR89" s="1055"/>
      <c r="JCS89" s="1055"/>
      <c r="JCT89" s="1055"/>
      <c r="JCU89" s="1055"/>
      <c r="JCV89" s="1055"/>
      <c r="JCW89" s="1055"/>
      <c r="JCX89" s="1055"/>
      <c r="JCY89" s="1055"/>
      <c r="JCZ89" s="1055"/>
      <c r="JDA89" s="1055"/>
      <c r="JDB89" s="1055"/>
      <c r="JDC89" s="1055"/>
      <c r="JDD89" s="1055"/>
      <c r="JDE89" s="1055"/>
      <c r="JDF89" s="1055"/>
      <c r="JDG89" s="1055"/>
      <c r="JDH89" s="1055"/>
      <c r="JDI89" s="1055"/>
      <c r="JDJ89" s="1055"/>
      <c r="JDK89" s="1055"/>
      <c r="JDL89" s="1055"/>
      <c r="JDM89" s="1055"/>
      <c r="JDN89" s="1055"/>
      <c r="JDO89" s="1055"/>
      <c r="JDP89" s="1055"/>
      <c r="JDQ89" s="1055"/>
      <c r="JDR89" s="1055"/>
      <c r="JDS89" s="1055"/>
      <c r="JDT89" s="1055"/>
      <c r="JDU89" s="1055"/>
      <c r="JDV89" s="1055"/>
      <c r="JDW89" s="1055"/>
      <c r="JDX89" s="1055"/>
      <c r="JDY89" s="1055"/>
      <c r="JDZ89" s="1055"/>
      <c r="JEA89" s="1055"/>
      <c r="JEB89" s="1055"/>
      <c r="JEC89" s="1055"/>
      <c r="JED89" s="1055"/>
      <c r="JEE89" s="1055"/>
      <c r="JEF89" s="1055"/>
      <c r="JEG89" s="1055"/>
      <c r="JEH89" s="1055"/>
      <c r="JEI89" s="1055"/>
      <c r="JEJ89" s="1055"/>
      <c r="JEK89" s="1055"/>
      <c r="JEL89" s="1055"/>
      <c r="JEM89" s="1055"/>
      <c r="JEN89" s="1055"/>
      <c r="JEO89" s="1055"/>
      <c r="JEP89" s="1055"/>
      <c r="JEQ89" s="1055"/>
      <c r="JER89" s="1055"/>
      <c r="JES89" s="1055"/>
      <c r="JET89" s="1055"/>
      <c r="JEU89" s="1055"/>
      <c r="JEV89" s="1055"/>
      <c r="JEW89" s="1055"/>
      <c r="JEX89" s="1055"/>
      <c r="JEY89" s="1055"/>
      <c r="JEZ89" s="1055"/>
      <c r="JFA89" s="1055"/>
      <c r="JFB89" s="1055"/>
      <c r="JFC89" s="1055"/>
      <c r="JFD89" s="1055"/>
      <c r="JFE89" s="1055"/>
      <c r="JFF89" s="1055"/>
      <c r="JFG89" s="1055"/>
      <c r="JFH89" s="1055"/>
      <c r="JFI89" s="1055"/>
      <c r="JFJ89" s="1055"/>
      <c r="JFK89" s="1055"/>
      <c r="JFL89" s="1055"/>
      <c r="JFM89" s="1055"/>
      <c r="JFN89" s="1055"/>
      <c r="JFO89" s="1055"/>
      <c r="JFP89" s="1055"/>
      <c r="JFQ89" s="1055"/>
      <c r="JFR89" s="1055"/>
      <c r="JFS89" s="1055"/>
      <c r="JFT89" s="1055"/>
      <c r="JFU89" s="1055"/>
      <c r="JFV89" s="1055"/>
      <c r="JFW89" s="1055"/>
      <c r="JFX89" s="1055"/>
      <c r="JFY89" s="1055"/>
      <c r="JFZ89" s="1055"/>
      <c r="JGA89" s="1055"/>
      <c r="JGB89" s="1055"/>
      <c r="JGC89" s="1055"/>
      <c r="JGD89" s="1055"/>
      <c r="JGE89" s="1055"/>
      <c r="JGF89" s="1055"/>
      <c r="JGG89" s="1055"/>
      <c r="JGH89" s="1055"/>
      <c r="JGI89" s="1055"/>
      <c r="JGJ89" s="1055"/>
      <c r="JGK89" s="1055"/>
      <c r="JGL89" s="1055"/>
      <c r="JGM89" s="1055"/>
      <c r="JGN89" s="1055"/>
      <c r="JGO89" s="1055"/>
      <c r="JGP89" s="1055"/>
      <c r="JGQ89" s="1055"/>
      <c r="JGR89" s="1055"/>
      <c r="JGS89" s="1055"/>
      <c r="JGT89" s="1055"/>
      <c r="JGU89" s="1055"/>
      <c r="JGV89" s="1055"/>
      <c r="JGW89" s="1055"/>
      <c r="JGX89" s="1055"/>
      <c r="JGY89" s="1055"/>
      <c r="JGZ89" s="1055"/>
      <c r="JHA89" s="1055"/>
      <c r="JHB89" s="1055"/>
      <c r="JHC89" s="1055"/>
      <c r="JHD89" s="1055"/>
      <c r="JHE89" s="1055"/>
      <c r="JHF89" s="1055"/>
      <c r="JHG89" s="1055"/>
      <c r="JHH89" s="1055"/>
      <c r="JHI89" s="1055"/>
      <c r="JHJ89" s="1055"/>
      <c r="JHK89" s="1055"/>
      <c r="JHL89" s="1055"/>
      <c r="JHM89" s="1055"/>
      <c r="JHN89" s="1055"/>
      <c r="JHO89" s="1055"/>
      <c r="JHP89" s="1055"/>
      <c r="JHQ89" s="1055"/>
      <c r="JHR89" s="1055"/>
      <c r="JHS89" s="1055"/>
      <c r="JHT89" s="1055"/>
      <c r="JHU89" s="1055"/>
      <c r="JHV89" s="1055"/>
      <c r="JHW89" s="1055"/>
      <c r="JHX89" s="1055"/>
      <c r="JHY89" s="1055"/>
      <c r="JHZ89" s="1055"/>
      <c r="JIA89" s="1055"/>
      <c r="JIB89" s="1055"/>
      <c r="JIC89" s="1055"/>
      <c r="JID89" s="1055"/>
      <c r="JIE89" s="1055"/>
      <c r="JIF89" s="1055"/>
      <c r="JIG89" s="1055"/>
      <c r="JIH89" s="1055"/>
      <c r="JII89" s="1055"/>
      <c r="JIJ89" s="1055"/>
      <c r="JIK89" s="1055"/>
      <c r="JIL89" s="1055"/>
      <c r="JIM89" s="1055"/>
      <c r="JIN89" s="1055"/>
      <c r="JIO89" s="1055"/>
      <c r="JIP89" s="1055"/>
      <c r="JIQ89" s="1055"/>
      <c r="JIR89" s="1055"/>
      <c r="JIS89" s="1055"/>
      <c r="JIT89" s="1055"/>
      <c r="JIU89" s="1055"/>
      <c r="JIV89" s="1055"/>
      <c r="JIW89" s="1055"/>
      <c r="JIX89" s="1055"/>
      <c r="JIY89" s="1055"/>
      <c r="JIZ89" s="1055"/>
      <c r="JJA89" s="1055"/>
      <c r="JJB89" s="1055"/>
      <c r="JJC89" s="1055"/>
      <c r="JJD89" s="1055"/>
      <c r="JJE89" s="1055"/>
      <c r="JJF89" s="1055"/>
      <c r="JJG89" s="1055"/>
      <c r="JJH89" s="1055"/>
      <c r="JJI89" s="1055"/>
      <c r="JJJ89" s="1055"/>
      <c r="JJK89" s="1055"/>
      <c r="JJL89" s="1055"/>
      <c r="JJM89" s="1055"/>
      <c r="JJN89" s="1055"/>
      <c r="JJO89" s="1055"/>
      <c r="JJP89" s="1055"/>
      <c r="JJQ89" s="1055"/>
      <c r="JJR89" s="1055"/>
      <c r="JJS89" s="1055"/>
      <c r="JJT89" s="1055"/>
      <c r="JJU89" s="1055"/>
      <c r="JJV89" s="1055"/>
      <c r="JJW89" s="1055"/>
      <c r="JJX89" s="1055"/>
      <c r="JJY89" s="1055"/>
      <c r="JJZ89" s="1055"/>
      <c r="JKA89" s="1055"/>
      <c r="JKB89" s="1055"/>
      <c r="JKC89" s="1055"/>
      <c r="JKD89" s="1055"/>
      <c r="JKE89" s="1055"/>
      <c r="JKF89" s="1055"/>
      <c r="JKG89" s="1055"/>
      <c r="JKH89" s="1055"/>
      <c r="JKI89" s="1055"/>
      <c r="JKJ89" s="1055"/>
      <c r="JKK89" s="1055"/>
      <c r="JKL89" s="1055"/>
      <c r="JKM89" s="1055"/>
      <c r="JKN89" s="1055"/>
      <c r="JKO89" s="1055"/>
      <c r="JKP89" s="1055"/>
      <c r="JKQ89" s="1055"/>
      <c r="JKR89" s="1055"/>
      <c r="JKS89" s="1055"/>
      <c r="JKT89" s="1055"/>
      <c r="JKU89" s="1055"/>
      <c r="JKV89" s="1055"/>
      <c r="JKW89" s="1055"/>
      <c r="JKX89" s="1055"/>
      <c r="JKY89" s="1055"/>
      <c r="JKZ89" s="1055"/>
      <c r="JLA89" s="1055"/>
      <c r="JLB89" s="1055"/>
      <c r="JLC89" s="1055"/>
      <c r="JLD89" s="1055"/>
      <c r="JLE89" s="1055"/>
      <c r="JLF89" s="1055"/>
      <c r="JLG89" s="1055"/>
      <c r="JLH89" s="1055"/>
      <c r="JLI89" s="1055"/>
      <c r="JLJ89" s="1055"/>
      <c r="JLK89" s="1055"/>
      <c r="JLL89" s="1055"/>
      <c r="JLM89" s="1055"/>
      <c r="JLN89" s="1055"/>
      <c r="JLO89" s="1055"/>
      <c r="JLP89" s="1055"/>
      <c r="JLQ89" s="1055"/>
      <c r="JLR89" s="1055"/>
      <c r="JLS89" s="1055"/>
      <c r="JLT89" s="1055"/>
      <c r="JLU89" s="1055"/>
      <c r="JLV89" s="1055"/>
      <c r="JLW89" s="1055"/>
      <c r="JLX89" s="1055"/>
      <c r="JLY89" s="1055"/>
      <c r="JLZ89" s="1055"/>
      <c r="JMA89" s="1055"/>
      <c r="JMB89" s="1055"/>
      <c r="JMC89" s="1055"/>
      <c r="JMD89" s="1055"/>
      <c r="JME89" s="1055"/>
      <c r="JMF89" s="1055"/>
      <c r="JMG89" s="1055"/>
      <c r="JMH89" s="1055"/>
      <c r="JMI89" s="1055"/>
      <c r="JMJ89" s="1055"/>
      <c r="JMK89" s="1055"/>
      <c r="JML89" s="1055"/>
      <c r="JMM89" s="1055"/>
      <c r="JMN89" s="1055"/>
      <c r="JMO89" s="1055"/>
      <c r="JMP89" s="1055"/>
      <c r="JMQ89" s="1055"/>
      <c r="JMR89" s="1055"/>
      <c r="JMS89" s="1055"/>
      <c r="JMT89" s="1055"/>
      <c r="JMU89" s="1055"/>
      <c r="JMV89" s="1055"/>
      <c r="JMW89" s="1055"/>
      <c r="JMX89" s="1055"/>
      <c r="JMY89" s="1055"/>
      <c r="JMZ89" s="1055"/>
      <c r="JNA89" s="1055"/>
      <c r="JNB89" s="1055"/>
      <c r="JNC89" s="1055"/>
      <c r="JND89" s="1055"/>
      <c r="JNE89" s="1055"/>
      <c r="JNF89" s="1055"/>
      <c r="JNG89" s="1055"/>
      <c r="JNH89" s="1055"/>
      <c r="JNI89" s="1055"/>
      <c r="JNJ89" s="1055"/>
      <c r="JNK89" s="1055"/>
      <c r="JNL89" s="1055"/>
      <c r="JNM89" s="1055"/>
      <c r="JNN89" s="1055"/>
      <c r="JNO89" s="1055"/>
      <c r="JNP89" s="1055"/>
      <c r="JNQ89" s="1055"/>
      <c r="JNR89" s="1055"/>
      <c r="JNS89" s="1055"/>
      <c r="JNT89" s="1055"/>
      <c r="JNU89" s="1055"/>
      <c r="JNV89" s="1055"/>
      <c r="JNW89" s="1055"/>
      <c r="JNX89" s="1055"/>
      <c r="JNY89" s="1055"/>
      <c r="JNZ89" s="1055"/>
      <c r="JOA89" s="1055"/>
      <c r="JOB89" s="1055"/>
      <c r="JOC89" s="1055"/>
      <c r="JOD89" s="1055"/>
      <c r="JOE89" s="1055"/>
      <c r="JOF89" s="1055"/>
      <c r="JOG89" s="1055"/>
      <c r="JOH89" s="1055"/>
      <c r="JOI89" s="1055"/>
      <c r="JOJ89" s="1055"/>
      <c r="JOK89" s="1055"/>
      <c r="JOL89" s="1055"/>
      <c r="JOM89" s="1055"/>
      <c r="JON89" s="1055"/>
      <c r="JOO89" s="1055"/>
      <c r="JOP89" s="1055"/>
      <c r="JOQ89" s="1055"/>
      <c r="JOR89" s="1055"/>
      <c r="JOS89" s="1055"/>
      <c r="JOT89" s="1055"/>
      <c r="JOU89" s="1055"/>
      <c r="JOV89" s="1055"/>
      <c r="JOW89" s="1055"/>
      <c r="JOX89" s="1055"/>
      <c r="JOY89" s="1055"/>
      <c r="JOZ89" s="1055"/>
      <c r="JPA89" s="1055"/>
      <c r="JPB89" s="1055"/>
      <c r="JPC89" s="1055"/>
      <c r="JPD89" s="1055"/>
      <c r="JPE89" s="1055"/>
      <c r="JPF89" s="1055"/>
      <c r="JPG89" s="1055"/>
      <c r="JPH89" s="1055"/>
      <c r="JPI89" s="1055"/>
      <c r="JPJ89" s="1055"/>
      <c r="JPK89" s="1055"/>
      <c r="JPL89" s="1055"/>
      <c r="JPM89" s="1055"/>
      <c r="JPN89" s="1055"/>
      <c r="JPO89" s="1055"/>
      <c r="JPP89" s="1055"/>
      <c r="JPQ89" s="1055"/>
      <c r="JPR89" s="1055"/>
      <c r="JPS89" s="1055"/>
      <c r="JPT89" s="1055"/>
      <c r="JPU89" s="1055"/>
      <c r="JPV89" s="1055"/>
      <c r="JPW89" s="1055"/>
      <c r="JPX89" s="1055"/>
      <c r="JPY89" s="1055"/>
      <c r="JPZ89" s="1055"/>
      <c r="JQA89" s="1055"/>
      <c r="JQB89" s="1055"/>
      <c r="JQC89" s="1055"/>
      <c r="JQD89" s="1055"/>
      <c r="JQE89" s="1055"/>
      <c r="JQF89" s="1055"/>
      <c r="JQG89" s="1055"/>
      <c r="JQH89" s="1055"/>
      <c r="JQI89" s="1055"/>
      <c r="JQJ89" s="1055"/>
      <c r="JQK89" s="1055"/>
      <c r="JQL89" s="1055"/>
      <c r="JQM89" s="1055"/>
      <c r="JQN89" s="1055"/>
      <c r="JQO89" s="1055"/>
      <c r="JQP89" s="1055"/>
      <c r="JQQ89" s="1055"/>
      <c r="JQR89" s="1055"/>
      <c r="JQS89" s="1055"/>
      <c r="JQT89" s="1055"/>
      <c r="JQU89" s="1055"/>
      <c r="JQV89" s="1055"/>
      <c r="JQW89" s="1055"/>
      <c r="JQX89" s="1055"/>
      <c r="JQY89" s="1055"/>
      <c r="JQZ89" s="1055"/>
      <c r="JRA89" s="1055"/>
      <c r="JRB89" s="1055"/>
      <c r="JRC89" s="1055"/>
      <c r="JRD89" s="1055"/>
      <c r="JRE89" s="1055"/>
      <c r="JRF89" s="1055"/>
      <c r="JRG89" s="1055"/>
      <c r="JRH89" s="1055"/>
      <c r="JRI89" s="1055"/>
      <c r="JRJ89" s="1055"/>
      <c r="JRK89" s="1055"/>
      <c r="JRL89" s="1055"/>
      <c r="JRM89" s="1055"/>
      <c r="JRN89" s="1055"/>
      <c r="JRO89" s="1055"/>
      <c r="JRP89" s="1055"/>
      <c r="JRQ89" s="1055"/>
      <c r="JRR89" s="1055"/>
      <c r="JRS89" s="1055"/>
      <c r="JRT89" s="1055"/>
      <c r="JRU89" s="1055"/>
      <c r="JRV89" s="1055"/>
      <c r="JRW89" s="1055"/>
      <c r="JRX89" s="1055"/>
      <c r="JRY89" s="1055"/>
      <c r="JRZ89" s="1055"/>
      <c r="JSA89" s="1055"/>
      <c r="JSB89" s="1055"/>
      <c r="JSC89" s="1055"/>
      <c r="JSD89" s="1055"/>
      <c r="JSE89" s="1055"/>
      <c r="JSF89" s="1055"/>
      <c r="JSG89" s="1055"/>
      <c r="JSH89" s="1055"/>
      <c r="JSI89" s="1055"/>
      <c r="JSJ89" s="1055"/>
      <c r="JSK89" s="1055"/>
      <c r="JSL89" s="1055"/>
      <c r="JSM89" s="1055"/>
      <c r="JSN89" s="1055"/>
      <c r="JSO89" s="1055"/>
      <c r="JSP89" s="1055"/>
      <c r="JSQ89" s="1055"/>
      <c r="JSR89" s="1055"/>
      <c r="JSS89" s="1055"/>
      <c r="JST89" s="1055"/>
      <c r="JSU89" s="1055"/>
      <c r="JSV89" s="1055"/>
      <c r="JSW89" s="1055"/>
      <c r="JSX89" s="1055"/>
      <c r="JSY89" s="1055"/>
      <c r="JSZ89" s="1055"/>
      <c r="JTA89" s="1055"/>
      <c r="JTB89" s="1055"/>
      <c r="JTC89" s="1055"/>
      <c r="JTD89" s="1055"/>
      <c r="JTE89" s="1055"/>
      <c r="JTF89" s="1055"/>
      <c r="JTG89" s="1055"/>
      <c r="JTH89" s="1055"/>
      <c r="JTI89" s="1055"/>
      <c r="JTJ89" s="1055"/>
      <c r="JTK89" s="1055"/>
      <c r="JTL89" s="1055"/>
      <c r="JTM89" s="1055"/>
      <c r="JTN89" s="1055"/>
      <c r="JTO89" s="1055"/>
      <c r="JTP89" s="1055"/>
      <c r="JTQ89" s="1055"/>
      <c r="JTR89" s="1055"/>
      <c r="JTS89" s="1055"/>
      <c r="JTT89" s="1055"/>
      <c r="JTU89" s="1055"/>
      <c r="JTV89" s="1055"/>
      <c r="JTW89" s="1055"/>
      <c r="JTX89" s="1055"/>
      <c r="JTY89" s="1055"/>
      <c r="JTZ89" s="1055"/>
      <c r="JUA89" s="1055"/>
      <c r="JUB89" s="1055"/>
      <c r="JUC89" s="1055"/>
      <c r="JUD89" s="1055"/>
      <c r="JUE89" s="1055"/>
      <c r="JUF89" s="1055"/>
      <c r="JUG89" s="1055"/>
      <c r="JUH89" s="1055"/>
      <c r="JUI89" s="1055"/>
      <c r="JUJ89" s="1055"/>
      <c r="JUK89" s="1055"/>
      <c r="JUL89" s="1055"/>
      <c r="JUM89" s="1055"/>
      <c r="JUN89" s="1055"/>
      <c r="JUO89" s="1055"/>
      <c r="JUP89" s="1055"/>
      <c r="JUQ89" s="1055"/>
      <c r="JUR89" s="1055"/>
      <c r="JUS89" s="1055"/>
      <c r="JUT89" s="1055"/>
      <c r="JUU89" s="1055"/>
      <c r="JUV89" s="1055"/>
      <c r="JUW89" s="1055"/>
      <c r="JUX89" s="1055"/>
      <c r="JUY89" s="1055"/>
      <c r="JUZ89" s="1055"/>
      <c r="JVA89" s="1055"/>
      <c r="JVB89" s="1055"/>
      <c r="JVC89" s="1055"/>
      <c r="JVD89" s="1055"/>
      <c r="JVE89" s="1055"/>
      <c r="JVF89" s="1055"/>
      <c r="JVG89" s="1055"/>
      <c r="JVH89" s="1055"/>
      <c r="JVI89" s="1055"/>
      <c r="JVJ89" s="1055"/>
      <c r="JVK89" s="1055"/>
      <c r="JVL89" s="1055"/>
      <c r="JVM89" s="1055"/>
      <c r="JVN89" s="1055"/>
      <c r="JVO89" s="1055"/>
      <c r="JVP89" s="1055"/>
      <c r="JVQ89" s="1055"/>
      <c r="JVR89" s="1055"/>
      <c r="JVS89" s="1055"/>
      <c r="JVT89" s="1055"/>
      <c r="JVU89" s="1055"/>
      <c r="JVV89" s="1055"/>
      <c r="JVW89" s="1055"/>
      <c r="JVX89" s="1055"/>
      <c r="JVY89" s="1055"/>
      <c r="JVZ89" s="1055"/>
      <c r="JWA89" s="1055"/>
      <c r="JWB89" s="1055"/>
      <c r="JWC89" s="1055"/>
      <c r="JWD89" s="1055"/>
      <c r="JWE89" s="1055"/>
      <c r="JWF89" s="1055"/>
      <c r="JWG89" s="1055"/>
      <c r="JWH89" s="1055"/>
      <c r="JWI89" s="1055"/>
      <c r="JWJ89" s="1055"/>
      <c r="JWK89" s="1055"/>
      <c r="JWL89" s="1055"/>
      <c r="JWM89" s="1055"/>
      <c r="JWN89" s="1055"/>
      <c r="JWO89" s="1055"/>
      <c r="JWP89" s="1055"/>
      <c r="JWQ89" s="1055"/>
      <c r="JWR89" s="1055"/>
      <c r="JWS89" s="1055"/>
      <c r="JWT89" s="1055"/>
      <c r="JWU89" s="1055"/>
      <c r="JWV89" s="1055"/>
      <c r="JWW89" s="1055"/>
      <c r="JWX89" s="1055"/>
      <c r="JWY89" s="1055"/>
      <c r="JWZ89" s="1055"/>
      <c r="JXA89" s="1055"/>
      <c r="JXB89" s="1055"/>
      <c r="JXC89" s="1055"/>
      <c r="JXD89" s="1055"/>
      <c r="JXE89" s="1055"/>
      <c r="JXF89" s="1055"/>
      <c r="JXG89" s="1055"/>
      <c r="JXH89" s="1055"/>
      <c r="JXI89" s="1055"/>
      <c r="JXJ89" s="1055"/>
      <c r="JXK89" s="1055"/>
      <c r="JXL89" s="1055"/>
      <c r="JXM89" s="1055"/>
      <c r="JXN89" s="1055"/>
      <c r="JXO89" s="1055"/>
      <c r="JXP89" s="1055"/>
      <c r="JXQ89" s="1055"/>
      <c r="JXR89" s="1055"/>
      <c r="JXS89" s="1055"/>
      <c r="JXT89" s="1055"/>
      <c r="JXU89" s="1055"/>
      <c r="JXV89" s="1055"/>
      <c r="JXW89" s="1055"/>
      <c r="JXX89" s="1055"/>
      <c r="JXY89" s="1055"/>
      <c r="JXZ89" s="1055"/>
      <c r="JYA89" s="1055"/>
      <c r="JYB89" s="1055"/>
      <c r="JYC89" s="1055"/>
      <c r="JYD89" s="1055"/>
      <c r="JYE89" s="1055"/>
      <c r="JYF89" s="1055"/>
      <c r="JYG89" s="1055"/>
      <c r="JYH89" s="1055"/>
      <c r="JYI89" s="1055"/>
      <c r="JYJ89" s="1055"/>
      <c r="JYK89" s="1055"/>
      <c r="JYL89" s="1055"/>
      <c r="JYM89" s="1055"/>
      <c r="JYN89" s="1055"/>
      <c r="JYO89" s="1055"/>
      <c r="JYP89" s="1055"/>
      <c r="JYQ89" s="1055"/>
      <c r="JYR89" s="1055"/>
      <c r="JYS89" s="1055"/>
      <c r="JYT89" s="1055"/>
      <c r="JYU89" s="1055"/>
      <c r="JYV89" s="1055"/>
      <c r="JYW89" s="1055"/>
      <c r="JYX89" s="1055"/>
      <c r="JYY89" s="1055"/>
      <c r="JYZ89" s="1055"/>
      <c r="JZA89" s="1055"/>
      <c r="JZB89" s="1055"/>
      <c r="JZC89" s="1055"/>
      <c r="JZD89" s="1055"/>
      <c r="JZE89" s="1055"/>
      <c r="JZF89" s="1055"/>
      <c r="JZG89" s="1055"/>
      <c r="JZH89" s="1055"/>
      <c r="JZI89" s="1055"/>
      <c r="JZJ89" s="1055"/>
      <c r="JZK89" s="1055"/>
      <c r="JZL89" s="1055"/>
      <c r="JZM89" s="1055"/>
      <c r="JZN89" s="1055"/>
      <c r="JZO89" s="1055"/>
      <c r="JZP89" s="1055"/>
      <c r="JZQ89" s="1055"/>
      <c r="JZR89" s="1055"/>
      <c r="JZS89" s="1055"/>
      <c r="JZT89" s="1055"/>
      <c r="JZU89" s="1055"/>
      <c r="JZV89" s="1055"/>
      <c r="JZW89" s="1055"/>
      <c r="JZX89" s="1055"/>
      <c r="JZY89" s="1055"/>
      <c r="JZZ89" s="1055"/>
      <c r="KAA89" s="1055"/>
      <c r="KAB89" s="1055"/>
      <c r="KAC89" s="1055"/>
      <c r="KAD89" s="1055"/>
      <c r="KAE89" s="1055"/>
      <c r="KAF89" s="1055"/>
      <c r="KAG89" s="1055"/>
      <c r="KAH89" s="1055"/>
      <c r="KAI89" s="1055"/>
      <c r="KAJ89" s="1055"/>
      <c r="KAK89" s="1055"/>
      <c r="KAL89" s="1055"/>
      <c r="KAM89" s="1055"/>
      <c r="KAN89" s="1055"/>
      <c r="KAO89" s="1055"/>
      <c r="KAP89" s="1055"/>
      <c r="KAQ89" s="1055"/>
      <c r="KAR89" s="1055"/>
      <c r="KAS89" s="1055"/>
      <c r="KAT89" s="1055"/>
      <c r="KAU89" s="1055"/>
      <c r="KAV89" s="1055"/>
      <c r="KAW89" s="1055"/>
      <c r="KAX89" s="1055"/>
      <c r="KAY89" s="1055"/>
      <c r="KAZ89" s="1055"/>
      <c r="KBA89" s="1055"/>
      <c r="KBB89" s="1055"/>
      <c r="KBC89" s="1055"/>
      <c r="KBD89" s="1055"/>
      <c r="KBE89" s="1055"/>
      <c r="KBF89" s="1055"/>
      <c r="KBG89" s="1055"/>
      <c r="KBH89" s="1055"/>
      <c r="KBI89" s="1055"/>
      <c r="KBJ89" s="1055"/>
      <c r="KBK89" s="1055"/>
      <c r="KBL89" s="1055"/>
      <c r="KBM89" s="1055"/>
      <c r="KBN89" s="1055"/>
      <c r="KBO89" s="1055"/>
      <c r="KBP89" s="1055"/>
      <c r="KBQ89" s="1055"/>
      <c r="KBR89" s="1055"/>
      <c r="KBS89" s="1055"/>
      <c r="KBT89" s="1055"/>
      <c r="KBU89" s="1055"/>
      <c r="KBV89" s="1055"/>
      <c r="KBW89" s="1055"/>
      <c r="KBX89" s="1055"/>
      <c r="KBY89" s="1055"/>
      <c r="KBZ89" s="1055"/>
      <c r="KCA89" s="1055"/>
      <c r="KCB89" s="1055"/>
      <c r="KCC89" s="1055"/>
      <c r="KCD89" s="1055"/>
      <c r="KCE89" s="1055"/>
      <c r="KCF89" s="1055"/>
      <c r="KCG89" s="1055"/>
      <c r="KCH89" s="1055"/>
      <c r="KCI89" s="1055"/>
      <c r="KCJ89" s="1055"/>
      <c r="KCK89" s="1055"/>
      <c r="KCL89" s="1055"/>
      <c r="KCM89" s="1055"/>
      <c r="KCN89" s="1055"/>
      <c r="KCO89" s="1055"/>
      <c r="KCP89" s="1055"/>
      <c r="KCQ89" s="1055"/>
      <c r="KCR89" s="1055"/>
      <c r="KCS89" s="1055"/>
      <c r="KCT89" s="1055"/>
      <c r="KCU89" s="1055"/>
      <c r="KCV89" s="1055"/>
      <c r="KCW89" s="1055"/>
      <c r="KCX89" s="1055"/>
      <c r="KCY89" s="1055"/>
      <c r="KCZ89" s="1055"/>
      <c r="KDA89" s="1055"/>
      <c r="KDB89" s="1055"/>
      <c r="KDC89" s="1055"/>
      <c r="KDD89" s="1055"/>
      <c r="KDE89" s="1055"/>
      <c r="KDF89" s="1055"/>
      <c r="KDG89" s="1055"/>
      <c r="KDH89" s="1055"/>
      <c r="KDI89" s="1055"/>
      <c r="KDJ89" s="1055"/>
      <c r="KDK89" s="1055"/>
      <c r="KDL89" s="1055"/>
      <c r="KDM89" s="1055"/>
      <c r="KDN89" s="1055"/>
      <c r="KDO89" s="1055"/>
      <c r="KDP89" s="1055"/>
      <c r="KDQ89" s="1055"/>
      <c r="KDR89" s="1055"/>
      <c r="KDS89" s="1055"/>
      <c r="KDT89" s="1055"/>
      <c r="KDU89" s="1055"/>
      <c r="KDV89" s="1055"/>
      <c r="KDW89" s="1055"/>
      <c r="KDX89" s="1055"/>
      <c r="KDY89" s="1055"/>
      <c r="KDZ89" s="1055"/>
      <c r="KEA89" s="1055"/>
      <c r="KEB89" s="1055"/>
      <c r="KEC89" s="1055"/>
      <c r="KED89" s="1055"/>
      <c r="KEE89" s="1055"/>
      <c r="KEF89" s="1055"/>
      <c r="KEG89" s="1055"/>
      <c r="KEH89" s="1055"/>
      <c r="KEI89" s="1055"/>
      <c r="KEJ89" s="1055"/>
      <c r="KEK89" s="1055"/>
      <c r="KEL89" s="1055"/>
      <c r="KEM89" s="1055"/>
      <c r="KEN89" s="1055"/>
      <c r="KEO89" s="1055"/>
      <c r="KEP89" s="1055"/>
      <c r="KEQ89" s="1055"/>
      <c r="KER89" s="1055"/>
      <c r="KES89" s="1055"/>
      <c r="KET89" s="1055"/>
      <c r="KEU89" s="1055"/>
      <c r="KEV89" s="1055"/>
      <c r="KEW89" s="1055"/>
      <c r="KEX89" s="1055"/>
      <c r="KEY89" s="1055"/>
      <c r="KEZ89" s="1055"/>
      <c r="KFA89" s="1055"/>
      <c r="KFB89" s="1055"/>
      <c r="KFC89" s="1055"/>
      <c r="KFD89" s="1055"/>
      <c r="KFE89" s="1055"/>
      <c r="KFF89" s="1055"/>
      <c r="KFG89" s="1055"/>
      <c r="KFH89" s="1055"/>
      <c r="KFI89" s="1055"/>
      <c r="KFJ89" s="1055"/>
      <c r="KFK89" s="1055"/>
      <c r="KFL89" s="1055"/>
      <c r="KFM89" s="1055"/>
      <c r="KFN89" s="1055"/>
      <c r="KFO89" s="1055"/>
      <c r="KFP89" s="1055"/>
      <c r="KFQ89" s="1055"/>
      <c r="KFR89" s="1055"/>
      <c r="KFS89" s="1055"/>
      <c r="KFT89" s="1055"/>
      <c r="KFU89" s="1055"/>
      <c r="KFV89" s="1055"/>
      <c r="KFW89" s="1055"/>
      <c r="KFX89" s="1055"/>
      <c r="KFY89" s="1055"/>
      <c r="KFZ89" s="1055"/>
      <c r="KGA89" s="1055"/>
      <c r="KGB89" s="1055"/>
      <c r="KGC89" s="1055"/>
      <c r="KGD89" s="1055"/>
      <c r="KGE89" s="1055"/>
      <c r="KGF89" s="1055"/>
      <c r="KGG89" s="1055"/>
      <c r="KGH89" s="1055"/>
      <c r="KGI89" s="1055"/>
      <c r="KGJ89" s="1055"/>
      <c r="KGK89" s="1055"/>
      <c r="KGL89" s="1055"/>
      <c r="KGM89" s="1055"/>
      <c r="KGN89" s="1055"/>
      <c r="KGO89" s="1055"/>
      <c r="KGP89" s="1055"/>
      <c r="KGQ89" s="1055"/>
      <c r="KGR89" s="1055"/>
      <c r="KGS89" s="1055"/>
      <c r="KGT89" s="1055"/>
      <c r="KGU89" s="1055"/>
      <c r="KGV89" s="1055"/>
      <c r="KGW89" s="1055"/>
      <c r="KGX89" s="1055"/>
      <c r="KGY89" s="1055"/>
      <c r="KGZ89" s="1055"/>
      <c r="KHA89" s="1055"/>
      <c r="KHB89" s="1055"/>
      <c r="KHC89" s="1055"/>
      <c r="KHD89" s="1055"/>
      <c r="KHE89" s="1055"/>
      <c r="KHF89" s="1055"/>
      <c r="KHG89" s="1055"/>
      <c r="KHH89" s="1055"/>
      <c r="KHI89" s="1055"/>
      <c r="KHJ89" s="1055"/>
      <c r="KHK89" s="1055"/>
      <c r="KHL89" s="1055"/>
      <c r="KHM89" s="1055"/>
      <c r="KHN89" s="1055"/>
      <c r="KHO89" s="1055"/>
      <c r="KHP89" s="1055"/>
      <c r="KHQ89" s="1055"/>
      <c r="KHR89" s="1055"/>
      <c r="KHS89" s="1055"/>
      <c r="KHT89" s="1055"/>
      <c r="KHU89" s="1055"/>
      <c r="KHV89" s="1055"/>
      <c r="KHW89" s="1055"/>
      <c r="KHX89" s="1055"/>
      <c r="KHY89" s="1055"/>
      <c r="KHZ89" s="1055"/>
      <c r="KIA89" s="1055"/>
      <c r="KIB89" s="1055"/>
      <c r="KIC89" s="1055"/>
      <c r="KID89" s="1055"/>
      <c r="KIE89" s="1055"/>
      <c r="KIF89" s="1055"/>
      <c r="KIG89" s="1055"/>
      <c r="KIH89" s="1055"/>
      <c r="KII89" s="1055"/>
      <c r="KIJ89" s="1055"/>
      <c r="KIK89" s="1055"/>
      <c r="KIL89" s="1055"/>
      <c r="KIM89" s="1055"/>
      <c r="KIN89" s="1055"/>
      <c r="KIO89" s="1055"/>
      <c r="KIP89" s="1055"/>
      <c r="KIQ89" s="1055"/>
      <c r="KIR89" s="1055"/>
      <c r="KIS89" s="1055"/>
      <c r="KIT89" s="1055"/>
      <c r="KIU89" s="1055"/>
      <c r="KIV89" s="1055"/>
      <c r="KIW89" s="1055"/>
      <c r="KIX89" s="1055"/>
      <c r="KIY89" s="1055"/>
      <c r="KIZ89" s="1055"/>
      <c r="KJA89" s="1055"/>
      <c r="KJB89" s="1055"/>
      <c r="KJC89" s="1055"/>
      <c r="KJD89" s="1055"/>
      <c r="KJE89" s="1055"/>
      <c r="KJF89" s="1055"/>
      <c r="KJG89" s="1055"/>
      <c r="KJH89" s="1055"/>
      <c r="KJI89" s="1055"/>
      <c r="KJJ89" s="1055"/>
      <c r="KJK89" s="1055"/>
      <c r="KJL89" s="1055"/>
      <c r="KJM89" s="1055"/>
      <c r="KJN89" s="1055"/>
      <c r="KJO89" s="1055"/>
      <c r="KJP89" s="1055"/>
      <c r="KJQ89" s="1055"/>
      <c r="KJR89" s="1055"/>
      <c r="KJS89" s="1055"/>
      <c r="KJT89" s="1055"/>
      <c r="KJU89" s="1055"/>
      <c r="KJV89" s="1055"/>
      <c r="KJW89" s="1055"/>
      <c r="KJX89" s="1055"/>
      <c r="KJY89" s="1055"/>
      <c r="KJZ89" s="1055"/>
      <c r="KKA89" s="1055"/>
      <c r="KKB89" s="1055"/>
      <c r="KKC89" s="1055"/>
      <c r="KKD89" s="1055"/>
      <c r="KKE89" s="1055"/>
      <c r="KKF89" s="1055"/>
      <c r="KKG89" s="1055"/>
      <c r="KKH89" s="1055"/>
      <c r="KKI89" s="1055"/>
      <c r="KKJ89" s="1055"/>
      <c r="KKK89" s="1055"/>
      <c r="KKL89" s="1055"/>
      <c r="KKM89" s="1055"/>
      <c r="KKN89" s="1055"/>
      <c r="KKO89" s="1055"/>
      <c r="KKP89" s="1055"/>
      <c r="KKQ89" s="1055"/>
      <c r="KKR89" s="1055"/>
      <c r="KKS89" s="1055"/>
      <c r="KKT89" s="1055"/>
      <c r="KKU89" s="1055"/>
      <c r="KKV89" s="1055"/>
      <c r="KKW89" s="1055"/>
      <c r="KKX89" s="1055"/>
      <c r="KKY89" s="1055"/>
      <c r="KKZ89" s="1055"/>
      <c r="KLA89" s="1055"/>
      <c r="KLB89" s="1055"/>
      <c r="KLC89" s="1055"/>
      <c r="KLD89" s="1055"/>
      <c r="KLE89" s="1055"/>
      <c r="KLF89" s="1055"/>
      <c r="KLG89" s="1055"/>
      <c r="KLH89" s="1055"/>
      <c r="KLI89" s="1055"/>
      <c r="KLJ89" s="1055"/>
      <c r="KLK89" s="1055"/>
      <c r="KLL89" s="1055"/>
      <c r="KLM89" s="1055"/>
      <c r="KLN89" s="1055"/>
      <c r="KLO89" s="1055"/>
      <c r="KLP89" s="1055"/>
      <c r="KLQ89" s="1055"/>
      <c r="KLR89" s="1055"/>
      <c r="KLS89" s="1055"/>
      <c r="KLT89" s="1055"/>
      <c r="KLU89" s="1055"/>
      <c r="KLV89" s="1055"/>
      <c r="KLW89" s="1055"/>
      <c r="KLX89" s="1055"/>
      <c r="KLY89" s="1055"/>
      <c r="KLZ89" s="1055"/>
      <c r="KMA89" s="1055"/>
      <c r="KMB89" s="1055"/>
      <c r="KMC89" s="1055"/>
      <c r="KMD89" s="1055"/>
      <c r="KME89" s="1055"/>
      <c r="KMF89" s="1055"/>
      <c r="KMG89" s="1055"/>
      <c r="KMH89" s="1055"/>
      <c r="KMI89" s="1055"/>
      <c r="KMJ89" s="1055"/>
      <c r="KMK89" s="1055"/>
      <c r="KML89" s="1055"/>
      <c r="KMM89" s="1055"/>
      <c r="KMN89" s="1055"/>
      <c r="KMO89" s="1055"/>
      <c r="KMP89" s="1055"/>
      <c r="KMQ89" s="1055"/>
      <c r="KMR89" s="1055"/>
      <c r="KMS89" s="1055"/>
      <c r="KMT89" s="1055"/>
      <c r="KMU89" s="1055"/>
      <c r="KMV89" s="1055"/>
      <c r="KMW89" s="1055"/>
      <c r="KMX89" s="1055"/>
      <c r="KMY89" s="1055"/>
      <c r="KMZ89" s="1055"/>
      <c r="KNA89" s="1055"/>
      <c r="KNB89" s="1055"/>
      <c r="KNC89" s="1055"/>
      <c r="KND89" s="1055"/>
      <c r="KNE89" s="1055"/>
      <c r="KNF89" s="1055"/>
      <c r="KNG89" s="1055"/>
      <c r="KNH89" s="1055"/>
      <c r="KNI89" s="1055"/>
      <c r="KNJ89" s="1055"/>
      <c r="KNK89" s="1055"/>
      <c r="KNL89" s="1055"/>
      <c r="KNM89" s="1055"/>
      <c r="KNN89" s="1055"/>
      <c r="KNO89" s="1055"/>
      <c r="KNP89" s="1055"/>
      <c r="KNQ89" s="1055"/>
      <c r="KNR89" s="1055"/>
      <c r="KNS89" s="1055"/>
      <c r="KNT89" s="1055"/>
      <c r="KNU89" s="1055"/>
      <c r="KNV89" s="1055"/>
      <c r="KNW89" s="1055"/>
      <c r="KNX89" s="1055"/>
      <c r="KNY89" s="1055"/>
      <c r="KNZ89" s="1055"/>
      <c r="KOA89" s="1055"/>
      <c r="KOB89" s="1055"/>
      <c r="KOC89" s="1055"/>
      <c r="KOD89" s="1055"/>
      <c r="KOE89" s="1055"/>
      <c r="KOF89" s="1055"/>
      <c r="KOG89" s="1055"/>
      <c r="KOH89" s="1055"/>
      <c r="KOI89" s="1055"/>
      <c r="KOJ89" s="1055"/>
      <c r="KOK89" s="1055"/>
      <c r="KOL89" s="1055"/>
      <c r="KOM89" s="1055"/>
      <c r="KON89" s="1055"/>
      <c r="KOO89" s="1055"/>
      <c r="KOP89" s="1055"/>
      <c r="KOQ89" s="1055"/>
      <c r="KOR89" s="1055"/>
      <c r="KOS89" s="1055"/>
      <c r="KOT89" s="1055"/>
      <c r="KOU89" s="1055"/>
      <c r="KOV89" s="1055"/>
      <c r="KOW89" s="1055"/>
      <c r="KOX89" s="1055"/>
      <c r="KOY89" s="1055"/>
      <c r="KOZ89" s="1055"/>
      <c r="KPA89" s="1055"/>
      <c r="KPB89" s="1055"/>
      <c r="KPC89" s="1055"/>
      <c r="KPD89" s="1055"/>
      <c r="KPE89" s="1055"/>
      <c r="KPF89" s="1055"/>
      <c r="KPG89" s="1055"/>
      <c r="KPH89" s="1055"/>
      <c r="KPI89" s="1055"/>
      <c r="KPJ89" s="1055"/>
      <c r="KPK89" s="1055"/>
      <c r="KPL89" s="1055"/>
      <c r="KPM89" s="1055"/>
      <c r="KPN89" s="1055"/>
      <c r="KPO89" s="1055"/>
      <c r="KPP89" s="1055"/>
      <c r="KPQ89" s="1055"/>
      <c r="KPR89" s="1055"/>
      <c r="KPS89" s="1055"/>
      <c r="KPT89" s="1055"/>
      <c r="KPU89" s="1055"/>
      <c r="KPV89" s="1055"/>
      <c r="KPW89" s="1055"/>
      <c r="KPX89" s="1055"/>
      <c r="KPY89" s="1055"/>
      <c r="KPZ89" s="1055"/>
      <c r="KQA89" s="1055"/>
      <c r="KQB89" s="1055"/>
      <c r="KQC89" s="1055"/>
      <c r="KQD89" s="1055"/>
      <c r="KQE89" s="1055"/>
      <c r="KQF89" s="1055"/>
      <c r="KQG89" s="1055"/>
      <c r="KQH89" s="1055"/>
      <c r="KQI89" s="1055"/>
      <c r="KQJ89" s="1055"/>
      <c r="KQK89" s="1055"/>
      <c r="KQL89" s="1055"/>
      <c r="KQM89" s="1055"/>
      <c r="KQN89" s="1055"/>
      <c r="KQO89" s="1055"/>
      <c r="KQP89" s="1055"/>
      <c r="KQQ89" s="1055"/>
      <c r="KQR89" s="1055"/>
      <c r="KQS89" s="1055"/>
      <c r="KQT89" s="1055"/>
      <c r="KQU89" s="1055"/>
      <c r="KQV89" s="1055"/>
      <c r="KQW89" s="1055"/>
      <c r="KQX89" s="1055"/>
      <c r="KQY89" s="1055"/>
      <c r="KQZ89" s="1055"/>
      <c r="KRA89" s="1055"/>
      <c r="KRB89" s="1055"/>
      <c r="KRC89" s="1055"/>
      <c r="KRD89" s="1055"/>
      <c r="KRE89" s="1055"/>
      <c r="KRF89" s="1055"/>
      <c r="KRG89" s="1055"/>
      <c r="KRH89" s="1055"/>
      <c r="KRI89" s="1055"/>
      <c r="KRJ89" s="1055"/>
      <c r="KRK89" s="1055"/>
      <c r="KRL89" s="1055"/>
      <c r="KRM89" s="1055"/>
      <c r="KRN89" s="1055"/>
      <c r="KRO89" s="1055"/>
      <c r="KRP89" s="1055"/>
      <c r="KRQ89" s="1055"/>
      <c r="KRR89" s="1055"/>
      <c r="KRS89" s="1055"/>
      <c r="KRT89" s="1055"/>
      <c r="KRU89" s="1055"/>
      <c r="KRV89" s="1055"/>
      <c r="KRW89" s="1055"/>
      <c r="KRX89" s="1055"/>
      <c r="KRY89" s="1055"/>
      <c r="KRZ89" s="1055"/>
      <c r="KSA89" s="1055"/>
      <c r="KSB89" s="1055"/>
      <c r="KSC89" s="1055"/>
      <c r="KSD89" s="1055"/>
      <c r="KSE89" s="1055"/>
      <c r="KSF89" s="1055"/>
      <c r="KSG89" s="1055"/>
      <c r="KSH89" s="1055"/>
      <c r="KSI89" s="1055"/>
      <c r="KSJ89" s="1055"/>
      <c r="KSK89" s="1055"/>
      <c r="KSL89" s="1055"/>
      <c r="KSM89" s="1055"/>
      <c r="KSN89" s="1055"/>
      <c r="KSO89" s="1055"/>
      <c r="KSP89" s="1055"/>
      <c r="KSQ89" s="1055"/>
      <c r="KSR89" s="1055"/>
      <c r="KSS89" s="1055"/>
      <c r="KST89" s="1055"/>
      <c r="KSU89" s="1055"/>
      <c r="KSV89" s="1055"/>
      <c r="KSW89" s="1055"/>
      <c r="KSX89" s="1055"/>
      <c r="KSY89" s="1055"/>
      <c r="KSZ89" s="1055"/>
      <c r="KTA89" s="1055"/>
      <c r="KTB89" s="1055"/>
      <c r="KTC89" s="1055"/>
      <c r="KTD89" s="1055"/>
      <c r="KTE89" s="1055"/>
      <c r="KTF89" s="1055"/>
      <c r="KTG89" s="1055"/>
      <c r="KTH89" s="1055"/>
      <c r="KTI89" s="1055"/>
      <c r="KTJ89" s="1055"/>
      <c r="KTK89" s="1055"/>
      <c r="KTL89" s="1055"/>
      <c r="KTM89" s="1055"/>
      <c r="KTN89" s="1055"/>
      <c r="KTO89" s="1055"/>
      <c r="KTP89" s="1055"/>
      <c r="KTQ89" s="1055"/>
      <c r="KTR89" s="1055"/>
      <c r="KTS89" s="1055"/>
      <c r="KTT89" s="1055"/>
      <c r="KTU89" s="1055"/>
      <c r="KTV89" s="1055"/>
      <c r="KTW89" s="1055"/>
      <c r="KTX89" s="1055"/>
      <c r="KTY89" s="1055"/>
      <c r="KTZ89" s="1055"/>
      <c r="KUA89" s="1055"/>
      <c r="KUB89" s="1055"/>
      <c r="KUC89" s="1055"/>
      <c r="KUD89" s="1055"/>
      <c r="KUE89" s="1055"/>
      <c r="KUF89" s="1055"/>
      <c r="KUG89" s="1055"/>
      <c r="KUH89" s="1055"/>
      <c r="KUI89" s="1055"/>
      <c r="KUJ89" s="1055"/>
      <c r="KUK89" s="1055"/>
      <c r="KUL89" s="1055"/>
      <c r="KUM89" s="1055"/>
      <c r="KUN89" s="1055"/>
      <c r="KUO89" s="1055"/>
      <c r="KUP89" s="1055"/>
      <c r="KUQ89" s="1055"/>
      <c r="KUR89" s="1055"/>
      <c r="KUS89" s="1055"/>
      <c r="KUT89" s="1055"/>
      <c r="KUU89" s="1055"/>
      <c r="KUV89" s="1055"/>
      <c r="KUW89" s="1055"/>
      <c r="KUX89" s="1055"/>
      <c r="KUY89" s="1055"/>
      <c r="KUZ89" s="1055"/>
      <c r="KVA89" s="1055"/>
      <c r="KVB89" s="1055"/>
      <c r="KVC89" s="1055"/>
      <c r="KVD89" s="1055"/>
      <c r="KVE89" s="1055"/>
      <c r="KVF89" s="1055"/>
      <c r="KVG89" s="1055"/>
      <c r="KVH89" s="1055"/>
      <c r="KVI89" s="1055"/>
      <c r="KVJ89" s="1055"/>
      <c r="KVK89" s="1055"/>
      <c r="KVL89" s="1055"/>
      <c r="KVM89" s="1055"/>
      <c r="KVN89" s="1055"/>
      <c r="KVO89" s="1055"/>
      <c r="KVP89" s="1055"/>
      <c r="KVQ89" s="1055"/>
      <c r="KVR89" s="1055"/>
      <c r="KVS89" s="1055"/>
      <c r="KVT89" s="1055"/>
      <c r="KVU89" s="1055"/>
      <c r="KVV89" s="1055"/>
      <c r="KVW89" s="1055"/>
      <c r="KVX89" s="1055"/>
      <c r="KVY89" s="1055"/>
      <c r="KVZ89" s="1055"/>
      <c r="KWA89" s="1055"/>
      <c r="KWB89" s="1055"/>
      <c r="KWC89" s="1055"/>
      <c r="KWD89" s="1055"/>
      <c r="KWE89" s="1055"/>
      <c r="KWF89" s="1055"/>
      <c r="KWG89" s="1055"/>
      <c r="KWH89" s="1055"/>
      <c r="KWI89" s="1055"/>
      <c r="KWJ89" s="1055"/>
      <c r="KWK89" s="1055"/>
      <c r="KWL89" s="1055"/>
      <c r="KWM89" s="1055"/>
      <c r="KWN89" s="1055"/>
      <c r="KWO89" s="1055"/>
      <c r="KWP89" s="1055"/>
      <c r="KWQ89" s="1055"/>
      <c r="KWR89" s="1055"/>
      <c r="KWS89" s="1055"/>
      <c r="KWT89" s="1055"/>
      <c r="KWU89" s="1055"/>
      <c r="KWV89" s="1055"/>
      <c r="KWW89" s="1055"/>
      <c r="KWX89" s="1055"/>
      <c r="KWY89" s="1055"/>
      <c r="KWZ89" s="1055"/>
      <c r="KXA89" s="1055"/>
      <c r="KXB89" s="1055"/>
      <c r="KXC89" s="1055"/>
      <c r="KXD89" s="1055"/>
      <c r="KXE89" s="1055"/>
      <c r="KXF89" s="1055"/>
      <c r="KXG89" s="1055"/>
      <c r="KXH89" s="1055"/>
      <c r="KXI89" s="1055"/>
      <c r="KXJ89" s="1055"/>
      <c r="KXK89" s="1055"/>
      <c r="KXL89" s="1055"/>
      <c r="KXM89" s="1055"/>
      <c r="KXN89" s="1055"/>
      <c r="KXO89" s="1055"/>
      <c r="KXP89" s="1055"/>
      <c r="KXQ89" s="1055"/>
      <c r="KXR89" s="1055"/>
      <c r="KXS89" s="1055"/>
      <c r="KXT89" s="1055"/>
      <c r="KXU89" s="1055"/>
      <c r="KXV89" s="1055"/>
      <c r="KXW89" s="1055"/>
      <c r="KXX89" s="1055"/>
      <c r="KXY89" s="1055"/>
      <c r="KXZ89" s="1055"/>
      <c r="KYA89" s="1055"/>
      <c r="KYB89" s="1055"/>
      <c r="KYC89" s="1055"/>
      <c r="KYD89" s="1055"/>
      <c r="KYE89" s="1055"/>
      <c r="KYF89" s="1055"/>
      <c r="KYG89" s="1055"/>
      <c r="KYH89" s="1055"/>
      <c r="KYI89" s="1055"/>
      <c r="KYJ89" s="1055"/>
      <c r="KYK89" s="1055"/>
      <c r="KYL89" s="1055"/>
      <c r="KYM89" s="1055"/>
      <c r="KYN89" s="1055"/>
      <c r="KYO89" s="1055"/>
      <c r="KYP89" s="1055"/>
      <c r="KYQ89" s="1055"/>
      <c r="KYR89" s="1055"/>
      <c r="KYS89" s="1055"/>
      <c r="KYT89" s="1055"/>
      <c r="KYU89" s="1055"/>
      <c r="KYV89" s="1055"/>
      <c r="KYW89" s="1055"/>
      <c r="KYX89" s="1055"/>
      <c r="KYY89" s="1055"/>
      <c r="KYZ89" s="1055"/>
      <c r="KZA89" s="1055"/>
      <c r="KZB89" s="1055"/>
      <c r="KZC89" s="1055"/>
      <c r="KZD89" s="1055"/>
      <c r="KZE89" s="1055"/>
      <c r="KZF89" s="1055"/>
      <c r="KZG89" s="1055"/>
      <c r="KZH89" s="1055"/>
      <c r="KZI89" s="1055"/>
      <c r="KZJ89" s="1055"/>
      <c r="KZK89" s="1055"/>
      <c r="KZL89" s="1055"/>
      <c r="KZM89" s="1055"/>
      <c r="KZN89" s="1055"/>
      <c r="KZO89" s="1055"/>
      <c r="KZP89" s="1055"/>
      <c r="KZQ89" s="1055"/>
      <c r="KZR89" s="1055"/>
      <c r="KZS89" s="1055"/>
      <c r="KZT89" s="1055"/>
      <c r="KZU89" s="1055"/>
      <c r="KZV89" s="1055"/>
      <c r="KZW89" s="1055"/>
      <c r="KZX89" s="1055"/>
      <c r="KZY89" s="1055"/>
      <c r="KZZ89" s="1055"/>
      <c r="LAA89" s="1055"/>
      <c r="LAB89" s="1055"/>
      <c r="LAC89" s="1055"/>
      <c r="LAD89" s="1055"/>
      <c r="LAE89" s="1055"/>
      <c r="LAF89" s="1055"/>
      <c r="LAG89" s="1055"/>
      <c r="LAH89" s="1055"/>
      <c r="LAI89" s="1055"/>
      <c r="LAJ89" s="1055"/>
      <c r="LAK89" s="1055"/>
      <c r="LAL89" s="1055"/>
      <c r="LAM89" s="1055"/>
      <c r="LAN89" s="1055"/>
      <c r="LAO89" s="1055"/>
      <c r="LAP89" s="1055"/>
      <c r="LAQ89" s="1055"/>
      <c r="LAR89" s="1055"/>
      <c r="LAS89" s="1055"/>
      <c r="LAT89" s="1055"/>
      <c r="LAU89" s="1055"/>
      <c r="LAV89" s="1055"/>
      <c r="LAW89" s="1055"/>
      <c r="LAX89" s="1055"/>
      <c r="LAY89" s="1055"/>
      <c r="LAZ89" s="1055"/>
      <c r="LBA89" s="1055"/>
      <c r="LBB89" s="1055"/>
      <c r="LBC89" s="1055"/>
      <c r="LBD89" s="1055"/>
      <c r="LBE89" s="1055"/>
      <c r="LBF89" s="1055"/>
      <c r="LBG89" s="1055"/>
      <c r="LBH89" s="1055"/>
      <c r="LBI89" s="1055"/>
      <c r="LBJ89" s="1055"/>
      <c r="LBK89" s="1055"/>
      <c r="LBL89" s="1055"/>
      <c r="LBM89" s="1055"/>
      <c r="LBN89" s="1055"/>
      <c r="LBO89" s="1055"/>
      <c r="LBP89" s="1055"/>
      <c r="LBQ89" s="1055"/>
      <c r="LBR89" s="1055"/>
      <c r="LBS89" s="1055"/>
      <c r="LBT89" s="1055"/>
      <c r="LBU89" s="1055"/>
      <c r="LBV89" s="1055"/>
      <c r="LBW89" s="1055"/>
      <c r="LBX89" s="1055"/>
      <c r="LBY89" s="1055"/>
      <c r="LBZ89" s="1055"/>
      <c r="LCA89" s="1055"/>
      <c r="LCB89" s="1055"/>
      <c r="LCC89" s="1055"/>
      <c r="LCD89" s="1055"/>
      <c r="LCE89" s="1055"/>
      <c r="LCF89" s="1055"/>
      <c r="LCG89" s="1055"/>
      <c r="LCH89" s="1055"/>
      <c r="LCI89" s="1055"/>
      <c r="LCJ89" s="1055"/>
      <c r="LCK89" s="1055"/>
      <c r="LCL89" s="1055"/>
      <c r="LCM89" s="1055"/>
      <c r="LCN89" s="1055"/>
      <c r="LCO89" s="1055"/>
      <c r="LCP89" s="1055"/>
      <c r="LCQ89" s="1055"/>
      <c r="LCR89" s="1055"/>
      <c r="LCS89" s="1055"/>
      <c r="LCT89" s="1055"/>
      <c r="LCU89" s="1055"/>
      <c r="LCV89" s="1055"/>
      <c r="LCW89" s="1055"/>
      <c r="LCX89" s="1055"/>
      <c r="LCY89" s="1055"/>
      <c r="LCZ89" s="1055"/>
      <c r="LDA89" s="1055"/>
      <c r="LDB89" s="1055"/>
      <c r="LDC89" s="1055"/>
      <c r="LDD89" s="1055"/>
      <c r="LDE89" s="1055"/>
      <c r="LDF89" s="1055"/>
      <c r="LDG89" s="1055"/>
      <c r="LDH89" s="1055"/>
      <c r="LDI89" s="1055"/>
      <c r="LDJ89" s="1055"/>
      <c r="LDK89" s="1055"/>
      <c r="LDL89" s="1055"/>
      <c r="LDM89" s="1055"/>
      <c r="LDN89" s="1055"/>
      <c r="LDO89" s="1055"/>
      <c r="LDP89" s="1055"/>
      <c r="LDQ89" s="1055"/>
      <c r="LDR89" s="1055"/>
      <c r="LDS89" s="1055"/>
      <c r="LDT89" s="1055"/>
      <c r="LDU89" s="1055"/>
      <c r="LDV89" s="1055"/>
      <c r="LDW89" s="1055"/>
      <c r="LDX89" s="1055"/>
      <c r="LDY89" s="1055"/>
      <c r="LDZ89" s="1055"/>
      <c r="LEA89" s="1055"/>
      <c r="LEB89" s="1055"/>
      <c r="LEC89" s="1055"/>
      <c r="LED89" s="1055"/>
      <c r="LEE89" s="1055"/>
      <c r="LEF89" s="1055"/>
      <c r="LEG89" s="1055"/>
      <c r="LEH89" s="1055"/>
      <c r="LEI89" s="1055"/>
      <c r="LEJ89" s="1055"/>
      <c r="LEK89" s="1055"/>
      <c r="LEL89" s="1055"/>
      <c r="LEM89" s="1055"/>
      <c r="LEN89" s="1055"/>
      <c r="LEO89" s="1055"/>
      <c r="LEP89" s="1055"/>
      <c r="LEQ89" s="1055"/>
      <c r="LER89" s="1055"/>
      <c r="LES89" s="1055"/>
      <c r="LET89" s="1055"/>
      <c r="LEU89" s="1055"/>
      <c r="LEV89" s="1055"/>
      <c r="LEW89" s="1055"/>
      <c r="LEX89" s="1055"/>
      <c r="LEY89" s="1055"/>
      <c r="LEZ89" s="1055"/>
      <c r="LFA89" s="1055"/>
      <c r="LFB89" s="1055"/>
      <c r="LFC89" s="1055"/>
      <c r="LFD89" s="1055"/>
      <c r="LFE89" s="1055"/>
      <c r="LFF89" s="1055"/>
      <c r="LFG89" s="1055"/>
      <c r="LFH89" s="1055"/>
      <c r="LFI89" s="1055"/>
      <c r="LFJ89" s="1055"/>
      <c r="LFK89" s="1055"/>
      <c r="LFL89" s="1055"/>
      <c r="LFM89" s="1055"/>
      <c r="LFN89" s="1055"/>
      <c r="LFO89" s="1055"/>
      <c r="LFP89" s="1055"/>
      <c r="LFQ89" s="1055"/>
      <c r="LFR89" s="1055"/>
      <c r="LFS89" s="1055"/>
      <c r="LFT89" s="1055"/>
      <c r="LFU89" s="1055"/>
      <c r="LFV89" s="1055"/>
      <c r="LFW89" s="1055"/>
      <c r="LFX89" s="1055"/>
      <c r="LFY89" s="1055"/>
      <c r="LFZ89" s="1055"/>
      <c r="LGA89" s="1055"/>
      <c r="LGB89" s="1055"/>
      <c r="LGC89" s="1055"/>
      <c r="LGD89" s="1055"/>
      <c r="LGE89" s="1055"/>
      <c r="LGF89" s="1055"/>
      <c r="LGG89" s="1055"/>
      <c r="LGH89" s="1055"/>
      <c r="LGI89" s="1055"/>
      <c r="LGJ89" s="1055"/>
      <c r="LGK89" s="1055"/>
      <c r="LGL89" s="1055"/>
      <c r="LGM89" s="1055"/>
      <c r="LGN89" s="1055"/>
      <c r="LGO89" s="1055"/>
      <c r="LGP89" s="1055"/>
      <c r="LGQ89" s="1055"/>
      <c r="LGR89" s="1055"/>
      <c r="LGS89" s="1055"/>
      <c r="LGT89" s="1055"/>
      <c r="LGU89" s="1055"/>
      <c r="LGV89" s="1055"/>
      <c r="LGW89" s="1055"/>
      <c r="LGX89" s="1055"/>
      <c r="LGY89" s="1055"/>
      <c r="LGZ89" s="1055"/>
      <c r="LHA89" s="1055"/>
      <c r="LHB89" s="1055"/>
      <c r="LHC89" s="1055"/>
      <c r="LHD89" s="1055"/>
      <c r="LHE89" s="1055"/>
      <c r="LHF89" s="1055"/>
      <c r="LHG89" s="1055"/>
      <c r="LHH89" s="1055"/>
      <c r="LHI89" s="1055"/>
      <c r="LHJ89" s="1055"/>
      <c r="LHK89" s="1055"/>
      <c r="LHL89" s="1055"/>
      <c r="LHM89" s="1055"/>
      <c r="LHN89" s="1055"/>
      <c r="LHO89" s="1055"/>
      <c r="LHP89" s="1055"/>
      <c r="LHQ89" s="1055"/>
      <c r="LHR89" s="1055"/>
      <c r="LHS89" s="1055"/>
      <c r="LHT89" s="1055"/>
      <c r="LHU89" s="1055"/>
      <c r="LHV89" s="1055"/>
      <c r="LHW89" s="1055"/>
      <c r="LHX89" s="1055"/>
      <c r="LHY89" s="1055"/>
      <c r="LHZ89" s="1055"/>
      <c r="LIA89" s="1055"/>
      <c r="LIB89" s="1055"/>
      <c r="LIC89" s="1055"/>
      <c r="LID89" s="1055"/>
      <c r="LIE89" s="1055"/>
      <c r="LIF89" s="1055"/>
      <c r="LIG89" s="1055"/>
      <c r="LIH89" s="1055"/>
      <c r="LII89" s="1055"/>
      <c r="LIJ89" s="1055"/>
      <c r="LIK89" s="1055"/>
      <c r="LIL89" s="1055"/>
      <c r="LIM89" s="1055"/>
      <c r="LIN89" s="1055"/>
      <c r="LIO89" s="1055"/>
      <c r="LIP89" s="1055"/>
      <c r="LIQ89" s="1055"/>
      <c r="LIR89" s="1055"/>
      <c r="LIS89" s="1055"/>
      <c r="LIT89" s="1055"/>
      <c r="LIU89" s="1055"/>
      <c r="LIV89" s="1055"/>
      <c r="LIW89" s="1055"/>
      <c r="LIX89" s="1055"/>
      <c r="LIY89" s="1055"/>
      <c r="LIZ89" s="1055"/>
      <c r="LJA89" s="1055"/>
      <c r="LJB89" s="1055"/>
      <c r="LJC89" s="1055"/>
      <c r="LJD89" s="1055"/>
      <c r="LJE89" s="1055"/>
      <c r="LJF89" s="1055"/>
      <c r="LJG89" s="1055"/>
      <c r="LJH89" s="1055"/>
      <c r="LJI89" s="1055"/>
      <c r="LJJ89" s="1055"/>
      <c r="LJK89" s="1055"/>
      <c r="LJL89" s="1055"/>
      <c r="LJM89" s="1055"/>
      <c r="LJN89" s="1055"/>
      <c r="LJO89" s="1055"/>
      <c r="LJP89" s="1055"/>
      <c r="LJQ89" s="1055"/>
      <c r="LJR89" s="1055"/>
      <c r="LJS89" s="1055"/>
      <c r="LJT89" s="1055"/>
      <c r="LJU89" s="1055"/>
      <c r="LJV89" s="1055"/>
      <c r="LJW89" s="1055"/>
      <c r="LJX89" s="1055"/>
      <c r="LJY89" s="1055"/>
      <c r="LJZ89" s="1055"/>
      <c r="LKA89" s="1055"/>
      <c r="LKB89" s="1055"/>
      <c r="LKC89" s="1055"/>
      <c r="LKD89" s="1055"/>
      <c r="LKE89" s="1055"/>
      <c r="LKF89" s="1055"/>
      <c r="LKG89" s="1055"/>
      <c r="LKH89" s="1055"/>
      <c r="LKI89" s="1055"/>
      <c r="LKJ89" s="1055"/>
      <c r="LKK89" s="1055"/>
      <c r="LKL89" s="1055"/>
      <c r="LKM89" s="1055"/>
      <c r="LKN89" s="1055"/>
      <c r="LKO89" s="1055"/>
      <c r="LKP89" s="1055"/>
      <c r="LKQ89" s="1055"/>
      <c r="LKR89" s="1055"/>
      <c r="LKS89" s="1055"/>
      <c r="LKT89" s="1055"/>
      <c r="LKU89" s="1055"/>
      <c r="LKV89" s="1055"/>
      <c r="LKW89" s="1055"/>
      <c r="LKX89" s="1055"/>
      <c r="LKY89" s="1055"/>
      <c r="LKZ89" s="1055"/>
      <c r="LLA89" s="1055"/>
      <c r="LLB89" s="1055"/>
      <c r="LLC89" s="1055"/>
      <c r="LLD89" s="1055"/>
      <c r="LLE89" s="1055"/>
      <c r="LLF89" s="1055"/>
      <c r="LLG89" s="1055"/>
      <c r="LLH89" s="1055"/>
      <c r="LLI89" s="1055"/>
      <c r="LLJ89" s="1055"/>
      <c r="LLK89" s="1055"/>
      <c r="LLL89" s="1055"/>
      <c r="LLM89" s="1055"/>
      <c r="LLN89" s="1055"/>
      <c r="LLO89" s="1055"/>
      <c r="LLP89" s="1055"/>
      <c r="LLQ89" s="1055"/>
      <c r="LLR89" s="1055"/>
      <c r="LLS89" s="1055"/>
      <c r="LLT89" s="1055"/>
      <c r="LLU89" s="1055"/>
      <c r="LLV89" s="1055"/>
      <c r="LLW89" s="1055"/>
      <c r="LLX89" s="1055"/>
      <c r="LLY89" s="1055"/>
      <c r="LLZ89" s="1055"/>
      <c r="LMA89" s="1055"/>
      <c r="LMB89" s="1055"/>
      <c r="LMC89" s="1055"/>
      <c r="LMD89" s="1055"/>
      <c r="LME89" s="1055"/>
      <c r="LMF89" s="1055"/>
      <c r="LMG89" s="1055"/>
      <c r="LMH89" s="1055"/>
      <c r="LMI89" s="1055"/>
      <c r="LMJ89" s="1055"/>
      <c r="LMK89" s="1055"/>
      <c r="LML89" s="1055"/>
      <c r="LMM89" s="1055"/>
      <c r="LMN89" s="1055"/>
      <c r="LMO89" s="1055"/>
      <c r="LMP89" s="1055"/>
      <c r="LMQ89" s="1055"/>
      <c r="LMR89" s="1055"/>
      <c r="LMS89" s="1055"/>
      <c r="LMT89" s="1055"/>
      <c r="LMU89" s="1055"/>
      <c r="LMV89" s="1055"/>
      <c r="LMW89" s="1055"/>
      <c r="LMX89" s="1055"/>
      <c r="LMY89" s="1055"/>
      <c r="LMZ89" s="1055"/>
      <c r="LNA89" s="1055"/>
      <c r="LNB89" s="1055"/>
      <c r="LNC89" s="1055"/>
      <c r="LND89" s="1055"/>
      <c r="LNE89" s="1055"/>
      <c r="LNF89" s="1055"/>
      <c r="LNG89" s="1055"/>
      <c r="LNH89" s="1055"/>
      <c r="LNI89" s="1055"/>
      <c r="LNJ89" s="1055"/>
      <c r="LNK89" s="1055"/>
      <c r="LNL89" s="1055"/>
      <c r="LNM89" s="1055"/>
      <c r="LNN89" s="1055"/>
      <c r="LNO89" s="1055"/>
      <c r="LNP89" s="1055"/>
      <c r="LNQ89" s="1055"/>
      <c r="LNR89" s="1055"/>
      <c r="LNS89" s="1055"/>
      <c r="LNT89" s="1055"/>
      <c r="LNU89" s="1055"/>
      <c r="LNV89" s="1055"/>
      <c r="LNW89" s="1055"/>
      <c r="LNX89" s="1055"/>
      <c r="LNY89" s="1055"/>
      <c r="LNZ89" s="1055"/>
      <c r="LOA89" s="1055"/>
      <c r="LOB89" s="1055"/>
      <c r="LOC89" s="1055"/>
      <c r="LOD89" s="1055"/>
      <c r="LOE89" s="1055"/>
      <c r="LOF89" s="1055"/>
      <c r="LOG89" s="1055"/>
      <c r="LOH89" s="1055"/>
      <c r="LOI89" s="1055"/>
      <c r="LOJ89" s="1055"/>
      <c r="LOK89" s="1055"/>
      <c r="LOL89" s="1055"/>
      <c r="LOM89" s="1055"/>
      <c r="LON89" s="1055"/>
      <c r="LOO89" s="1055"/>
      <c r="LOP89" s="1055"/>
      <c r="LOQ89" s="1055"/>
      <c r="LOR89" s="1055"/>
      <c r="LOS89" s="1055"/>
      <c r="LOT89" s="1055"/>
      <c r="LOU89" s="1055"/>
      <c r="LOV89" s="1055"/>
      <c r="LOW89" s="1055"/>
      <c r="LOX89" s="1055"/>
      <c r="LOY89" s="1055"/>
      <c r="LOZ89" s="1055"/>
      <c r="LPA89" s="1055"/>
      <c r="LPB89" s="1055"/>
      <c r="LPC89" s="1055"/>
      <c r="LPD89" s="1055"/>
      <c r="LPE89" s="1055"/>
      <c r="LPF89" s="1055"/>
      <c r="LPG89" s="1055"/>
      <c r="LPH89" s="1055"/>
      <c r="LPI89" s="1055"/>
      <c r="LPJ89" s="1055"/>
      <c r="LPK89" s="1055"/>
      <c r="LPL89" s="1055"/>
      <c r="LPM89" s="1055"/>
      <c r="LPN89" s="1055"/>
      <c r="LPO89" s="1055"/>
      <c r="LPP89" s="1055"/>
      <c r="LPQ89" s="1055"/>
      <c r="LPR89" s="1055"/>
      <c r="LPS89" s="1055"/>
      <c r="LPT89" s="1055"/>
      <c r="LPU89" s="1055"/>
      <c r="LPV89" s="1055"/>
      <c r="LPW89" s="1055"/>
      <c r="LPX89" s="1055"/>
      <c r="LPY89" s="1055"/>
      <c r="LPZ89" s="1055"/>
      <c r="LQA89" s="1055"/>
      <c r="LQB89" s="1055"/>
      <c r="LQC89" s="1055"/>
      <c r="LQD89" s="1055"/>
      <c r="LQE89" s="1055"/>
      <c r="LQF89" s="1055"/>
      <c r="LQG89" s="1055"/>
      <c r="LQH89" s="1055"/>
      <c r="LQI89" s="1055"/>
      <c r="LQJ89" s="1055"/>
      <c r="LQK89" s="1055"/>
      <c r="LQL89" s="1055"/>
      <c r="LQM89" s="1055"/>
      <c r="LQN89" s="1055"/>
      <c r="LQO89" s="1055"/>
      <c r="LQP89" s="1055"/>
      <c r="LQQ89" s="1055"/>
      <c r="LQR89" s="1055"/>
      <c r="LQS89" s="1055"/>
      <c r="LQT89" s="1055"/>
      <c r="LQU89" s="1055"/>
      <c r="LQV89" s="1055"/>
      <c r="LQW89" s="1055"/>
      <c r="LQX89" s="1055"/>
      <c r="LQY89" s="1055"/>
      <c r="LQZ89" s="1055"/>
      <c r="LRA89" s="1055"/>
      <c r="LRB89" s="1055"/>
      <c r="LRC89" s="1055"/>
      <c r="LRD89" s="1055"/>
      <c r="LRE89" s="1055"/>
      <c r="LRF89" s="1055"/>
      <c r="LRG89" s="1055"/>
      <c r="LRH89" s="1055"/>
      <c r="LRI89" s="1055"/>
      <c r="LRJ89" s="1055"/>
      <c r="LRK89" s="1055"/>
      <c r="LRL89" s="1055"/>
      <c r="LRM89" s="1055"/>
      <c r="LRN89" s="1055"/>
      <c r="LRO89" s="1055"/>
      <c r="LRP89" s="1055"/>
      <c r="LRQ89" s="1055"/>
      <c r="LRR89" s="1055"/>
      <c r="LRS89" s="1055"/>
      <c r="LRT89" s="1055"/>
      <c r="LRU89" s="1055"/>
      <c r="LRV89" s="1055"/>
      <c r="LRW89" s="1055"/>
      <c r="LRX89" s="1055"/>
      <c r="LRY89" s="1055"/>
      <c r="LRZ89" s="1055"/>
      <c r="LSA89" s="1055"/>
      <c r="LSB89" s="1055"/>
      <c r="LSC89" s="1055"/>
      <c r="LSD89" s="1055"/>
      <c r="LSE89" s="1055"/>
      <c r="LSF89" s="1055"/>
      <c r="LSG89" s="1055"/>
      <c r="LSH89" s="1055"/>
      <c r="LSI89" s="1055"/>
      <c r="LSJ89" s="1055"/>
      <c r="LSK89" s="1055"/>
      <c r="LSL89" s="1055"/>
      <c r="LSM89" s="1055"/>
      <c r="LSN89" s="1055"/>
      <c r="LSO89" s="1055"/>
      <c r="LSP89" s="1055"/>
      <c r="LSQ89" s="1055"/>
      <c r="LSR89" s="1055"/>
      <c r="LSS89" s="1055"/>
      <c r="LST89" s="1055"/>
      <c r="LSU89" s="1055"/>
      <c r="LSV89" s="1055"/>
      <c r="LSW89" s="1055"/>
      <c r="LSX89" s="1055"/>
      <c r="LSY89" s="1055"/>
      <c r="LSZ89" s="1055"/>
      <c r="LTA89" s="1055"/>
      <c r="LTB89" s="1055"/>
      <c r="LTC89" s="1055"/>
      <c r="LTD89" s="1055"/>
      <c r="LTE89" s="1055"/>
      <c r="LTF89" s="1055"/>
      <c r="LTG89" s="1055"/>
      <c r="LTH89" s="1055"/>
      <c r="LTI89" s="1055"/>
      <c r="LTJ89" s="1055"/>
      <c r="LTK89" s="1055"/>
      <c r="LTL89" s="1055"/>
      <c r="LTM89" s="1055"/>
      <c r="LTN89" s="1055"/>
      <c r="LTO89" s="1055"/>
      <c r="LTP89" s="1055"/>
      <c r="LTQ89" s="1055"/>
      <c r="LTR89" s="1055"/>
      <c r="LTS89" s="1055"/>
      <c r="LTT89" s="1055"/>
      <c r="LTU89" s="1055"/>
      <c r="LTV89" s="1055"/>
      <c r="LTW89" s="1055"/>
      <c r="LTX89" s="1055"/>
      <c r="LTY89" s="1055"/>
      <c r="LTZ89" s="1055"/>
      <c r="LUA89" s="1055"/>
      <c r="LUB89" s="1055"/>
      <c r="LUC89" s="1055"/>
      <c r="LUD89" s="1055"/>
      <c r="LUE89" s="1055"/>
      <c r="LUF89" s="1055"/>
      <c r="LUG89" s="1055"/>
      <c r="LUH89" s="1055"/>
      <c r="LUI89" s="1055"/>
      <c r="LUJ89" s="1055"/>
      <c r="LUK89" s="1055"/>
      <c r="LUL89" s="1055"/>
      <c r="LUM89" s="1055"/>
      <c r="LUN89" s="1055"/>
      <c r="LUO89" s="1055"/>
      <c r="LUP89" s="1055"/>
      <c r="LUQ89" s="1055"/>
      <c r="LUR89" s="1055"/>
      <c r="LUS89" s="1055"/>
      <c r="LUT89" s="1055"/>
      <c r="LUU89" s="1055"/>
      <c r="LUV89" s="1055"/>
      <c r="LUW89" s="1055"/>
      <c r="LUX89" s="1055"/>
      <c r="LUY89" s="1055"/>
      <c r="LUZ89" s="1055"/>
      <c r="LVA89" s="1055"/>
      <c r="LVB89" s="1055"/>
      <c r="LVC89" s="1055"/>
      <c r="LVD89" s="1055"/>
      <c r="LVE89" s="1055"/>
      <c r="LVF89" s="1055"/>
      <c r="LVG89" s="1055"/>
      <c r="LVH89" s="1055"/>
      <c r="LVI89" s="1055"/>
      <c r="LVJ89" s="1055"/>
      <c r="LVK89" s="1055"/>
      <c r="LVL89" s="1055"/>
      <c r="LVM89" s="1055"/>
      <c r="LVN89" s="1055"/>
      <c r="LVO89" s="1055"/>
      <c r="LVP89" s="1055"/>
      <c r="LVQ89" s="1055"/>
      <c r="LVR89" s="1055"/>
      <c r="LVS89" s="1055"/>
      <c r="LVT89" s="1055"/>
      <c r="LVU89" s="1055"/>
      <c r="LVV89" s="1055"/>
      <c r="LVW89" s="1055"/>
      <c r="LVX89" s="1055"/>
      <c r="LVY89" s="1055"/>
      <c r="LVZ89" s="1055"/>
      <c r="LWA89" s="1055"/>
      <c r="LWB89" s="1055"/>
      <c r="LWC89" s="1055"/>
      <c r="LWD89" s="1055"/>
      <c r="LWE89" s="1055"/>
      <c r="LWF89" s="1055"/>
      <c r="LWG89" s="1055"/>
      <c r="LWH89" s="1055"/>
      <c r="LWI89" s="1055"/>
      <c r="LWJ89" s="1055"/>
      <c r="LWK89" s="1055"/>
      <c r="LWL89" s="1055"/>
      <c r="LWM89" s="1055"/>
      <c r="LWN89" s="1055"/>
      <c r="LWO89" s="1055"/>
      <c r="LWP89" s="1055"/>
      <c r="LWQ89" s="1055"/>
      <c r="LWR89" s="1055"/>
      <c r="LWS89" s="1055"/>
      <c r="LWT89" s="1055"/>
      <c r="LWU89" s="1055"/>
      <c r="LWV89" s="1055"/>
      <c r="LWW89" s="1055"/>
      <c r="LWX89" s="1055"/>
      <c r="LWY89" s="1055"/>
      <c r="LWZ89" s="1055"/>
      <c r="LXA89" s="1055"/>
      <c r="LXB89" s="1055"/>
      <c r="LXC89" s="1055"/>
      <c r="LXD89" s="1055"/>
      <c r="LXE89" s="1055"/>
      <c r="LXF89" s="1055"/>
      <c r="LXG89" s="1055"/>
      <c r="LXH89" s="1055"/>
      <c r="LXI89" s="1055"/>
      <c r="LXJ89" s="1055"/>
      <c r="LXK89" s="1055"/>
      <c r="LXL89" s="1055"/>
      <c r="LXM89" s="1055"/>
      <c r="LXN89" s="1055"/>
      <c r="LXO89" s="1055"/>
      <c r="LXP89" s="1055"/>
      <c r="LXQ89" s="1055"/>
      <c r="LXR89" s="1055"/>
      <c r="LXS89" s="1055"/>
      <c r="LXT89" s="1055"/>
      <c r="LXU89" s="1055"/>
      <c r="LXV89" s="1055"/>
      <c r="LXW89" s="1055"/>
      <c r="LXX89" s="1055"/>
      <c r="LXY89" s="1055"/>
      <c r="LXZ89" s="1055"/>
      <c r="LYA89" s="1055"/>
      <c r="LYB89" s="1055"/>
      <c r="LYC89" s="1055"/>
      <c r="LYD89" s="1055"/>
      <c r="LYE89" s="1055"/>
      <c r="LYF89" s="1055"/>
      <c r="LYG89" s="1055"/>
      <c r="LYH89" s="1055"/>
      <c r="LYI89" s="1055"/>
      <c r="LYJ89" s="1055"/>
      <c r="LYK89" s="1055"/>
      <c r="LYL89" s="1055"/>
      <c r="LYM89" s="1055"/>
      <c r="LYN89" s="1055"/>
      <c r="LYO89" s="1055"/>
      <c r="LYP89" s="1055"/>
      <c r="LYQ89" s="1055"/>
      <c r="LYR89" s="1055"/>
      <c r="LYS89" s="1055"/>
      <c r="LYT89" s="1055"/>
      <c r="LYU89" s="1055"/>
      <c r="LYV89" s="1055"/>
      <c r="LYW89" s="1055"/>
      <c r="LYX89" s="1055"/>
      <c r="LYY89" s="1055"/>
      <c r="LYZ89" s="1055"/>
      <c r="LZA89" s="1055"/>
      <c r="LZB89" s="1055"/>
      <c r="LZC89" s="1055"/>
      <c r="LZD89" s="1055"/>
      <c r="LZE89" s="1055"/>
      <c r="LZF89" s="1055"/>
      <c r="LZG89" s="1055"/>
      <c r="LZH89" s="1055"/>
      <c r="LZI89" s="1055"/>
      <c r="LZJ89" s="1055"/>
      <c r="LZK89" s="1055"/>
      <c r="LZL89" s="1055"/>
      <c r="LZM89" s="1055"/>
      <c r="LZN89" s="1055"/>
      <c r="LZO89" s="1055"/>
      <c r="LZP89" s="1055"/>
      <c r="LZQ89" s="1055"/>
      <c r="LZR89" s="1055"/>
      <c r="LZS89" s="1055"/>
      <c r="LZT89" s="1055"/>
      <c r="LZU89" s="1055"/>
      <c r="LZV89" s="1055"/>
      <c r="LZW89" s="1055"/>
      <c r="LZX89" s="1055"/>
      <c r="LZY89" s="1055"/>
      <c r="LZZ89" s="1055"/>
      <c r="MAA89" s="1055"/>
      <c r="MAB89" s="1055"/>
      <c r="MAC89" s="1055"/>
      <c r="MAD89" s="1055"/>
      <c r="MAE89" s="1055"/>
      <c r="MAF89" s="1055"/>
      <c r="MAG89" s="1055"/>
      <c r="MAH89" s="1055"/>
      <c r="MAI89" s="1055"/>
      <c r="MAJ89" s="1055"/>
      <c r="MAK89" s="1055"/>
      <c r="MAL89" s="1055"/>
      <c r="MAM89" s="1055"/>
      <c r="MAN89" s="1055"/>
      <c r="MAO89" s="1055"/>
      <c r="MAP89" s="1055"/>
      <c r="MAQ89" s="1055"/>
      <c r="MAR89" s="1055"/>
      <c r="MAS89" s="1055"/>
      <c r="MAT89" s="1055"/>
      <c r="MAU89" s="1055"/>
      <c r="MAV89" s="1055"/>
      <c r="MAW89" s="1055"/>
      <c r="MAX89" s="1055"/>
      <c r="MAY89" s="1055"/>
      <c r="MAZ89" s="1055"/>
      <c r="MBA89" s="1055"/>
      <c r="MBB89" s="1055"/>
      <c r="MBC89" s="1055"/>
      <c r="MBD89" s="1055"/>
      <c r="MBE89" s="1055"/>
      <c r="MBF89" s="1055"/>
      <c r="MBG89" s="1055"/>
      <c r="MBH89" s="1055"/>
      <c r="MBI89" s="1055"/>
      <c r="MBJ89" s="1055"/>
      <c r="MBK89" s="1055"/>
      <c r="MBL89" s="1055"/>
      <c r="MBM89" s="1055"/>
      <c r="MBN89" s="1055"/>
      <c r="MBO89" s="1055"/>
      <c r="MBP89" s="1055"/>
      <c r="MBQ89" s="1055"/>
      <c r="MBR89" s="1055"/>
      <c r="MBS89" s="1055"/>
      <c r="MBT89" s="1055"/>
      <c r="MBU89" s="1055"/>
      <c r="MBV89" s="1055"/>
      <c r="MBW89" s="1055"/>
      <c r="MBX89" s="1055"/>
      <c r="MBY89" s="1055"/>
      <c r="MBZ89" s="1055"/>
      <c r="MCA89" s="1055"/>
      <c r="MCB89" s="1055"/>
      <c r="MCC89" s="1055"/>
      <c r="MCD89" s="1055"/>
      <c r="MCE89" s="1055"/>
      <c r="MCF89" s="1055"/>
      <c r="MCG89" s="1055"/>
      <c r="MCH89" s="1055"/>
      <c r="MCI89" s="1055"/>
      <c r="MCJ89" s="1055"/>
      <c r="MCK89" s="1055"/>
      <c r="MCL89" s="1055"/>
      <c r="MCM89" s="1055"/>
      <c r="MCN89" s="1055"/>
      <c r="MCO89" s="1055"/>
      <c r="MCP89" s="1055"/>
      <c r="MCQ89" s="1055"/>
      <c r="MCR89" s="1055"/>
      <c r="MCS89" s="1055"/>
      <c r="MCT89" s="1055"/>
      <c r="MCU89" s="1055"/>
      <c r="MCV89" s="1055"/>
      <c r="MCW89" s="1055"/>
      <c r="MCX89" s="1055"/>
      <c r="MCY89" s="1055"/>
      <c r="MCZ89" s="1055"/>
      <c r="MDA89" s="1055"/>
      <c r="MDB89" s="1055"/>
      <c r="MDC89" s="1055"/>
      <c r="MDD89" s="1055"/>
      <c r="MDE89" s="1055"/>
      <c r="MDF89" s="1055"/>
      <c r="MDG89" s="1055"/>
      <c r="MDH89" s="1055"/>
      <c r="MDI89" s="1055"/>
      <c r="MDJ89" s="1055"/>
      <c r="MDK89" s="1055"/>
      <c r="MDL89" s="1055"/>
      <c r="MDM89" s="1055"/>
      <c r="MDN89" s="1055"/>
      <c r="MDO89" s="1055"/>
      <c r="MDP89" s="1055"/>
      <c r="MDQ89" s="1055"/>
      <c r="MDR89" s="1055"/>
      <c r="MDS89" s="1055"/>
      <c r="MDT89" s="1055"/>
      <c r="MDU89" s="1055"/>
      <c r="MDV89" s="1055"/>
      <c r="MDW89" s="1055"/>
      <c r="MDX89" s="1055"/>
      <c r="MDY89" s="1055"/>
      <c r="MDZ89" s="1055"/>
      <c r="MEA89" s="1055"/>
      <c r="MEB89" s="1055"/>
      <c r="MEC89" s="1055"/>
      <c r="MED89" s="1055"/>
      <c r="MEE89" s="1055"/>
      <c r="MEF89" s="1055"/>
      <c r="MEG89" s="1055"/>
      <c r="MEH89" s="1055"/>
      <c r="MEI89" s="1055"/>
      <c r="MEJ89" s="1055"/>
      <c r="MEK89" s="1055"/>
      <c r="MEL89" s="1055"/>
      <c r="MEM89" s="1055"/>
      <c r="MEN89" s="1055"/>
      <c r="MEO89" s="1055"/>
      <c r="MEP89" s="1055"/>
      <c r="MEQ89" s="1055"/>
      <c r="MER89" s="1055"/>
      <c r="MES89" s="1055"/>
      <c r="MET89" s="1055"/>
      <c r="MEU89" s="1055"/>
      <c r="MEV89" s="1055"/>
      <c r="MEW89" s="1055"/>
      <c r="MEX89" s="1055"/>
      <c r="MEY89" s="1055"/>
      <c r="MEZ89" s="1055"/>
      <c r="MFA89" s="1055"/>
      <c r="MFB89" s="1055"/>
      <c r="MFC89" s="1055"/>
      <c r="MFD89" s="1055"/>
      <c r="MFE89" s="1055"/>
      <c r="MFF89" s="1055"/>
      <c r="MFG89" s="1055"/>
      <c r="MFH89" s="1055"/>
      <c r="MFI89" s="1055"/>
      <c r="MFJ89" s="1055"/>
      <c r="MFK89" s="1055"/>
      <c r="MFL89" s="1055"/>
      <c r="MFM89" s="1055"/>
      <c r="MFN89" s="1055"/>
      <c r="MFO89" s="1055"/>
      <c r="MFP89" s="1055"/>
      <c r="MFQ89" s="1055"/>
      <c r="MFR89" s="1055"/>
      <c r="MFS89" s="1055"/>
      <c r="MFT89" s="1055"/>
      <c r="MFU89" s="1055"/>
      <c r="MFV89" s="1055"/>
      <c r="MFW89" s="1055"/>
      <c r="MFX89" s="1055"/>
      <c r="MFY89" s="1055"/>
      <c r="MFZ89" s="1055"/>
      <c r="MGA89" s="1055"/>
      <c r="MGB89" s="1055"/>
      <c r="MGC89" s="1055"/>
      <c r="MGD89" s="1055"/>
      <c r="MGE89" s="1055"/>
      <c r="MGF89" s="1055"/>
      <c r="MGG89" s="1055"/>
      <c r="MGH89" s="1055"/>
      <c r="MGI89" s="1055"/>
      <c r="MGJ89" s="1055"/>
      <c r="MGK89" s="1055"/>
      <c r="MGL89" s="1055"/>
      <c r="MGM89" s="1055"/>
      <c r="MGN89" s="1055"/>
      <c r="MGO89" s="1055"/>
      <c r="MGP89" s="1055"/>
      <c r="MGQ89" s="1055"/>
      <c r="MGR89" s="1055"/>
      <c r="MGS89" s="1055"/>
      <c r="MGT89" s="1055"/>
      <c r="MGU89" s="1055"/>
      <c r="MGV89" s="1055"/>
      <c r="MGW89" s="1055"/>
      <c r="MGX89" s="1055"/>
      <c r="MGY89" s="1055"/>
      <c r="MGZ89" s="1055"/>
      <c r="MHA89" s="1055"/>
      <c r="MHB89" s="1055"/>
      <c r="MHC89" s="1055"/>
      <c r="MHD89" s="1055"/>
      <c r="MHE89" s="1055"/>
      <c r="MHF89" s="1055"/>
      <c r="MHG89" s="1055"/>
      <c r="MHH89" s="1055"/>
      <c r="MHI89" s="1055"/>
      <c r="MHJ89" s="1055"/>
      <c r="MHK89" s="1055"/>
      <c r="MHL89" s="1055"/>
      <c r="MHM89" s="1055"/>
      <c r="MHN89" s="1055"/>
      <c r="MHO89" s="1055"/>
      <c r="MHP89" s="1055"/>
      <c r="MHQ89" s="1055"/>
      <c r="MHR89" s="1055"/>
      <c r="MHS89" s="1055"/>
      <c r="MHT89" s="1055"/>
      <c r="MHU89" s="1055"/>
      <c r="MHV89" s="1055"/>
      <c r="MHW89" s="1055"/>
      <c r="MHX89" s="1055"/>
      <c r="MHY89" s="1055"/>
      <c r="MHZ89" s="1055"/>
      <c r="MIA89" s="1055"/>
      <c r="MIB89" s="1055"/>
      <c r="MIC89" s="1055"/>
      <c r="MID89" s="1055"/>
      <c r="MIE89" s="1055"/>
      <c r="MIF89" s="1055"/>
      <c r="MIG89" s="1055"/>
      <c r="MIH89" s="1055"/>
      <c r="MII89" s="1055"/>
      <c r="MIJ89" s="1055"/>
      <c r="MIK89" s="1055"/>
      <c r="MIL89" s="1055"/>
      <c r="MIM89" s="1055"/>
      <c r="MIN89" s="1055"/>
      <c r="MIO89" s="1055"/>
      <c r="MIP89" s="1055"/>
      <c r="MIQ89" s="1055"/>
      <c r="MIR89" s="1055"/>
      <c r="MIS89" s="1055"/>
      <c r="MIT89" s="1055"/>
      <c r="MIU89" s="1055"/>
      <c r="MIV89" s="1055"/>
      <c r="MIW89" s="1055"/>
      <c r="MIX89" s="1055"/>
      <c r="MIY89" s="1055"/>
      <c r="MIZ89" s="1055"/>
      <c r="MJA89" s="1055"/>
      <c r="MJB89" s="1055"/>
      <c r="MJC89" s="1055"/>
      <c r="MJD89" s="1055"/>
      <c r="MJE89" s="1055"/>
      <c r="MJF89" s="1055"/>
      <c r="MJG89" s="1055"/>
      <c r="MJH89" s="1055"/>
      <c r="MJI89" s="1055"/>
      <c r="MJJ89" s="1055"/>
      <c r="MJK89" s="1055"/>
      <c r="MJL89" s="1055"/>
      <c r="MJM89" s="1055"/>
      <c r="MJN89" s="1055"/>
      <c r="MJO89" s="1055"/>
      <c r="MJP89" s="1055"/>
      <c r="MJQ89" s="1055"/>
      <c r="MJR89" s="1055"/>
      <c r="MJS89" s="1055"/>
      <c r="MJT89" s="1055"/>
      <c r="MJU89" s="1055"/>
      <c r="MJV89" s="1055"/>
      <c r="MJW89" s="1055"/>
      <c r="MJX89" s="1055"/>
      <c r="MJY89" s="1055"/>
      <c r="MJZ89" s="1055"/>
      <c r="MKA89" s="1055"/>
      <c r="MKB89" s="1055"/>
      <c r="MKC89" s="1055"/>
      <c r="MKD89" s="1055"/>
      <c r="MKE89" s="1055"/>
      <c r="MKF89" s="1055"/>
      <c r="MKG89" s="1055"/>
      <c r="MKH89" s="1055"/>
      <c r="MKI89" s="1055"/>
      <c r="MKJ89" s="1055"/>
      <c r="MKK89" s="1055"/>
      <c r="MKL89" s="1055"/>
      <c r="MKM89" s="1055"/>
      <c r="MKN89" s="1055"/>
      <c r="MKO89" s="1055"/>
      <c r="MKP89" s="1055"/>
      <c r="MKQ89" s="1055"/>
      <c r="MKR89" s="1055"/>
      <c r="MKS89" s="1055"/>
      <c r="MKT89" s="1055"/>
      <c r="MKU89" s="1055"/>
      <c r="MKV89" s="1055"/>
      <c r="MKW89" s="1055"/>
      <c r="MKX89" s="1055"/>
      <c r="MKY89" s="1055"/>
      <c r="MKZ89" s="1055"/>
      <c r="MLA89" s="1055"/>
      <c r="MLB89" s="1055"/>
      <c r="MLC89" s="1055"/>
      <c r="MLD89" s="1055"/>
      <c r="MLE89" s="1055"/>
      <c r="MLF89" s="1055"/>
      <c r="MLG89" s="1055"/>
      <c r="MLH89" s="1055"/>
      <c r="MLI89" s="1055"/>
      <c r="MLJ89" s="1055"/>
      <c r="MLK89" s="1055"/>
      <c r="MLL89" s="1055"/>
      <c r="MLM89" s="1055"/>
      <c r="MLN89" s="1055"/>
      <c r="MLO89" s="1055"/>
      <c r="MLP89" s="1055"/>
      <c r="MLQ89" s="1055"/>
      <c r="MLR89" s="1055"/>
      <c r="MLS89" s="1055"/>
      <c r="MLT89" s="1055"/>
      <c r="MLU89" s="1055"/>
      <c r="MLV89" s="1055"/>
      <c r="MLW89" s="1055"/>
      <c r="MLX89" s="1055"/>
      <c r="MLY89" s="1055"/>
      <c r="MLZ89" s="1055"/>
      <c r="MMA89" s="1055"/>
      <c r="MMB89" s="1055"/>
      <c r="MMC89" s="1055"/>
      <c r="MMD89" s="1055"/>
      <c r="MME89" s="1055"/>
      <c r="MMF89" s="1055"/>
      <c r="MMG89" s="1055"/>
      <c r="MMH89" s="1055"/>
      <c r="MMI89" s="1055"/>
      <c r="MMJ89" s="1055"/>
      <c r="MMK89" s="1055"/>
      <c r="MML89" s="1055"/>
      <c r="MMM89" s="1055"/>
      <c r="MMN89" s="1055"/>
      <c r="MMO89" s="1055"/>
      <c r="MMP89" s="1055"/>
      <c r="MMQ89" s="1055"/>
      <c r="MMR89" s="1055"/>
      <c r="MMS89" s="1055"/>
      <c r="MMT89" s="1055"/>
      <c r="MMU89" s="1055"/>
      <c r="MMV89" s="1055"/>
      <c r="MMW89" s="1055"/>
      <c r="MMX89" s="1055"/>
      <c r="MMY89" s="1055"/>
      <c r="MMZ89" s="1055"/>
      <c r="MNA89" s="1055"/>
      <c r="MNB89" s="1055"/>
      <c r="MNC89" s="1055"/>
      <c r="MND89" s="1055"/>
      <c r="MNE89" s="1055"/>
      <c r="MNF89" s="1055"/>
      <c r="MNG89" s="1055"/>
      <c r="MNH89" s="1055"/>
      <c r="MNI89" s="1055"/>
      <c r="MNJ89" s="1055"/>
      <c r="MNK89" s="1055"/>
      <c r="MNL89" s="1055"/>
      <c r="MNM89" s="1055"/>
      <c r="MNN89" s="1055"/>
      <c r="MNO89" s="1055"/>
      <c r="MNP89" s="1055"/>
      <c r="MNQ89" s="1055"/>
      <c r="MNR89" s="1055"/>
      <c r="MNS89" s="1055"/>
      <c r="MNT89" s="1055"/>
      <c r="MNU89" s="1055"/>
      <c r="MNV89" s="1055"/>
      <c r="MNW89" s="1055"/>
      <c r="MNX89" s="1055"/>
      <c r="MNY89" s="1055"/>
      <c r="MNZ89" s="1055"/>
      <c r="MOA89" s="1055"/>
      <c r="MOB89" s="1055"/>
      <c r="MOC89" s="1055"/>
      <c r="MOD89" s="1055"/>
      <c r="MOE89" s="1055"/>
      <c r="MOF89" s="1055"/>
      <c r="MOG89" s="1055"/>
      <c r="MOH89" s="1055"/>
      <c r="MOI89" s="1055"/>
      <c r="MOJ89" s="1055"/>
      <c r="MOK89" s="1055"/>
      <c r="MOL89" s="1055"/>
      <c r="MOM89" s="1055"/>
      <c r="MON89" s="1055"/>
      <c r="MOO89" s="1055"/>
      <c r="MOP89" s="1055"/>
      <c r="MOQ89" s="1055"/>
      <c r="MOR89" s="1055"/>
      <c r="MOS89" s="1055"/>
      <c r="MOT89" s="1055"/>
      <c r="MOU89" s="1055"/>
      <c r="MOV89" s="1055"/>
      <c r="MOW89" s="1055"/>
      <c r="MOX89" s="1055"/>
      <c r="MOY89" s="1055"/>
      <c r="MOZ89" s="1055"/>
      <c r="MPA89" s="1055"/>
      <c r="MPB89" s="1055"/>
      <c r="MPC89" s="1055"/>
      <c r="MPD89" s="1055"/>
      <c r="MPE89" s="1055"/>
      <c r="MPF89" s="1055"/>
      <c r="MPG89" s="1055"/>
      <c r="MPH89" s="1055"/>
      <c r="MPI89" s="1055"/>
      <c r="MPJ89" s="1055"/>
      <c r="MPK89" s="1055"/>
      <c r="MPL89" s="1055"/>
      <c r="MPM89" s="1055"/>
      <c r="MPN89" s="1055"/>
      <c r="MPO89" s="1055"/>
      <c r="MPP89" s="1055"/>
      <c r="MPQ89" s="1055"/>
      <c r="MPR89" s="1055"/>
      <c r="MPS89" s="1055"/>
      <c r="MPT89" s="1055"/>
      <c r="MPU89" s="1055"/>
      <c r="MPV89" s="1055"/>
      <c r="MPW89" s="1055"/>
      <c r="MPX89" s="1055"/>
      <c r="MPY89" s="1055"/>
      <c r="MPZ89" s="1055"/>
      <c r="MQA89" s="1055"/>
      <c r="MQB89" s="1055"/>
      <c r="MQC89" s="1055"/>
      <c r="MQD89" s="1055"/>
      <c r="MQE89" s="1055"/>
      <c r="MQF89" s="1055"/>
      <c r="MQG89" s="1055"/>
      <c r="MQH89" s="1055"/>
      <c r="MQI89" s="1055"/>
      <c r="MQJ89" s="1055"/>
      <c r="MQK89" s="1055"/>
      <c r="MQL89" s="1055"/>
      <c r="MQM89" s="1055"/>
      <c r="MQN89" s="1055"/>
      <c r="MQO89" s="1055"/>
      <c r="MQP89" s="1055"/>
      <c r="MQQ89" s="1055"/>
      <c r="MQR89" s="1055"/>
      <c r="MQS89" s="1055"/>
      <c r="MQT89" s="1055"/>
      <c r="MQU89" s="1055"/>
      <c r="MQV89" s="1055"/>
      <c r="MQW89" s="1055"/>
      <c r="MQX89" s="1055"/>
      <c r="MQY89" s="1055"/>
      <c r="MQZ89" s="1055"/>
      <c r="MRA89" s="1055"/>
      <c r="MRB89" s="1055"/>
      <c r="MRC89" s="1055"/>
      <c r="MRD89" s="1055"/>
      <c r="MRE89" s="1055"/>
      <c r="MRF89" s="1055"/>
      <c r="MRG89" s="1055"/>
      <c r="MRH89" s="1055"/>
      <c r="MRI89" s="1055"/>
      <c r="MRJ89" s="1055"/>
      <c r="MRK89" s="1055"/>
      <c r="MRL89" s="1055"/>
      <c r="MRM89" s="1055"/>
      <c r="MRN89" s="1055"/>
      <c r="MRO89" s="1055"/>
      <c r="MRP89" s="1055"/>
      <c r="MRQ89" s="1055"/>
      <c r="MRR89" s="1055"/>
      <c r="MRS89" s="1055"/>
      <c r="MRT89" s="1055"/>
      <c r="MRU89" s="1055"/>
      <c r="MRV89" s="1055"/>
      <c r="MRW89" s="1055"/>
      <c r="MRX89" s="1055"/>
      <c r="MRY89" s="1055"/>
      <c r="MRZ89" s="1055"/>
      <c r="MSA89" s="1055"/>
      <c r="MSB89" s="1055"/>
      <c r="MSC89" s="1055"/>
      <c r="MSD89" s="1055"/>
      <c r="MSE89" s="1055"/>
      <c r="MSF89" s="1055"/>
      <c r="MSG89" s="1055"/>
      <c r="MSH89" s="1055"/>
      <c r="MSI89" s="1055"/>
      <c r="MSJ89" s="1055"/>
      <c r="MSK89" s="1055"/>
      <c r="MSL89" s="1055"/>
      <c r="MSM89" s="1055"/>
      <c r="MSN89" s="1055"/>
      <c r="MSO89" s="1055"/>
      <c r="MSP89" s="1055"/>
      <c r="MSQ89" s="1055"/>
      <c r="MSR89" s="1055"/>
      <c r="MSS89" s="1055"/>
      <c r="MST89" s="1055"/>
      <c r="MSU89" s="1055"/>
      <c r="MSV89" s="1055"/>
      <c r="MSW89" s="1055"/>
      <c r="MSX89" s="1055"/>
      <c r="MSY89" s="1055"/>
      <c r="MSZ89" s="1055"/>
      <c r="MTA89" s="1055"/>
      <c r="MTB89" s="1055"/>
      <c r="MTC89" s="1055"/>
      <c r="MTD89" s="1055"/>
      <c r="MTE89" s="1055"/>
      <c r="MTF89" s="1055"/>
      <c r="MTG89" s="1055"/>
      <c r="MTH89" s="1055"/>
      <c r="MTI89" s="1055"/>
      <c r="MTJ89" s="1055"/>
      <c r="MTK89" s="1055"/>
      <c r="MTL89" s="1055"/>
      <c r="MTM89" s="1055"/>
      <c r="MTN89" s="1055"/>
      <c r="MTO89" s="1055"/>
      <c r="MTP89" s="1055"/>
      <c r="MTQ89" s="1055"/>
      <c r="MTR89" s="1055"/>
      <c r="MTS89" s="1055"/>
      <c r="MTT89" s="1055"/>
      <c r="MTU89" s="1055"/>
      <c r="MTV89" s="1055"/>
      <c r="MTW89" s="1055"/>
      <c r="MTX89" s="1055"/>
      <c r="MTY89" s="1055"/>
      <c r="MTZ89" s="1055"/>
      <c r="MUA89" s="1055"/>
      <c r="MUB89" s="1055"/>
      <c r="MUC89" s="1055"/>
      <c r="MUD89" s="1055"/>
      <c r="MUE89" s="1055"/>
      <c r="MUF89" s="1055"/>
      <c r="MUG89" s="1055"/>
      <c r="MUH89" s="1055"/>
      <c r="MUI89" s="1055"/>
      <c r="MUJ89" s="1055"/>
      <c r="MUK89" s="1055"/>
      <c r="MUL89" s="1055"/>
      <c r="MUM89" s="1055"/>
      <c r="MUN89" s="1055"/>
      <c r="MUO89" s="1055"/>
      <c r="MUP89" s="1055"/>
      <c r="MUQ89" s="1055"/>
      <c r="MUR89" s="1055"/>
      <c r="MUS89" s="1055"/>
      <c r="MUT89" s="1055"/>
      <c r="MUU89" s="1055"/>
      <c r="MUV89" s="1055"/>
      <c r="MUW89" s="1055"/>
      <c r="MUX89" s="1055"/>
      <c r="MUY89" s="1055"/>
      <c r="MUZ89" s="1055"/>
      <c r="MVA89" s="1055"/>
      <c r="MVB89" s="1055"/>
      <c r="MVC89" s="1055"/>
      <c r="MVD89" s="1055"/>
      <c r="MVE89" s="1055"/>
      <c r="MVF89" s="1055"/>
      <c r="MVG89" s="1055"/>
      <c r="MVH89" s="1055"/>
      <c r="MVI89" s="1055"/>
      <c r="MVJ89" s="1055"/>
      <c r="MVK89" s="1055"/>
      <c r="MVL89" s="1055"/>
      <c r="MVM89" s="1055"/>
      <c r="MVN89" s="1055"/>
      <c r="MVO89" s="1055"/>
      <c r="MVP89" s="1055"/>
      <c r="MVQ89" s="1055"/>
      <c r="MVR89" s="1055"/>
      <c r="MVS89" s="1055"/>
      <c r="MVT89" s="1055"/>
      <c r="MVU89" s="1055"/>
      <c r="MVV89" s="1055"/>
      <c r="MVW89" s="1055"/>
      <c r="MVX89" s="1055"/>
      <c r="MVY89" s="1055"/>
      <c r="MVZ89" s="1055"/>
      <c r="MWA89" s="1055"/>
      <c r="MWB89" s="1055"/>
      <c r="MWC89" s="1055"/>
      <c r="MWD89" s="1055"/>
      <c r="MWE89" s="1055"/>
      <c r="MWF89" s="1055"/>
      <c r="MWG89" s="1055"/>
      <c r="MWH89" s="1055"/>
      <c r="MWI89" s="1055"/>
      <c r="MWJ89" s="1055"/>
      <c r="MWK89" s="1055"/>
      <c r="MWL89" s="1055"/>
      <c r="MWM89" s="1055"/>
      <c r="MWN89" s="1055"/>
      <c r="MWO89" s="1055"/>
      <c r="MWP89" s="1055"/>
      <c r="MWQ89" s="1055"/>
      <c r="MWR89" s="1055"/>
      <c r="MWS89" s="1055"/>
      <c r="MWT89" s="1055"/>
      <c r="MWU89" s="1055"/>
      <c r="MWV89" s="1055"/>
      <c r="MWW89" s="1055"/>
      <c r="MWX89" s="1055"/>
      <c r="MWY89" s="1055"/>
      <c r="MWZ89" s="1055"/>
      <c r="MXA89" s="1055"/>
      <c r="MXB89" s="1055"/>
      <c r="MXC89" s="1055"/>
      <c r="MXD89" s="1055"/>
      <c r="MXE89" s="1055"/>
      <c r="MXF89" s="1055"/>
      <c r="MXG89" s="1055"/>
      <c r="MXH89" s="1055"/>
      <c r="MXI89" s="1055"/>
      <c r="MXJ89" s="1055"/>
      <c r="MXK89" s="1055"/>
      <c r="MXL89" s="1055"/>
      <c r="MXM89" s="1055"/>
      <c r="MXN89" s="1055"/>
      <c r="MXO89" s="1055"/>
      <c r="MXP89" s="1055"/>
      <c r="MXQ89" s="1055"/>
      <c r="MXR89" s="1055"/>
      <c r="MXS89" s="1055"/>
      <c r="MXT89" s="1055"/>
      <c r="MXU89" s="1055"/>
      <c r="MXV89" s="1055"/>
      <c r="MXW89" s="1055"/>
      <c r="MXX89" s="1055"/>
      <c r="MXY89" s="1055"/>
      <c r="MXZ89" s="1055"/>
      <c r="MYA89" s="1055"/>
      <c r="MYB89" s="1055"/>
      <c r="MYC89" s="1055"/>
      <c r="MYD89" s="1055"/>
      <c r="MYE89" s="1055"/>
      <c r="MYF89" s="1055"/>
      <c r="MYG89" s="1055"/>
      <c r="MYH89" s="1055"/>
      <c r="MYI89" s="1055"/>
      <c r="MYJ89" s="1055"/>
      <c r="MYK89" s="1055"/>
      <c r="MYL89" s="1055"/>
      <c r="MYM89" s="1055"/>
      <c r="MYN89" s="1055"/>
      <c r="MYO89" s="1055"/>
      <c r="MYP89" s="1055"/>
      <c r="MYQ89" s="1055"/>
      <c r="MYR89" s="1055"/>
      <c r="MYS89" s="1055"/>
      <c r="MYT89" s="1055"/>
      <c r="MYU89" s="1055"/>
      <c r="MYV89" s="1055"/>
      <c r="MYW89" s="1055"/>
      <c r="MYX89" s="1055"/>
      <c r="MYY89" s="1055"/>
      <c r="MYZ89" s="1055"/>
      <c r="MZA89" s="1055"/>
      <c r="MZB89" s="1055"/>
      <c r="MZC89" s="1055"/>
      <c r="MZD89" s="1055"/>
      <c r="MZE89" s="1055"/>
      <c r="MZF89" s="1055"/>
      <c r="MZG89" s="1055"/>
      <c r="MZH89" s="1055"/>
      <c r="MZI89" s="1055"/>
      <c r="MZJ89" s="1055"/>
      <c r="MZK89" s="1055"/>
      <c r="MZL89" s="1055"/>
      <c r="MZM89" s="1055"/>
      <c r="MZN89" s="1055"/>
      <c r="MZO89" s="1055"/>
      <c r="MZP89" s="1055"/>
      <c r="MZQ89" s="1055"/>
      <c r="MZR89" s="1055"/>
      <c r="MZS89" s="1055"/>
      <c r="MZT89" s="1055"/>
      <c r="MZU89" s="1055"/>
      <c r="MZV89" s="1055"/>
      <c r="MZW89" s="1055"/>
      <c r="MZX89" s="1055"/>
      <c r="MZY89" s="1055"/>
      <c r="MZZ89" s="1055"/>
      <c r="NAA89" s="1055"/>
      <c r="NAB89" s="1055"/>
      <c r="NAC89" s="1055"/>
      <c r="NAD89" s="1055"/>
      <c r="NAE89" s="1055"/>
      <c r="NAF89" s="1055"/>
      <c r="NAG89" s="1055"/>
      <c r="NAH89" s="1055"/>
      <c r="NAI89" s="1055"/>
      <c r="NAJ89" s="1055"/>
      <c r="NAK89" s="1055"/>
      <c r="NAL89" s="1055"/>
      <c r="NAM89" s="1055"/>
      <c r="NAN89" s="1055"/>
      <c r="NAO89" s="1055"/>
      <c r="NAP89" s="1055"/>
      <c r="NAQ89" s="1055"/>
      <c r="NAR89" s="1055"/>
      <c r="NAS89" s="1055"/>
      <c r="NAT89" s="1055"/>
      <c r="NAU89" s="1055"/>
      <c r="NAV89" s="1055"/>
      <c r="NAW89" s="1055"/>
      <c r="NAX89" s="1055"/>
      <c r="NAY89" s="1055"/>
      <c r="NAZ89" s="1055"/>
      <c r="NBA89" s="1055"/>
      <c r="NBB89" s="1055"/>
      <c r="NBC89" s="1055"/>
      <c r="NBD89" s="1055"/>
      <c r="NBE89" s="1055"/>
      <c r="NBF89" s="1055"/>
      <c r="NBG89" s="1055"/>
      <c r="NBH89" s="1055"/>
      <c r="NBI89" s="1055"/>
      <c r="NBJ89" s="1055"/>
      <c r="NBK89" s="1055"/>
      <c r="NBL89" s="1055"/>
      <c r="NBM89" s="1055"/>
      <c r="NBN89" s="1055"/>
      <c r="NBO89" s="1055"/>
      <c r="NBP89" s="1055"/>
      <c r="NBQ89" s="1055"/>
      <c r="NBR89" s="1055"/>
      <c r="NBS89" s="1055"/>
      <c r="NBT89" s="1055"/>
      <c r="NBU89" s="1055"/>
      <c r="NBV89" s="1055"/>
      <c r="NBW89" s="1055"/>
      <c r="NBX89" s="1055"/>
      <c r="NBY89" s="1055"/>
      <c r="NBZ89" s="1055"/>
      <c r="NCA89" s="1055"/>
      <c r="NCB89" s="1055"/>
      <c r="NCC89" s="1055"/>
      <c r="NCD89" s="1055"/>
      <c r="NCE89" s="1055"/>
      <c r="NCF89" s="1055"/>
      <c r="NCG89" s="1055"/>
      <c r="NCH89" s="1055"/>
      <c r="NCI89" s="1055"/>
      <c r="NCJ89" s="1055"/>
      <c r="NCK89" s="1055"/>
      <c r="NCL89" s="1055"/>
      <c r="NCM89" s="1055"/>
      <c r="NCN89" s="1055"/>
      <c r="NCO89" s="1055"/>
      <c r="NCP89" s="1055"/>
      <c r="NCQ89" s="1055"/>
      <c r="NCR89" s="1055"/>
      <c r="NCS89" s="1055"/>
      <c r="NCT89" s="1055"/>
      <c r="NCU89" s="1055"/>
      <c r="NCV89" s="1055"/>
      <c r="NCW89" s="1055"/>
      <c r="NCX89" s="1055"/>
      <c r="NCY89" s="1055"/>
      <c r="NCZ89" s="1055"/>
      <c r="NDA89" s="1055"/>
      <c r="NDB89" s="1055"/>
      <c r="NDC89" s="1055"/>
      <c r="NDD89" s="1055"/>
      <c r="NDE89" s="1055"/>
      <c r="NDF89" s="1055"/>
      <c r="NDG89" s="1055"/>
      <c r="NDH89" s="1055"/>
      <c r="NDI89" s="1055"/>
      <c r="NDJ89" s="1055"/>
      <c r="NDK89" s="1055"/>
      <c r="NDL89" s="1055"/>
      <c r="NDM89" s="1055"/>
      <c r="NDN89" s="1055"/>
      <c r="NDO89" s="1055"/>
      <c r="NDP89" s="1055"/>
      <c r="NDQ89" s="1055"/>
      <c r="NDR89" s="1055"/>
      <c r="NDS89" s="1055"/>
      <c r="NDT89" s="1055"/>
      <c r="NDU89" s="1055"/>
      <c r="NDV89" s="1055"/>
      <c r="NDW89" s="1055"/>
      <c r="NDX89" s="1055"/>
      <c r="NDY89" s="1055"/>
      <c r="NDZ89" s="1055"/>
      <c r="NEA89" s="1055"/>
      <c r="NEB89" s="1055"/>
      <c r="NEC89" s="1055"/>
      <c r="NED89" s="1055"/>
      <c r="NEE89" s="1055"/>
      <c r="NEF89" s="1055"/>
      <c r="NEG89" s="1055"/>
      <c r="NEH89" s="1055"/>
      <c r="NEI89" s="1055"/>
      <c r="NEJ89" s="1055"/>
      <c r="NEK89" s="1055"/>
      <c r="NEL89" s="1055"/>
      <c r="NEM89" s="1055"/>
      <c r="NEN89" s="1055"/>
      <c r="NEO89" s="1055"/>
      <c r="NEP89" s="1055"/>
      <c r="NEQ89" s="1055"/>
      <c r="NER89" s="1055"/>
      <c r="NES89" s="1055"/>
      <c r="NET89" s="1055"/>
      <c r="NEU89" s="1055"/>
      <c r="NEV89" s="1055"/>
      <c r="NEW89" s="1055"/>
      <c r="NEX89" s="1055"/>
      <c r="NEY89" s="1055"/>
      <c r="NEZ89" s="1055"/>
      <c r="NFA89" s="1055"/>
      <c r="NFB89" s="1055"/>
      <c r="NFC89" s="1055"/>
      <c r="NFD89" s="1055"/>
      <c r="NFE89" s="1055"/>
      <c r="NFF89" s="1055"/>
      <c r="NFG89" s="1055"/>
      <c r="NFH89" s="1055"/>
      <c r="NFI89" s="1055"/>
      <c r="NFJ89" s="1055"/>
      <c r="NFK89" s="1055"/>
      <c r="NFL89" s="1055"/>
      <c r="NFM89" s="1055"/>
      <c r="NFN89" s="1055"/>
      <c r="NFO89" s="1055"/>
      <c r="NFP89" s="1055"/>
      <c r="NFQ89" s="1055"/>
      <c r="NFR89" s="1055"/>
      <c r="NFS89" s="1055"/>
      <c r="NFT89" s="1055"/>
      <c r="NFU89" s="1055"/>
      <c r="NFV89" s="1055"/>
      <c r="NFW89" s="1055"/>
      <c r="NFX89" s="1055"/>
      <c r="NFY89" s="1055"/>
      <c r="NFZ89" s="1055"/>
      <c r="NGA89" s="1055"/>
      <c r="NGB89" s="1055"/>
      <c r="NGC89" s="1055"/>
      <c r="NGD89" s="1055"/>
      <c r="NGE89" s="1055"/>
      <c r="NGF89" s="1055"/>
      <c r="NGG89" s="1055"/>
      <c r="NGH89" s="1055"/>
      <c r="NGI89" s="1055"/>
      <c r="NGJ89" s="1055"/>
      <c r="NGK89" s="1055"/>
      <c r="NGL89" s="1055"/>
      <c r="NGM89" s="1055"/>
      <c r="NGN89" s="1055"/>
      <c r="NGO89" s="1055"/>
      <c r="NGP89" s="1055"/>
      <c r="NGQ89" s="1055"/>
      <c r="NGR89" s="1055"/>
      <c r="NGS89" s="1055"/>
      <c r="NGT89" s="1055"/>
      <c r="NGU89" s="1055"/>
      <c r="NGV89" s="1055"/>
      <c r="NGW89" s="1055"/>
      <c r="NGX89" s="1055"/>
      <c r="NGY89" s="1055"/>
      <c r="NGZ89" s="1055"/>
      <c r="NHA89" s="1055"/>
      <c r="NHB89" s="1055"/>
      <c r="NHC89" s="1055"/>
      <c r="NHD89" s="1055"/>
      <c r="NHE89" s="1055"/>
      <c r="NHF89" s="1055"/>
      <c r="NHG89" s="1055"/>
      <c r="NHH89" s="1055"/>
      <c r="NHI89" s="1055"/>
      <c r="NHJ89" s="1055"/>
      <c r="NHK89" s="1055"/>
      <c r="NHL89" s="1055"/>
      <c r="NHM89" s="1055"/>
      <c r="NHN89" s="1055"/>
      <c r="NHO89" s="1055"/>
      <c r="NHP89" s="1055"/>
      <c r="NHQ89" s="1055"/>
      <c r="NHR89" s="1055"/>
      <c r="NHS89" s="1055"/>
      <c r="NHT89" s="1055"/>
      <c r="NHU89" s="1055"/>
      <c r="NHV89" s="1055"/>
      <c r="NHW89" s="1055"/>
      <c r="NHX89" s="1055"/>
      <c r="NHY89" s="1055"/>
      <c r="NHZ89" s="1055"/>
      <c r="NIA89" s="1055"/>
      <c r="NIB89" s="1055"/>
      <c r="NIC89" s="1055"/>
      <c r="NID89" s="1055"/>
      <c r="NIE89" s="1055"/>
      <c r="NIF89" s="1055"/>
      <c r="NIG89" s="1055"/>
      <c r="NIH89" s="1055"/>
      <c r="NII89" s="1055"/>
      <c r="NIJ89" s="1055"/>
      <c r="NIK89" s="1055"/>
      <c r="NIL89" s="1055"/>
      <c r="NIM89" s="1055"/>
      <c r="NIN89" s="1055"/>
      <c r="NIO89" s="1055"/>
      <c r="NIP89" s="1055"/>
      <c r="NIQ89" s="1055"/>
      <c r="NIR89" s="1055"/>
      <c r="NIS89" s="1055"/>
      <c r="NIT89" s="1055"/>
      <c r="NIU89" s="1055"/>
      <c r="NIV89" s="1055"/>
      <c r="NIW89" s="1055"/>
      <c r="NIX89" s="1055"/>
      <c r="NIY89" s="1055"/>
      <c r="NIZ89" s="1055"/>
      <c r="NJA89" s="1055"/>
      <c r="NJB89" s="1055"/>
      <c r="NJC89" s="1055"/>
      <c r="NJD89" s="1055"/>
      <c r="NJE89" s="1055"/>
      <c r="NJF89" s="1055"/>
      <c r="NJG89" s="1055"/>
      <c r="NJH89" s="1055"/>
      <c r="NJI89" s="1055"/>
      <c r="NJJ89" s="1055"/>
      <c r="NJK89" s="1055"/>
      <c r="NJL89" s="1055"/>
      <c r="NJM89" s="1055"/>
      <c r="NJN89" s="1055"/>
      <c r="NJO89" s="1055"/>
      <c r="NJP89" s="1055"/>
      <c r="NJQ89" s="1055"/>
      <c r="NJR89" s="1055"/>
      <c r="NJS89" s="1055"/>
      <c r="NJT89" s="1055"/>
      <c r="NJU89" s="1055"/>
      <c r="NJV89" s="1055"/>
      <c r="NJW89" s="1055"/>
      <c r="NJX89" s="1055"/>
      <c r="NJY89" s="1055"/>
      <c r="NJZ89" s="1055"/>
      <c r="NKA89" s="1055"/>
      <c r="NKB89" s="1055"/>
      <c r="NKC89" s="1055"/>
      <c r="NKD89" s="1055"/>
      <c r="NKE89" s="1055"/>
      <c r="NKF89" s="1055"/>
      <c r="NKG89" s="1055"/>
      <c r="NKH89" s="1055"/>
      <c r="NKI89" s="1055"/>
      <c r="NKJ89" s="1055"/>
      <c r="NKK89" s="1055"/>
      <c r="NKL89" s="1055"/>
      <c r="NKM89" s="1055"/>
      <c r="NKN89" s="1055"/>
      <c r="NKO89" s="1055"/>
      <c r="NKP89" s="1055"/>
      <c r="NKQ89" s="1055"/>
      <c r="NKR89" s="1055"/>
      <c r="NKS89" s="1055"/>
      <c r="NKT89" s="1055"/>
      <c r="NKU89" s="1055"/>
      <c r="NKV89" s="1055"/>
      <c r="NKW89" s="1055"/>
      <c r="NKX89" s="1055"/>
      <c r="NKY89" s="1055"/>
      <c r="NKZ89" s="1055"/>
      <c r="NLA89" s="1055"/>
      <c r="NLB89" s="1055"/>
      <c r="NLC89" s="1055"/>
      <c r="NLD89" s="1055"/>
      <c r="NLE89" s="1055"/>
      <c r="NLF89" s="1055"/>
      <c r="NLG89" s="1055"/>
      <c r="NLH89" s="1055"/>
      <c r="NLI89" s="1055"/>
      <c r="NLJ89" s="1055"/>
      <c r="NLK89" s="1055"/>
      <c r="NLL89" s="1055"/>
      <c r="NLM89" s="1055"/>
      <c r="NLN89" s="1055"/>
      <c r="NLO89" s="1055"/>
      <c r="NLP89" s="1055"/>
      <c r="NLQ89" s="1055"/>
      <c r="NLR89" s="1055"/>
      <c r="NLS89" s="1055"/>
      <c r="NLT89" s="1055"/>
      <c r="NLU89" s="1055"/>
      <c r="NLV89" s="1055"/>
      <c r="NLW89" s="1055"/>
      <c r="NLX89" s="1055"/>
      <c r="NLY89" s="1055"/>
      <c r="NLZ89" s="1055"/>
      <c r="NMA89" s="1055"/>
      <c r="NMB89" s="1055"/>
      <c r="NMC89" s="1055"/>
      <c r="NMD89" s="1055"/>
      <c r="NME89" s="1055"/>
      <c r="NMF89" s="1055"/>
      <c r="NMG89" s="1055"/>
      <c r="NMH89" s="1055"/>
      <c r="NMI89" s="1055"/>
      <c r="NMJ89" s="1055"/>
      <c r="NMK89" s="1055"/>
      <c r="NML89" s="1055"/>
      <c r="NMM89" s="1055"/>
      <c r="NMN89" s="1055"/>
      <c r="NMO89" s="1055"/>
      <c r="NMP89" s="1055"/>
      <c r="NMQ89" s="1055"/>
      <c r="NMR89" s="1055"/>
      <c r="NMS89" s="1055"/>
      <c r="NMT89" s="1055"/>
      <c r="NMU89" s="1055"/>
      <c r="NMV89" s="1055"/>
      <c r="NMW89" s="1055"/>
      <c r="NMX89" s="1055"/>
      <c r="NMY89" s="1055"/>
      <c r="NMZ89" s="1055"/>
      <c r="NNA89" s="1055"/>
      <c r="NNB89" s="1055"/>
      <c r="NNC89" s="1055"/>
      <c r="NND89" s="1055"/>
      <c r="NNE89" s="1055"/>
      <c r="NNF89" s="1055"/>
      <c r="NNG89" s="1055"/>
      <c r="NNH89" s="1055"/>
      <c r="NNI89" s="1055"/>
      <c r="NNJ89" s="1055"/>
      <c r="NNK89" s="1055"/>
      <c r="NNL89" s="1055"/>
      <c r="NNM89" s="1055"/>
      <c r="NNN89" s="1055"/>
      <c r="NNO89" s="1055"/>
      <c r="NNP89" s="1055"/>
      <c r="NNQ89" s="1055"/>
      <c r="NNR89" s="1055"/>
      <c r="NNS89" s="1055"/>
      <c r="NNT89" s="1055"/>
      <c r="NNU89" s="1055"/>
      <c r="NNV89" s="1055"/>
      <c r="NNW89" s="1055"/>
      <c r="NNX89" s="1055"/>
      <c r="NNY89" s="1055"/>
      <c r="NNZ89" s="1055"/>
      <c r="NOA89" s="1055"/>
      <c r="NOB89" s="1055"/>
      <c r="NOC89" s="1055"/>
      <c r="NOD89" s="1055"/>
      <c r="NOE89" s="1055"/>
      <c r="NOF89" s="1055"/>
      <c r="NOG89" s="1055"/>
      <c r="NOH89" s="1055"/>
      <c r="NOI89" s="1055"/>
      <c r="NOJ89" s="1055"/>
      <c r="NOK89" s="1055"/>
      <c r="NOL89" s="1055"/>
      <c r="NOM89" s="1055"/>
      <c r="NON89" s="1055"/>
      <c r="NOO89" s="1055"/>
      <c r="NOP89" s="1055"/>
      <c r="NOQ89" s="1055"/>
      <c r="NOR89" s="1055"/>
      <c r="NOS89" s="1055"/>
      <c r="NOT89" s="1055"/>
      <c r="NOU89" s="1055"/>
      <c r="NOV89" s="1055"/>
      <c r="NOW89" s="1055"/>
      <c r="NOX89" s="1055"/>
      <c r="NOY89" s="1055"/>
      <c r="NOZ89" s="1055"/>
      <c r="NPA89" s="1055"/>
      <c r="NPB89" s="1055"/>
      <c r="NPC89" s="1055"/>
      <c r="NPD89" s="1055"/>
      <c r="NPE89" s="1055"/>
      <c r="NPF89" s="1055"/>
      <c r="NPG89" s="1055"/>
      <c r="NPH89" s="1055"/>
      <c r="NPI89" s="1055"/>
      <c r="NPJ89" s="1055"/>
      <c r="NPK89" s="1055"/>
      <c r="NPL89" s="1055"/>
      <c r="NPM89" s="1055"/>
      <c r="NPN89" s="1055"/>
      <c r="NPO89" s="1055"/>
      <c r="NPP89" s="1055"/>
      <c r="NPQ89" s="1055"/>
      <c r="NPR89" s="1055"/>
      <c r="NPS89" s="1055"/>
      <c r="NPT89" s="1055"/>
      <c r="NPU89" s="1055"/>
      <c r="NPV89" s="1055"/>
      <c r="NPW89" s="1055"/>
      <c r="NPX89" s="1055"/>
      <c r="NPY89" s="1055"/>
      <c r="NPZ89" s="1055"/>
      <c r="NQA89" s="1055"/>
      <c r="NQB89" s="1055"/>
      <c r="NQC89" s="1055"/>
      <c r="NQD89" s="1055"/>
      <c r="NQE89" s="1055"/>
      <c r="NQF89" s="1055"/>
      <c r="NQG89" s="1055"/>
      <c r="NQH89" s="1055"/>
      <c r="NQI89" s="1055"/>
      <c r="NQJ89" s="1055"/>
      <c r="NQK89" s="1055"/>
      <c r="NQL89" s="1055"/>
      <c r="NQM89" s="1055"/>
      <c r="NQN89" s="1055"/>
      <c r="NQO89" s="1055"/>
      <c r="NQP89" s="1055"/>
      <c r="NQQ89" s="1055"/>
      <c r="NQR89" s="1055"/>
      <c r="NQS89" s="1055"/>
      <c r="NQT89" s="1055"/>
      <c r="NQU89" s="1055"/>
      <c r="NQV89" s="1055"/>
      <c r="NQW89" s="1055"/>
      <c r="NQX89" s="1055"/>
      <c r="NQY89" s="1055"/>
      <c r="NQZ89" s="1055"/>
      <c r="NRA89" s="1055"/>
      <c r="NRB89" s="1055"/>
      <c r="NRC89" s="1055"/>
      <c r="NRD89" s="1055"/>
      <c r="NRE89" s="1055"/>
      <c r="NRF89" s="1055"/>
      <c r="NRG89" s="1055"/>
      <c r="NRH89" s="1055"/>
      <c r="NRI89" s="1055"/>
      <c r="NRJ89" s="1055"/>
      <c r="NRK89" s="1055"/>
      <c r="NRL89" s="1055"/>
      <c r="NRM89" s="1055"/>
      <c r="NRN89" s="1055"/>
      <c r="NRO89" s="1055"/>
      <c r="NRP89" s="1055"/>
      <c r="NRQ89" s="1055"/>
      <c r="NRR89" s="1055"/>
      <c r="NRS89" s="1055"/>
      <c r="NRT89" s="1055"/>
      <c r="NRU89" s="1055"/>
      <c r="NRV89" s="1055"/>
      <c r="NRW89" s="1055"/>
      <c r="NRX89" s="1055"/>
      <c r="NRY89" s="1055"/>
      <c r="NRZ89" s="1055"/>
      <c r="NSA89" s="1055"/>
      <c r="NSB89" s="1055"/>
      <c r="NSC89" s="1055"/>
      <c r="NSD89" s="1055"/>
      <c r="NSE89" s="1055"/>
      <c r="NSF89" s="1055"/>
      <c r="NSG89" s="1055"/>
      <c r="NSH89" s="1055"/>
      <c r="NSI89" s="1055"/>
      <c r="NSJ89" s="1055"/>
      <c r="NSK89" s="1055"/>
      <c r="NSL89" s="1055"/>
      <c r="NSM89" s="1055"/>
      <c r="NSN89" s="1055"/>
      <c r="NSO89" s="1055"/>
      <c r="NSP89" s="1055"/>
      <c r="NSQ89" s="1055"/>
      <c r="NSR89" s="1055"/>
      <c r="NSS89" s="1055"/>
      <c r="NST89" s="1055"/>
      <c r="NSU89" s="1055"/>
      <c r="NSV89" s="1055"/>
      <c r="NSW89" s="1055"/>
      <c r="NSX89" s="1055"/>
      <c r="NSY89" s="1055"/>
      <c r="NSZ89" s="1055"/>
      <c r="NTA89" s="1055"/>
      <c r="NTB89" s="1055"/>
      <c r="NTC89" s="1055"/>
      <c r="NTD89" s="1055"/>
      <c r="NTE89" s="1055"/>
      <c r="NTF89" s="1055"/>
      <c r="NTG89" s="1055"/>
      <c r="NTH89" s="1055"/>
      <c r="NTI89" s="1055"/>
      <c r="NTJ89" s="1055"/>
      <c r="NTK89" s="1055"/>
      <c r="NTL89" s="1055"/>
      <c r="NTM89" s="1055"/>
      <c r="NTN89" s="1055"/>
      <c r="NTO89" s="1055"/>
      <c r="NTP89" s="1055"/>
      <c r="NTQ89" s="1055"/>
      <c r="NTR89" s="1055"/>
      <c r="NTS89" s="1055"/>
      <c r="NTT89" s="1055"/>
      <c r="NTU89" s="1055"/>
      <c r="NTV89" s="1055"/>
      <c r="NTW89" s="1055"/>
      <c r="NTX89" s="1055"/>
      <c r="NTY89" s="1055"/>
      <c r="NTZ89" s="1055"/>
      <c r="NUA89" s="1055"/>
      <c r="NUB89" s="1055"/>
      <c r="NUC89" s="1055"/>
      <c r="NUD89" s="1055"/>
      <c r="NUE89" s="1055"/>
      <c r="NUF89" s="1055"/>
      <c r="NUG89" s="1055"/>
      <c r="NUH89" s="1055"/>
      <c r="NUI89" s="1055"/>
      <c r="NUJ89" s="1055"/>
      <c r="NUK89" s="1055"/>
      <c r="NUL89" s="1055"/>
      <c r="NUM89" s="1055"/>
      <c r="NUN89" s="1055"/>
      <c r="NUO89" s="1055"/>
      <c r="NUP89" s="1055"/>
      <c r="NUQ89" s="1055"/>
      <c r="NUR89" s="1055"/>
      <c r="NUS89" s="1055"/>
      <c r="NUT89" s="1055"/>
      <c r="NUU89" s="1055"/>
      <c r="NUV89" s="1055"/>
      <c r="NUW89" s="1055"/>
      <c r="NUX89" s="1055"/>
      <c r="NUY89" s="1055"/>
      <c r="NUZ89" s="1055"/>
      <c r="NVA89" s="1055"/>
      <c r="NVB89" s="1055"/>
      <c r="NVC89" s="1055"/>
      <c r="NVD89" s="1055"/>
      <c r="NVE89" s="1055"/>
      <c r="NVF89" s="1055"/>
      <c r="NVG89" s="1055"/>
      <c r="NVH89" s="1055"/>
      <c r="NVI89" s="1055"/>
      <c r="NVJ89" s="1055"/>
      <c r="NVK89" s="1055"/>
      <c r="NVL89" s="1055"/>
      <c r="NVM89" s="1055"/>
      <c r="NVN89" s="1055"/>
      <c r="NVO89" s="1055"/>
      <c r="NVP89" s="1055"/>
      <c r="NVQ89" s="1055"/>
      <c r="NVR89" s="1055"/>
      <c r="NVS89" s="1055"/>
      <c r="NVT89" s="1055"/>
      <c r="NVU89" s="1055"/>
      <c r="NVV89" s="1055"/>
      <c r="NVW89" s="1055"/>
      <c r="NVX89" s="1055"/>
      <c r="NVY89" s="1055"/>
      <c r="NVZ89" s="1055"/>
      <c r="NWA89" s="1055"/>
      <c r="NWB89" s="1055"/>
      <c r="NWC89" s="1055"/>
      <c r="NWD89" s="1055"/>
      <c r="NWE89" s="1055"/>
      <c r="NWF89" s="1055"/>
      <c r="NWG89" s="1055"/>
      <c r="NWH89" s="1055"/>
      <c r="NWI89" s="1055"/>
      <c r="NWJ89" s="1055"/>
      <c r="NWK89" s="1055"/>
      <c r="NWL89" s="1055"/>
      <c r="NWM89" s="1055"/>
      <c r="NWN89" s="1055"/>
      <c r="NWO89" s="1055"/>
      <c r="NWP89" s="1055"/>
      <c r="NWQ89" s="1055"/>
      <c r="NWR89" s="1055"/>
      <c r="NWS89" s="1055"/>
      <c r="NWT89" s="1055"/>
      <c r="NWU89" s="1055"/>
      <c r="NWV89" s="1055"/>
      <c r="NWW89" s="1055"/>
      <c r="NWX89" s="1055"/>
      <c r="NWY89" s="1055"/>
      <c r="NWZ89" s="1055"/>
      <c r="NXA89" s="1055"/>
      <c r="NXB89" s="1055"/>
      <c r="NXC89" s="1055"/>
      <c r="NXD89" s="1055"/>
      <c r="NXE89" s="1055"/>
      <c r="NXF89" s="1055"/>
      <c r="NXG89" s="1055"/>
      <c r="NXH89" s="1055"/>
      <c r="NXI89" s="1055"/>
      <c r="NXJ89" s="1055"/>
      <c r="NXK89" s="1055"/>
      <c r="NXL89" s="1055"/>
      <c r="NXM89" s="1055"/>
      <c r="NXN89" s="1055"/>
      <c r="NXO89" s="1055"/>
      <c r="NXP89" s="1055"/>
      <c r="NXQ89" s="1055"/>
      <c r="NXR89" s="1055"/>
      <c r="NXS89" s="1055"/>
      <c r="NXT89" s="1055"/>
      <c r="NXU89" s="1055"/>
      <c r="NXV89" s="1055"/>
      <c r="NXW89" s="1055"/>
      <c r="NXX89" s="1055"/>
      <c r="NXY89" s="1055"/>
      <c r="NXZ89" s="1055"/>
      <c r="NYA89" s="1055"/>
      <c r="NYB89" s="1055"/>
      <c r="NYC89" s="1055"/>
      <c r="NYD89" s="1055"/>
      <c r="NYE89" s="1055"/>
      <c r="NYF89" s="1055"/>
      <c r="NYG89" s="1055"/>
      <c r="NYH89" s="1055"/>
      <c r="NYI89" s="1055"/>
      <c r="NYJ89" s="1055"/>
      <c r="NYK89" s="1055"/>
      <c r="NYL89" s="1055"/>
      <c r="NYM89" s="1055"/>
      <c r="NYN89" s="1055"/>
      <c r="NYO89" s="1055"/>
      <c r="NYP89" s="1055"/>
      <c r="NYQ89" s="1055"/>
      <c r="NYR89" s="1055"/>
      <c r="NYS89" s="1055"/>
      <c r="NYT89" s="1055"/>
      <c r="NYU89" s="1055"/>
      <c r="NYV89" s="1055"/>
      <c r="NYW89" s="1055"/>
      <c r="NYX89" s="1055"/>
      <c r="NYY89" s="1055"/>
      <c r="NYZ89" s="1055"/>
      <c r="NZA89" s="1055"/>
      <c r="NZB89" s="1055"/>
      <c r="NZC89" s="1055"/>
      <c r="NZD89" s="1055"/>
      <c r="NZE89" s="1055"/>
      <c r="NZF89" s="1055"/>
      <c r="NZG89" s="1055"/>
      <c r="NZH89" s="1055"/>
      <c r="NZI89" s="1055"/>
      <c r="NZJ89" s="1055"/>
      <c r="NZK89" s="1055"/>
      <c r="NZL89" s="1055"/>
      <c r="NZM89" s="1055"/>
      <c r="NZN89" s="1055"/>
      <c r="NZO89" s="1055"/>
      <c r="NZP89" s="1055"/>
      <c r="NZQ89" s="1055"/>
      <c r="NZR89" s="1055"/>
      <c r="NZS89" s="1055"/>
      <c r="NZT89" s="1055"/>
      <c r="NZU89" s="1055"/>
      <c r="NZV89" s="1055"/>
      <c r="NZW89" s="1055"/>
      <c r="NZX89" s="1055"/>
      <c r="NZY89" s="1055"/>
      <c r="NZZ89" s="1055"/>
      <c r="OAA89" s="1055"/>
      <c r="OAB89" s="1055"/>
      <c r="OAC89" s="1055"/>
      <c r="OAD89" s="1055"/>
      <c r="OAE89" s="1055"/>
      <c r="OAF89" s="1055"/>
      <c r="OAG89" s="1055"/>
      <c r="OAH89" s="1055"/>
      <c r="OAI89" s="1055"/>
      <c r="OAJ89" s="1055"/>
      <c r="OAK89" s="1055"/>
      <c r="OAL89" s="1055"/>
      <c r="OAM89" s="1055"/>
      <c r="OAN89" s="1055"/>
      <c r="OAO89" s="1055"/>
      <c r="OAP89" s="1055"/>
      <c r="OAQ89" s="1055"/>
      <c r="OAR89" s="1055"/>
      <c r="OAS89" s="1055"/>
      <c r="OAT89" s="1055"/>
      <c r="OAU89" s="1055"/>
      <c r="OAV89" s="1055"/>
      <c r="OAW89" s="1055"/>
      <c r="OAX89" s="1055"/>
      <c r="OAY89" s="1055"/>
      <c r="OAZ89" s="1055"/>
      <c r="OBA89" s="1055"/>
      <c r="OBB89" s="1055"/>
      <c r="OBC89" s="1055"/>
      <c r="OBD89" s="1055"/>
      <c r="OBE89" s="1055"/>
      <c r="OBF89" s="1055"/>
      <c r="OBG89" s="1055"/>
      <c r="OBH89" s="1055"/>
      <c r="OBI89" s="1055"/>
      <c r="OBJ89" s="1055"/>
      <c r="OBK89" s="1055"/>
      <c r="OBL89" s="1055"/>
      <c r="OBM89" s="1055"/>
      <c r="OBN89" s="1055"/>
      <c r="OBO89" s="1055"/>
      <c r="OBP89" s="1055"/>
      <c r="OBQ89" s="1055"/>
      <c r="OBR89" s="1055"/>
      <c r="OBS89" s="1055"/>
      <c r="OBT89" s="1055"/>
      <c r="OBU89" s="1055"/>
      <c r="OBV89" s="1055"/>
      <c r="OBW89" s="1055"/>
      <c r="OBX89" s="1055"/>
      <c r="OBY89" s="1055"/>
      <c r="OBZ89" s="1055"/>
      <c r="OCA89" s="1055"/>
      <c r="OCB89" s="1055"/>
      <c r="OCC89" s="1055"/>
      <c r="OCD89" s="1055"/>
      <c r="OCE89" s="1055"/>
      <c r="OCF89" s="1055"/>
      <c r="OCG89" s="1055"/>
      <c r="OCH89" s="1055"/>
      <c r="OCI89" s="1055"/>
      <c r="OCJ89" s="1055"/>
      <c r="OCK89" s="1055"/>
      <c r="OCL89" s="1055"/>
      <c r="OCM89" s="1055"/>
      <c r="OCN89" s="1055"/>
      <c r="OCO89" s="1055"/>
      <c r="OCP89" s="1055"/>
      <c r="OCQ89" s="1055"/>
      <c r="OCR89" s="1055"/>
      <c r="OCS89" s="1055"/>
      <c r="OCT89" s="1055"/>
      <c r="OCU89" s="1055"/>
      <c r="OCV89" s="1055"/>
      <c r="OCW89" s="1055"/>
      <c r="OCX89" s="1055"/>
      <c r="OCY89" s="1055"/>
      <c r="OCZ89" s="1055"/>
      <c r="ODA89" s="1055"/>
      <c r="ODB89" s="1055"/>
      <c r="ODC89" s="1055"/>
      <c r="ODD89" s="1055"/>
      <c r="ODE89" s="1055"/>
      <c r="ODF89" s="1055"/>
      <c r="ODG89" s="1055"/>
      <c r="ODH89" s="1055"/>
      <c r="ODI89" s="1055"/>
      <c r="ODJ89" s="1055"/>
      <c r="ODK89" s="1055"/>
      <c r="ODL89" s="1055"/>
      <c r="ODM89" s="1055"/>
      <c r="ODN89" s="1055"/>
      <c r="ODO89" s="1055"/>
      <c r="ODP89" s="1055"/>
      <c r="ODQ89" s="1055"/>
      <c r="ODR89" s="1055"/>
      <c r="ODS89" s="1055"/>
      <c r="ODT89" s="1055"/>
      <c r="ODU89" s="1055"/>
      <c r="ODV89" s="1055"/>
      <c r="ODW89" s="1055"/>
      <c r="ODX89" s="1055"/>
      <c r="ODY89" s="1055"/>
      <c r="ODZ89" s="1055"/>
      <c r="OEA89" s="1055"/>
      <c r="OEB89" s="1055"/>
      <c r="OEC89" s="1055"/>
      <c r="OED89" s="1055"/>
      <c r="OEE89" s="1055"/>
      <c r="OEF89" s="1055"/>
      <c r="OEG89" s="1055"/>
      <c r="OEH89" s="1055"/>
      <c r="OEI89" s="1055"/>
      <c r="OEJ89" s="1055"/>
      <c r="OEK89" s="1055"/>
      <c r="OEL89" s="1055"/>
      <c r="OEM89" s="1055"/>
      <c r="OEN89" s="1055"/>
      <c r="OEO89" s="1055"/>
      <c r="OEP89" s="1055"/>
      <c r="OEQ89" s="1055"/>
      <c r="OER89" s="1055"/>
      <c r="OES89" s="1055"/>
      <c r="OET89" s="1055"/>
      <c r="OEU89" s="1055"/>
      <c r="OEV89" s="1055"/>
      <c r="OEW89" s="1055"/>
      <c r="OEX89" s="1055"/>
      <c r="OEY89" s="1055"/>
      <c r="OEZ89" s="1055"/>
      <c r="OFA89" s="1055"/>
      <c r="OFB89" s="1055"/>
      <c r="OFC89" s="1055"/>
      <c r="OFD89" s="1055"/>
      <c r="OFE89" s="1055"/>
      <c r="OFF89" s="1055"/>
      <c r="OFG89" s="1055"/>
      <c r="OFH89" s="1055"/>
      <c r="OFI89" s="1055"/>
      <c r="OFJ89" s="1055"/>
      <c r="OFK89" s="1055"/>
      <c r="OFL89" s="1055"/>
      <c r="OFM89" s="1055"/>
      <c r="OFN89" s="1055"/>
      <c r="OFO89" s="1055"/>
      <c r="OFP89" s="1055"/>
      <c r="OFQ89" s="1055"/>
      <c r="OFR89" s="1055"/>
      <c r="OFS89" s="1055"/>
      <c r="OFT89" s="1055"/>
      <c r="OFU89" s="1055"/>
      <c r="OFV89" s="1055"/>
      <c r="OFW89" s="1055"/>
      <c r="OFX89" s="1055"/>
      <c r="OFY89" s="1055"/>
      <c r="OFZ89" s="1055"/>
      <c r="OGA89" s="1055"/>
      <c r="OGB89" s="1055"/>
      <c r="OGC89" s="1055"/>
      <c r="OGD89" s="1055"/>
      <c r="OGE89" s="1055"/>
      <c r="OGF89" s="1055"/>
      <c r="OGG89" s="1055"/>
      <c r="OGH89" s="1055"/>
      <c r="OGI89" s="1055"/>
      <c r="OGJ89" s="1055"/>
      <c r="OGK89" s="1055"/>
      <c r="OGL89" s="1055"/>
      <c r="OGM89" s="1055"/>
      <c r="OGN89" s="1055"/>
      <c r="OGO89" s="1055"/>
      <c r="OGP89" s="1055"/>
      <c r="OGQ89" s="1055"/>
      <c r="OGR89" s="1055"/>
      <c r="OGS89" s="1055"/>
      <c r="OGT89" s="1055"/>
      <c r="OGU89" s="1055"/>
      <c r="OGV89" s="1055"/>
      <c r="OGW89" s="1055"/>
      <c r="OGX89" s="1055"/>
      <c r="OGY89" s="1055"/>
      <c r="OGZ89" s="1055"/>
      <c r="OHA89" s="1055"/>
      <c r="OHB89" s="1055"/>
      <c r="OHC89" s="1055"/>
      <c r="OHD89" s="1055"/>
      <c r="OHE89" s="1055"/>
      <c r="OHF89" s="1055"/>
      <c r="OHG89" s="1055"/>
      <c r="OHH89" s="1055"/>
      <c r="OHI89" s="1055"/>
      <c r="OHJ89" s="1055"/>
      <c r="OHK89" s="1055"/>
      <c r="OHL89" s="1055"/>
      <c r="OHM89" s="1055"/>
      <c r="OHN89" s="1055"/>
      <c r="OHO89" s="1055"/>
      <c r="OHP89" s="1055"/>
      <c r="OHQ89" s="1055"/>
      <c r="OHR89" s="1055"/>
      <c r="OHS89" s="1055"/>
      <c r="OHT89" s="1055"/>
      <c r="OHU89" s="1055"/>
      <c r="OHV89" s="1055"/>
      <c r="OHW89" s="1055"/>
      <c r="OHX89" s="1055"/>
      <c r="OHY89" s="1055"/>
      <c r="OHZ89" s="1055"/>
      <c r="OIA89" s="1055"/>
      <c r="OIB89" s="1055"/>
      <c r="OIC89" s="1055"/>
      <c r="OID89" s="1055"/>
      <c r="OIE89" s="1055"/>
      <c r="OIF89" s="1055"/>
      <c r="OIG89" s="1055"/>
      <c r="OIH89" s="1055"/>
      <c r="OII89" s="1055"/>
      <c r="OIJ89" s="1055"/>
      <c r="OIK89" s="1055"/>
      <c r="OIL89" s="1055"/>
      <c r="OIM89" s="1055"/>
      <c r="OIN89" s="1055"/>
      <c r="OIO89" s="1055"/>
      <c r="OIP89" s="1055"/>
      <c r="OIQ89" s="1055"/>
      <c r="OIR89" s="1055"/>
      <c r="OIS89" s="1055"/>
      <c r="OIT89" s="1055"/>
      <c r="OIU89" s="1055"/>
      <c r="OIV89" s="1055"/>
      <c r="OIW89" s="1055"/>
      <c r="OIX89" s="1055"/>
      <c r="OIY89" s="1055"/>
      <c r="OIZ89" s="1055"/>
      <c r="OJA89" s="1055"/>
      <c r="OJB89" s="1055"/>
      <c r="OJC89" s="1055"/>
      <c r="OJD89" s="1055"/>
      <c r="OJE89" s="1055"/>
      <c r="OJF89" s="1055"/>
      <c r="OJG89" s="1055"/>
      <c r="OJH89" s="1055"/>
      <c r="OJI89" s="1055"/>
      <c r="OJJ89" s="1055"/>
      <c r="OJK89" s="1055"/>
      <c r="OJL89" s="1055"/>
      <c r="OJM89" s="1055"/>
      <c r="OJN89" s="1055"/>
      <c r="OJO89" s="1055"/>
      <c r="OJP89" s="1055"/>
      <c r="OJQ89" s="1055"/>
      <c r="OJR89" s="1055"/>
      <c r="OJS89" s="1055"/>
      <c r="OJT89" s="1055"/>
      <c r="OJU89" s="1055"/>
      <c r="OJV89" s="1055"/>
      <c r="OJW89" s="1055"/>
      <c r="OJX89" s="1055"/>
      <c r="OJY89" s="1055"/>
      <c r="OJZ89" s="1055"/>
      <c r="OKA89" s="1055"/>
      <c r="OKB89" s="1055"/>
      <c r="OKC89" s="1055"/>
      <c r="OKD89" s="1055"/>
      <c r="OKE89" s="1055"/>
      <c r="OKF89" s="1055"/>
      <c r="OKG89" s="1055"/>
      <c r="OKH89" s="1055"/>
      <c r="OKI89" s="1055"/>
      <c r="OKJ89" s="1055"/>
      <c r="OKK89" s="1055"/>
      <c r="OKL89" s="1055"/>
      <c r="OKM89" s="1055"/>
      <c r="OKN89" s="1055"/>
      <c r="OKO89" s="1055"/>
      <c r="OKP89" s="1055"/>
      <c r="OKQ89" s="1055"/>
      <c r="OKR89" s="1055"/>
      <c r="OKS89" s="1055"/>
      <c r="OKT89" s="1055"/>
      <c r="OKU89" s="1055"/>
      <c r="OKV89" s="1055"/>
      <c r="OKW89" s="1055"/>
      <c r="OKX89" s="1055"/>
      <c r="OKY89" s="1055"/>
      <c r="OKZ89" s="1055"/>
      <c r="OLA89" s="1055"/>
      <c r="OLB89" s="1055"/>
      <c r="OLC89" s="1055"/>
      <c r="OLD89" s="1055"/>
      <c r="OLE89" s="1055"/>
      <c r="OLF89" s="1055"/>
      <c r="OLG89" s="1055"/>
      <c r="OLH89" s="1055"/>
      <c r="OLI89" s="1055"/>
      <c r="OLJ89" s="1055"/>
      <c r="OLK89" s="1055"/>
      <c r="OLL89" s="1055"/>
      <c r="OLM89" s="1055"/>
      <c r="OLN89" s="1055"/>
      <c r="OLO89" s="1055"/>
      <c r="OLP89" s="1055"/>
      <c r="OLQ89" s="1055"/>
      <c r="OLR89" s="1055"/>
      <c r="OLS89" s="1055"/>
      <c r="OLT89" s="1055"/>
      <c r="OLU89" s="1055"/>
      <c r="OLV89" s="1055"/>
      <c r="OLW89" s="1055"/>
      <c r="OLX89" s="1055"/>
      <c r="OLY89" s="1055"/>
      <c r="OLZ89" s="1055"/>
      <c r="OMA89" s="1055"/>
      <c r="OMB89" s="1055"/>
      <c r="OMC89" s="1055"/>
      <c r="OMD89" s="1055"/>
      <c r="OME89" s="1055"/>
      <c r="OMF89" s="1055"/>
      <c r="OMG89" s="1055"/>
      <c r="OMH89" s="1055"/>
      <c r="OMI89" s="1055"/>
      <c r="OMJ89" s="1055"/>
      <c r="OMK89" s="1055"/>
      <c r="OML89" s="1055"/>
      <c r="OMM89" s="1055"/>
      <c r="OMN89" s="1055"/>
      <c r="OMO89" s="1055"/>
      <c r="OMP89" s="1055"/>
      <c r="OMQ89" s="1055"/>
      <c r="OMR89" s="1055"/>
      <c r="OMS89" s="1055"/>
      <c r="OMT89" s="1055"/>
      <c r="OMU89" s="1055"/>
      <c r="OMV89" s="1055"/>
      <c r="OMW89" s="1055"/>
      <c r="OMX89" s="1055"/>
      <c r="OMY89" s="1055"/>
      <c r="OMZ89" s="1055"/>
      <c r="ONA89" s="1055"/>
      <c r="ONB89" s="1055"/>
      <c r="ONC89" s="1055"/>
      <c r="OND89" s="1055"/>
      <c r="ONE89" s="1055"/>
      <c r="ONF89" s="1055"/>
      <c r="ONG89" s="1055"/>
      <c r="ONH89" s="1055"/>
      <c r="ONI89" s="1055"/>
      <c r="ONJ89" s="1055"/>
      <c r="ONK89" s="1055"/>
      <c r="ONL89" s="1055"/>
      <c r="ONM89" s="1055"/>
      <c r="ONN89" s="1055"/>
      <c r="ONO89" s="1055"/>
      <c r="ONP89" s="1055"/>
      <c r="ONQ89" s="1055"/>
      <c r="ONR89" s="1055"/>
      <c r="ONS89" s="1055"/>
      <c r="ONT89" s="1055"/>
      <c r="ONU89" s="1055"/>
      <c r="ONV89" s="1055"/>
      <c r="ONW89" s="1055"/>
      <c r="ONX89" s="1055"/>
      <c r="ONY89" s="1055"/>
      <c r="ONZ89" s="1055"/>
      <c r="OOA89" s="1055"/>
      <c r="OOB89" s="1055"/>
      <c r="OOC89" s="1055"/>
      <c r="OOD89" s="1055"/>
      <c r="OOE89" s="1055"/>
      <c r="OOF89" s="1055"/>
      <c r="OOG89" s="1055"/>
      <c r="OOH89" s="1055"/>
      <c r="OOI89" s="1055"/>
      <c r="OOJ89" s="1055"/>
      <c r="OOK89" s="1055"/>
      <c r="OOL89" s="1055"/>
      <c r="OOM89" s="1055"/>
      <c r="OON89" s="1055"/>
      <c r="OOO89" s="1055"/>
      <c r="OOP89" s="1055"/>
      <c r="OOQ89" s="1055"/>
      <c r="OOR89" s="1055"/>
      <c r="OOS89" s="1055"/>
      <c r="OOT89" s="1055"/>
      <c r="OOU89" s="1055"/>
      <c r="OOV89" s="1055"/>
      <c r="OOW89" s="1055"/>
      <c r="OOX89" s="1055"/>
      <c r="OOY89" s="1055"/>
      <c r="OOZ89" s="1055"/>
      <c r="OPA89" s="1055"/>
      <c r="OPB89" s="1055"/>
      <c r="OPC89" s="1055"/>
      <c r="OPD89" s="1055"/>
      <c r="OPE89" s="1055"/>
      <c r="OPF89" s="1055"/>
      <c r="OPG89" s="1055"/>
      <c r="OPH89" s="1055"/>
      <c r="OPI89" s="1055"/>
      <c r="OPJ89" s="1055"/>
      <c r="OPK89" s="1055"/>
      <c r="OPL89" s="1055"/>
      <c r="OPM89" s="1055"/>
      <c r="OPN89" s="1055"/>
      <c r="OPO89" s="1055"/>
      <c r="OPP89" s="1055"/>
      <c r="OPQ89" s="1055"/>
      <c r="OPR89" s="1055"/>
      <c r="OPS89" s="1055"/>
      <c r="OPT89" s="1055"/>
      <c r="OPU89" s="1055"/>
      <c r="OPV89" s="1055"/>
      <c r="OPW89" s="1055"/>
      <c r="OPX89" s="1055"/>
      <c r="OPY89" s="1055"/>
      <c r="OPZ89" s="1055"/>
      <c r="OQA89" s="1055"/>
      <c r="OQB89" s="1055"/>
      <c r="OQC89" s="1055"/>
      <c r="OQD89" s="1055"/>
      <c r="OQE89" s="1055"/>
      <c r="OQF89" s="1055"/>
      <c r="OQG89" s="1055"/>
      <c r="OQH89" s="1055"/>
      <c r="OQI89" s="1055"/>
      <c r="OQJ89" s="1055"/>
      <c r="OQK89" s="1055"/>
      <c r="OQL89" s="1055"/>
      <c r="OQM89" s="1055"/>
      <c r="OQN89" s="1055"/>
      <c r="OQO89" s="1055"/>
      <c r="OQP89" s="1055"/>
      <c r="OQQ89" s="1055"/>
      <c r="OQR89" s="1055"/>
      <c r="OQS89" s="1055"/>
      <c r="OQT89" s="1055"/>
      <c r="OQU89" s="1055"/>
      <c r="OQV89" s="1055"/>
      <c r="OQW89" s="1055"/>
      <c r="OQX89" s="1055"/>
      <c r="OQY89" s="1055"/>
      <c r="OQZ89" s="1055"/>
      <c r="ORA89" s="1055"/>
      <c r="ORB89" s="1055"/>
      <c r="ORC89" s="1055"/>
      <c r="ORD89" s="1055"/>
      <c r="ORE89" s="1055"/>
      <c r="ORF89" s="1055"/>
      <c r="ORG89" s="1055"/>
      <c r="ORH89" s="1055"/>
      <c r="ORI89" s="1055"/>
      <c r="ORJ89" s="1055"/>
      <c r="ORK89" s="1055"/>
      <c r="ORL89" s="1055"/>
      <c r="ORM89" s="1055"/>
      <c r="ORN89" s="1055"/>
      <c r="ORO89" s="1055"/>
      <c r="ORP89" s="1055"/>
      <c r="ORQ89" s="1055"/>
      <c r="ORR89" s="1055"/>
      <c r="ORS89" s="1055"/>
      <c r="ORT89" s="1055"/>
      <c r="ORU89" s="1055"/>
      <c r="ORV89" s="1055"/>
      <c r="ORW89" s="1055"/>
      <c r="ORX89" s="1055"/>
      <c r="ORY89" s="1055"/>
      <c r="ORZ89" s="1055"/>
      <c r="OSA89" s="1055"/>
      <c r="OSB89" s="1055"/>
      <c r="OSC89" s="1055"/>
      <c r="OSD89" s="1055"/>
      <c r="OSE89" s="1055"/>
      <c r="OSF89" s="1055"/>
      <c r="OSG89" s="1055"/>
      <c r="OSH89" s="1055"/>
      <c r="OSI89" s="1055"/>
      <c r="OSJ89" s="1055"/>
      <c r="OSK89" s="1055"/>
      <c r="OSL89" s="1055"/>
      <c r="OSM89" s="1055"/>
      <c r="OSN89" s="1055"/>
      <c r="OSO89" s="1055"/>
      <c r="OSP89" s="1055"/>
      <c r="OSQ89" s="1055"/>
      <c r="OSR89" s="1055"/>
      <c r="OSS89" s="1055"/>
      <c r="OST89" s="1055"/>
      <c r="OSU89" s="1055"/>
      <c r="OSV89" s="1055"/>
      <c r="OSW89" s="1055"/>
      <c r="OSX89" s="1055"/>
      <c r="OSY89" s="1055"/>
      <c r="OSZ89" s="1055"/>
      <c r="OTA89" s="1055"/>
      <c r="OTB89" s="1055"/>
      <c r="OTC89" s="1055"/>
      <c r="OTD89" s="1055"/>
      <c r="OTE89" s="1055"/>
      <c r="OTF89" s="1055"/>
      <c r="OTG89" s="1055"/>
      <c r="OTH89" s="1055"/>
      <c r="OTI89" s="1055"/>
      <c r="OTJ89" s="1055"/>
      <c r="OTK89" s="1055"/>
      <c r="OTL89" s="1055"/>
      <c r="OTM89" s="1055"/>
      <c r="OTN89" s="1055"/>
      <c r="OTO89" s="1055"/>
      <c r="OTP89" s="1055"/>
      <c r="OTQ89" s="1055"/>
      <c r="OTR89" s="1055"/>
      <c r="OTS89" s="1055"/>
      <c r="OTT89" s="1055"/>
      <c r="OTU89" s="1055"/>
      <c r="OTV89" s="1055"/>
      <c r="OTW89" s="1055"/>
      <c r="OTX89" s="1055"/>
      <c r="OTY89" s="1055"/>
      <c r="OTZ89" s="1055"/>
      <c r="OUA89" s="1055"/>
      <c r="OUB89" s="1055"/>
      <c r="OUC89" s="1055"/>
      <c r="OUD89" s="1055"/>
      <c r="OUE89" s="1055"/>
      <c r="OUF89" s="1055"/>
      <c r="OUG89" s="1055"/>
      <c r="OUH89" s="1055"/>
      <c r="OUI89" s="1055"/>
      <c r="OUJ89" s="1055"/>
      <c r="OUK89" s="1055"/>
      <c r="OUL89" s="1055"/>
      <c r="OUM89" s="1055"/>
      <c r="OUN89" s="1055"/>
      <c r="OUO89" s="1055"/>
      <c r="OUP89" s="1055"/>
      <c r="OUQ89" s="1055"/>
      <c r="OUR89" s="1055"/>
      <c r="OUS89" s="1055"/>
      <c r="OUT89" s="1055"/>
      <c r="OUU89" s="1055"/>
      <c r="OUV89" s="1055"/>
      <c r="OUW89" s="1055"/>
      <c r="OUX89" s="1055"/>
      <c r="OUY89" s="1055"/>
      <c r="OUZ89" s="1055"/>
      <c r="OVA89" s="1055"/>
      <c r="OVB89" s="1055"/>
      <c r="OVC89" s="1055"/>
      <c r="OVD89" s="1055"/>
      <c r="OVE89" s="1055"/>
      <c r="OVF89" s="1055"/>
      <c r="OVG89" s="1055"/>
      <c r="OVH89" s="1055"/>
      <c r="OVI89" s="1055"/>
      <c r="OVJ89" s="1055"/>
      <c r="OVK89" s="1055"/>
      <c r="OVL89" s="1055"/>
      <c r="OVM89" s="1055"/>
      <c r="OVN89" s="1055"/>
      <c r="OVO89" s="1055"/>
      <c r="OVP89" s="1055"/>
      <c r="OVQ89" s="1055"/>
      <c r="OVR89" s="1055"/>
      <c r="OVS89" s="1055"/>
      <c r="OVT89" s="1055"/>
      <c r="OVU89" s="1055"/>
      <c r="OVV89" s="1055"/>
      <c r="OVW89" s="1055"/>
      <c r="OVX89" s="1055"/>
      <c r="OVY89" s="1055"/>
      <c r="OVZ89" s="1055"/>
      <c r="OWA89" s="1055"/>
      <c r="OWB89" s="1055"/>
      <c r="OWC89" s="1055"/>
      <c r="OWD89" s="1055"/>
      <c r="OWE89" s="1055"/>
      <c r="OWF89" s="1055"/>
      <c r="OWG89" s="1055"/>
      <c r="OWH89" s="1055"/>
      <c r="OWI89" s="1055"/>
      <c r="OWJ89" s="1055"/>
      <c r="OWK89" s="1055"/>
      <c r="OWL89" s="1055"/>
      <c r="OWM89" s="1055"/>
      <c r="OWN89" s="1055"/>
      <c r="OWO89" s="1055"/>
      <c r="OWP89" s="1055"/>
      <c r="OWQ89" s="1055"/>
      <c r="OWR89" s="1055"/>
      <c r="OWS89" s="1055"/>
      <c r="OWT89" s="1055"/>
      <c r="OWU89" s="1055"/>
      <c r="OWV89" s="1055"/>
      <c r="OWW89" s="1055"/>
      <c r="OWX89" s="1055"/>
      <c r="OWY89" s="1055"/>
      <c r="OWZ89" s="1055"/>
      <c r="OXA89" s="1055"/>
      <c r="OXB89" s="1055"/>
      <c r="OXC89" s="1055"/>
      <c r="OXD89" s="1055"/>
      <c r="OXE89" s="1055"/>
      <c r="OXF89" s="1055"/>
      <c r="OXG89" s="1055"/>
      <c r="OXH89" s="1055"/>
      <c r="OXI89" s="1055"/>
      <c r="OXJ89" s="1055"/>
      <c r="OXK89" s="1055"/>
      <c r="OXL89" s="1055"/>
      <c r="OXM89" s="1055"/>
      <c r="OXN89" s="1055"/>
      <c r="OXO89" s="1055"/>
      <c r="OXP89" s="1055"/>
      <c r="OXQ89" s="1055"/>
      <c r="OXR89" s="1055"/>
      <c r="OXS89" s="1055"/>
      <c r="OXT89" s="1055"/>
      <c r="OXU89" s="1055"/>
      <c r="OXV89" s="1055"/>
      <c r="OXW89" s="1055"/>
      <c r="OXX89" s="1055"/>
      <c r="OXY89" s="1055"/>
      <c r="OXZ89" s="1055"/>
      <c r="OYA89" s="1055"/>
      <c r="OYB89" s="1055"/>
      <c r="OYC89" s="1055"/>
      <c r="OYD89" s="1055"/>
      <c r="OYE89" s="1055"/>
      <c r="OYF89" s="1055"/>
      <c r="OYG89" s="1055"/>
      <c r="OYH89" s="1055"/>
      <c r="OYI89" s="1055"/>
      <c r="OYJ89" s="1055"/>
      <c r="OYK89" s="1055"/>
      <c r="OYL89" s="1055"/>
      <c r="OYM89" s="1055"/>
      <c r="OYN89" s="1055"/>
      <c r="OYO89" s="1055"/>
      <c r="OYP89" s="1055"/>
      <c r="OYQ89" s="1055"/>
      <c r="OYR89" s="1055"/>
      <c r="OYS89" s="1055"/>
      <c r="OYT89" s="1055"/>
      <c r="OYU89" s="1055"/>
      <c r="OYV89" s="1055"/>
      <c r="OYW89" s="1055"/>
      <c r="OYX89" s="1055"/>
      <c r="OYY89" s="1055"/>
      <c r="OYZ89" s="1055"/>
      <c r="OZA89" s="1055"/>
      <c r="OZB89" s="1055"/>
      <c r="OZC89" s="1055"/>
      <c r="OZD89" s="1055"/>
      <c r="OZE89" s="1055"/>
      <c r="OZF89" s="1055"/>
      <c r="OZG89" s="1055"/>
      <c r="OZH89" s="1055"/>
      <c r="OZI89" s="1055"/>
      <c r="OZJ89" s="1055"/>
      <c r="OZK89" s="1055"/>
      <c r="OZL89" s="1055"/>
      <c r="OZM89" s="1055"/>
      <c r="OZN89" s="1055"/>
      <c r="OZO89" s="1055"/>
      <c r="OZP89" s="1055"/>
      <c r="OZQ89" s="1055"/>
      <c r="OZR89" s="1055"/>
      <c r="OZS89" s="1055"/>
      <c r="OZT89" s="1055"/>
      <c r="OZU89" s="1055"/>
      <c r="OZV89" s="1055"/>
      <c r="OZW89" s="1055"/>
      <c r="OZX89" s="1055"/>
      <c r="OZY89" s="1055"/>
      <c r="OZZ89" s="1055"/>
      <c r="PAA89" s="1055"/>
      <c r="PAB89" s="1055"/>
      <c r="PAC89" s="1055"/>
      <c r="PAD89" s="1055"/>
      <c r="PAE89" s="1055"/>
      <c r="PAF89" s="1055"/>
      <c r="PAG89" s="1055"/>
      <c r="PAH89" s="1055"/>
      <c r="PAI89" s="1055"/>
      <c r="PAJ89" s="1055"/>
      <c r="PAK89" s="1055"/>
      <c r="PAL89" s="1055"/>
      <c r="PAM89" s="1055"/>
      <c r="PAN89" s="1055"/>
      <c r="PAO89" s="1055"/>
      <c r="PAP89" s="1055"/>
      <c r="PAQ89" s="1055"/>
      <c r="PAR89" s="1055"/>
      <c r="PAS89" s="1055"/>
      <c r="PAT89" s="1055"/>
      <c r="PAU89" s="1055"/>
      <c r="PAV89" s="1055"/>
      <c r="PAW89" s="1055"/>
      <c r="PAX89" s="1055"/>
      <c r="PAY89" s="1055"/>
      <c r="PAZ89" s="1055"/>
      <c r="PBA89" s="1055"/>
      <c r="PBB89" s="1055"/>
      <c r="PBC89" s="1055"/>
      <c r="PBD89" s="1055"/>
      <c r="PBE89" s="1055"/>
      <c r="PBF89" s="1055"/>
      <c r="PBG89" s="1055"/>
      <c r="PBH89" s="1055"/>
      <c r="PBI89" s="1055"/>
      <c r="PBJ89" s="1055"/>
      <c r="PBK89" s="1055"/>
      <c r="PBL89" s="1055"/>
      <c r="PBM89" s="1055"/>
      <c r="PBN89" s="1055"/>
      <c r="PBO89" s="1055"/>
      <c r="PBP89" s="1055"/>
      <c r="PBQ89" s="1055"/>
      <c r="PBR89" s="1055"/>
      <c r="PBS89" s="1055"/>
      <c r="PBT89" s="1055"/>
      <c r="PBU89" s="1055"/>
      <c r="PBV89" s="1055"/>
      <c r="PBW89" s="1055"/>
      <c r="PBX89" s="1055"/>
      <c r="PBY89" s="1055"/>
      <c r="PBZ89" s="1055"/>
      <c r="PCA89" s="1055"/>
      <c r="PCB89" s="1055"/>
      <c r="PCC89" s="1055"/>
      <c r="PCD89" s="1055"/>
      <c r="PCE89" s="1055"/>
      <c r="PCF89" s="1055"/>
      <c r="PCG89" s="1055"/>
      <c r="PCH89" s="1055"/>
      <c r="PCI89" s="1055"/>
      <c r="PCJ89" s="1055"/>
      <c r="PCK89" s="1055"/>
      <c r="PCL89" s="1055"/>
      <c r="PCM89" s="1055"/>
      <c r="PCN89" s="1055"/>
      <c r="PCO89" s="1055"/>
      <c r="PCP89" s="1055"/>
      <c r="PCQ89" s="1055"/>
      <c r="PCR89" s="1055"/>
      <c r="PCS89" s="1055"/>
      <c r="PCT89" s="1055"/>
      <c r="PCU89" s="1055"/>
      <c r="PCV89" s="1055"/>
      <c r="PCW89" s="1055"/>
      <c r="PCX89" s="1055"/>
      <c r="PCY89" s="1055"/>
      <c r="PCZ89" s="1055"/>
      <c r="PDA89" s="1055"/>
      <c r="PDB89" s="1055"/>
      <c r="PDC89" s="1055"/>
      <c r="PDD89" s="1055"/>
      <c r="PDE89" s="1055"/>
      <c r="PDF89" s="1055"/>
      <c r="PDG89" s="1055"/>
      <c r="PDH89" s="1055"/>
      <c r="PDI89" s="1055"/>
      <c r="PDJ89" s="1055"/>
      <c r="PDK89" s="1055"/>
      <c r="PDL89" s="1055"/>
      <c r="PDM89" s="1055"/>
      <c r="PDN89" s="1055"/>
      <c r="PDO89" s="1055"/>
      <c r="PDP89" s="1055"/>
      <c r="PDQ89" s="1055"/>
      <c r="PDR89" s="1055"/>
      <c r="PDS89" s="1055"/>
      <c r="PDT89" s="1055"/>
      <c r="PDU89" s="1055"/>
      <c r="PDV89" s="1055"/>
      <c r="PDW89" s="1055"/>
      <c r="PDX89" s="1055"/>
      <c r="PDY89" s="1055"/>
      <c r="PDZ89" s="1055"/>
      <c r="PEA89" s="1055"/>
      <c r="PEB89" s="1055"/>
      <c r="PEC89" s="1055"/>
      <c r="PED89" s="1055"/>
      <c r="PEE89" s="1055"/>
      <c r="PEF89" s="1055"/>
      <c r="PEG89" s="1055"/>
      <c r="PEH89" s="1055"/>
      <c r="PEI89" s="1055"/>
      <c r="PEJ89" s="1055"/>
      <c r="PEK89" s="1055"/>
      <c r="PEL89" s="1055"/>
      <c r="PEM89" s="1055"/>
      <c r="PEN89" s="1055"/>
      <c r="PEO89" s="1055"/>
      <c r="PEP89" s="1055"/>
      <c r="PEQ89" s="1055"/>
      <c r="PER89" s="1055"/>
      <c r="PES89" s="1055"/>
      <c r="PET89" s="1055"/>
      <c r="PEU89" s="1055"/>
      <c r="PEV89" s="1055"/>
      <c r="PEW89" s="1055"/>
      <c r="PEX89" s="1055"/>
      <c r="PEY89" s="1055"/>
      <c r="PEZ89" s="1055"/>
      <c r="PFA89" s="1055"/>
      <c r="PFB89" s="1055"/>
      <c r="PFC89" s="1055"/>
      <c r="PFD89" s="1055"/>
      <c r="PFE89" s="1055"/>
      <c r="PFF89" s="1055"/>
      <c r="PFG89" s="1055"/>
      <c r="PFH89" s="1055"/>
      <c r="PFI89" s="1055"/>
      <c r="PFJ89" s="1055"/>
      <c r="PFK89" s="1055"/>
      <c r="PFL89" s="1055"/>
      <c r="PFM89" s="1055"/>
      <c r="PFN89" s="1055"/>
      <c r="PFO89" s="1055"/>
      <c r="PFP89" s="1055"/>
      <c r="PFQ89" s="1055"/>
      <c r="PFR89" s="1055"/>
      <c r="PFS89" s="1055"/>
      <c r="PFT89" s="1055"/>
      <c r="PFU89" s="1055"/>
      <c r="PFV89" s="1055"/>
      <c r="PFW89" s="1055"/>
      <c r="PFX89" s="1055"/>
      <c r="PFY89" s="1055"/>
      <c r="PFZ89" s="1055"/>
      <c r="PGA89" s="1055"/>
      <c r="PGB89" s="1055"/>
      <c r="PGC89" s="1055"/>
      <c r="PGD89" s="1055"/>
      <c r="PGE89" s="1055"/>
      <c r="PGF89" s="1055"/>
      <c r="PGG89" s="1055"/>
      <c r="PGH89" s="1055"/>
      <c r="PGI89" s="1055"/>
      <c r="PGJ89" s="1055"/>
      <c r="PGK89" s="1055"/>
      <c r="PGL89" s="1055"/>
      <c r="PGM89" s="1055"/>
      <c r="PGN89" s="1055"/>
      <c r="PGO89" s="1055"/>
      <c r="PGP89" s="1055"/>
      <c r="PGQ89" s="1055"/>
      <c r="PGR89" s="1055"/>
      <c r="PGS89" s="1055"/>
      <c r="PGT89" s="1055"/>
      <c r="PGU89" s="1055"/>
      <c r="PGV89" s="1055"/>
      <c r="PGW89" s="1055"/>
      <c r="PGX89" s="1055"/>
      <c r="PGY89" s="1055"/>
      <c r="PGZ89" s="1055"/>
      <c r="PHA89" s="1055"/>
      <c r="PHB89" s="1055"/>
      <c r="PHC89" s="1055"/>
      <c r="PHD89" s="1055"/>
      <c r="PHE89" s="1055"/>
      <c r="PHF89" s="1055"/>
      <c r="PHG89" s="1055"/>
      <c r="PHH89" s="1055"/>
      <c r="PHI89" s="1055"/>
      <c r="PHJ89" s="1055"/>
      <c r="PHK89" s="1055"/>
      <c r="PHL89" s="1055"/>
      <c r="PHM89" s="1055"/>
      <c r="PHN89" s="1055"/>
      <c r="PHO89" s="1055"/>
      <c r="PHP89" s="1055"/>
      <c r="PHQ89" s="1055"/>
      <c r="PHR89" s="1055"/>
      <c r="PHS89" s="1055"/>
      <c r="PHT89" s="1055"/>
      <c r="PHU89" s="1055"/>
      <c r="PHV89" s="1055"/>
      <c r="PHW89" s="1055"/>
      <c r="PHX89" s="1055"/>
      <c r="PHY89" s="1055"/>
      <c r="PHZ89" s="1055"/>
      <c r="PIA89" s="1055"/>
      <c r="PIB89" s="1055"/>
      <c r="PIC89" s="1055"/>
      <c r="PID89" s="1055"/>
      <c r="PIE89" s="1055"/>
      <c r="PIF89" s="1055"/>
      <c r="PIG89" s="1055"/>
      <c r="PIH89" s="1055"/>
      <c r="PII89" s="1055"/>
      <c r="PIJ89" s="1055"/>
      <c r="PIK89" s="1055"/>
      <c r="PIL89" s="1055"/>
      <c r="PIM89" s="1055"/>
      <c r="PIN89" s="1055"/>
      <c r="PIO89" s="1055"/>
      <c r="PIP89" s="1055"/>
      <c r="PIQ89" s="1055"/>
      <c r="PIR89" s="1055"/>
      <c r="PIS89" s="1055"/>
      <c r="PIT89" s="1055"/>
      <c r="PIU89" s="1055"/>
      <c r="PIV89" s="1055"/>
      <c r="PIW89" s="1055"/>
      <c r="PIX89" s="1055"/>
      <c r="PIY89" s="1055"/>
      <c r="PIZ89" s="1055"/>
      <c r="PJA89" s="1055"/>
      <c r="PJB89" s="1055"/>
      <c r="PJC89" s="1055"/>
      <c r="PJD89" s="1055"/>
      <c r="PJE89" s="1055"/>
      <c r="PJF89" s="1055"/>
      <c r="PJG89" s="1055"/>
      <c r="PJH89" s="1055"/>
      <c r="PJI89" s="1055"/>
      <c r="PJJ89" s="1055"/>
      <c r="PJK89" s="1055"/>
      <c r="PJL89" s="1055"/>
      <c r="PJM89" s="1055"/>
      <c r="PJN89" s="1055"/>
      <c r="PJO89" s="1055"/>
      <c r="PJP89" s="1055"/>
      <c r="PJQ89" s="1055"/>
      <c r="PJR89" s="1055"/>
      <c r="PJS89" s="1055"/>
      <c r="PJT89" s="1055"/>
      <c r="PJU89" s="1055"/>
      <c r="PJV89" s="1055"/>
      <c r="PJW89" s="1055"/>
      <c r="PJX89" s="1055"/>
      <c r="PJY89" s="1055"/>
      <c r="PJZ89" s="1055"/>
      <c r="PKA89" s="1055"/>
      <c r="PKB89" s="1055"/>
      <c r="PKC89" s="1055"/>
      <c r="PKD89" s="1055"/>
      <c r="PKE89" s="1055"/>
      <c r="PKF89" s="1055"/>
      <c r="PKG89" s="1055"/>
      <c r="PKH89" s="1055"/>
      <c r="PKI89" s="1055"/>
      <c r="PKJ89" s="1055"/>
      <c r="PKK89" s="1055"/>
      <c r="PKL89" s="1055"/>
      <c r="PKM89" s="1055"/>
      <c r="PKN89" s="1055"/>
      <c r="PKO89" s="1055"/>
      <c r="PKP89" s="1055"/>
      <c r="PKQ89" s="1055"/>
      <c r="PKR89" s="1055"/>
      <c r="PKS89" s="1055"/>
      <c r="PKT89" s="1055"/>
      <c r="PKU89" s="1055"/>
      <c r="PKV89" s="1055"/>
      <c r="PKW89" s="1055"/>
      <c r="PKX89" s="1055"/>
      <c r="PKY89" s="1055"/>
      <c r="PKZ89" s="1055"/>
      <c r="PLA89" s="1055"/>
      <c r="PLB89" s="1055"/>
      <c r="PLC89" s="1055"/>
      <c r="PLD89" s="1055"/>
      <c r="PLE89" s="1055"/>
      <c r="PLF89" s="1055"/>
      <c r="PLG89" s="1055"/>
      <c r="PLH89" s="1055"/>
      <c r="PLI89" s="1055"/>
      <c r="PLJ89" s="1055"/>
      <c r="PLK89" s="1055"/>
      <c r="PLL89" s="1055"/>
      <c r="PLM89" s="1055"/>
      <c r="PLN89" s="1055"/>
      <c r="PLO89" s="1055"/>
      <c r="PLP89" s="1055"/>
      <c r="PLQ89" s="1055"/>
      <c r="PLR89" s="1055"/>
      <c r="PLS89" s="1055"/>
      <c r="PLT89" s="1055"/>
      <c r="PLU89" s="1055"/>
      <c r="PLV89" s="1055"/>
      <c r="PLW89" s="1055"/>
      <c r="PLX89" s="1055"/>
      <c r="PLY89" s="1055"/>
      <c r="PLZ89" s="1055"/>
      <c r="PMA89" s="1055"/>
      <c r="PMB89" s="1055"/>
      <c r="PMC89" s="1055"/>
      <c r="PMD89" s="1055"/>
      <c r="PME89" s="1055"/>
      <c r="PMF89" s="1055"/>
      <c r="PMG89" s="1055"/>
      <c r="PMH89" s="1055"/>
      <c r="PMI89" s="1055"/>
      <c r="PMJ89" s="1055"/>
      <c r="PMK89" s="1055"/>
      <c r="PML89" s="1055"/>
      <c r="PMM89" s="1055"/>
      <c r="PMN89" s="1055"/>
      <c r="PMO89" s="1055"/>
      <c r="PMP89" s="1055"/>
      <c r="PMQ89" s="1055"/>
      <c r="PMR89" s="1055"/>
      <c r="PMS89" s="1055"/>
      <c r="PMT89" s="1055"/>
      <c r="PMU89" s="1055"/>
      <c r="PMV89" s="1055"/>
      <c r="PMW89" s="1055"/>
      <c r="PMX89" s="1055"/>
      <c r="PMY89" s="1055"/>
      <c r="PMZ89" s="1055"/>
      <c r="PNA89" s="1055"/>
      <c r="PNB89" s="1055"/>
      <c r="PNC89" s="1055"/>
      <c r="PND89" s="1055"/>
      <c r="PNE89" s="1055"/>
      <c r="PNF89" s="1055"/>
      <c r="PNG89" s="1055"/>
      <c r="PNH89" s="1055"/>
      <c r="PNI89" s="1055"/>
      <c r="PNJ89" s="1055"/>
      <c r="PNK89" s="1055"/>
      <c r="PNL89" s="1055"/>
      <c r="PNM89" s="1055"/>
      <c r="PNN89" s="1055"/>
      <c r="PNO89" s="1055"/>
      <c r="PNP89" s="1055"/>
      <c r="PNQ89" s="1055"/>
      <c r="PNR89" s="1055"/>
      <c r="PNS89" s="1055"/>
      <c r="PNT89" s="1055"/>
      <c r="PNU89" s="1055"/>
      <c r="PNV89" s="1055"/>
      <c r="PNW89" s="1055"/>
      <c r="PNX89" s="1055"/>
      <c r="PNY89" s="1055"/>
      <c r="PNZ89" s="1055"/>
      <c r="POA89" s="1055"/>
      <c r="POB89" s="1055"/>
      <c r="POC89" s="1055"/>
      <c r="POD89" s="1055"/>
      <c r="POE89" s="1055"/>
      <c r="POF89" s="1055"/>
      <c r="POG89" s="1055"/>
      <c r="POH89" s="1055"/>
      <c r="POI89" s="1055"/>
      <c r="POJ89" s="1055"/>
      <c r="POK89" s="1055"/>
      <c r="POL89" s="1055"/>
      <c r="POM89" s="1055"/>
      <c r="PON89" s="1055"/>
      <c r="POO89" s="1055"/>
      <c r="POP89" s="1055"/>
      <c r="POQ89" s="1055"/>
      <c r="POR89" s="1055"/>
      <c r="POS89" s="1055"/>
      <c r="POT89" s="1055"/>
      <c r="POU89" s="1055"/>
      <c r="POV89" s="1055"/>
      <c r="POW89" s="1055"/>
      <c r="POX89" s="1055"/>
      <c r="POY89" s="1055"/>
      <c r="POZ89" s="1055"/>
      <c r="PPA89" s="1055"/>
      <c r="PPB89" s="1055"/>
      <c r="PPC89" s="1055"/>
      <c r="PPD89" s="1055"/>
      <c r="PPE89" s="1055"/>
      <c r="PPF89" s="1055"/>
      <c r="PPG89" s="1055"/>
      <c r="PPH89" s="1055"/>
      <c r="PPI89" s="1055"/>
      <c r="PPJ89" s="1055"/>
      <c r="PPK89" s="1055"/>
      <c r="PPL89" s="1055"/>
      <c r="PPM89" s="1055"/>
      <c r="PPN89" s="1055"/>
      <c r="PPO89" s="1055"/>
      <c r="PPP89" s="1055"/>
      <c r="PPQ89" s="1055"/>
      <c r="PPR89" s="1055"/>
      <c r="PPS89" s="1055"/>
      <c r="PPT89" s="1055"/>
      <c r="PPU89" s="1055"/>
      <c r="PPV89" s="1055"/>
      <c r="PPW89" s="1055"/>
      <c r="PPX89" s="1055"/>
      <c r="PPY89" s="1055"/>
      <c r="PPZ89" s="1055"/>
      <c r="PQA89" s="1055"/>
      <c r="PQB89" s="1055"/>
      <c r="PQC89" s="1055"/>
      <c r="PQD89" s="1055"/>
      <c r="PQE89" s="1055"/>
      <c r="PQF89" s="1055"/>
      <c r="PQG89" s="1055"/>
      <c r="PQH89" s="1055"/>
      <c r="PQI89" s="1055"/>
      <c r="PQJ89" s="1055"/>
      <c r="PQK89" s="1055"/>
      <c r="PQL89" s="1055"/>
      <c r="PQM89" s="1055"/>
      <c r="PQN89" s="1055"/>
      <c r="PQO89" s="1055"/>
      <c r="PQP89" s="1055"/>
      <c r="PQQ89" s="1055"/>
      <c r="PQR89" s="1055"/>
      <c r="PQS89" s="1055"/>
      <c r="PQT89" s="1055"/>
      <c r="PQU89" s="1055"/>
      <c r="PQV89" s="1055"/>
      <c r="PQW89" s="1055"/>
      <c r="PQX89" s="1055"/>
      <c r="PQY89" s="1055"/>
      <c r="PQZ89" s="1055"/>
      <c r="PRA89" s="1055"/>
      <c r="PRB89" s="1055"/>
      <c r="PRC89" s="1055"/>
      <c r="PRD89" s="1055"/>
      <c r="PRE89" s="1055"/>
      <c r="PRF89" s="1055"/>
      <c r="PRG89" s="1055"/>
      <c r="PRH89" s="1055"/>
      <c r="PRI89" s="1055"/>
      <c r="PRJ89" s="1055"/>
      <c r="PRK89" s="1055"/>
      <c r="PRL89" s="1055"/>
      <c r="PRM89" s="1055"/>
      <c r="PRN89" s="1055"/>
      <c r="PRO89" s="1055"/>
      <c r="PRP89" s="1055"/>
      <c r="PRQ89" s="1055"/>
      <c r="PRR89" s="1055"/>
      <c r="PRS89" s="1055"/>
      <c r="PRT89" s="1055"/>
      <c r="PRU89" s="1055"/>
      <c r="PRV89" s="1055"/>
      <c r="PRW89" s="1055"/>
      <c r="PRX89" s="1055"/>
      <c r="PRY89" s="1055"/>
      <c r="PRZ89" s="1055"/>
      <c r="PSA89" s="1055"/>
      <c r="PSB89" s="1055"/>
      <c r="PSC89" s="1055"/>
      <c r="PSD89" s="1055"/>
      <c r="PSE89" s="1055"/>
      <c r="PSF89" s="1055"/>
      <c r="PSG89" s="1055"/>
      <c r="PSH89" s="1055"/>
      <c r="PSI89" s="1055"/>
      <c r="PSJ89" s="1055"/>
      <c r="PSK89" s="1055"/>
      <c r="PSL89" s="1055"/>
      <c r="PSM89" s="1055"/>
      <c r="PSN89" s="1055"/>
      <c r="PSO89" s="1055"/>
      <c r="PSP89" s="1055"/>
      <c r="PSQ89" s="1055"/>
      <c r="PSR89" s="1055"/>
      <c r="PSS89" s="1055"/>
      <c r="PST89" s="1055"/>
      <c r="PSU89" s="1055"/>
      <c r="PSV89" s="1055"/>
      <c r="PSW89" s="1055"/>
      <c r="PSX89" s="1055"/>
      <c r="PSY89" s="1055"/>
      <c r="PSZ89" s="1055"/>
      <c r="PTA89" s="1055"/>
      <c r="PTB89" s="1055"/>
      <c r="PTC89" s="1055"/>
      <c r="PTD89" s="1055"/>
      <c r="PTE89" s="1055"/>
      <c r="PTF89" s="1055"/>
      <c r="PTG89" s="1055"/>
      <c r="PTH89" s="1055"/>
      <c r="PTI89" s="1055"/>
      <c r="PTJ89" s="1055"/>
      <c r="PTK89" s="1055"/>
      <c r="PTL89" s="1055"/>
      <c r="PTM89" s="1055"/>
      <c r="PTN89" s="1055"/>
      <c r="PTO89" s="1055"/>
      <c r="PTP89" s="1055"/>
      <c r="PTQ89" s="1055"/>
      <c r="PTR89" s="1055"/>
      <c r="PTS89" s="1055"/>
      <c r="PTT89" s="1055"/>
      <c r="PTU89" s="1055"/>
      <c r="PTV89" s="1055"/>
      <c r="PTW89" s="1055"/>
      <c r="PTX89" s="1055"/>
      <c r="PTY89" s="1055"/>
      <c r="PTZ89" s="1055"/>
      <c r="PUA89" s="1055"/>
      <c r="PUB89" s="1055"/>
      <c r="PUC89" s="1055"/>
      <c r="PUD89" s="1055"/>
      <c r="PUE89" s="1055"/>
      <c r="PUF89" s="1055"/>
      <c r="PUG89" s="1055"/>
      <c r="PUH89" s="1055"/>
      <c r="PUI89" s="1055"/>
      <c r="PUJ89" s="1055"/>
      <c r="PUK89" s="1055"/>
      <c r="PUL89" s="1055"/>
      <c r="PUM89" s="1055"/>
      <c r="PUN89" s="1055"/>
      <c r="PUO89" s="1055"/>
      <c r="PUP89" s="1055"/>
      <c r="PUQ89" s="1055"/>
      <c r="PUR89" s="1055"/>
      <c r="PUS89" s="1055"/>
      <c r="PUT89" s="1055"/>
      <c r="PUU89" s="1055"/>
      <c r="PUV89" s="1055"/>
      <c r="PUW89" s="1055"/>
      <c r="PUX89" s="1055"/>
      <c r="PUY89" s="1055"/>
      <c r="PUZ89" s="1055"/>
      <c r="PVA89" s="1055"/>
      <c r="PVB89" s="1055"/>
      <c r="PVC89" s="1055"/>
      <c r="PVD89" s="1055"/>
      <c r="PVE89" s="1055"/>
      <c r="PVF89" s="1055"/>
      <c r="PVG89" s="1055"/>
      <c r="PVH89" s="1055"/>
      <c r="PVI89" s="1055"/>
      <c r="PVJ89" s="1055"/>
      <c r="PVK89" s="1055"/>
      <c r="PVL89" s="1055"/>
      <c r="PVM89" s="1055"/>
      <c r="PVN89" s="1055"/>
      <c r="PVO89" s="1055"/>
      <c r="PVP89" s="1055"/>
      <c r="PVQ89" s="1055"/>
      <c r="PVR89" s="1055"/>
      <c r="PVS89" s="1055"/>
      <c r="PVT89" s="1055"/>
      <c r="PVU89" s="1055"/>
      <c r="PVV89" s="1055"/>
      <c r="PVW89" s="1055"/>
      <c r="PVX89" s="1055"/>
      <c r="PVY89" s="1055"/>
      <c r="PVZ89" s="1055"/>
      <c r="PWA89" s="1055"/>
      <c r="PWB89" s="1055"/>
      <c r="PWC89" s="1055"/>
      <c r="PWD89" s="1055"/>
      <c r="PWE89" s="1055"/>
      <c r="PWF89" s="1055"/>
      <c r="PWG89" s="1055"/>
      <c r="PWH89" s="1055"/>
      <c r="PWI89" s="1055"/>
      <c r="PWJ89" s="1055"/>
      <c r="PWK89" s="1055"/>
      <c r="PWL89" s="1055"/>
      <c r="PWM89" s="1055"/>
      <c r="PWN89" s="1055"/>
      <c r="PWO89" s="1055"/>
      <c r="PWP89" s="1055"/>
      <c r="PWQ89" s="1055"/>
      <c r="PWR89" s="1055"/>
      <c r="PWS89" s="1055"/>
      <c r="PWT89" s="1055"/>
      <c r="PWU89" s="1055"/>
      <c r="PWV89" s="1055"/>
      <c r="PWW89" s="1055"/>
      <c r="PWX89" s="1055"/>
      <c r="PWY89" s="1055"/>
      <c r="PWZ89" s="1055"/>
      <c r="PXA89" s="1055"/>
      <c r="PXB89" s="1055"/>
      <c r="PXC89" s="1055"/>
      <c r="PXD89" s="1055"/>
      <c r="PXE89" s="1055"/>
      <c r="PXF89" s="1055"/>
      <c r="PXG89" s="1055"/>
      <c r="PXH89" s="1055"/>
      <c r="PXI89" s="1055"/>
      <c r="PXJ89" s="1055"/>
      <c r="PXK89" s="1055"/>
      <c r="PXL89" s="1055"/>
      <c r="PXM89" s="1055"/>
      <c r="PXN89" s="1055"/>
      <c r="PXO89" s="1055"/>
      <c r="PXP89" s="1055"/>
      <c r="PXQ89" s="1055"/>
      <c r="PXR89" s="1055"/>
      <c r="PXS89" s="1055"/>
      <c r="PXT89" s="1055"/>
      <c r="PXU89" s="1055"/>
      <c r="PXV89" s="1055"/>
      <c r="PXW89" s="1055"/>
      <c r="PXX89" s="1055"/>
      <c r="PXY89" s="1055"/>
      <c r="PXZ89" s="1055"/>
      <c r="PYA89" s="1055"/>
      <c r="PYB89" s="1055"/>
      <c r="PYC89" s="1055"/>
      <c r="PYD89" s="1055"/>
      <c r="PYE89" s="1055"/>
      <c r="PYF89" s="1055"/>
      <c r="PYG89" s="1055"/>
      <c r="PYH89" s="1055"/>
      <c r="PYI89" s="1055"/>
      <c r="PYJ89" s="1055"/>
      <c r="PYK89" s="1055"/>
      <c r="PYL89" s="1055"/>
      <c r="PYM89" s="1055"/>
      <c r="PYN89" s="1055"/>
      <c r="PYO89" s="1055"/>
      <c r="PYP89" s="1055"/>
      <c r="PYQ89" s="1055"/>
      <c r="PYR89" s="1055"/>
      <c r="PYS89" s="1055"/>
      <c r="PYT89" s="1055"/>
      <c r="PYU89" s="1055"/>
      <c r="PYV89" s="1055"/>
      <c r="PYW89" s="1055"/>
      <c r="PYX89" s="1055"/>
      <c r="PYY89" s="1055"/>
      <c r="PYZ89" s="1055"/>
      <c r="PZA89" s="1055"/>
      <c r="PZB89" s="1055"/>
      <c r="PZC89" s="1055"/>
      <c r="PZD89" s="1055"/>
      <c r="PZE89" s="1055"/>
      <c r="PZF89" s="1055"/>
      <c r="PZG89" s="1055"/>
      <c r="PZH89" s="1055"/>
      <c r="PZI89" s="1055"/>
      <c r="PZJ89" s="1055"/>
      <c r="PZK89" s="1055"/>
      <c r="PZL89" s="1055"/>
      <c r="PZM89" s="1055"/>
      <c r="PZN89" s="1055"/>
      <c r="PZO89" s="1055"/>
      <c r="PZP89" s="1055"/>
      <c r="PZQ89" s="1055"/>
      <c r="PZR89" s="1055"/>
      <c r="PZS89" s="1055"/>
      <c r="PZT89" s="1055"/>
      <c r="PZU89" s="1055"/>
      <c r="PZV89" s="1055"/>
      <c r="PZW89" s="1055"/>
      <c r="PZX89" s="1055"/>
      <c r="PZY89" s="1055"/>
      <c r="PZZ89" s="1055"/>
      <c r="QAA89" s="1055"/>
      <c r="QAB89" s="1055"/>
      <c r="QAC89" s="1055"/>
      <c r="QAD89" s="1055"/>
      <c r="QAE89" s="1055"/>
      <c r="QAF89" s="1055"/>
      <c r="QAG89" s="1055"/>
      <c r="QAH89" s="1055"/>
      <c r="QAI89" s="1055"/>
      <c r="QAJ89" s="1055"/>
      <c r="QAK89" s="1055"/>
      <c r="QAL89" s="1055"/>
      <c r="QAM89" s="1055"/>
      <c r="QAN89" s="1055"/>
      <c r="QAO89" s="1055"/>
      <c r="QAP89" s="1055"/>
      <c r="QAQ89" s="1055"/>
      <c r="QAR89" s="1055"/>
      <c r="QAS89" s="1055"/>
      <c r="QAT89" s="1055"/>
      <c r="QAU89" s="1055"/>
      <c r="QAV89" s="1055"/>
      <c r="QAW89" s="1055"/>
      <c r="QAX89" s="1055"/>
      <c r="QAY89" s="1055"/>
      <c r="QAZ89" s="1055"/>
      <c r="QBA89" s="1055"/>
      <c r="QBB89" s="1055"/>
      <c r="QBC89" s="1055"/>
      <c r="QBD89" s="1055"/>
      <c r="QBE89" s="1055"/>
      <c r="QBF89" s="1055"/>
      <c r="QBG89" s="1055"/>
      <c r="QBH89" s="1055"/>
      <c r="QBI89" s="1055"/>
      <c r="QBJ89" s="1055"/>
      <c r="QBK89" s="1055"/>
      <c r="QBL89" s="1055"/>
      <c r="QBM89" s="1055"/>
      <c r="QBN89" s="1055"/>
      <c r="QBO89" s="1055"/>
      <c r="QBP89" s="1055"/>
      <c r="QBQ89" s="1055"/>
      <c r="QBR89" s="1055"/>
      <c r="QBS89" s="1055"/>
      <c r="QBT89" s="1055"/>
      <c r="QBU89" s="1055"/>
      <c r="QBV89" s="1055"/>
      <c r="QBW89" s="1055"/>
      <c r="QBX89" s="1055"/>
      <c r="QBY89" s="1055"/>
      <c r="QBZ89" s="1055"/>
      <c r="QCA89" s="1055"/>
      <c r="QCB89" s="1055"/>
      <c r="QCC89" s="1055"/>
      <c r="QCD89" s="1055"/>
      <c r="QCE89" s="1055"/>
      <c r="QCF89" s="1055"/>
      <c r="QCG89" s="1055"/>
      <c r="QCH89" s="1055"/>
      <c r="QCI89" s="1055"/>
      <c r="QCJ89" s="1055"/>
      <c r="QCK89" s="1055"/>
      <c r="QCL89" s="1055"/>
      <c r="QCM89" s="1055"/>
      <c r="QCN89" s="1055"/>
      <c r="QCO89" s="1055"/>
      <c r="QCP89" s="1055"/>
      <c r="QCQ89" s="1055"/>
      <c r="QCR89" s="1055"/>
      <c r="QCS89" s="1055"/>
      <c r="QCT89" s="1055"/>
      <c r="QCU89" s="1055"/>
      <c r="QCV89" s="1055"/>
      <c r="QCW89" s="1055"/>
      <c r="QCX89" s="1055"/>
      <c r="QCY89" s="1055"/>
      <c r="QCZ89" s="1055"/>
      <c r="QDA89" s="1055"/>
      <c r="QDB89" s="1055"/>
      <c r="QDC89" s="1055"/>
      <c r="QDD89" s="1055"/>
      <c r="QDE89" s="1055"/>
      <c r="QDF89" s="1055"/>
      <c r="QDG89" s="1055"/>
      <c r="QDH89" s="1055"/>
      <c r="QDI89" s="1055"/>
      <c r="QDJ89" s="1055"/>
      <c r="QDK89" s="1055"/>
      <c r="QDL89" s="1055"/>
      <c r="QDM89" s="1055"/>
      <c r="QDN89" s="1055"/>
      <c r="QDO89" s="1055"/>
      <c r="QDP89" s="1055"/>
      <c r="QDQ89" s="1055"/>
      <c r="QDR89" s="1055"/>
      <c r="QDS89" s="1055"/>
      <c r="QDT89" s="1055"/>
      <c r="QDU89" s="1055"/>
      <c r="QDV89" s="1055"/>
      <c r="QDW89" s="1055"/>
      <c r="QDX89" s="1055"/>
      <c r="QDY89" s="1055"/>
      <c r="QDZ89" s="1055"/>
      <c r="QEA89" s="1055"/>
      <c r="QEB89" s="1055"/>
      <c r="QEC89" s="1055"/>
      <c r="QED89" s="1055"/>
      <c r="QEE89" s="1055"/>
      <c r="QEF89" s="1055"/>
      <c r="QEG89" s="1055"/>
      <c r="QEH89" s="1055"/>
      <c r="QEI89" s="1055"/>
      <c r="QEJ89" s="1055"/>
      <c r="QEK89" s="1055"/>
      <c r="QEL89" s="1055"/>
      <c r="QEM89" s="1055"/>
      <c r="QEN89" s="1055"/>
      <c r="QEO89" s="1055"/>
      <c r="QEP89" s="1055"/>
      <c r="QEQ89" s="1055"/>
      <c r="QER89" s="1055"/>
      <c r="QES89" s="1055"/>
      <c r="QET89" s="1055"/>
      <c r="QEU89" s="1055"/>
      <c r="QEV89" s="1055"/>
      <c r="QEW89" s="1055"/>
      <c r="QEX89" s="1055"/>
      <c r="QEY89" s="1055"/>
      <c r="QEZ89" s="1055"/>
      <c r="QFA89" s="1055"/>
      <c r="QFB89" s="1055"/>
      <c r="QFC89" s="1055"/>
      <c r="QFD89" s="1055"/>
      <c r="QFE89" s="1055"/>
      <c r="QFF89" s="1055"/>
      <c r="QFG89" s="1055"/>
      <c r="QFH89" s="1055"/>
      <c r="QFI89" s="1055"/>
      <c r="QFJ89" s="1055"/>
      <c r="QFK89" s="1055"/>
      <c r="QFL89" s="1055"/>
      <c r="QFM89" s="1055"/>
      <c r="QFN89" s="1055"/>
      <c r="QFO89" s="1055"/>
      <c r="QFP89" s="1055"/>
      <c r="QFQ89" s="1055"/>
      <c r="QFR89" s="1055"/>
      <c r="QFS89" s="1055"/>
      <c r="QFT89" s="1055"/>
      <c r="QFU89" s="1055"/>
      <c r="QFV89" s="1055"/>
      <c r="QFW89" s="1055"/>
      <c r="QFX89" s="1055"/>
      <c r="QFY89" s="1055"/>
      <c r="QFZ89" s="1055"/>
      <c r="QGA89" s="1055"/>
      <c r="QGB89" s="1055"/>
      <c r="QGC89" s="1055"/>
      <c r="QGD89" s="1055"/>
      <c r="QGE89" s="1055"/>
      <c r="QGF89" s="1055"/>
      <c r="QGG89" s="1055"/>
      <c r="QGH89" s="1055"/>
      <c r="QGI89" s="1055"/>
      <c r="QGJ89" s="1055"/>
      <c r="QGK89" s="1055"/>
      <c r="QGL89" s="1055"/>
      <c r="QGM89" s="1055"/>
      <c r="QGN89" s="1055"/>
      <c r="QGO89" s="1055"/>
      <c r="QGP89" s="1055"/>
      <c r="QGQ89" s="1055"/>
      <c r="QGR89" s="1055"/>
      <c r="QGS89" s="1055"/>
      <c r="QGT89" s="1055"/>
      <c r="QGU89" s="1055"/>
      <c r="QGV89" s="1055"/>
      <c r="QGW89" s="1055"/>
      <c r="QGX89" s="1055"/>
      <c r="QGY89" s="1055"/>
      <c r="QGZ89" s="1055"/>
      <c r="QHA89" s="1055"/>
      <c r="QHB89" s="1055"/>
      <c r="QHC89" s="1055"/>
      <c r="QHD89" s="1055"/>
      <c r="QHE89" s="1055"/>
      <c r="QHF89" s="1055"/>
      <c r="QHG89" s="1055"/>
      <c r="QHH89" s="1055"/>
      <c r="QHI89" s="1055"/>
      <c r="QHJ89" s="1055"/>
      <c r="QHK89" s="1055"/>
      <c r="QHL89" s="1055"/>
      <c r="QHM89" s="1055"/>
      <c r="QHN89" s="1055"/>
      <c r="QHO89" s="1055"/>
      <c r="QHP89" s="1055"/>
      <c r="QHQ89" s="1055"/>
      <c r="QHR89" s="1055"/>
      <c r="QHS89" s="1055"/>
      <c r="QHT89" s="1055"/>
      <c r="QHU89" s="1055"/>
      <c r="QHV89" s="1055"/>
      <c r="QHW89" s="1055"/>
      <c r="QHX89" s="1055"/>
      <c r="QHY89" s="1055"/>
      <c r="QHZ89" s="1055"/>
      <c r="QIA89" s="1055"/>
      <c r="QIB89" s="1055"/>
      <c r="QIC89" s="1055"/>
      <c r="QID89" s="1055"/>
      <c r="QIE89" s="1055"/>
      <c r="QIF89" s="1055"/>
      <c r="QIG89" s="1055"/>
      <c r="QIH89" s="1055"/>
      <c r="QII89" s="1055"/>
      <c r="QIJ89" s="1055"/>
      <c r="QIK89" s="1055"/>
      <c r="QIL89" s="1055"/>
      <c r="QIM89" s="1055"/>
      <c r="QIN89" s="1055"/>
      <c r="QIO89" s="1055"/>
      <c r="QIP89" s="1055"/>
      <c r="QIQ89" s="1055"/>
      <c r="QIR89" s="1055"/>
      <c r="QIS89" s="1055"/>
      <c r="QIT89" s="1055"/>
      <c r="QIU89" s="1055"/>
      <c r="QIV89" s="1055"/>
      <c r="QIW89" s="1055"/>
      <c r="QIX89" s="1055"/>
      <c r="QIY89" s="1055"/>
      <c r="QIZ89" s="1055"/>
      <c r="QJA89" s="1055"/>
      <c r="QJB89" s="1055"/>
      <c r="QJC89" s="1055"/>
      <c r="QJD89" s="1055"/>
      <c r="QJE89" s="1055"/>
      <c r="QJF89" s="1055"/>
      <c r="QJG89" s="1055"/>
      <c r="QJH89" s="1055"/>
      <c r="QJI89" s="1055"/>
      <c r="QJJ89" s="1055"/>
      <c r="QJK89" s="1055"/>
      <c r="QJL89" s="1055"/>
      <c r="QJM89" s="1055"/>
      <c r="QJN89" s="1055"/>
      <c r="QJO89" s="1055"/>
      <c r="QJP89" s="1055"/>
      <c r="QJQ89" s="1055"/>
      <c r="QJR89" s="1055"/>
      <c r="QJS89" s="1055"/>
      <c r="QJT89" s="1055"/>
      <c r="QJU89" s="1055"/>
      <c r="QJV89" s="1055"/>
      <c r="QJW89" s="1055"/>
      <c r="QJX89" s="1055"/>
      <c r="QJY89" s="1055"/>
      <c r="QJZ89" s="1055"/>
      <c r="QKA89" s="1055"/>
      <c r="QKB89" s="1055"/>
      <c r="QKC89" s="1055"/>
      <c r="QKD89" s="1055"/>
      <c r="QKE89" s="1055"/>
      <c r="QKF89" s="1055"/>
      <c r="QKG89" s="1055"/>
      <c r="QKH89" s="1055"/>
      <c r="QKI89" s="1055"/>
      <c r="QKJ89" s="1055"/>
      <c r="QKK89" s="1055"/>
      <c r="QKL89" s="1055"/>
      <c r="QKM89" s="1055"/>
      <c r="QKN89" s="1055"/>
      <c r="QKO89" s="1055"/>
      <c r="QKP89" s="1055"/>
      <c r="QKQ89" s="1055"/>
      <c r="QKR89" s="1055"/>
      <c r="QKS89" s="1055"/>
      <c r="QKT89" s="1055"/>
      <c r="QKU89" s="1055"/>
      <c r="QKV89" s="1055"/>
      <c r="QKW89" s="1055"/>
      <c r="QKX89" s="1055"/>
      <c r="QKY89" s="1055"/>
      <c r="QKZ89" s="1055"/>
      <c r="QLA89" s="1055"/>
      <c r="QLB89" s="1055"/>
      <c r="QLC89" s="1055"/>
      <c r="QLD89" s="1055"/>
      <c r="QLE89" s="1055"/>
      <c r="QLF89" s="1055"/>
      <c r="QLG89" s="1055"/>
      <c r="QLH89" s="1055"/>
      <c r="QLI89" s="1055"/>
      <c r="QLJ89" s="1055"/>
      <c r="QLK89" s="1055"/>
      <c r="QLL89" s="1055"/>
      <c r="QLM89" s="1055"/>
      <c r="QLN89" s="1055"/>
      <c r="QLO89" s="1055"/>
      <c r="QLP89" s="1055"/>
      <c r="QLQ89" s="1055"/>
      <c r="QLR89" s="1055"/>
      <c r="QLS89" s="1055"/>
      <c r="QLT89" s="1055"/>
      <c r="QLU89" s="1055"/>
      <c r="QLV89" s="1055"/>
      <c r="QLW89" s="1055"/>
      <c r="QLX89" s="1055"/>
      <c r="QLY89" s="1055"/>
      <c r="QLZ89" s="1055"/>
      <c r="QMA89" s="1055"/>
      <c r="QMB89" s="1055"/>
      <c r="QMC89" s="1055"/>
      <c r="QMD89" s="1055"/>
      <c r="QME89" s="1055"/>
      <c r="QMF89" s="1055"/>
      <c r="QMG89" s="1055"/>
      <c r="QMH89" s="1055"/>
      <c r="QMI89" s="1055"/>
      <c r="QMJ89" s="1055"/>
      <c r="QMK89" s="1055"/>
      <c r="QML89" s="1055"/>
      <c r="QMM89" s="1055"/>
      <c r="QMN89" s="1055"/>
      <c r="QMO89" s="1055"/>
      <c r="QMP89" s="1055"/>
      <c r="QMQ89" s="1055"/>
      <c r="QMR89" s="1055"/>
      <c r="QMS89" s="1055"/>
      <c r="QMT89" s="1055"/>
      <c r="QMU89" s="1055"/>
      <c r="QMV89" s="1055"/>
      <c r="QMW89" s="1055"/>
      <c r="QMX89" s="1055"/>
      <c r="QMY89" s="1055"/>
      <c r="QMZ89" s="1055"/>
      <c r="QNA89" s="1055"/>
      <c r="QNB89" s="1055"/>
      <c r="QNC89" s="1055"/>
      <c r="QND89" s="1055"/>
      <c r="QNE89" s="1055"/>
      <c r="QNF89" s="1055"/>
      <c r="QNG89" s="1055"/>
      <c r="QNH89" s="1055"/>
      <c r="QNI89" s="1055"/>
      <c r="QNJ89" s="1055"/>
      <c r="QNK89" s="1055"/>
      <c r="QNL89" s="1055"/>
      <c r="QNM89" s="1055"/>
      <c r="QNN89" s="1055"/>
      <c r="QNO89" s="1055"/>
      <c r="QNP89" s="1055"/>
      <c r="QNQ89" s="1055"/>
      <c r="QNR89" s="1055"/>
      <c r="QNS89" s="1055"/>
      <c r="QNT89" s="1055"/>
      <c r="QNU89" s="1055"/>
      <c r="QNV89" s="1055"/>
      <c r="QNW89" s="1055"/>
      <c r="QNX89" s="1055"/>
      <c r="QNY89" s="1055"/>
      <c r="QNZ89" s="1055"/>
      <c r="QOA89" s="1055"/>
      <c r="QOB89" s="1055"/>
      <c r="QOC89" s="1055"/>
      <c r="QOD89" s="1055"/>
      <c r="QOE89" s="1055"/>
      <c r="QOF89" s="1055"/>
      <c r="QOG89" s="1055"/>
      <c r="QOH89" s="1055"/>
      <c r="QOI89" s="1055"/>
      <c r="QOJ89" s="1055"/>
      <c r="QOK89" s="1055"/>
      <c r="QOL89" s="1055"/>
      <c r="QOM89" s="1055"/>
      <c r="QON89" s="1055"/>
      <c r="QOO89" s="1055"/>
      <c r="QOP89" s="1055"/>
      <c r="QOQ89" s="1055"/>
      <c r="QOR89" s="1055"/>
      <c r="QOS89" s="1055"/>
      <c r="QOT89" s="1055"/>
      <c r="QOU89" s="1055"/>
      <c r="QOV89" s="1055"/>
      <c r="QOW89" s="1055"/>
      <c r="QOX89" s="1055"/>
      <c r="QOY89" s="1055"/>
      <c r="QOZ89" s="1055"/>
      <c r="QPA89" s="1055"/>
      <c r="QPB89" s="1055"/>
      <c r="QPC89" s="1055"/>
      <c r="QPD89" s="1055"/>
      <c r="QPE89" s="1055"/>
      <c r="QPF89" s="1055"/>
      <c r="QPG89" s="1055"/>
      <c r="QPH89" s="1055"/>
      <c r="QPI89" s="1055"/>
      <c r="QPJ89" s="1055"/>
      <c r="QPK89" s="1055"/>
      <c r="QPL89" s="1055"/>
      <c r="QPM89" s="1055"/>
      <c r="QPN89" s="1055"/>
      <c r="QPO89" s="1055"/>
      <c r="QPP89" s="1055"/>
      <c r="QPQ89" s="1055"/>
      <c r="QPR89" s="1055"/>
      <c r="QPS89" s="1055"/>
      <c r="QPT89" s="1055"/>
      <c r="QPU89" s="1055"/>
      <c r="QPV89" s="1055"/>
      <c r="QPW89" s="1055"/>
      <c r="QPX89" s="1055"/>
      <c r="QPY89" s="1055"/>
      <c r="QPZ89" s="1055"/>
      <c r="QQA89" s="1055"/>
      <c r="QQB89" s="1055"/>
      <c r="QQC89" s="1055"/>
      <c r="QQD89" s="1055"/>
      <c r="QQE89" s="1055"/>
      <c r="QQF89" s="1055"/>
      <c r="QQG89" s="1055"/>
      <c r="QQH89" s="1055"/>
      <c r="QQI89" s="1055"/>
      <c r="QQJ89" s="1055"/>
      <c r="QQK89" s="1055"/>
      <c r="QQL89" s="1055"/>
      <c r="QQM89" s="1055"/>
      <c r="QQN89" s="1055"/>
      <c r="QQO89" s="1055"/>
      <c r="QQP89" s="1055"/>
      <c r="QQQ89" s="1055"/>
      <c r="QQR89" s="1055"/>
      <c r="QQS89" s="1055"/>
      <c r="QQT89" s="1055"/>
      <c r="QQU89" s="1055"/>
      <c r="QQV89" s="1055"/>
      <c r="QQW89" s="1055"/>
      <c r="QQX89" s="1055"/>
      <c r="QQY89" s="1055"/>
      <c r="QQZ89" s="1055"/>
      <c r="QRA89" s="1055"/>
      <c r="QRB89" s="1055"/>
      <c r="QRC89" s="1055"/>
      <c r="QRD89" s="1055"/>
      <c r="QRE89" s="1055"/>
      <c r="QRF89" s="1055"/>
      <c r="QRG89" s="1055"/>
      <c r="QRH89" s="1055"/>
      <c r="QRI89" s="1055"/>
      <c r="QRJ89" s="1055"/>
      <c r="QRK89" s="1055"/>
      <c r="QRL89" s="1055"/>
      <c r="QRM89" s="1055"/>
      <c r="QRN89" s="1055"/>
      <c r="QRO89" s="1055"/>
      <c r="QRP89" s="1055"/>
      <c r="QRQ89" s="1055"/>
      <c r="QRR89" s="1055"/>
      <c r="QRS89" s="1055"/>
      <c r="QRT89" s="1055"/>
      <c r="QRU89" s="1055"/>
      <c r="QRV89" s="1055"/>
      <c r="QRW89" s="1055"/>
      <c r="QRX89" s="1055"/>
      <c r="QRY89" s="1055"/>
      <c r="QRZ89" s="1055"/>
      <c r="QSA89" s="1055"/>
      <c r="QSB89" s="1055"/>
      <c r="QSC89" s="1055"/>
      <c r="QSD89" s="1055"/>
      <c r="QSE89" s="1055"/>
      <c r="QSF89" s="1055"/>
      <c r="QSG89" s="1055"/>
      <c r="QSH89" s="1055"/>
      <c r="QSI89" s="1055"/>
      <c r="QSJ89" s="1055"/>
      <c r="QSK89" s="1055"/>
      <c r="QSL89" s="1055"/>
      <c r="QSM89" s="1055"/>
      <c r="QSN89" s="1055"/>
      <c r="QSO89" s="1055"/>
      <c r="QSP89" s="1055"/>
      <c r="QSQ89" s="1055"/>
      <c r="QSR89" s="1055"/>
      <c r="QSS89" s="1055"/>
      <c r="QST89" s="1055"/>
      <c r="QSU89" s="1055"/>
      <c r="QSV89" s="1055"/>
      <c r="QSW89" s="1055"/>
      <c r="QSX89" s="1055"/>
      <c r="QSY89" s="1055"/>
      <c r="QSZ89" s="1055"/>
      <c r="QTA89" s="1055"/>
      <c r="QTB89" s="1055"/>
      <c r="QTC89" s="1055"/>
      <c r="QTD89" s="1055"/>
      <c r="QTE89" s="1055"/>
      <c r="QTF89" s="1055"/>
      <c r="QTG89" s="1055"/>
      <c r="QTH89" s="1055"/>
      <c r="QTI89" s="1055"/>
      <c r="QTJ89" s="1055"/>
      <c r="QTK89" s="1055"/>
      <c r="QTL89" s="1055"/>
      <c r="QTM89" s="1055"/>
      <c r="QTN89" s="1055"/>
      <c r="QTO89" s="1055"/>
      <c r="QTP89" s="1055"/>
      <c r="QTQ89" s="1055"/>
      <c r="QTR89" s="1055"/>
      <c r="QTS89" s="1055"/>
      <c r="QTT89" s="1055"/>
      <c r="QTU89" s="1055"/>
      <c r="QTV89" s="1055"/>
      <c r="QTW89" s="1055"/>
      <c r="QTX89" s="1055"/>
      <c r="QTY89" s="1055"/>
      <c r="QTZ89" s="1055"/>
      <c r="QUA89" s="1055"/>
      <c r="QUB89" s="1055"/>
      <c r="QUC89" s="1055"/>
      <c r="QUD89" s="1055"/>
      <c r="QUE89" s="1055"/>
      <c r="QUF89" s="1055"/>
      <c r="QUG89" s="1055"/>
      <c r="QUH89" s="1055"/>
      <c r="QUI89" s="1055"/>
      <c r="QUJ89" s="1055"/>
      <c r="QUK89" s="1055"/>
      <c r="QUL89" s="1055"/>
      <c r="QUM89" s="1055"/>
      <c r="QUN89" s="1055"/>
      <c r="QUO89" s="1055"/>
      <c r="QUP89" s="1055"/>
      <c r="QUQ89" s="1055"/>
      <c r="QUR89" s="1055"/>
      <c r="QUS89" s="1055"/>
      <c r="QUT89" s="1055"/>
      <c r="QUU89" s="1055"/>
      <c r="QUV89" s="1055"/>
      <c r="QUW89" s="1055"/>
      <c r="QUX89" s="1055"/>
      <c r="QUY89" s="1055"/>
      <c r="QUZ89" s="1055"/>
      <c r="QVA89" s="1055"/>
      <c r="QVB89" s="1055"/>
      <c r="QVC89" s="1055"/>
      <c r="QVD89" s="1055"/>
      <c r="QVE89" s="1055"/>
      <c r="QVF89" s="1055"/>
      <c r="QVG89" s="1055"/>
      <c r="QVH89" s="1055"/>
      <c r="QVI89" s="1055"/>
      <c r="QVJ89" s="1055"/>
      <c r="QVK89" s="1055"/>
      <c r="QVL89" s="1055"/>
      <c r="QVM89" s="1055"/>
      <c r="QVN89" s="1055"/>
      <c r="QVO89" s="1055"/>
      <c r="QVP89" s="1055"/>
      <c r="QVQ89" s="1055"/>
      <c r="QVR89" s="1055"/>
      <c r="QVS89" s="1055"/>
      <c r="QVT89" s="1055"/>
      <c r="QVU89" s="1055"/>
      <c r="QVV89" s="1055"/>
      <c r="QVW89" s="1055"/>
      <c r="QVX89" s="1055"/>
      <c r="QVY89" s="1055"/>
      <c r="QVZ89" s="1055"/>
      <c r="QWA89" s="1055"/>
      <c r="QWB89" s="1055"/>
      <c r="QWC89" s="1055"/>
      <c r="QWD89" s="1055"/>
      <c r="QWE89" s="1055"/>
      <c r="QWF89" s="1055"/>
      <c r="QWG89" s="1055"/>
      <c r="QWH89" s="1055"/>
      <c r="QWI89" s="1055"/>
      <c r="QWJ89" s="1055"/>
      <c r="QWK89" s="1055"/>
      <c r="QWL89" s="1055"/>
      <c r="QWM89" s="1055"/>
      <c r="QWN89" s="1055"/>
      <c r="QWO89" s="1055"/>
      <c r="QWP89" s="1055"/>
      <c r="QWQ89" s="1055"/>
      <c r="QWR89" s="1055"/>
      <c r="QWS89" s="1055"/>
      <c r="QWT89" s="1055"/>
      <c r="QWU89" s="1055"/>
      <c r="QWV89" s="1055"/>
      <c r="QWW89" s="1055"/>
      <c r="QWX89" s="1055"/>
      <c r="QWY89" s="1055"/>
      <c r="QWZ89" s="1055"/>
      <c r="QXA89" s="1055"/>
      <c r="QXB89" s="1055"/>
      <c r="QXC89" s="1055"/>
      <c r="QXD89" s="1055"/>
      <c r="QXE89" s="1055"/>
      <c r="QXF89" s="1055"/>
      <c r="QXG89" s="1055"/>
      <c r="QXH89" s="1055"/>
      <c r="QXI89" s="1055"/>
      <c r="QXJ89" s="1055"/>
      <c r="QXK89" s="1055"/>
      <c r="QXL89" s="1055"/>
      <c r="QXM89" s="1055"/>
      <c r="QXN89" s="1055"/>
      <c r="QXO89" s="1055"/>
      <c r="QXP89" s="1055"/>
      <c r="QXQ89" s="1055"/>
      <c r="QXR89" s="1055"/>
      <c r="QXS89" s="1055"/>
      <c r="QXT89" s="1055"/>
      <c r="QXU89" s="1055"/>
      <c r="QXV89" s="1055"/>
      <c r="QXW89" s="1055"/>
      <c r="QXX89" s="1055"/>
      <c r="QXY89" s="1055"/>
      <c r="QXZ89" s="1055"/>
      <c r="QYA89" s="1055"/>
      <c r="QYB89" s="1055"/>
      <c r="QYC89" s="1055"/>
      <c r="QYD89" s="1055"/>
      <c r="QYE89" s="1055"/>
      <c r="QYF89" s="1055"/>
      <c r="QYG89" s="1055"/>
      <c r="QYH89" s="1055"/>
      <c r="QYI89" s="1055"/>
      <c r="QYJ89" s="1055"/>
      <c r="QYK89" s="1055"/>
      <c r="QYL89" s="1055"/>
      <c r="QYM89" s="1055"/>
      <c r="QYN89" s="1055"/>
      <c r="QYO89" s="1055"/>
      <c r="QYP89" s="1055"/>
      <c r="QYQ89" s="1055"/>
      <c r="QYR89" s="1055"/>
      <c r="QYS89" s="1055"/>
      <c r="QYT89" s="1055"/>
      <c r="QYU89" s="1055"/>
      <c r="QYV89" s="1055"/>
      <c r="QYW89" s="1055"/>
      <c r="QYX89" s="1055"/>
      <c r="QYY89" s="1055"/>
      <c r="QYZ89" s="1055"/>
      <c r="QZA89" s="1055"/>
      <c r="QZB89" s="1055"/>
      <c r="QZC89" s="1055"/>
      <c r="QZD89" s="1055"/>
      <c r="QZE89" s="1055"/>
      <c r="QZF89" s="1055"/>
      <c r="QZG89" s="1055"/>
      <c r="QZH89" s="1055"/>
      <c r="QZI89" s="1055"/>
      <c r="QZJ89" s="1055"/>
      <c r="QZK89" s="1055"/>
      <c r="QZL89" s="1055"/>
      <c r="QZM89" s="1055"/>
      <c r="QZN89" s="1055"/>
      <c r="QZO89" s="1055"/>
      <c r="QZP89" s="1055"/>
      <c r="QZQ89" s="1055"/>
      <c r="QZR89" s="1055"/>
      <c r="QZS89" s="1055"/>
      <c r="QZT89" s="1055"/>
      <c r="QZU89" s="1055"/>
      <c r="QZV89" s="1055"/>
      <c r="QZW89" s="1055"/>
      <c r="QZX89" s="1055"/>
      <c r="QZY89" s="1055"/>
      <c r="QZZ89" s="1055"/>
      <c r="RAA89" s="1055"/>
      <c r="RAB89" s="1055"/>
      <c r="RAC89" s="1055"/>
      <c r="RAD89" s="1055"/>
      <c r="RAE89" s="1055"/>
      <c r="RAF89" s="1055"/>
      <c r="RAG89" s="1055"/>
      <c r="RAH89" s="1055"/>
      <c r="RAI89" s="1055"/>
      <c r="RAJ89" s="1055"/>
      <c r="RAK89" s="1055"/>
      <c r="RAL89" s="1055"/>
      <c r="RAM89" s="1055"/>
      <c r="RAN89" s="1055"/>
      <c r="RAO89" s="1055"/>
      <c r="RAP89" s="1055"/>
      <c r="RAQ89" s="1055"/>
      <c r="RAR89" s="1055"/>
      <c r="RAS89" s="1055"/>
      <c r="RAT89" s="1055"/>
      <c r="RAU89" s="1055"/>
      <c r="RAV89" s="1055"/>
      <c r="RAW89" s="1055"/>
      <c r="RAX89" s="1055"/>
      <c r="RAY89" s="1055"/>
      <c r="RAZ89" s="1055"/>
      <c r="RBA89" s="1055"/>
      <c r="RBB89" s="1055"/>
      <c r="RBC89" s="1055"/>
      <c r="RBD89" s="1055"/>
      <c r="RBE89" s="1055"/>
      <c r="RBF89" s="1055"/>
      <c r="RBG89" s="1055"/>
      <c r="RBH89" s="1055"/>
      <c r="RBI89" s="1055"/>
      <c r="RBJ89" s="1055"/>
      <c r="RBK89" s="1055"/>
      <c r="RBL89" s="1055"/>
      <c r="RBM89" s="1055"/>
      <c r="RBN89" s="1055"/>
      <c r="RBO89" s="1055"/>
      <c r="RBP89" s="1055"/>
      <c r="RBQ89" s="1055"/>
      <c r="RBR89" s="1055"/>
      <c r="RBS89" s="1055"/>
      <c r="RBT89" s="1055"/>
      <c r="RBU89" s="1055"/>
      <c r="RBV89" s="1055"/>
      <c r="RBW89" s="1055"/>
      <c r="RBX89" s="1055"/>
      <c r="RBY89" s="1055"/>
      <c r="RBZ89" s="1055"/>
      <c r="RCA89" s="1055"/>
      <c r="RCB89" s="1055"/>
      <c r="RCC89" s="1055"/>
      <c r="RCD89" s="1055"/>
      <c r="RCE89" s="1055"/>
      <c r="RCF89" s="1055"/>
      <c r="RCG89" s="1055"/>
      <c r="RCH89" s="1055"/>
      <c r="RCI89" s="1055"/>
      <c r="RCJ89" s="1055"/>
      <c r="RCK89" s="1055"/>
      <c r="RCL89" s="1055"/>
      <c r="RCM89" s="1055"/>
      <c r="RCN89" s="1055"/>
      <c r="RCO89" s="1055"/>
      <c r="RCP89" s="1055"/>
      <c r="RCQ89" s="1055"/>
      <c r="RCR89" s="1055"/>
      <c r="RCS89" s="1055"/>
      <c r="RCT89" s="1055"/>
      <c r="RCU89" s="1055"/>
      <c r="RCV89" s="1055"/>
      <c r="RCW89" s="1055"/>
      <c r="RCX89" s="1055"/>
      <c r="RCY89" s="1055"/>
      <c r="RCZ89" s="1055"/>
      <c r="RDA89" s="1055"/>
      <c r="RDB89" s="1055"/>
      <c r="RDC89" s="1055"/>
      <c r="RDD89" s="1055"/>
      <c r="RDE89" s="1055"/>
      <c r="RDF89" s="1055"/>
      <c r="RDG89" s="1055"/>
      <c r="RDH89" s="1055"/>
      <c r="RDI89" s="1055"/>
      <c r="RDJ89" s="1055"/>
      <c r="RDK89" s="1055"/>
      <c r="RDL89" s="1055"/>
      <c r="RDM89" s="1055"/>
      <c r="RDN89" s="1055"/>
      <c r="RDO89" s="1055"/>
      <c r="RDP89" s="1055"/>
      <c r="RDQ89" s="1055"/>
      <c r="RDR89" s="1055"/>
      <c r="RDS89" s="1055"/>
      <c r="RDT89" s="1055"/>
      <c r="RDU89" s="1055"/>
      <c r="RDV89" s="1055"/>
      <c r="RDW89" s="1055"/>
      <c r="RDX89" s="1055"/>
      <c r="RDY89" s="1055"/>
      <c r="RDZ89" s="1055"/>
      <c r="REA89" s="1055"/>
      <c r="REB89" s="1055"/>
      <c r="REC89" s="1055"/>
      <c r="RED89" s="1055"/>
      <c r="REE89" s="1055"/>
      <c r="REF89" s="1055"/>
      <c r="REG89" s="1055"/>
      <c r="REH89" s="1055"/>
      <c r="REI89" s="1055"/>
      <c r="REJ89" s="1055"/>
      <c r="REK89" s="1055"/>
      <c r="REL89" s="1055"/>
      <c r="REM89" s="1055"/>
      <c r="REN89" s="1055"/>
      <c r="REO89" s="1055"/>
      <c r="REP89" s="1055"/>
      <c r="REQ89" s="1055"/>
      <c r="RER89" s="1055"/>
      <c r="RES89" s="1055"/>
      <c r="RET89" s="1055"/>
      <c r="REU89" s="1055"/>
      <c r="REV89" s="1055"/>
      <c r="REW89" s="1055"/>
      <c r="REX89" s="1055"/>
      <c r="REY89" s="1055"/>
      <c r="REZ89" s="1055"/>
      <c r="RFA89" s="1055"/>
      <c r="RFB89" s="1055"/>
      <c r="RFC89" s="1055"/>
      <c r="RFD89" s="1055"/>
      <c r="RFE89" s="1055"/>
      <c r="RFF89" s="1055"/>
      <c r="RFG89" s="1055"/>
      <c r="RFH89" s="1055"/>
      <c r="RFI89" s="1055"/>
      <c r="RFJ89" s="1055"/>
      <c r="RFK89" s="1055"/>
      <c r="RFL89" s="1055"/>
      <c r="RFM89" s="1055"/>
      <c r="RFN89" s="1055"/>
      <c r="RFO89" s="1055"/>
      <c r="RFP89" s="1055"/>
      <c r="RFQ89" s="1055"/>
      <c r="RFR89" s="1055"/>
      <c r="RFS89" s="1055"/>
      <c r="RFT89" s="1055"/>
      <c r="RFU89" s="1055"/>
      <c r="RFV89" s="1055"/>
      <c r="RFW89" s="1055"/>
      <c r="RFX89" s="1055"/>
      <c r="RFY89" s="1055"/>
      <c r="RFZ89" s="1055"/>
      <c r="RGA89" s="1055"/>
      <c r="RGB89" s="1055"/>
      <c r="RGC89" s="1055"/>
      <c r="RGD89" s="1055"/>
      <c r="RGE89" s="1055"/>
      <c r="RGF89" s="1055"/>
      <c r="RGG89" s="1055"/>
      <c r="RGH89" s="1055"/>
      <c r="RGI89" s="1055"/>
      <c r="RGJ89" s="1055"/>
      <c r="RGK89" s="1055"/>
      <c r="RGL89" s="1055"/>
      <c r="RGM89" s="1055"/>
      <c r="RGN89" s="1055"/>
      <c r="RGO89" s="1055"/>
      <c r="RGP89" s="1055"/>
      <c r="RGQ89" s="1055"/>
      <c r="RGR89" s="1055"/>
      <c r="RGS89" s="1055"/>
      <c r="RGT89" s="1055"/>
      <c r="RGU89" s="1055"/>
      <c r="RGV89" s="1055"/>
      <c r="RGW89" s="1055"/>
      <c r="RGX89" s="1055"/>
      <c r="RGY89" s="1055"/>
      <c r="RGZ89" s="1055"/>
      <c r="RHA89" s="1055"/>
      <c r="RHB89" s="1055"/>
      <c r="RHC89" s="1055"/>
      <c r="RHD89" s="1055"/>
      <c r="RHE89" s="1055"/>
      <c r="RHF89" s="1055"/>
      <c r="RHG89" s="1055"/>
      <c r="RHH89" s="1055"/>
      <c r="RHI89" s="1055"/>
      <c r="RHJ89" s="1055"/>
      <c r="RHK89" s="1055"/>
      <c r="RHL89" s="1055"/>
      <c r="RHM89" s="1055"/>
      <c r="RHN89" s="1055"/>
      <c r="RHO89" s="1055"/>
      <c r="RHP89" s="1055"/>
      <c r="RHQ89" s="1055"/>
      <c r="RHR89" s="1055"/>
      <c r="RHS89" s="1055"/>
      <c r="RHT89" s="1055"/>
      <c r="RHU89" s="1055"/>
      <c r="RHV89" s="1055"/>
      <c r="RHW89" s="1055"/>
      <c r="RHX89" s="1055"/>
      <c r="RHY89" s="1055"/>
      <c r="RHZ89" s="1055"/>
      <c r="RIA89" s="1055"/>
      <c r="RIB89" s="1055"/>
      <c r="RIC89" s="1055"/>
      <c r="RID89" s="1055"/>
      <c r="RIE89" s="1055"/>
      <c r="RIF89" s="1055"/>
      <c r="RIG89" s="1055"/>
      <c r="RIH89" s="1055"/>
      <c r="RII89" s="1055"/>
      <c r="RIJ89" s="1055"/>
      <c r="RIK89" s="1055"/>
      <c r="RIL89" s="1055"/>
      <c r="RIM89" s="1055"/>
      <c r="RIN89" s="1055"/>
      <c r="RIO89" s="1055"/>
      <c r="RIP89" s="1055"/>
      <c r="RIQ89" s="1055"/>
      <c r="RIR89" s="1055"/>
      <c r="RIS89" s="1055"/>
      <c r="RIT89" s="1055"/>
      <c r="RIU89" s="1055"/>
      <c r="RIV89" s="1055"/>
      <c r="RIW89" s="1055"/>
      <c r="RIX89" s="1055"/>
      <c r="RIY89" s="1055"/>
      <c r="RIZ89" s="1055"/>
      <c r="RJA89" s="1055"/>
      <c r="RJB89" s="1055"/>
      <c r="RJC89" s="1055"/>
      <c r="RJD89" s="1055"/>
      <c r="RJE89" s="1055"/>
      <c r="RJF89" s="1055"/>
      <c r="RJG89" s="1055"/>
      <c r="RJH89" s="1055"/>
      <c r="RJI89" s="1055"/>
      <c r="RJJ89" s="1055"/>
      <c r="RJK89" s="1055"/>
      <c r="RJL89" s="1055"/>
      <c r="RJM89" s="1055"/>
      <c r="RJN89" s="1055"/>
      <c r="RJO89" s="1055"/>
      <c r="RJP89" s="1055"/>
      <c r="RJQ89" s="1055"/>
      <c r="RJR89" s="1055"/>
      <c r="RJS89" s="1055"/>
      <c r="RJT89" s="1055"/>
      <c r="RJU89" s="1055"/>
      <c r="RJV89" s="1055"/>
      <c r="RJW89" s="1055"/>
      <c r="RJX89" s="1055"/>
      <c r="RJY89" s="1055"/>
      <c r="RJZ89" s="1055"/>
      <c r="RKA89" s="1055"/>
      <c r="RKB89" s="1055"/>
      <c r="RKC89" s="1055"/>
      <c r="RKD89" s="1055"/>
      <c r="RKE89" s="1055"/>
      <c r="RKF89" s="1055"/>
      <c r="RKG89" s="1055"/>
      <c r="RKH89" s="1055"/>
      <c r="RKI89" s="1055"/>
      <c r="RKJ89" s="1055"/>
      <c r="RKK89" s="1055"/>
      <c r="RKL89" s="1055"/>
      <c r="RKM89" s="1055"/>
      <c r="RKN89" s="1055"/>
      <c r="RKO89" s="1055"/>
      <c r="RKP89" s="1055"/>
      <c r="RKQ89" s="1055"/>
      <c r="RKR89" s="1055"/>
      <c r="RKS89" s="1055"/>
      <c r="RKT89" s="1055"/>
      <c r="RKU89" s="1055"/>
      <c r="RKV89" s="1055"/>
      <c r="RKW89" s="1055"/>
      <c r="RKX89" s="1055"/>
      <c r="RKY89" s="1055"/>
      <c r="RKZ89" s="1055"/>
      <c r="RLA89" s="1055"/>
      <c r="RLB89" s="1055"/>
      <c r="RLC89" s="1055"/>
      <c r="RLD89" s="1055"/>
      <c r="RLE89" s="1055"/>
      <c r="RLF89" s="1055"/>
      <c r="RLG89" s="1055"/>
      <c r="RLH89" s="1055"/>
      <c r="RLI89" s="1055"/>
      <c r="RLJ89" s="1055"/>
      <c r="RLK89" s="1055"/>
      <c r="RLL89" s="1055"/>
      <c r="RLM89" s="1055"/>
      <c r="RLN89" s="1055"/>
      <c r="RLO89" s="1055"/>
      <c r="RLP89" s="1055"/>
      <c r="RLQ89" s="1055"/>
      <c r="RLR89" s="1055"/>
      <c r="RLS89" s="1055"/>
      <c r="RLT89" s="1055"/>
      <c r="RLU89" s="1055"/>
      <c r="RLV89" s="1055"/>
      <c r="RLW89" s="1055"/>
      <c r="RLX89" s="1055"/>
      <c r="RLY89" s="1055"/>
      <c r="RLZ89" s="1055"/>
      <c r="RMA89" s="1055"/>
      <c r="RMB89" s="1055"/>
      <c r="RMC89" s="1055"/>
      <c r="RMD89" s="1055"/>
      <c r="RME89" s="1055"/>
      <c r="RMF89" s="1055"/>
      <c r="RMG89" s="1055"/>
      <c r="RMH89" s="1055"/>
      <c r="RMI89" s="1055"/>
      <c r="RMJ89" s="1055"/>
      <c r="RMK89" s="1055"/>
      <c r="RML89" s="1055"/>
      <c r="RMM89" s="1055"/>
      <c r="RMN89" s="1055"/>
      <c r="RMO89" s="1055"/>
      <c r="RMP89" s="1055"/>
      <c r="RMQ89" s="1055"/>
      <c r="RMR89" s="1055"/>
      <c r="RMS89" s="1055"/>
      <c r="RMT89" s="1055"/>
      <c r="RMU89" s="1055"/>
      <c r="RMV89" s="1055"/>
      <c r="RMW89" s="1055"/>
      <c r="RMX89" s="1055"/>
      <c r="RMY89" s="1055"/>
      <c r="RMZ89" s="1055"/>
      <c r="RNA89" s="1055"/>
      <c r="RNB89" s="1055"/>
      <c r="RNC89" s="1055"/>
      <c r="RND89" s="1055"/>
      <c r="RNE89" s="1055"/>
      <c r="RNF89" s="1055"/>
      <c r="RNG89" s="1055"/>
      <c r="RNH89" s="1055"/>
      <c r="RNI89" s="1055"/>
      <c r="RNJ89" s="1055"/>
      <c r="RNK89" s="1055"/>
      <c r="RNL89" s="1055"/>
      <c r="RNM89" s="1055"/>
      <c r="RNN89" s="1055"/>
      <c r="RNO89" s="1055"/>
      <c r="RNP89" s="1055"/>
      <c r="RNQ89" s="1055"/>
      <c r="RNR89" s="1055"/>
      <c r="RNS89" s="1055"/>
      <c r="RNT89" s="1055"/>
      <c r="RNU89" s="1055"/>
      <c r="RNV89" s="1055"/>
      <c r="RNW89" s="1055"/>
      <c r="RNX89" s="1055"/>
      <c r="RNY89" s="1055"/>
      <c r="RNZ89" s="1055"/>
      <c r="ROA89" s="1055"/>
      <c r="ROB89" s="1055"/>
      <c r="ROC89" s="1055"/>
      <c r="ROD89" s="1055"/>
      <c r="ROE89" s="1055"/>
      <c r="ROF89" s="1055"/>
      <c r="ROG89" s="1055"/>
      <c r="ROH89" s="1055"/>
      <c r="ROI89" s="1055"/>
      <c r="ROJ89" s="1055"/>
      <c r="ROK89" s="1055"/>
      <c r="ROL89" s="1055"/>
      <c r="ROM89" s="1055"/>
      <c r="RON89" s="1055"/>
      <c r="ROO89" s="1055"/>
      <c r="ROP89" s="1055"/>
      <c r="ROQ89" s="1055"/>
      <c r="ROR89" s="1055"/>
      <c r="ROS89" s="1055"/>
      <c r="ROT89" s="1055"/>
      <c r="ROU89" s="1055"/>
      <c r="ROV89" s="1055"/>
      <c r="ROW89" s="1055"/>
      <c r="ROX89" s="1055"/>
      <c r="ROY89" s="1055"/>
      <c r="ROZ89" s="1055"/>
      <c r="RPA89" s="1055"/>
      <c r="RPB89" s="1055"/>
      <c r="RPC89" s="1055"/>
      <c r="RPD89" s="1055"/>
      <c r="RPE89" s="1055"/>
      <c r="RPF89" s="1055"/>
      <c r="RPG89" s="1055"/>
      <c r="RPH89" s="1055"/>
      <c r="RPI89" s="1055"/>
      <c r="RPJ89" s="1055"/>
      <c r="RPK89" s="1055"/>
      <c r="RPL89" s="1055"/>
      <c r="RPM89" s="1055"/>
      <c r="RPN89" s="1055"/>
      <c r="RPO89" s="1055"/>
      <c r="RPP89" s="1055"/>
      <c r="RPQ89" s="1055"/>
      <c r="RPR89" s="1055"/>
      <c r="RPS89" s="1055"/>
      <c r="RPT89" s="1055"/>
      <c r="RPU89" s="1055"/>
      <c r="RPV89" s="1055"/>
      <c r="RPW89" s="1055"/>
      <c r="RPX89" s="1055"/>
      <c r="RPY89" s="1055"/>
      <c r="RPZ89" s="1055"/>
      <c r="RQA89" s="1055"/>
      <c r="RQB89" s="1055"/>
      <c r="RQC89" s="1055"/>
      <c r="RQD89" s="1055"/>
      <c r="RQE89" s="1055"/>
      <c r="RQF89" s="1055"/>
      <c r="RQG89" s="1055"/>
      <c r="RQH89" s="1055"/>
      <c r="RQI89" s="1055"/>
      <c r="RQJ89" s="1055"/>
      <c r="RQK89" s="1055"/>
      <c r="RQL89" s="1055"/>
      <c r="RQM89" s="1055"/>
      <c r="RQN89" s="1055"/>
      <c r="RQO89" s="1055"/>
      <c r="RQP89" s="1055"/>
      <c r="RQQ89" s="1055"/>
      <c r="RQR89" s="1055"/>
      <c r="RQS89" s="1055"/>
      <c r="RQT89" s="1055"/>
      <c r="RQU89" s="1055"/>
      <c r="RQV89" s="1055"/>
      <c r="RQW89" s="1055"/>
      <c r="RQX89" s="1055"/>
      <c r="RQY89" s="1055"/>
      <c r="RQZ89" s="1055"/>
      <c r="RRA89" s="1055"/>
      <c r="RRB89" s="1055"/>
      <c r="RRC89" s="1055"/>
      <c r="RRD89" s="1055"/>
      <c r="RRE89" s="1055"/>
      <c r="RRF89" s="1055"/>
      <c r="RRG89" s="1055"/>
      <c r="RRH89" s="1055"/>
      <c r="RRI89" s="1055"/>
      <c r="RRJ89" s="1055"/>
      <c r="RRK89" s="1055"/>
      <c r="RRL89" s="1055"/>
      <c r="RRM89" s="1055"/>
      <c r="RRN89" s="1055"/>
      <c r="RRO89" s="1055"/>
      <c r="RRP89" s="1055"/>
      <c r="RRQ89" s="1055"/>
      <c r="RRR89" s="1055"/>
      <c r="RRS89" s="1055"/>
      <c r="RRT89" s="1055"/>
      <c r="RRU89" s="1055"/>
      <c r="RRV89" s="1055"/>
      <c r="RRW89" s="1055"/>
      <c r="RRX89" s="1055"/>
      <c r="RRY89" s="1055"/>
      <c r="RRZ89" s="1055"/>
      <c r="RSA89" s="1055"/>
      <c r="RSB89" s="1055"/>
      <c r="RSC89" s="1055"/>
      <c r="RSD89" s="1055"/>
      <c r="RSE89" s="1055"/>
      <c r="RSF89" s="1055"/>
      <c r="RSG89" s="1055"/>
      <c r="RSH89" s="1055"/>
      <c r="RSI89" s="1055"/>
      <c r="RSJ89" s="1055"/>
      <c r="RSK89" s="1055"/>
      <c r="RSL89" s="1055"/>
      <c r="RSM89" s="1055"/>
      <c r="RSN89" s="1055"/>
      <c r="RSO89" s="1055"/>
      <c r="RSP89" s="1055"/>
      <c r="RSQ89" s="1055"/>
      <c r="RSR89" s="1055"/>
      <c r="RSS89" s="1055"/>
      <c r="RST89" s="1055"/>
      <c r="RSU89" s="1055"/>
      <c r="RSV89" s="1055"/>
      <c r="RSW89" s="1055"/>
      <c r="RSX89" s="1055"/>
      <c r="RSY89" s="1055"/>
      <c r="RSZ89" s="1055"/>
      <c r="RTA89" s="1055"/>
      <c r="RTB89" s="1055"/>
      <c r="RTC89" s="1055"/>
      <c r="RTD89" s="1055"/>
      <c r="RTE89" s="1055"/>
      <c r="RTF89" s="1055"/>
      <c r="RTG89" s="1055"/>
      <c r="RTH89" s="1055"/>
      <c r="RTI89" s="1055"/>
      <c r="RTJ89" s="1055"/>
      <c r="RTK89" s="1055"/>
      <c r="RTL89" s="1055"/>
      <c r="RTM89" s="1055"/>
      <c r="RTN89" s="1055"/>
      <c r="RTO89" s="1055"/>
      <c r="RTP89" s="1055"/>
      <c r="RTQ89" s="1055"/>
      <c r="RTR89" s="1055"/>
      <c r="RTS89" s="1055"/>
      <c r="RTT89" s="1055"/>
      <c r="RTU89" s="1055"/>
      <c r="RTV89" s="1055"/>
      <c r="RTW89" s="1055"/>
      <c r="RTX89" s="1055"/>
      <c r="RTY89" s="1055"/>
      <c r="RTZ89" s="1055"/>
      <c r="RUA89" s="1055"/>
      <c r="RUB89" s="1055"/>
      <c r="RUC89" s="1055"/>
      <c r="RUD89" s="1055"/>
      <c r="RUE89" s="1055"/>
      <c r="RUF89" s="1055"/>
      <c r="RUG89" s="1055"/>
      <c r="RUH89" s="1055"/>
      <c r="RUI89" s="1055"/>
      <c r="RUJ89" s="1055"/>
      <c r="RUK89" s="1055"/>
      <c r="RUL89" s="1055"/>
      <c r="RUM89" s="1055"/>
      <c r="RUN89" s="1055"/>
      <c r="RUO89" s="1055"/>
      <c r="RUP89" s="1055"/>
      <c r="RUQ89" s="1055"/>
      <c r="RUR89" s="1055"/>
      <c r="RUS89" s="1055"/>
      <c r="RUT89" s="1055"/>
      <c r="RUU89" s="1055"/>
      <c r="RUV89" s="1055"/>
      <c r="RUW89" s="1055"/>
      <c r="RUX89" s="1055"/>
      <c r="RUY89" s="1055"/>
      <c r="RUZ89" s="1055"/>
      <c r="RVA89" s="1055"/>
      <c r="RVB89" s="1055"/>
      <c r="RVC89" s="1055"/>
      <c r="RVD89" s="1055"/>
      <c r="RVE89" s="1055"/>
      <c r="RVF89" s="1055"/>
      <c r="RVG89" s="1055"/>
      <c r="RVH89" s="1055"/>
      <c r="RVI89" s="1055"/>
      <c r="RVJ89" s="1055"/>
      <c r="RVK89" s="1055"/>
      <c r="RVL89" s="1055"/>
      <c r="RVM89" s="1055"/>
      <c r="RVN89" s="1055"/>
      <c r="RVO89" s="1055"/>
      <c r="RVP89" s="1055"/>
      <c r="RVQ89" s="1055"/>
      <c r="RVR89" s="1055"/>
      <c r="RVS89" s="1055"/>
      <c r="RVT89" s="1055"/>
      <c r="RVU89" s="1055"/>
      <c r="RVV89" s="1055"/>
      <c r="RVW89" s="1055"/>
      <c r="RVX89" s="1055"/>
      <c r="RVY89" s="1055"/>
      <c r="RVZ89" s="1055"/>
      <c r="RWA89" s="1055"/>
      <c r="RWB89" s="1055"/>
      <c r="RWC89" s="1055"/>
      <c r="RWD89" s="1055"/>
      <c r="RWE89" s="1055"/>
      <c r="RWF89" s="1055"/>
      <c r="RWG89" s="1055"/>
      <c r="RWH89" s="1055"/>
      <c r="RWI89" s="1055"/>
      <c r="RWJ89" s="1055"/>
      <c r="RWK89" s="1055"/>
      <c r="RWL89" s="1055"/>
      <c r="RWM89" s="1055"/>
      <c r="RWN89" s="1055"/>
      <c r="RWO89" s="1055"/>
      <c r="RWP89" s="1055"/>
      <c r="RWQ89" s="1055"/>
      <c r="RWR89" s="1055"/>
      <c r="RWS89" s="1055"/>
      <c r="RWT89" s="1055"/>
      <c r="RWU89" s="1055"/>
      <c r="RWV89" s="1055"/>
      <c r="RWW89" s="1055"/>
      <c r="RWX89" s="1055"/>
      <c r="RWY89" s="1055"/>
      <c r="RWZ89" s="1055"/>
      <c r="RXA89" s="1055"/>
      <c r="RXB89" s="1055"/>
      <c r="RXC89" s="1055"/>
      <c r="RXD89" s="1055"/>
      <c r="RXE89" s="1055"/>
      <c r="RXF89" s="1055"/>
      <c r="RXG89" s="1055"/>
      <c r="RXH89" s="1055"/>
      <c r="RXI89" s="1055"/>
      <c r="RXJ89" s="1055"/>
      <c r="RXK89" s="1055"/>
      <c r="RXL89" s="1055"/>
      <c r="RXM89" s="1055"/>
      <c r="RXN89" s="1055"/>
      <c r="RXO89" s="1055"/>
      <c r="RXP89" s="1055"/>
      <c r="RXQ89" s="1055"/>
      <c r="RXR89" s="1055"/>
      <c r="RXS89" s="1055"/>
      <c r="RXT89" s="1055"/>
      <c r="RXU89" s="1055"/>
      <c r="RXV89" s="1055"/>
      <c r="RXW89" s="1055"/>
      <c r="RXX89" s="1055"/>
      <c r="RXY89" s="1055"/>
      <c r="RXZ89" s="1055"/>
      <c r="RYA89" s="1055"/>
      <c r="RYB89" s="1055"/>
      <c r="RYC89" s="1055"/>
      <c r="RYD89" s="1055"/>
      <c r="RYE89" s="1055"/>
      <c r="RYF89" s="1055"/>
      <c r="RYG89" s="1055"/>
      <c r="RYH89" s="1055"/>
      <c r="RYI89" s="1055"/>
      <c r="RYJ89" s="1055"/>
      <c r="RYK89" s="1055"/>
      <c r="RYL89" s="1055"/>
      <c r="RYM89" s="1055"/>
      <c r="RYN89" s="1055"/>
      <c r="RYO89" s="1055"/>
      <c r="RYP89" s="1055"/>
      <c r="RYQ89" s="1055"/>
      <c r="RYR89" s="1055"/>
      <c r="RYS89" s="1055"/>
      <c r="RYT89" s="1055"/>
      <c r="RYU89" s="1055"/>
      <c r="RYV89" s="1055"/>
      <c r="RYW89" s="1055"/>
      <c r="RYX89" s="1055"/>
      <c r="RYY89" s="1055"/>
      <c r="RYZ89" s="1055"/>
      <c r="RZA89" s="1055"/>
      <c r="RZB89" s="1055"/>
      <c r="RZC89" s="1055"/>
      <c r="RZD89" s="1055"/>
      <c r="RZE89" s="1055"/>
      <c r="RZF89" s="1055"/>
      <c r="RZG89" s="1055"/>
      <c r="RZH89" s="1055"/>
      <c r="RZI89" s="1055"/>
      <c r="RZJ89" s="1055"/>
      <c r="RZK89" s="1055"/>
      <c r="RZL89" s="1055"/>
      <c r="RZM89" s="1055"/>
      <c r="RZN89" s="1055"/>
      <c r="RZO89" s="1055"/>
      <c r="RZP89" s="1055"/>
      <c r="RZQ89" s="1055"/>
      <c r="RZR89" s="1055"/>
      <c r="RZS89" s="1055"/>
      <c r="RZT89" s="1055"/>
      <c r="RZU89" s="1055"/>
      <c r="RZV89" s="1055"/>
      <c r="RZW89" s="1055"/>
      <c r="RZX89" s="1055"/>
      <c r="RZY89" s="1055"/>
      <c r="RZZ89" s="1055"/>
      <c r="SAA89" s="1055"/>
      <c r="SAB89" s="1055"/>
      <c r="SAC89" s="1055"/>
      <c r="SAD89" s="1055"/>
      <c r="SAE89" s="1055"/>
      <c r="SAF89" s="1055"/>
      <c r="SAG89" s="1055"/>
      <c r="SAH89" s="1055"/>
      <c r="SAI89" s="1055"/>
      <c r="SAJ89" s="1055"/>
      <c r="SAK89" s="1055"/>
      <c r="SAL89" s="1055"/>
      <c r="SAM89" s="1055"/>
      <c r="SAN89" s="1055"/>
      <c r="SAO89" s="1055"/>
      <c r="SAP89" s="1055"/>
      <c r="SAQ89" s="1055"/>
      <c r="SAR89" s="1055"/>
      <c r="SAS89" s="1055"/>
      <c r="SAT89" s="1055"/>
      <c r="SAU89" s="1055"/>
      <c r="SAV89" s="1055"/>
      <c r="SAW89" s="1055"/>
      <c r="SAX89" s="1055"/>
      <c r="SAY89" s="1055"/>
      <c r="SAZ89" s="1055"/>
      <c r="SBA89" s="1055"/>
      <c r="SBB89" s="1055"/>
      <c r="SBC89" s="1055"/>
      <c r="SBD89" s="1055"/>
      <c r="SBE89" s="1055"/>
      <c r="SBF89" s="1055"/>
      <c r="SBG89" s="1055"/>
      <c r="SBH89" s="1055"/>
      <c r="SBI89" s="1055"/>
      <c r="SBJ89" s="1055"/>
      <c r="SBK89" s="1055"/>
      <c r="SBL89" s="1055"/>
      <c r="SBM89" s="1055"/>
      <c r="SBN89" s="1055"/>
      <c r="SBO89" s="1055"/>
      <c r="SBP89" s="1055"/>
      <c r="SBQ89" s="1055"/>
      <c r="SBR89" s="1055"/>
      <c r="SBS89" s="1055"/>
      <c r="SBT89" s="1055"/>
      <c r="SBU89" s="1055"/>
      <c r="SBV89" s="1055"/>
      <c r="SBW89" s="1055"/>
      <c r="SBX89" s="1055"/>
      <c r="SBY89" s="1055"/>
      <c r="SBZ89" s="1055"/>
      <c r="SCA89" s="1055"/>
      <c r="SCB89" s="1055"/>
      <c r="SCC89" s="1055"/>
      <c r="SCD89" s="1055"/>
      <c r="SCE89" s="1055"/>
      <c r="SCF89" s="1055"/>
      <c r="SCG89" s="1055"/>
      <c r="SCH89" s="1055"/>
      <c r="SCI89" s="1055"/>
      <c r="SCJ89" s="1055"/>
      <c r="SCK89" s="1055"/>
      <c r="SCL89" s="1055"/>
      <c r="SCM89" s="1055"/>
      <c r="SCN89" s="1055"/>
      <c r="SCO89" s="1055"/>
      <c r="SCP89" s="1055"/>
      <c r="SCQ89" s="1055"/>
      <c r="SCR89" s="1055"/>
      <c r="SCS89" s="1055"/>
      <c r="SCT89" s="1055"/>
      <c r="SCU89" s="1055"/>
      <c r="SCV89" s="1055"/>
      <c r="SCW89" s="1055"/>
      <c r="SCX89" s="1055"/>
      <c r="SCY89" s="1055"/>
      <c r="SCZ89" s="1055"/>
      <c r="SDA89" s="1055"/>
      <c r="SDB89" s="1055"/>
      <c r="SDC89" s="1055"/>
      <c r="SDD89" s="1055"/>
      <c r="SDE89" s="1055"/>
      <c r="SDF89" s="1055"/>
      <c r="SDG89" s="1055"/>
      <c r="SDH89" s="1055"/>
      <c r="SDI89" s="1055"/>
      <c r="SDJ89" s="1055"/>
      <c r="SDK89" s="1055"/>
      <c r="SDL89" s="1055"/>
      <c r="SDM89" s="1055"/>
      <c r="SDN89" s="1055"/>
      <c r="SDO89" s="1055"/>
      <c r="SDP89" s="1055"/>
      <c r="SDQ89" s="1055"/>
      <c r="SDR89" s="1055"/>
      <c r="SDS89" s="1055"/>
      <c r="SDT89" s="1055"/>
      <c r="SDU89" s="1055"/>
      <c r="SDV89" s="1055"/>
      <c r="SDW89" s="1055"/>
      <c r="SDX89" s="1055"/>
      <c r="SDY89" s="1055"/>
      <c r="SDZ89" s="1055"/>
      <c r="SEA89" s="1055"/>
      <c r="SEB89" s="1055"/>
      <c r="SEC89" s="1055"/>
      <c r="SED89" s="1055"/>
      <c r="SEE89" s="1055"/>
      <c r="SEF89" s="1055"/>
      <c r="SEG89" s="1055"/>
      <c r="SEH89" s="1055"/>
      <c r="SEI89" s="1055"/>
      <c r="SEJ89" s="1055"/>
      <c r="SEK89" s="1055"/>
      <c r="SEL89" s="1055"/>
      <c r="SEM89" s="1055"/>
      <c r="SEN89" s="1055"/>
      <c r="SEO89" s="1055"/>
      <c r="SEP89" s="1055"/>
      <c r="SEQ89" s="1055"/>
      <c r="SER89" s="1055"/>
      <c r="SES89" s="1055"/>
      <c r="SET89" s="1055"/>
      <c r="SEU89" s="1055"/>
      <c r="SEV89" s="1055"/>
      <c r="SEW89" s="1055"/>
      <c r="SEX89" s="1055"/>
      <c r="SEY89" s="1055"/>
      <c r="SEZ89" s="1055"/>
      <c r="SFA89" s="1055"/>
      <c r="SFB89" s="1055"/>
      <c r="SFC89" s="1055"/>
      <c r="SFD89" s="1055"/>
      <c r="SFE89" s="1055"/>
      <c r="SFF89" s="1055"/>
      <c r="SFG89" s="1055"/>
      <c r="SFH89" s="1055"/>
      <c r="SFI89" s="1055"/>
      <c r="SFJ89" s="1055"/>
      <c r="SFK89" s="1055"/>
      <c r="SFL89" s="1055"/>
      <c r="SFM89" s="1055"/>
      <c r="SFN89" s="1055"/>
      <c r="SFO89" s="1055"/>
      <c r="SFP89" s="1055"/>
      <c r="SFQ89" s="1055"/>
      <c r="SFR89" s="1055"/>
      <c r="SFS89" s="1055"/>
      <c r="SFT89" s="1055"/>
      <c r="SFU89" s="1055"/>
      <c r="SFV89" s="1055"/>
      <c r="SFW89" s="1055"/>
      <c r="SFX89" s="1055"/>
      <c r="SFY89" s="1055"/>
      <c r="SFZ89" s="1055"/>
      <c r="SGA89" s="1055"/>
      <c r="SGB89" s="1055"/>
      <c r="SGC89" s="1055"/>
      <c r="SGD89" s="1055"/>
      <c r="SGE89" s="1055"/>
      <c r="SGF89" s="1055"/>
      <c r="SGG89" s="1055"/>
      <c r="SGH89" s="1055"/>
      <c r="SGI89" s="1055"/>
      <c r="SGJ89" s="1055"/>
      <c r="SGK89" s="1055"/>
      <c r="SGL89" s="1055"/>
      <c r="SGM89" s="1055"/>
      <c r="SGN89" s="1055"/>
      <c r="SGO89" s="1055"/>
      <c r="SGP89" s="1055"/>
      <c r="SGQ89" s="1055"/>
      <c r="SGR89" s="1055"/>
      <c r="SGS89" s="1055"/>
      <c r="SGT89" s="1055"/>
      <c r="SGU89" s="1055"/>
      <c r="SGV89" s="1055"/>
      <c r="SGW89" s="1055"/>
      <c r="SGX89" s="1055"/>
      <c r="SGY89" s="1055"/>
      <c r="SGZ89" s="1055"/>
      <c r="SHA89" s="1055"/>
      <c r="SHB89" s="1055"/>
      <c r="SHC89" s="1055"/>
      <c r="SHD89" s="1055"/>
      <c r="SHE89" s="1055"/>
      <c r="SHF89" s="1055"/>
      <c r="SHG89" s="1055"/>
      <c r="SHH89" s="1055"/>
      <c r="SHI89" s="1055"/>
      <c r="SHJ89" s="1055"/>
      <c r="SHK89" s="1055"/>
      <c r="SHL89" s="1055"/>
      <c r="SHM89" s="1055"/>
      <c r="SHN89" s="1055"/>
      <c r="SHO89" s="1055"/>
      <c r="SHP89" s="1055"/>
      <c r="SHQ89" s="1055"/>
      <c r="SHR89" s="1055"/>
      <c r="SHS89" s="1055"/>
      <c r="SHT89" s="1055"/>
      <c r="SHU89" s="1055"/>
      <c r="SHV89" s="1055"/>
      <c r="SHW89" s="1055"/>
      <c r="SHX89" s="1055"/>
      <c r="SHY89" s="1055"/>
      <c r="SHZ89" s="1055"/>
      <c r="SIA89" s="1055"/>
      <c r="SIB89" s="1055"/>
      <c r="SIC89" s="1055"/>
      <c r="SID89" s="1055"/>
      <c r="SIE89" s="1055"/>
      <c r="SIF89" s="1055"/>
      <c r="SIG89" s="1055"/>
      <c r="SIH89" s="1055"/>
      <c r="SII89" s="1055"/>
      <c r="SIJ89" s="1055"/>
      <c r="SIK89" s="1055"/>
      <c r="SIL89" s="1055"/>
      <c r="SIM89" s="1055"/>
      <c r="SIN89" s="1055"/>
      <c r="SIO89" s="1055"/>
      <c r="SIP89" s="1055"/>
      <c r="SIQ89" s="1055"/>
      <c r="SIR89" s="1055"/>
      <c r="SIS89" s="1055"/>
      <c r="SIT89" s="1055"/>
      <c r="SIU89" s="1055"/>
      <c r="SIV89" s="1055"/>
      <c r="SIW89" s="1055"/>
      <c r="SIX89" s="1055"/>
      <c r="SIY89" s="1055"/>
      <c r="SIZ89" s="1055"/>
      <c r="SJA89" s="1055"/>
      <c r="SJB89" s="1055"/>
      <c r="SJC89" s="1055"/>
      <c r="SJD89" s="1055"/>
      <c r="SJE89" s="1055"/>
      <c r="SJF89" s="1055"/>
      <c r="SJG89" s="1055"/>
      <c r="SJH89" s="1055"/>
      <c r="SJI89" s="1055"/>
      <c r="SJJ89" s="1055"/>
      <c r="SJK89" s="1055"/>
      <c r="SJL89" s="1055"/>
      <c r="SJM89" s="1055"/>
      <c r="SJN89" s="1055"/>
      <c r="SJO89" s="1055"/>
      <c r="SJP89" s="1055"/>
      <c r="SJQ89" s="1055"/>
      <c r="SJR89" s="1055"/>
      <c r="SJS89" s="1055"/>
      <c r="SJT89" s="1055"/>
      <c r="SJU89" s="1055"/>
      <c r="SJV89" s="1055"/>
      <c r="SJW89" s="1055"/>
      <c r="SJX89" s="1055"/>
      <c r="SJY89" s="1055"/>
      <c r="SJZ89" s="1055"/>
      <c r="SKA89" s="1055"/>
      <c r="SKB89" s="1055"/>
      <c r="SKC89" s="1055"/>
      <c r="SKD89" s="1055"/>
      <c r="SKE89" s="1055"/>
      <c r="SKF89" s="1055"/>
      <c r="SKG89" s="1055"/>
      <c r="SKH89" s="1055"/>
      <c r="SKI89" s="1055"/>
      <c r="SKJ89" s="1055"/>
      <c r="SKK89" s="1055"/>
      <c r="SKL89" s="1055"/>
      <c r="SKM89" s="1055"/>
      <c r="SKN89" s="1055"/>
      <c r="SKO89" s="1055"/>
      <c r="SKP89" s="1055"/>
      <c r="SKQ89" s="1055"/>
      <c r="SKR89" s="1055"/>
      <c r="SKS89" s="1055"/>
      <c r="SKT89" s="1055"/>
      <c r="SKU89" s="1055"/>
      <c r="SKV89" s="1055"/>
      <c r="SKW89" s="1055"/>
      <c r="SKX89" s="1055"/>
      <c r="SKY89" s="1055"/>
      <c r="SKZ89" s="1055"/>
      <c r="SLA89" s="1055"/>
      <c r="SLB89" s="1055"/>
      <c r="SLC89" s="1055"/>
      <c r="SLD89" s="1055"/>
      <c r="SLE89" s="1055"/>
      <c r="SLF89" s="1055"/>
      <c r="SLG89" s="1055"/>
      <c r="SLH89" s="1055"/>
      <c r="SLI89" s="1055"/>
      <c r="SLJ89" s="1055"/>
      <c r="SLK89" s="1055"/>
      <c r="SLL89" s="1055"/>
      <c r="SLM89" s="1055"/>
      <c r="SLN89" s="1055"/>
      <c r="SLO89" s="1055"/>
      <c r="SLP89" s="1055"/>
      <c r="SLQ89" s="1055"/>
      <c r="SLR89" s="1055"/>
      <c r="SLS89" s="1055"/>
      <c r="SLT89" s="1055"/>
      <c r="SLU89" s="1055"/>
      <c r="SLV89" s="1055"/>
      <c r="SLW89" s="1055"/>
      <c r="SLX89" s="1055"/>
      <c r="SLY89" s="1055"/>
      <c r="SLZ89" s="1055"/>
      <c r="SMA89" s="1055"/>
      <c r="SMB89" s="1055"/>
      <c r="SMC89" s="1055"/>
      <c r="SMD89" s="1055"/>
      <c r="SME89" s="1055"/>
      <c r="SMF89" s="1055"/>
      <c r="SMG89" s="1055"/>
      <c r="SMH89" s="1055"/>
      <c r="SMI89" s="1055"/>
      <c r="SMJ89" s="1055"/>
      <c r="SMK89" s="1055"/>
      <c r="SML89" s="1055"/>
      <c r="SMM89" s="1055"/>
      <c r="SMN89" s="1055"/>
      <c r="SMO89" s="1055"/>
      <c r="SMP89" s="1055"/>
      <c r="SMQ89" s="1055"/>
      <c r="SMR89" s="1055"/>
      <c r="SMS89" s="1055"/>
      <c r="SMT89" s="1055"/>
      <c r="SMU89" s="1055"/>
      <c r="SMV89" s="1055"/>
      <c r="SMW89" s="1055"/>
      <c r="SMX89" s="1055"/>
      <c r="SMY89" s="1055"/>
      <c r="SMZ89" s="1055"/>
      <c r="SNA89" s="1055"/>
      <c r="SNB89" s="1055"/>
      <c r="SNC89" s="1055"/>
      <c r="SND89" s="1055"/>
      <c r="SNE89" s="1055"/>
      <c r="SNF89" s="1055"/>
      <c r="SNG89" s="1055"/>
      <c r="SNH89" s="1055"/>
      <c r="SNI89" s="1055"/>
      <c r="SNJ89" s="1055"/>
      <c r="SNK89" s="1055"/>
      <c r="SNL89" s="1055"/>
      <c r="SNM89" s="1055"/>
      <c r="SNN89" s="1055"/>
      <c r="SNO89" s="1055"/>
      <c r="SNP89" s="1055"/>
      <c r="SNQ89" s="1055"/>
      <c r="SNR89" s="1055"/>
      <c r="SNS89" s="1055"/>
      <c r="SNT89" s="1055"/>
      <c r="SNU89" s="1055"/>
      <c r="SNV89" s="1055"/>
      <c r="SNW89" s="1055"/>
      <c r="SNX89" s="1055"/>
      <c r="SNY89" s="1055"/>
      <c r="SNZ89" s="1055"/>
      <c r="SOA89" s="1055"/>
      <c r="SOB89" s="1055"/>
      <c r="SOC89" s="1055"/>
      <c r="SOD89" s="1055"/>
      <c r="SOE89" s="1055"/>
      <c r="SOF89" s="1055"/>
      <c r="SOG89" s="1055"/>
      <c r="SOH89" s="1055"/>
      <c r="SOI89" s="1055"/>
      <c r="SOJ89" s="1055"/>
      <c r="SOK89" s="1055"/>
      <c r="SOL89" s="1055"/>
      <c r="SOM89" s="1055"/>
      <c r="SON89" s="1055"/>
      <c r="SOO89" s="1055"/>
      <c r="SOP89" s="1055"/>
      <c r="SOQ89" s="1055"/>
      <c r="SOR89" s="1055"/>
      <c r="SOS89" s="1055"/>
      <c r="SOT89" s="1055"/>
      <c r="SOU89" s="1055"/>
      <c r="SOV89" s="1055"/>
      <c r="SOW89" s="1055"/>
      <c r="SOX89" s="1055"/>
      <c r="SOY89" s="1055"/>
      <c r="SOZ89" s="1055"/>
      <c r="SPA89" s="1055"/>
      <c r="SPB89" s="1055"/>
      <c r="SPC89" s="1055"/>
      <c r="SPD89" s="1055"/>
      <c r="SPE89" s="1055"/>
      <c r="SPF89" s="1055"/>
      <c r="SPG89" s="1055"/>
      <c r="SPH89" s="1055"/>
      <c r="SPI89" s="1055"/>
      <c r="SPJ89" s="1055"/>
      <c r="SPK89" s="1055"/>
      <c r="SPL89" s="1055"/>
      <c r="SPM89" s="1055"/>
      <c r="SPN89" s="1055"/>
      <c r="SPO89" s="1055"/>
      <c r="SPP89" s="1055"/>
      <c r="SPQ89" s="1055"/>
      <c r="SPR89" s="1055"/>
      <c r="SPS89" s="1055"/>
      <c r="SPT89" s="1055"/>
      <c r="SPU89" s="1055"/>
      <c r="SPV89" s="1055"/>
      <c r="SPW89" s="1055"/>
      <c r="SPX89" s="1055"/>
      <c r="SPY89" s="1055"/>
      <c r="SPZ89" s="1055"/>
      <c r="SQA89" s="1055"/>
      <c r="SQB89" s="1055"/>
      <c r="SQC89" s="1055"/>
      <c r="SQD89" s="1055"/>
      <c r="SQE89" s="1055"/>
      <c r="SQF89" s="1055"/>
      <c r="SQG89" s="1055"/>
      <c r="SQH89" s="1055"/>
      <c r="SQI89" s="1055"/>
      <c r="SQJ89" s="1055"/>
      <c r="SQK89" s="1055"/>
      <c r="SQL89" s="1055"/>
      <c r="SQM89" s="1055"/>
      <c r="SQN89" s="1055"/>
      <c r="SQO89" s="1055"/>
      <c r="SQP89" s="1055"/>
      <c r="SQQ89" s="1055"/>
      <c r="SQR89" s="1055"/>
      <c r="SQS89" s="1055"/>
      <c r="SQT89" s="1055"/>
      <c r="SQU89" s="1055"/>
      <c r="SQV89" s="1055"/>
      <c r="SQW89" s="1055"/>
      <c r="SQX89" s="1055"/>
      <c r="SQY89" s="1055"/>
      <c r="SQZ89" s="1055"/>
      <c r="SRA89" s="1055"/>
      <c r="SRB89" s="1055"/>
      <c r="SRC89" s="1055"/>
      <c r="SRD89" s="1055"/>
      <c r="SRE89" s="1055"/>
      <c r="SRF89" s="1055"/>
      <c r="SRG89" s="1055"/>
      <c r="SRH89" s="1055"/>
      <c r="SRI89" s="1055"/>
      <c r="SRJ89" s="1055"/>
      <c r="SRK89" s="1055"/>
      <c r="SRL89" s="1055"/>
      <c r="SRM89" s="1055"/>
      <c r="SRN89" s="1055"/>
      <c r="SRO89" s="1055"/>
      <c r="SRP89" s="1055"/>
      <c r="SRQ89" s="1055"/>
      <c r="SRR89" s="1055"/>
      <c r="SRS89" s="1055"/>
      <c r="SRT89" s="1055"/>
      <c r="SRU89" s="1055"/>
      <c r="SRV89" s="1055"/>
      <c r="SRW89" s="1055"/>
      <c r="SRX89" s="1055"/>
      <c r="SRY89" s="1055"/>
      <c r="SRZ89" s="1055"/>
      <c r="SSA89" s="1055"/>
      <c r="SSB89" s="1055"/>
      <c r="SSC89" s="1055"/>
      <c r="SSD89" s="1055"/>
      <c r="SSE89" s="1055"/>
      <c r="SSF89" s="1055"/>
      <c r="SSG89" s="1055"/>
      <c r="SSH89" s="1055"/>
      <c r="SSI89" s="1055"/>
      <c r="SSJ89" s="1055"/>
      <c r="SSK89" s="1055"/>
      <c r="SSL89" s="1055"/>
      <c r="SSM89" s="1055"/>
      <c r="SSN89" s="1055"/>
      <c r="SSO89" s="1055"/>
      <c r="SSP89" s="1055"/>
      <c r="SSQ89" s="1055"/>
      <c r="SSR89" s="1055"/>
      <c r="SSS89" s="1055"/>
      <c r="SST89" s="1055"/>
      <c r="SSU89" s="1055"/>
      <c r="SSV89" s="1055"/>
      <c r="SSW89" s="1055"/>
      <c r="SSX89" s="1055"/>
      <c r="SSY89" s="1055"/>
      <c r="SSZ89" s="1055"/>
      <c r="STA89" s="1055"/>
      <c r="STB89" s="1055"/>
      <c r="STC89" s="1055"/>
      <c r="STD89" s="1055"/>
      <c r="STE89" s="1055"/>
      <c r="STF89" s="1055"/>
      <c r="STG89" s="1055"/>
      <c r="STH89" s="1055"/>
      <c r="STI89" s="1055"/>
      <c r="STJ89" s="1055"/>
      <c r="STK89" s="1055"/>
      <c r="STL89" s="1055"/>
      <c r="STM89" s="1055"/>
      <c r="STN89" s="1055"/>
      <c r="STO89" s="1055"/>
      <c r="STP89" s="1055"/>
      <c r="STQ89" s="1055"/>
      <c r="STR89" s="1055"/>
      <c r="STS89" s="1055"/>
      <c r="STT89" s="1055"/>
      <c r="STU89" s="1055"/>
      <c r="STV89" s="1055"/>
      <c r="STW89" s="1055"/>
      <c r="STX89" s="1055"/>
      <c r="STY89" s="1055"/>
      <c r="STZ89" s="1055"/>
      <c r="SUA89" s="1055"/>
      <c r="SUB89" s="1055"/>
      <c r="SUC89" s="1055"/>
      <c r="SUD89" s="1055"/>
      <c r="SUE89" s="1055"/>
      <c r="SUF89" s="1055"/>
      <c r="SUG89" s="1055"/>
      <c r="SUH89" s="1055"/>
      <c r="SUI89" s="1055"/>
      <c r="SUJ89" s="1055"/>
      <c r="SUK89" s="1055"/>
      <c r="SUL89" s="1055"/>
      <c r="SUM89" s="1055"/>
      <c r="SUN89" s="1055"/>
      <c r="SUO89" s="1055"/>
      <c r="SUP89" s="1055"/>
      <c r="SUQ89" s="1055"/>
      <c r="SUR89" s="1055"/>
      <c r="SUS89" s="1055"/>
      <c r="SUT89" s="1055"/>
      <c r="SUU89" s="1055"/>
      <c r="SUV89" s="1055"/>
      <c r="SUW89" s="1055"/>
      <c r="SUX89" s="1055"/>
      <c r="SUY89" s="1055"/>
      <c r="SUZ89" s="1055"/>
      <c r="SVA89" s="1055"/>
      <c r="SVB89" s="1055"/>
      <c r="SVC89" s="1055"/>
      <c r="SVD89" s="1055"/>
      <c r="SVE89" s="1055"/>
      <c r="SVF89" s="1055"/>
      <c r="SVG89" s="1055"/>
      <c r="SVH89" s="1055"/>
      <c r="SVI89" s="1055"/>
      <c r="SVJ89" s="1055"/>
      <c r="SVK89" s="1055"/>
      <c r="SVL89" s="1055"/>
      <c r="SVM89" s="1055"/>
      <c r="SVN89" s="1055"/>
      <c r="SVO89" s="1055"/>
      <c r="SVP89" s="1055"/>
      <c r="SVQ89" s="1055"/>
      <c r="SVR89" s="1055"/>
      <c r="SVS89" s="1055"/>
      <c r="SVT89" s="1055"/>
      <c r="SVU89" s="1055"/>
      <c r="SVV89" s="1055"/>
      <c r="SVW89" s="1055"/>
      <c r="SVX89" s="1055"/>
      <c r="SVY89" s="1055"/>
      <c r="SVZ89" s="1055"/>
      <c r="SWA89" s="1055"/>
      <c r="SWB89" s="1055"/>
      <c r="SWC89" s="1055"/>
      <c r="SWD89" s="1055"/>
      <c r="SWE89" s="1055"/>
      <c r="SWF89" s="1055"/>
      <c r="SWG89" s="1055"/>
      <c r="SWH89" s="1055"/>
      <c r="SWI89" s="1055"/>
      <c r="SWJ89" s="1055"/>
      <c r="SWK89" s="1055"/>
      <c r="SWL89" s="1055"/>
      <c r="SWM89" s="1055"/>
      <c r="SWN89" s="1055"/>
      <c r="SWO89" s="1055"/>
      <c r="SWP89" s="1055"/>
      <c r="SWQ89" s="1055"/>
      <c r="SWR89" s="1055"/>
      <c r="SWS89" s="1055"/>
      <c r="SWT89" s="1055"/>
      <c r="SWU89" s="1055"/>
      <c r="SWV89" s="1055"/>
      <c r="SWW89" s="1055"/>
      <c r="SWX89" s="1055"/>
      <c r="SWY89" s="1055"/>
      <c r="SWZ89" s="1055"/>
      <c r="SXA89" s="1055"/>
      <c r="SXB89" s="1055"/>
      <c r="SXC89" s="1055"/>
      <c r="SXD89" s="1055"/>
      <c r="SXE89" s="1055"/>
      <c r="SXF89" s="1055"/>
      <c r="SXG89" s="1055"/>
      <c r="SXH89" s="1055"/>
      <c r="SXI89" s="1055"/>
      <c r="SXJ89" s="1055"/>
      <c r="SXK89" s="1055"/>
      <c r="SXL89" s="1055"/>
      <c r="SXM89" s="1055"/>
      <c r="SXN89" s="1055"/>
      <c r="SXO89" s="1055"/>
      <c r="SXP89" s="1055"/>
      <c r="SXQ89" s="1055"/>
      <c r="SXR89" s="1055"/>
      <c r="SXS89" s="1055"/>
      <c r="SXT89" s="1055"/>
      <c r="SXU89" s="1055"/>
      <c r="SXV89" s="1055"/>
      <c r="SXW89" s="1055"/>
      <c r="SXX89" s="1055"/>
      <c r="SXY89" s="1055"/>
      <c r="SXZ89" s="1055"/>
      <c r="SYA89" s="1055"/>
      <c r="SYB89" s="1055"/>
      <c r="SYC89" s="1055"/>
      <c r="SYD89" s="1055"/>
      <c r="SYE89" s="1055"/>
      <c r="SYF89" s="1055"/>
      <c r="SYG89" s="1055"/>
      <c r="SYH89" s="1055"/>
      <c r="SYI89" s="1055"/>
      <c r="SYJ89" s="1055"/>
      <c r="SYK89" s="1055"/>
      <c r="SYL89" s="1055"/>
      <c r="SYM89" s="1055"/>
      <c r="SYN89" s="1055"/>
      <c r="SYO89" s="1055"/>
      <c r="SYP89" s="1055"/>
      <c r="SYQ89" s="1055"/>
      <c r="SYR89" s="1055"/>
      <c r="SYS89" s="1055"/>
      <c r="SYT89" s="1055"/>
      <c r="SYU89" s="1055"/>
      <c r="SYV89" s="1055"/>
      <c r="SYW89" s="1055"/>
      <c r="SYX89" s="1055"/>
      <c r="SYY89" s="1055"/>
      <c r="SYZ89" s="1055"/>
      <c r="SZA89" s="1055"/>
      <c r="SZB89" s="1055"/>
      <c r="SZC89" s="1055"/>
      <c r="SZD89" s="1055"/>
      <c r="SZE89" s="1055"/>
      <c r="SZF89" s="1055"/>
      <c r="SZG89" s="1055"/>
      <c r="SZH89" s="1055"/>
      <c r="SZI89" s="1055"/>
      <c r="SZJ89" s="1055"/>
      <c r="SZK89" s="1055"/>
      <c r="SZL89" s="1055"/>
      <c r="SZM89" s="1055"/>
      <c r="SZN89" s="1055"/>
      <c r="SZO89" s="1055"/>
      <c r="SZP89" s="1055"/>
      <c r="SZQ89" s="1055"/>
      <c r="SZR89" s="1055"/>
      <c r="SZS89" s="1055"/>
      <c r="SZT89" s="1055"/>
      <c r="SZU89" s="1055"/>
      <c r="SZV89" s="1055"/>
      <c r="SZW89" s="1055"/>
      <c r="SZX89" s="1055"/>
      <c r="SZY89" s="1055"/>
      <c r="SZZ89" s="1055"/>
      <c r="TAA89" s="1055"/>
      <c r="TAB89" s="1055"/>
      <c r="TAC89" s="1055"/>
      <c r="TAD89" s="1055"/>
      <c r="TAE89" s="1055"/>
      <c r="TAF89" s="1055"/>
      <c r="TAG89" s="1055"/>
      <c r="TAH89" s="1055"/>
      <c r="TAI89" s="1055"/>
      <c r="TAJ89" s="1055"/>
      <c r="TAK89" s="1055"/>
      <c r="TAL89" s="1055"/>
      <c r="TAM89" s="1055"/>
      <c r="TAN89" s="1055"/>
      <c r="TAO89" s="1055"/>
      <c r="TAP89" s="1055"/>
      <c r="TAQ89" s="1055"/>
      <c r="TAR89" s="1055"/>
      <c r="TAS89" s="1055"/>
      <c r="TAT89" s="1055"/>
      <c r="TAU89" s="1055"/>
      <c r="TAV89" s="1055"/>
      <c r="TAW89" s="1055"/>
      <c r="TAX89" s="1055"/>
      <c r="TAY89" s="1055"/>
      <c r="TAZ89" s="1055"/>
      <c r="TBA89" s="1055"/>
      <c r="TBB89" s="1055"/>
      <c r="TBC89" s="1055"/>
      <c r="TBD89" s="1055"/>
      <c r="TBE89" s="1055"/>
      <c r="TBF89" s="1055"/>
      <c r="TBG89" s="1055"/>
      <c r="TBH89" s="1055"/>
      <c r="TBI89" s="1055"/>
      <c r="TBJ89" s="1055"/>
      <c r="TBK89" s="1055"/>
      <c r="TBL89" s="1055"/>
      <c r="TBM89" s="1055"/>
      <c r="TBN89" s="1055"/>
      <c r="TBO89" s="1055"/>
      <c r="TBP89" s="1055"/>
      <c r="TBQ89" s="1055"/>
      <c r="TBR89" s="1055"/>
      <c r="TBS89" s="1055"/>
      <c r="TBT89" s="1055"/>
      <c r="TBU89" s="1055"/>
      <c r="TBV89" s="1055"/>
      <c r="TBW89" s="1055"/>
      <c r="TBX89" s="1055"/>
      <c r="TBY89" s="1055"/>
      <c r="TBZ89" s="1055"/>
      <c r="TCA89" s="1055"/>
      <c r="TCB89" s="1055"/>
      <c r="TCC89" s="1055"/>
      <c r="TCD89" s="1055"/>
      <c r="TCE89" s="1055"/>
      <c r="TCF89" s="1055"/>
      <c r="TCG89" s="1055"/>
      <c r="TCH89" s="1055"/>
      <c r="TCI89" s="1055"/>
      <c r="TCJ89" s="1055"/>
      <c r="TCK89" s="1055"/>
      <c r="TCL89" s="1055"/>
      <c r="TCM89" s="1055"/>
      <c r="TCN89" s="1055"/>
      <c r="TCO89" s="1055"/>
      <c r="TCP89" s="1055"/>
      <c r="TCQ89" s="1055"/>
      <c r="TCR89" s="1055"/>
      <c r="TCS89" s="1055"/>
      <c r="TCT89" s="1055"/>
      <c r="TCU89" s="1055"/>
      <c r="TCV89" s="1055"/>
      <c r="TCW89" s="1055"/>
      <c r="TCX89" s="1055"/>
      <c r="TCY89" s="1055"/>
      <c r="TCZ89" s="1055"/>
      <c r="TDA89" s="1055"/>
      <c r="TDB89" s="1055"/>
      <c r="TDC89" s="1055"/>
      <c r="TDD89" s="1055"/>
      <c r="TDE89" s="1055"/>
      <c r="TDF89" s="1055"/>
      <c r="TDG89" s="1055"/>
      <c r="TDH89" s="1055"/>
      <c r="TDI89" s="1055"/>
      <c r="TDJ89" s="1055"/>
      <c r="TDK89" s="1055"/>
      <c r="TDL89" s="1055"/>
      <c r="TDM89" s="1055"/>
      <c r="TDN89" s="1055"/>
      <c r="TDO89" s="1055"/>
      <c r="TDP89" s="1055"/>
      <c r="TDQ89" s="1055"/>
      <c r="TDR89" s="1055"/>
      <c r="TDS89" s="1055"/>
      <c r="TDT89" s="1055"/>
      <c r="TDU89" s="1055"/>
      <c r="TDV89" s="1055"/>
      <c r="TDW89" s="1055"/>
      <c r="TDX89" s="1055"/>
      <c r="TDY89" s="1055"/>
      <c r="TDZ89" s="1055"/>
      <c r="TEA89" s="1055"/>
      <c r="TEB89" s="1055"/>
      <c r="TEC89" s="1055"/>
      <c r="TED89" s="1055"/>
      <c r="TEE89" s="1055"/>
      <c r="TEF89" s="1055"/>
      <c r="TEG89" s="1055"/>
      <c r="TEH89" s="1055"/>
      <c r="TEI89" s="1055"/>
      <c r="TEJ89" s="1055"/>
      <c r="TEK89" s="1055"/>
      <c r="TEL89" s="1055"/>
      <c r="TEM89" s="1055"/>
      <c r="TEN89" s="1055"/>
      <c r="TEO89" s="1055"/>
      <c r="TEP89" s="1055"/>
      <c r="TEQ89" s="1055"/>
      <c r="TER89" s="1055"/>
      <c r="TES89" s="1055"/>
      <c r="TET89" s="1055"/>
      <c r="TEU89" s="1055"/>
      <c r="TEV89" s="1055"/>
      <c r="TEW89" s="1055"/>
      <c r="TEX89" s="1055"/>
      <c r="TEY89" s="1055"/>
      <c r="TEZ89" s="1055"/>
      <c r="TFA89" s="1055"/>
      <c r="TFB89" s="1055"/>
      <c r="TFC89" s="1055"/>
      <c r="TFD89" s="1055"/>
      <c r="TFE89" s="1055"/>
      <c r="TFF89" s="1055"/>
      <c r="TFG89" s="1055"/>
      <c r="TFH89" s="1055"/>
      <c r="TFI89" s="1055"/>
      <c r="TFJ89" s="1055"/>
      <c r="TFK89" s="1055"/>
      <c r="TFL89" s="1055"/>
      <c r="TFM89" s="1055"/>
      <c r="TFN89" s="1055"/>
      <c r="TFO89" s="1055"/>
      <c r="TFP89" s="1055"/>
      <c r="TFQ89" s="1055"/>
      <c r="TFR89" s="1055"/>
      <c r="TFS89" s="1055"/>
      <c r="TFT89" s="1055"/>
      <c r="TFU89" s="1055"/>
      <c r="TFV89" s="1055"/>
      <c r="TFW89" s="1055"/>
      <c r="TFX89" s="1055"/>
      <c r="TFY89" s="1055"/>
      <c r="TFZ89" s="1055"/>
      <c r="TGA89" s="1055"/>
      <c r="TGB89" s="1055"/>
      <c r="TGC89" s="1055"/>
      <c r="TGD89" s="1055"/>
      <c r="TGE89" s="1055"/>
      <c r="TGF89" s="1055"/>
      <c r="TGG89" s="1055"/>
      <c r="TGH89" s="1055"/>
      <c r="TGI89" s="1055"/>
      <c r="TGJ89" s="1055"/>
      <c r="TGK89" s="1055"/>
      <c r="TGL89" s="1055"/>
      <c r="TGM89" s="1055"/>
      <c r="TGN89" s="1055"/>
      <c r="TGO89" s="1055"/>
      <c r="TGP89" s="1055"/>
      <c r="TGQ89" s="1055"/>
      <c r="TGR89" s="1055"/>
      <c r="TGS89" s="1055"/>
      <c r="TGT89" s="1055"/>
      <c r="TGU89" s="1055"/>
      <c r="TGV89" s="1055"/>
      <c r="TGW89" s="1055"/>
      <c r="TGX89" s="1055"/>
      <c r="TGY89" s="1055"/>
      <c r="TGZ89" s="1055"/>
      <c r="THA89" s="1055"/>
      <c r="THB89" s="1055"/>
      <c r="THC89" s="1055"/>
      <c r="THD89" s="1055"/>
      <c r="THE89" s="1055"/>
      <c r="THF89" s="1055"/>
      <c r="THG89" s="1055"/>
      <c r="THH89" s="1055"/>
      <c r="THI89" s="1055"/>
      <c r="THJ89" s="1055"/>
      <c r="THK89" s="1055"/>
      <c r="THL89" s="1055"/>
      <c r="THM89" s="1055"/>
      <c r="THN89" s="1055"/>
      <c r="THO89" s="1055"/>
      <c r="THP89" s="1055"/>
      <c r="THQ89" s="1055"/>
      <c r="THR89" s="1055"/>
      <c r="THS89" s="1055"/>
      <c r="THT89" s="1055"/>
      <c r="THU89" s="1055"/>
      <c r="THV89" s="1055"/>
      <c r="THW89" s="1055"/>
      <c r="THX89" s="1055"/>
      <c r="THY89" s="1055"/>
      <c r="THZ89" s="1055"/>
      <c r="TIA89" s="1055"/>
      <c r="TIB89" s="1055"/>
      <c r="TIC89" s="1055"/>
      <c r="TID89" s="1055"/>
      <c r="TIE89" s="1055"/>
      <c r="TIF89" s="1055"/>
      <c r="TIG89" s="1055"/>
      <c r="TIH89" s="1055"/>
      <c r="TII89" s="1055"/>
      <c r="TIJ89" s="1055"/>
      <c r="TIK89" s="1055"/>
      <c r="TIL89" s="1055"/>
      <c r="TIM89" s="1055"/>
      <c r="TIN89" s="1055"/>
      <c r="TIO89" s="1055"/>
      <c r="TIP89" s="1055"/>
      <c r="TIQ89" s="1055"/>
      <c r="TIR89" s="1055"/>
      <c r="TIS89" s="1055"/>
      <c r="TIT89" s="1055"/>
      <c r="TIU89" s="1055"/>
      <c r="TIV89" s="1055"/>
      <c r="TIW89" s="1055"/>
      <c r="TIX89" s="1055"/>
      <c r="TIY89" s="1055"/>
      <c r="TIZ89" s="1055"/>
      <c r="TJA89" s="1055"/>
      <c r="TJB89" s="1055"/>
      <c r="TJC89" s="1055"/>
      <c r="TJD89" s="1055"/>
      <c r="TJE89" s="1055"/>
      <c r="TJF89" s="1055"/>
      <c r="TJG89" s="1055"/>
      <c r="TJH89" s="1055"/>
      <c r="TJI89" s="1055"/>
      <c r="TJJ89" s="1055"/>
      <c r="TJK89" s="1055"/>
      <c r="TJL89" s="1055"/>
      <c r="TJM89" s="1055"/>
      <c r="TJN89" s="1055"/>
      <c r="TJO89" s="1055"/>
      <c r="TJP89" s="1055"/>
      <c r="TJQ89" s="1055"/>
      <c r="TJR89" s="1055"/>
      <c r="TJS89" s="1055"/>
      <c r="TJT89" s="1055"/>
      <c r="TJU89" s="1055"/>
      <c r="TJV89" s="1055"/>
      <c r="TJW89" s="1055"/>
      <c r="TJX89" s="1055"/>
      <c r="TJY89" s="1055"/>
      <c r="TJZ89" s="1055"/>
      <c r="TKA89" s="1055"/>
      <c r="TKB89" s="1055"/>
      <c r="TKC89" s="1055"/>
      <c r="TKD89" s="1055"/>
      <c r="TKE89" s="1055"/>
      <c r="TKF89" s="1055"/>
      <c r="TKG89" s="1055"/>
      <c r="TKH89" s="1055"/>
      <c r="TKI89" s="1055"/>
      <c r="TKJ89" s="1055"/>
      <c r="TKK89" s="1055"/>
      <c r="TKL89" s="1055"/>
      <c r="TKM89" s="1055"/>
      <c r="TKN89" s="1055"/>
      <c r="TKO89" s="1055"/>
      <c r="TKP89" s="1055"/>
      <c r="TKQ89" s="1055"/>
      <c r="TKR89" s="1055"/>
      <c r="TKS89" s="1055"/>
      <c r="TKT89" s="1055"/>
      <c r="TKU89" s="1055"/>
      <c r="TKV89" s="1055"/>
      <c r="TKW89" s="1055"/>
      <c r="TKX89" s="1055"/>
      <c r="TKY89" s="1055"/>
      <c r="TKZ89" s="1055"/>
      <c r="TLA89" s="1055"/>
      <c r="TLB89" s="1055"/>
      <c r="TLC89" s="1055"/>
      <c r="TLD89" s="1055"/>
      <c r="TLE89" s="1055"/>
      <c r="TLF89" s="1055"/>
      <c r="TLG89" s="1055"/>
      <c r="TLH89" s="1055"/>
      <c r="TLI89" s="1055"/>
      <c r="TLJ89" s="1055"/>
      <c r="TLK89" s="1055"/>
      <c r="TLL89" s="1055"/>
      <c r="TLM89" s="1055"/>
      <c r="TLN89" s="1055"/>
      <c r="TLO89" s="1055"/>
      <c r="TLP89" s="1055"/>
      <c r="TLQ89" s="1055"/>
      <c r="TLR89" s="1055"/>
      <c r="TLS89" s="1055"/>
      <c r="TLT89" s="1055"/>
      <c r="TLU89" s="1055"/>
      <c r="TLV89" s="1055"/>
      <c r="TLW89" s="1055"/>
      <c r="TLX89" s="1055"/>
      <c r="TLY89" s="1055"/>
      <c r="TLZ89" s="1055"/>
      <c r="TMA89" s="1055"/>
      <c r="TMB89" s="1055"/>
      <c r="TMC89" s="1055"/>
      <c r="TMD89" s="1055"/>
      <c r="TME89" s="1055"/>
      <c r="TMF89" s="1055"/>
      <c r="TMG89" s="1055"/>
      <c r="TMH89" s="1055"/>
      <c r="TMI89" s="1055"/>
      <c r="TMJ89" s="1055"/>
      <c r="TMK89" s="1055"/>
      <c r="TML89" s="1055"/>
      <c r="TMM89" s="1055"/>
      <c r="TMN89" s="1055"/>
      <c r="TMO89" s="1055"/>
      <c r="TMP89" s="1055"/>
      <c r="TMQ89" s="1055"/>
      <c r="TMR89" s="1055"/>
      <c r="TMS89" s="1055"/>
      <c r="TMT89" s="1055"/>
      <c r="TMU89" s="1055"/>
      <c r="TMV89" s="1055"/>
      <c r="TMW89" s="1055"/>
      <c r="TMX89" s="1055"/>
      <c r="TMY89" s="1055"/>
      <c r="TMZ89" s="1055"/>
      <c r="TNA89" s="1055"/>
      <c r="TNB89" s="1055"/>
      <c r="TNC89" s="1055"/>
      <c r="TND89" s="1055"/>
      <c r="TNE89" s="1055"/>
      <c r="TNF89" s="1055"/>
      <c r="TNG89" s="1055"/>
      <c r="TNH89" s="1055"/>
      <c r="TNI89" s="1055"/>
      <c r="TNJ89" s="1055"/>
      <c r="TNK89" s="1055"/>
      <c r="TNL89" s="1055"/>
      <c r="TNM89" s="1055"/>
      <c r="TNN89" s="1055"/>
      <c r="TNO89" s="1055"/>
      <c r="TNP89" s="1055"/>
      <c r="TNQ89" s="1055"/>
      <c r="TNR89" s="1055"/>
      <c r="TNS89" s="1055"/>
      <c r="TNT89" s="1055"/>
      <c r="TNU89" s="1055"/>
      <c r="TNV89" s="1055"/>
      <c r="TNW89" s="1055"/>
      <c r="TNX89" s="1055"/>
      <c r="TNY89" s="1055"/>
      <c r="TNZ89" s="1055"/>
      <c r="TOA89" s="1055"/>
      <c r="TOB89" s="1055"/>
      <c r="TOC89" s="1055"/>
      <c r="TOD89" s="1055"/>
      <c r="TOE89" s="1055"/>
      <c r="TOF89" s="1055"/>
      <c r="TOG89" s="1055"/>
      <c r="TOH89" s="1055"/>
      <c r="TOI89" s="1055"/>
      <c r="TOJ89" s="1055"/>
      <c r="TOK89" s="1055"/>
      <c r="TOL89" s="1055"/>
      <c r="TOM89" s="1055"/>
      <c r="TON89" s="1055"/>
      <c r="TOO89" s="1055"/>
      <c r="TOP89" s="1055"/>
      <c r="TOQ89" s="1055"/>
      <c r="TOR89" s="1055"/>
      <c r="TOS89" s="1055"/>
      <c r="TOT89" s="1055"/>
      <c r="TOU89" s="1055"/>
      <c r="TOV89" s="1055"/>
      <c r="TOW89" s="1055"/>
      <c r="TOX89" s="1055"/>
      <c r="TOY89" s="1055"/>
      <c r="TOZ89" s="1055"/>
      <c r="TPA89" s="1055"/>
      <c r="TPB89" s="1055"/>
      <c r="TPC89" s="1055"/>
      <c r="TPD89" s="1055"/>
      <c r="TPE89" s="1055"/>
      <c r="TPF89" s="1055"/>
      <c r="TPG89" s="1055"/>
      <c r="TPH89" s="1055"/>
      <c r="TPI89" s="1055"/>
      <c r="TPJ89" s="1055"/>
      <c r="TPK89" s="1055"/>
      <c r="TPL89" s="1055"/>
      <c r="TPM89" s="1055"/>
      <c r="TPN89" s="1055"/>
      <c r="TPO89" s="1055"/>
      <c r="TPP89" s="1055"/>
      <c r="TPQ89" s="1055"/>
      <c r="TPR89" s="1055"/>
      <c r="TPS89" s="1055"/>
      <c r="TPT89" s="1055"/>
      <c r="TPU89" s="1055"/>
      <c r="TPV89" s="1055"/>
      <c r="TPW89" s="1055"/>
      <c r="TPX89" s="1055"/>
      <c r="TPY89" s="1055"/>
      <c r="TPZ89" s="1055"/>
      <c r="TQA89" s="1055"/>
      <c r="TQB89" s="1055"/>
      <c r="TQC89" s="1055"/>
      <c r="TQD89" s="1055"/>
      <c r="TQE89" s="1055"/>
      <c r="TQF89" s="1055"/>
      <c r="TQG89" s="1055"/>
      <c r="TQH89" s="1055"/>
      <c r="TQI89" s="1055"/>
      <c r="TQJ89" s="1055"/>
      <c r="TQK89" s="1055"/>
      <c r="TQL89" s="1055"/>
      <c r="TQM89" s="1055"/>
      <c r="TQN89" s="1055"/>
      <c r="TQO89" s="1055"/>
      <c r="TQP89" s="1055"/>
      <c r="TQQ89" s="1055"/>
      <c r="TQR89" s="1055"/>
      <c r="TQS89" s="1055"/>
      <c r="TQT89" s="1055"/>
      <c r="TQU89" s="1055"/>
      <c r="TQV89" s="1055"/>
      <c r="TQW89" s="1055"/>
      <c r="TQX89" s="1055"/>
      <c r="TQY89" s="1055"/>
      <c r="TQZ89" s="1055"/>
      <c r="TRA89" s="1055"/>
      <c r="TRB89" s="1055"/>
      <c r="TRC89" s="1055"/>
      <c r="TRD89" s="1055"/>
      <c r="TRE89" s="1055"/>
      <c r="TRF89" s="1055"/>
      <c r="TRG89" s="1055"/>
      <c r="TRH89" s="1055"/>
      <c r="TRI89" s="1055"/>
      <c r="TRJ89" s="1055"/>
      <c r="TRK89" s="1055"/>
      <c r="TRL89" s="1055"/>
      <c r="TRM89" s="1055"/>
      <c r="TRN89" s="1055"/>
      <c r="TRO89" s="1055"/>
      <c r="TRP89" s="1055"/>
      <c r="TRQ89" s="1055"/>
      <c r="TRR89" s="1055"/>
      <c r="TRS89" s="1055"/>
      <c r="TRT89" s="1055"/>
      <c r="TRU89" s="1055"/>
      <c r="TRV89" s="1055"/>
      <c r="TRW89" s="1055"/>
      <c r="TRX89" s="1055"/>
      <c r="TRY89" s="1055"/>
      <c r="TRZ89" s="1055"/>
      <c r="TSA89" s="1055"/>
      <c r="TSB89" s="1055"/>
      <c r="TSC89" s="1055"/>
      <c r="TSD89" s="1055"/>
      <c r="TSE89" s="1055"/>
      <c r="TSF89" s="1055"/>
      <c r="TSG89" s="1055"/>
      <c r="TSH89" s="1055"/>
      <c r="TSI89" s="1055"/>
      <c r="TSJ89" s="1055"/>
      <c r="TSK89" s="1055"/>
      <c r="TSL89" s="1055"/>
      <c r="TSM89" s="1055"/>
      <c r="TSN89" s="1055"/>
      <c r="TSO89" s="1055"/>
      <c r="TSP89" s="1055"/>
      <c r="TSQ89" s="1055"/>
      <c r="TSR89" s="1055"/>
      <c r="TSS89" s="1055"/>
      <c r="TST89" s="1055"/>
      <c r="TSU89" s="1055"/>
      <c r="TSV89" s="1055"/>
      <c r="TSW89" s="1055"/>
      <c r="TSX89" s="1055"/>
      <c r="TSY89" s="1055"/>
      <c r="TSZ89" s="1055"/>
      <c r="TTA89" s="1055"/>
      <c r="TTB89" s="1055"/>
      <c r="TTC89" s="1055"/>
      <c r="TTD89" s="1055"/>
      <c r="TTE89" s="1055"/>
      <c r="TTF89" s="1055"/>
      <c r="TTG89" s="1055"/>
      <c r="TTH89" s="1055"/>
      <c r="TTI89" s="1055"/>
      <c r="TTJ89" s="1055"/>
      <c r="TTK89" s="1055"/>
      <c r="TTL89" s="1055"/>
      <c r="TTM89" s="1055"/>
      <c r="TTN89" s="1055"/>
      <c r="TTO89" s="1055"/>
      <c r="TTP89" s="1055"/>
      <c r="TTQ89" s="1055"/>
      <c r="TTR89" s="1055"/>
      <c r="TTS89" s="1055"/>
      <c r="TTT89" s="1055"/>
      <c r="TTU89" s="1055"/>
      <c r="TTV89" s="1055"/>
      <c r="TTW89" s="1055"/>
      <c r="TTX89" s="1055"/>
      <c r="TTY89" s="1055"/>
      <c r="TTZ89" s="1055"/>
      <c r="TUA89" s="1055"/>
      <c r="TUB89" s="1055"/>
      <c r="TUC89" s="1055"/>
      <c r="TUD89" s="1055"/>
      <c r="TUE89" s="1055"/>
      <c r="TUF89" s="1055"/>
      <c r="TUG89" s="1055"/>
      <c r="TUH89" s="1055"/>
      <c r="TUI89" s="1055"/>
      <c r="TUJ89" s="1055"/>
      <c r="TUK89" s="1055"/>
      <c r="TUL89" s="1055"/>
      <c r="TUM89" s="1055"/>
      <c r="TUN89" s="1055"/>
      <c r="TUO89" s="1055"/>
      <c r="TUP89" s="1055"/>
      <c r="TUQ89" s="1055"/>
      <c r="TUR89" s="1055"/>
      <c r="TUS89" s="1055"/>
      <c r="TUT89" s="1055"/>
      <c r="TUU89" s="1055"/>
      <c r="TUV89" s="1055"/>
      <c r="TUW89" s="1055"/>
      <c r="TUX89" s="1055"/>
      <c r="TUY89" s="1055"/>
      <c r="TUZ89" s="1055"/>
      <c r="TVA89" s="1055"/>
      <c r="TVB89" s="1055"/>
      <c r="TVC89" s="1055"/>
      <c r="TVD89" s="1055"/>
      <c r="TVE89" s="1055"/>
      <c r="TVF89" s="1055"/>
      <c r="TVG89" s="1055"/>
      <c r="TVH89" s="1055"/>
      <c r="TVI89" s="1055"/>
      <c r="TVJ89" s="1055"/>
      <c r="TVK89" s="1055"/>
      <c r="TVL89" s="1055"/>
      <c r="TVM89" s="1055"/>
      <c r="TVN89" s="1055"/>
      <c r="TVO89" s="1055"/>
      <c r="TVP89" s="1055"/>
      <c r="TVQ89" s="1055"/>
      <c r="TVR89" s="1055"/>
      <c r="TVS89" s="1055"/>
      <c r="TVT89" s="1055"/>
      <c r="TVU89" s="1055"/>
      <c r="TVV89" s="1055"/>
      <c r="TVW89" s="1055"/>
      <c r="TVX89" s="1055"/>
      <c r="TVY89" s="1055"/>
      <c r="TVZ89" s="1055"/>
      <c r="TWA89" s="1055"/>
      <c r="TWB89" s="1055"/>
      <c r="TWC89" s="1055"/>
      <c r="TWD89" s="1055"/>
      <c r="TWE89" s="1055"/>
      <c r="TWF89" s="1055"/>
      <c r="TWG89" s="1055"/>
      <c r="TWH89" s="1055"/>
      <c r="TWI89" s="1055"/>
      <c r="TWJ89" s="1055"/>
      <c r="TWK89" s="1055"/>
      <c r="TWL89" s="1055"/>
      <c r="TWM89" s="1055"/>
      <c r="TWN89" s="1055"/>
      <c r="TWO89" s="1055"/>
      <c r="TWP89" s="1055"/>
      <c r="TWQ89" s="1055"/>
      <c r="TWR89" s="1055"/>
      <c r="TWS89" s="1055"/>
      <c r="TWT89" s="1055"/>
      <c r="TWU89" s="1055"/>
      <c r="TWV89" s="1055"/>
      <c r="TWW89" s="1055"/>
      <c r="TWX89" s="1055"/>
      <c r="TWY89" s="1055"/>
      <c r="TWZ89" s="1055"/>
      <c r="TXA89" s="1055"/>
      <c r="TXB89" s="1055"/>
      <c r="TXC89" s="1055"/>
      <c r="TXD89" s="1055"/>
      <c r="TXE89" s="1055"/>
      <c r="TXF89" s="1055"/>
      <c r="TXG89" s="1055"/>
      <c r="TXH89" s="1055"/>
      <c r="TXI89" s="1055"/>
      <c r="TXJ89" s="1055"/>
      <c r="TXK89" s="1055"/>
      <c r="TXL89" s="1055"/>
      <c r="TXM89" s="1055"/>
      <c r="TXN89" s="1055"/>
      <c r="TXO89" s="1055"/>
      <c r="TXP89" s="1055"/>
      <c r="TXQ89" s="1055"/>
      <c r="TXR89" s="1055"/>
      <c r="TXS89" s="1055"/>
      <c r="TXT89" s="1055"/>
      <c r="TXU89" s="1055"/>
      <c r="TXV89" s="1055"/>
      <c r="TXW89" s="1055"/>
      <c r="TXX89" s="1055"/>
      <c r="TXY89" s="1055"/>
      <c r="TXZ89" s="1055"/>
      <c r="TYA89" s="1055"/>
      <c r="TYB89" s="1055"/>
      <c r="TYC89" s="1055"/>
      <c r="TYD89" s="1055"/>
      <c r="TYE89" s="1055"/>
      <c r="TYF89" s="1055"/>
      <c r="TYG89" s="1055"/>
      <c r="TYH89" s="1055"/>
      <c r="TYI89" s="1055"/>
      <c r="TYJ89" s="1055"/>
      <c r="TYK89" s="1055"/>
      <c r="TYL89" s="1055"/>
      <c r="TYM89" s="1055"/>
      <c r="TYN89" s="1055"/>
      <c r="TYO89" s="1055"/>
      <c r="TYP89" s="1055"/>
      <c r="TYQ89" s="1055"/>
      <c r="TYR89" s="1055"/>
      <c r="TYS89" s="1055"/>
      <c r="TYT89" s="1055"/>
      <c r="TYU89" s="1055"/>
      <c r="TYV89" s="1055"/>
      <c r="TYW89" s="1055"/>
      <c r="TYX89" s="1055"/>
      <c r="TYY89" s="1055"/>
      <c r="TYZ89" s="1055"/>
      <c r="TZA89" s="1055"/>
      <c r="TZB89" s="1055"/>
      <c r="TZC89" s="1055"/>
      <c r="TZD89" s="1055"/>
      <c r="TZE89" s="1055"/>
      <c r="TZF89" s="1055"/>
      <c r="TZG89" s="1055"/>
      <c r="TZH89" s="1055"/>
      <c r="TZI89" s="1055"/>
      <c r="TZJ89" s="1055"/>
      <c r="TZK89" s="1055"/>
      <c r="TZL89" s="1055"/>
      <c r="TZM89" s="1055"/>
      <c r="TZN89" s="1055"/>
      <c r="TZO89" s="1055"/>
      <c r="TZP89" s="1055"/>
      <c r="TZQ89" s="1055"/>
      <c r="TZR89" s="1055"/>
      <c r="TZS89" s="1055"/>
      <c r="TZT89" s="1055"/>
      <c r="TZU89" s="1055"/>
      <c r="TZV89" s="1055"/>
      <c r="TZW89" s="1055"/>
      <c r="TZX89" s="1055"/>
      <c r="TZY89" s="1055"/>
      <c r="TZZ89" s="1055"/>
      <c r="UAA89" s="1055"/>
      <c r="UAB89" s="1055"/>
      <c r="UAC89" s="1055"/>
      <c r="UAD89" s="1055"/>
      <c r="UAE89" s="1055"/>
      <c r="UAF89" s="1055"/>
      <c r="UAG89" s="1055"/>
      <c r="UAH89" s="1055"/>
      <c r="UAI89" s="1055"/>
      <c r="UAJ89" s="1055"/>
      <c r="UAK89" s="1055"/>
      <c r="UAL89" s="1055"/>
      <c r="UAM89" s="1055"/>
      <c r="UAN89" s="1055"/>
      <c r="UAO89" s="1055"/>
      <c r="UAP89" s="1055"/>
      <c r="UAQ89" s="1055"/>
      <c r="UAR89" s="1055"/>
      <c r="UAS89" s="1055"/>
      <c r="UAT89" s="1055"/>
      <c r="UAU89" s="1055"/>
      <c r="UAV89" s="1055"/>
      <c r="UAW89" s="1055"/>
      <c r="UAX89" s="1055"/>
      <c r="UAY89" s="1055"/>
      <c r="UAZ89" s="1055"/>
      <c r="UBA89" s="1055"/>
      <c r="UBB89" s="1055"/>
      <c r="UBC89" s="1055"/>
      <c r="UBD89" s="1055"/>
      <c r="UBE89" s="1055"/>
      <c r="UBF89" s="1055"/>
      <c r="UBG89" s="1055"/>
      <c r="UBH89" s="1055"/>
      <c r="UBI89" s="1055"/>
      <c r="UBJ89" s="1055"/>
      <c r="UBK89" s="1055"/>
      <c r="UBL89" s="1055"/>
      <c r="UBM89" s="1055"/>
      <c r="UBN89" s="1055"/>
      <c r="UBO89" s="1055"/>
      <c r="UBP89" s="1055"/>
      <c r="UBQ89" s="1055"/>
      <c r="UBR89" s="1055"/>
      <c r="UBS89" s="1055"/>
      <c r="UBT89" s="1055"/>
      <c r="UBU89" s="1055"/>
      <c r="UBV89" s="1055"/>
      <c r="UBW89" s="1055"/>
      <c r="UBX89" s="1055"/>
      <c r="UBY89" s="1055"/>
      <c r="UBZ89" s="1055"/>
      <c r="UCA89" s="1055"/>
      <c r="UCB89" s="1055"/>
      <c r="UCC89" s="1055"/>
      <c r="UCD89" s="1055"/>
      <c r="UCE89" s="1055"/>
      <c r="UCF89" s="1055"/>
      <c r="UCG89" s="1055"/>
      <c r="UCH89" s="1055"/>
      <c r="UCI89" s="1055"/>
      <c r="UCJ89" s="1055"/>
      <c r="UCK89" s="1055"/>
      <c r="UCL89" s="1055"/>
      <c r="UCM89" s="1055"/>
      <c r="UCN89" s="1055"/>
      <c r="UCO89" s="1055"/>
      <c r="UCP89" s="1055"/>
      <c r="UCQ89" s="1055"/>
      <c r="UCR89" s="1055"/>
      <c r="UCS89" s="1055"/>
      <c r="UCT89" s="1055"/>
      <c r="UCU89" s="1055"/>
      <c r="UCV89" s="1055"/>
      <c r="UCW89" s="1055"/>
      <c r="UCX89" s="1055"/>
      <c r="UCY89" s="1055"/>
      <c r="UCZ89" s="1055"/>
      <c r="UDA89" s="1055"/>
      <c r="UDB89" s="1055"/>
      <c r="UDC89" s="1055"/>
      <c r="UDD89" s="1055"/>
      <c r="UDE89" s="1055"/>
      <c r="UDF89" s="1055"/>
      <c r="UDG89" s="1055"/>
      <c r="UDH89" s="1055"/>
      <c r="UDI89" s="1055"/>
      <c r="UDJ89" s="1055"/>
      <c r="UDK89" s="1055"/>
      <c r="UDL89" s="1055"/>
      <c r="UDM89" s="1055"/>
      <c r="UDN89" s="1055"/>
      <c r="UDO89" s="1055"/>
      <c r="UDP89" s="1055"/>
      <c r="UDQ89" s="1055"/>
      <c r="UDR89" s="1055"/>
      <c r="UDS89" s="1055"/>
      <c r="UDT89" s="1055"/>
      <c r="UDU89" s="1055"/>
      <c r="UDV89" s="1055"/>
      <c r="UDW89" s="1055"/>
      <c r="UDX89" s="1055"/>
      <c r="UDY89" s="1055"/>
      <c r="UDZ89" s="1055"/>
      <c r="UEA89" s="1055"/>
      <c r="UEB89" s="1055"/>
      <c r="UEC89" s="1055"/>
      <c r="UED89" s="1055"/>
      <c r="UEE89" s="1055"/>
      <c r="UEF89" s="1055"/>
      <c r="UEG89" s="1055"/>
      <c r="UEH89" s="1055"/>
      <c r="UEI89" s="1055"/>
      <c r="UEJ89" s="1055"/>
      <c r="UEK89" s="1055"/>
      <c r="UEL89" s="1055"/>
      <c r="UEM89" s="1055"/>
      <c r="UEN89" s="1055"/>
      <c r="UEO89" s="1055"/>
      <c r="UEP89" s="1055"/>
      <c r="UEQ89" s="1055"/>
      <c r="UER89" s="1055"/>
      <c r="UES89" s="1055"/>
      <c r="UET89" s="1055"/>
      <c r="UEU89" s="1055"/>
      <c r="UEV89" s="1055"/>
      <c r="UEW89" s="1055"/>
      <c r="UEX89" s="1055"/>
      <c r="UEY89" s="1055"/>
      <c r="UEZ89" s="1055"/>
      <c r="UFA89" s="1055"/>
      <c r="UFB89" s="1055"/>
      <c r="UFC89" s="1055"/>
      <c r="UFD89" s="1055"/>
      <c r="UFE89" s="1055"/>
      <c r="UFF89" s="1055"/>
      <c r="UFG89" s="1055"/>
      <c r="UFH89" s="1055"/>
      <c r="UFI89" s="1055"/>
      <c r="UFJ89" s="1055"/>
      <c r="UFK89" s="1055"/>
      <c r="UFL89" s="1055"/>
      <c r="UFM89" s="1055"/>
      <c r="UFN89" s="1055"/>
      <c r="UFO89" s="1055"/>
      <c r="UFP89" s="1055"/>
      <c r="UFQ89" s="1055"/>
      <c r="UFR89" s="1055"/>
      <c r="UFS89" s="1055"/>
      <c r="UFT89" s="1055"/>
      <c r="UFU89" s="1055"/>
      <c r="UFV89" s="1055"/>
      <c r="UFW89" s="1055"/>
      <c r="UFX89" s="1055"/>
      <c r="UFY89" s="1055"/>
      <c r="UFZ89" s="1055"/>
      <c r="UGA89" s="1055"/>
      <c r="UGB89" s="1055"/>
      <c r="UGC89" s="1055"/>
      <c r="UGD89" s="1055"/>
      <c r="UGE89" s="1055"/>
      <c r="UGF89" s="1055"/>
      <c r="UGG89" s="1055"/>
      <c r="UGH89" s="1055"/>
      <c r="UGI89" s="1055"/>
      <c r="UGJ89" s="1055"/>
      <c r="UGK89" s="1055"/>
      <c r="UGL89" s="1055"/>
      <c r="UGM89" s="1055"/>
      <c r="UGN89" s="1055"/>
      <c r="UGO89" s="1055"/>
      <c r="UGP89" s="1055"/>
      <c r="UGQ89" s="1055"/>
      <c r="UGR89" s="1055"/>
      <c r="UGS89" s="1055"/>
      <c r="UGT89" s="1055"/>
      <c r="UGU89" s="1055"/>
      <c r="UGV89" s="1055"/>
      <c r="UGW89" s="1055"/>
      <c r="UGX89" s="1055"/>
      <c r="UGY89" s="1055"/>
      <c r="UGZ89" s="1055"/>
      <c r="UHA89" s="1055"/>
      <c r="UHB89" s="1055"/>
      <c r="UHC89" s="1055"/>
      <c r="UHD89" s="1055"/>
      <c r="UHE89" s="1055"/>
      <c r="UHF89" s="1055"/>
      <c r="UHG89" s="1055"/>
      <c r="UHH89" s="1055"/>
      <c r="UHI89" s="1055"/>
      <c r="UHJ89" s="1055"/>
      <c r="UHK89" s="1055"/>
      <c r="UHL89" s="1055"/>
      <c r="UHM89" s="1055"/>
      <c r="UHN89" s="1055"/>
      <c r="UHO89" s="1055"/>
      <c r="UHP89" s="1055"/>
      <c r="UHQ89" s="1055"/>
      <c r="UHR89" s="1055"/>
      <c r="UHS89" s="1055"/>
      <c r="UHT89" s="1055"/>
      <c r="UHU89" s="1055"/>
      <c r="UHV89" s="1055"/>
      <c r="UHW89" s="1055"/>
      <c r="UHX89" s="1055"/>
      <c r="UHY89" s="1055"/>
      <c r="UHZ89" s="1055"/>
      <c r="UIA89" s="1055"/>
      <c r="UIB89" s="1055"/>
      <c r="UIC89" s="1055"/>
      <c r="UID89" s="1055"/>
      <c r="UIE89" s="1055"/>
      <c r="UIF89" s="1055"/>
      <c r="UIG89" s="1055"/>
      <c r="UIH89" s="1055"/>
      <c r="UII89" s="1055"/>
      <c r="UIJ89" s="1055"/>
      <c r="UIK89" s="1055"/>
      <c r="UIL89" s="1055"/>
      <c r="UIM89" s="1055"/>
      <c r="UIN89" s="1055"/>
      <c r="UIO89" s="1055"/>
      <c r="UIP89" s="1055"/>
      <c r="UIQ89" s="1055"/>
      <c r="UIR89" s="1055"/>
      <c r="UIS89" s="1055"/>
      <c r="UIT89" s="1055"/>
      <c r="UIU89" s="1055"/>
      <c r="UIV89" s="1055"/>
      <c r="UIW89" s="1055"/>
      <c r="UIX89" s="1055"/>
      <c r="UIY89" s="1055"/>
      <c r="UIZ89" s="1055"/>
      <c r="UJA89" s="1055"/>
      <c r="UJB89" s="1055"/>
      <c r="UJC89" s="1055"/>
      <c r="UJD89" s="1055"/>
      <c r="UJE89" s="1055"/>
      <c r="UJF89" s="1055"/>
      <c r="UJG89" s="1055"/>
      <c r="UJH89" s="1055"/>
      <c r="UJI89" s="1055"/>
      <c r="UJJ89" s="1055"/>
      <c r="UJK89" s="1055"/>
      <c r="UJL89" s="1055"/>
      <c r="UJM89" s="1055"/>
      <c r="UJN89" s="1055"/>
      <c r="UJO89" s="1055"/>
      <c r="UJP89" s="1055"/>
      <c r="UJQ89" s="1055"/>
      <c r="UJR89" s="1055"/>
      <c r="UJS89" s="1055"/>
      <c r="UJT89" s="1055"/>
      <c r="UJU89" s="1055"/>
      <c r="UJV89" s="1055"/>
      <c r="UJW89" s="1055"/>
      <c r="UJX89" s="1055"/>
      <c r="UJY89" s="1055"/>
      <c r="UJZ89" s="1055"/>
      <c r="UKA89" s="1055"/>
      <c r="UKB89" s="1055"/>
      <c r="UKC89" s="1055"/>
      <c r="UKD89" s="1055"/>
      <c r="UKE89" s="1055"/>
      <c r="UKF89" s="1055"/>
      <c r="UKG89" s="1055"/>
      <c r="UKH89" s="1055"/>
      <c r="UKI89" s="1055"/>
      <c r="UKJ89" s="1055"/>
      <c r="UKK89" s="1055"/>
      <c r="UKL89" s="1055"/>
      <c r="UKM89" s="1055"/>
      <c r="UKN89" s="1055"/>
      <c r="UKO89" s="1055"/>
      <c r="UKP89" s="1055"/>
      <c r="UKQ89" s="1055"/>
      <c r="UKR89" s="1055"/>
      <c r="UKS89" s="1055"/>
      <c r="UKT89" s="1055"/>
      <c r="UKU89" s="1055"/>
      <c r="UKV89" s="1055"/>
      <c r="UKW89" s="1055"/>
      <c r="UKX89" s="1055"/>
      <c r="UKY89" s="1055"/>
      <c r="UKZ89" s="1055"/>
      <c r="ULA89" s="1055"/>
      <c r="ULB89" s="1055"/>
      <c r="ULC89" s="1055"/>
      <c r="ULD89" s="1055"/>
      <c r="ULE89" s="1055"/>
      <c r="ULF89" s="1055"/>
      <c r="ULG89" s="1055"/>
      <c r="ULH89" s="1055"/>
      <c r="ULI89" s="1055"/>
      <c r="ULJ89" s="1055"/>
      <c r="ULK89" s="1055"/>
      <c r="ULL89" s="1055"/>
      <c r="ULM89" s="1055"/>
      <c r="ULN89" s="1055"/>
      <c r="ULO89" s="1055"/>
      <c r="ULP89" s="1055"/>
      <c r="ULQ89" s="1055"/>
      <c r="ULR89" s="1055"/>
      <c r="ULS89" s="1055"/>
      <c r="ULT89" s="1055"/>
      <c r="ULU89" s="1055"/>
      <c r="ULV89" s="1055"/>
      <c r="ULW89" s="1055"/>
      <c r="ULX89" s="1055"/>
      <c r="ULY89" s="1055"/>
      <c r="ULZ89" s="1055"/>
      <c r="UMA89" s="1055"/>
      <c r="UMB89" s="1055"/>
      <c r="UMC89" s="1055"/>
      <c r="UMD89" s="1055"/>
      <c r="UME89" s="1055"/>
      <c r="UMF89" s="1055"/>
      <c r="UMG89" s="1055"/>
      <c r="UMH89" s="1055"/>
      <c r="UMI89" s="1055"/>
      <c r="UMJ89" s="1055"/>
      <c r="UMK89" s="1055"/>
      <c r="UML89" s="1055"/>
      <c r="UMM89" s="1055"/>
      <c r="UMN89" s="1055"/>
      <c r="UMO89" s="1055"/>
      <c r="UMP89" s="1055"/>
      <c r="UMQ89" s="1055"/>
      <c r="UMR89" s="1055"/>
      <c r="UMS89" s="1055"/>
      <c r="UMT89" s="1055"/>
      <c r="UMU89" s="1055"/>
      <c r="UMV89" s="1055"/>
      <c r="UMW89" s="1055"/>
      <c r="UMX89" s="1055"/>
      <c r="UMY89" s="1055"/>
      <c r="UMZ89" s="1055"/>
      <c r="UNA89" s="1055"/>
      <c r="UNB89" s="1055"/>
      <c r="UNC89" s="1055"/>
      <c r="UND89" s="1055"/>
      <c r="UNE89" s="1055"/>
      <c r="UNF89" s="1055"/>
      <c r="UNG89" s="1055"/>
      <c r="UNH89" s="1055"/>
      <c r="UNI89" s="1055"/>
      <c r="UNJ89" s="1055"/>
      <c r="UNK89" s="1055"/>
      <c r="UNL89" s="1055"/>
      <c r="UNM89" s="1055"/>
      <c r="UNN89" s="1055"/>
      <c r="UNO89" s="1055"/>
      <c r="UNP89" s="1055"/>
      <c r="UNQ89" s="1055"/>
      <c r="UNR89" s="1055"/>
      <c r="UNS89" s="1055"/>
      <c r="UNT89" s="1055"/>
      <c r="UNU89" s="1055"/>
      <c r="UNV89" s="1055"/>
      <c r="UNW89" s="1055"/>
      <c r="UNX89" s="1055"/>
      <c r="UNY89" s="1055"/>
      <c r="UNZ89" s="1055"/>
      <c r="UOA89" s="1055"/>
      <c r="UOB89" s="1055"/>
      <c r="UOC89" s="1055"/>
      <c r="UOD89" s="1055"/>
      <c r="UOE89" s="1055"/>
      <c r="UOF89" s="1055"/>
      <c r="UOG89" s="1055"/>
      <c r="UOH89" s="1055"/>
      <c r="UOI89" s="1055"/>
      <c r="UOJ89" s="1055"/>
      <c r="UOK89" s="1055"/>
      <c r="UOL89" s="1055"/>
      <c r="UOM89" s="1055"/>
      <c r="UON89" s="1055"/>
      <c r="UOO89" s="1055"/>
      <c r="UOP89" s="1055"/>
      <c r="UOQ89" s="1055"/>
      <c r="UOR89" s="1055"/>
      <c r="UOS89" s="1055"/>
      <c r="UOT89" s="1055"/>
      <c r="UOU89" s="1055"/>
      <c r="UOV89" s="1055"/>
      <c r="UOW89" s="1055"/>
      <c r="UOX89" s="1055"/>
      <c r="UOY89" s="1055"/>
      <c r="UOZ89" s="1055"/>
      <c r="UPA89" s="1055"/>
      <c r="UPB89" s="1055"/>
      <c r="UPC89" s="1055"/>
      <c r="UPD89" s="1055"/>
      <c r="UPE89" s="1055"/>
      <c r="UPF89" s="1055"/>
      <c r="UPG89" s="1055"/>
      <c r="UPH89" s="1055"/>
      <c r="UPI89" s="1055"/>
      <c r="UPJ89" s="1055"/>
      <c r="UPK89" s="1055"/>
      <c r="UPL89" s="1055"/>
      <c r="UPM89" s="1055"/>
      <c r="UPN89" s="1055"/>
      <c r="UPO89" s="1055"/>
      <c r="UPP89" s="1055"/>
      <c r="UPQ89" s="1055"/>
      <c r="UPR89" s="1055"/>
      <c r="UPS89" s="1055"/>
      <c r="UPT89" s="1055"/>
      <c r="UPU89" s="1055"/>
      <c r="UPV89" s="1055"/>
      <c r="UPW89" s="1055"/>
      <c r="UPX89" s="1055"/>
      <c r="UPY89" s="1055"/>
      <c r="UPZ89" s="1055"/>
      <c r="UQA89" s="1055"/>
      <c r="UQB89" s="1055"/>
      <c r="UQC89" s="1055"/>
      <c r="UQD89" s="1055"/>
      <c r="UQE89" s="1055"/>
      <c r="UQF89" s="1055"/>
      <c r="UQG89" s="1055"/>
      <c r="UQH89" s="1055"/>
      <c r="UQI89" s="1055"/>
      <c r="UQJ89" s="1055"/>
      <c r="UQK89" s="1055"/>
      <c r="UQL89" s="1055"/>
      <c r="UQM89" s="1055"/>
      <c r="UQN89" s="1055"/>
      <c r="UQO89" s="1055"/>
      <c r="UQP89" s="1055"/>
      <c r="UQQ89" s="1055"/>
      <c r="UQR89" s="1055"/>
      <c r="UQS89" s="1055"/>
      <c r="UQT89" s="1055"/>
      <c r="UQU89" s="1055"/>
      <c r="UQV89" s="1055"/>
      <c r="UQW89" s="1055"/>
      <c r="UQX89" s="1055"/>
      <c r="UQY89" s="1055"/>
      <c r="UQZ89" s="1055"/>
      <c r="URA89" s="1055"/>
      <c r="URB89" s="1055"/>
      <c r="URC89" s="1055"/>
      <c r="URD89" s="1055"/>
      <c r="URE89" s="1055"/>
      <c r="URF89" s="1055"/>
      <c r="URG89" s="1055"/>
      <c r="URH89" s="1055"/>
      <c r="URI89" s="1055"/>
      <c r="URJ89" s="1055"/>
      <c r="URK89" s="1055"/>
      <c r="URL89" s="1055"/>
      <c r="URM89" s="1055"/>
      <c r="URN89" s="1055"/>
      <c r="URO89" s="1055"/>
      <c r="URP89" s="1055"/>
      <c r="URQ89" s="1055"/>
      <c r="URR89" s="1055"/>
      <c r="URS89" s="1055"/>
      <c r="URT89" s="1055"/>
      <c r="URU89" s="1055"/>
      <c r="URV89" s="1055"/>
      <c r="URW89" s="1055"/>
      <c r="URX89" s="1055"/>
      <c r="URY89" s="1055"/>
      <c r="URZ89" s="1055"/>
      <c r="USA89" s="1055"/>
      <c r="USB89" s="1055"/>
      <c r="USC89" s="1055"/>
      <c r="USD89" s="1055"/>
      <c r="USE89" s="1055"/>
      <c r="USF89" s="1055"/>
      <c r="USG89" s="1055"/>
      <c r="USH89" s="1055"/>
      <c r="USI89" s="1055"/>
      <c r="USJ89" s="1055"/>
      <c r="USK89" s="1055"/>
      <c r="USL89" s="1055"/>
      <c r="USM89" s="1055"/>
      <c r="USN89" s="1055"/>
      <c r="USO89" s="1055"/>
      <c r="USP89" s="1055"/>
      <c r="USQ89" s="1055"/>
      <c r="USR89" s="1055"/>
      <c r="USS89" s="1055"/>
      <c r="UST89" s="1055"/>
      <c r="USU89" s="1055"/>
      <c r="USV89" s="1055"/>
      <c r="USW89" s="1055"/>
      <c r="USX89" s="1055"/>
      <c r="USY89" s="1055"/>
      <c r="USZ89" s="1055"/>
      <c r="UTA89" s="1055"/>
      <c r="UTB89" s="1055"/>
      <c r="UTC89" s="1055"/>
      <c r="UTD89" s="1055"/>
      <c r="UTE89" s="1055"/>
      <c r="UTF89" s="1055"/>
      <c r="UTG89" s="1055"/>
      <c r="UTH89" s="1055"/>
      <c r="UTI89" s="1055"/>
      <c r="UTJ89" s="1055"/>
      <c r="UTK89" s="1055"/>
      <c r="UTL89" s="1055"/>
      <c r="UTM89" s="1055"/>
      <c r="UTN89" s="1055"/>
      <c r="UTO89" s="1055"/>
      <c r="UTP89" s="1055"/>
      <c r="UTQ89" s="1055"/>
      <c r="UTR89" s="1055"/>
      <c r="UTS89" s="1055"/>
      <c r="UTT89" s="1055"/>
      <c r="UTU89" s="1055"/>
      <c r="UTV89" s="1055"/>
      <c r="UTW89" s="1055"/>
      <c r="UTX89" s="1055"/>
      <c r="UTY89" s="1055"/>
      <c r="UTZ89" s="1055"/>
      <c r="UUA89" s="1055"/>
      <c r="UUB89" s="1055"/>
      <c r="UUC89" s="1055"/>
      <c r="UUD89" s="1055"/>
      <c r="UUE89" s="1055"/>
      <c r="UUF89" s="1055"/>
      <c r="UUG89" s="1055"/>
      <c r="UUH89" s="1055"/>
      <c r="UUI89" s="1055"/>
      <c r="UUJ89" s="1055"/>
      <c r="UUK89" s="1055"/>
      <c r="UUL89" s="1055"/>
      <c r="UUM89" s="1055"/>
      <c r="UUN89" s="1055"/>
      <c r="UUO89" s="1055"/>
      <c r="UUP89" s="1055"/>
      <c r="UUQ89" s="1055"/>
      <c r="UUR89" s="1055"/>
      <c r="UUS89" s="1055"/>
      <c r="UUT89" s="1055"/>
      <c r="UUU89" s="1055"/>
      <c r="UUV89" s="1055"/>
      <c r="UUW89" s="1055"/>
      <c r="UUX89" s="1055"/>
      <c r="UUY89" s="1055"/>
      <c r="UUZ89" s="1055"/>
      <c r="UVA89" s="1055"/>
      <c r="UVB89" s="1055"/>
      <c r="UVC89" s="1055"/>
      <c r="UVD89" s="1055"/>
      <c r="UVE89" s="1055"/>
      <c r="UVF89" s="1055"/>
      <c r="UVG89" s="1055"/>
      <c r="UVH89" s="1055"/>
      <c r="UVI89" s="1055"/>
      <c r="UVJ89" s="1055"/>
      <c r="UVK89" s="1055"/>
      <c r="UVL89" s="1055"/>
      <c r="UVM89" s="1055"/>
      <c r="UVN89" s="1055"/>
      <c r="UVO89" s="1055"/>
      <c r="UVP89" s="1055"/>
      <c r="UVQ89" s="1055"/>
      <c r="UVR89" s="1055"/>
      <c r="UVS89" s="1055"/>
      <c r="UVT89" s="1055"/>
      <c r="UVU89" s="1055"/>
      <c r="UVV89" s="1055"/>
      <c r="UVW89" s="1055"/>
      <c r="UVX89" s="1055"/>
      <c r="UVY89" s="1055"/>
      <c r="UVZ89" s="1055"/>
      <c r="UWA89" s="1055"/>
      <c r="UWB89" s="1055"/>
      <c r="UWC89" s="1055"/>
      <c r="UWD89" s="1055"/>
      <c r="UWE89" s="1055"/>
      <c r="UWF89" s="1055"/>
      <c r="UWG89" s="1055"/>
      <c r="UWH89" s="1055"/>
      <c r="UWI89" s="1055"/>
      <c r="UWJ89" s="1055"/>
      <c r="UWK89" s="1055"/>
      <c r="UWL89" s="1055"/>
      <c r="UWM89" s="1055"/>
      <c r="UWN89" s="1055"/>
      <c r="UWO89" s="1055"/>
      <c r="UWP89" s="1055"/>
      <c r="UWQ89" s="1055"/>
      <c r="UWR89" s="1055"/>
      <c r="UWS89" s="1055"/>
      <c r="UWT89" s="1055"/>
      <c r="UWU89" s="1055"/>
      <c r="UWV89" s="1055"/>
      <c r="UWW89" s="1055"/>
      <c r="UWX89" s="1055"/>
      <c r="UWY89" s="1055"/>
      <c r="UWZ89" s="1055"/>
      <c r="UXA89" s="1055"/>
      <c r="UXB89" s="1055"/>
      <c r="UXC89" s="1055"/>
      <c r="UXD89" s="1055"/>
      <c r="UXE89" s="1055"/>
      <c r="UXF89" s="1055"/>
      <c r="UXG89" s="1055"/>
      <c r="UXH89" s="1055"/>
      <c r="UXI89" s="1055"/>
      <c r="UXJ89" s="1055"/>
      <c r="UXK89" s="1055"/>
      <c r="UXL89" s="1055"/>
      <c r="UXM89" s="1055"/>
      <c r="UXN89" s="1055"/>
      <c r="UXO89" s="1055"/>
      <c r="UXP89" s="1055"/>
      <c r="UXQ89" s="1055"/>
      <c r="UXR89" s="1055"/>
      <c r="UXS89" s="1055"/>
      <c r="UXT89" s="1055"/>
      <c r="UXU89" s="1055"/>
      <c r="UXV89" s="1055"/>
      <c r="UXW89" s="1055"/>
      <c r="UXX89" s="1055"/>
      <c r="UXY89" s="1055"/>
      <c r="UXZ89" s="1055"/>
      <c r="UYA89" s="1055"/>
      <c r="UYB89" s="1055"/>
      <c r="UYC89" s="1055"/>
      <c r="UYD89" s="1055"/>
      <c r="UYE89" s="1055"/>
      <c r="UYF89" s="1055"/>
      <c r="UYG89" s="1055"/>
      <c r="UYH89" s="1055"/>
      <c r="UYI89" s="1055"/>
      <c r="UYJ89" s="1055"/>
      <c r="UYK89" s="1055"/>
      <c r="UYL89" s="1055"/>
      <c r="UYM89" s="1055"/>
      <c r="UYN89" s="1055"/>
      <c r="UYO89" s="1055"/>
      <c r="UYP89" s="1055"/>
      <c r="UYQ89" s="1055"/>
      <c r="UYR89" s="1055"/>
      <c r="UYS89" s="1055"/>
      <c r="UYT89" s="1055"/>
      <c r="UYU89" s="1055"/>
      <c r="UYV89" s="1055"/>
      <c r="UYW89" s="1055"/>
      <c r="UYX89" s="1055"/>
      <c r="UYY89" s="1055"/>
      <c r="UYZ89" s="1055"/>
      <c r="UZA89" s="1055"/>
      <c r="UZB89" s="1055"/>
      <c r="UZC89" s="1055"/>
      <c r="UZD89" s="1055"/>
      <c r="UZE89" s="1055"/>
      <c r="UZF89" s="1055"/>
      <c r="UZG89" s="1055"/>
      <c r="UZH89" s="1055"/>
      <c r="UZI89" s="1055"/>
      <c r="UZJ89" s="1055"/>
      <c r="UZK89" s="1055"/>
      <c r="UZL89" s="1055"/>
      <c r="UZM89" s="1055"/>
      <c r="UZN89" s="1055"/>
      <c r="UZO89" s="1055"/>
      <c r="UZP89" s="1055"/>
      <c r="UZQ89" s="1055"/>
      <c r="UZR89" s="1055"/>
      <c r="UZS89" s="1055"/>
      <c r="UZT89" s="1055"/>
      <c r="UZU89" s="1055"/>
      <c r="UZV89" s="1055"/>
      <c r="UZW89" s="1055"/>
      <c r="UZX89" s="1055"/>
      <c r="UZY89" s="1055"/>
      <c r="UZZ89" s="1055"/>
      <c r="VAA89" s="1055"/>
      <c r="VAB89" s="1055"/>
      <c r="VAC89" s="1055"/>
      <c r="VAD89" s="1055"/>
      <c r="VAE89" s="1055"/>
      <c r="VAF89" s="1055"/>
      <c r="VAG89" s="1055"/>
      <c r="VAH89" s="1055"/>
      <c r="VAI89" s="1055"/>
      <c r="VAJ89" s="1055"/>
      <c r="VAK89" s="1055"/>
      <c r="VAL89" s="1055"/>
      <c r="VAM89" s="1055"/>
      <c r="VAN89" s="1055"/>
      <c r="VAO89" s="1055"/>
      <c r="VAP89" s="1055"/>
      <c r="VAQ89" s="1055"/>
      <c r="VAR89" s="1055"/>
      <c r="VAS89" s="1055"/>
      <c r="VAT89" s="1055"/>
      <c r="VAU89" s="1055"/>
      <c r="VAV89" s="1055"/>
      <c r="VAW89" s="1055"/>
      <c r="VAX89" s="1055"/>
      <c r="VAY89" s="1055"/>
      <c r="VAZ89" s="1055"/>
      <c r="VBA89" s="1055"/>
      <c r="VBB89" s="1055"/>
      <c r="VBC89" s="1055"/>
      <c r="VBD89" s="1055"/>
      <c r="VBE89" s="1055"/>
      <c r="VBF89" s="1055"/>
      <c r="VBG89" s="1055"/>
      <c r="VBH89" s="1055"/>
      <c r="VBI89" s="1055"/>
      <c r="VBJ89" s="1055"/>
      <c r="VBK89" s="1055"/>
      <c r="VBL89" s="1055"/>
      <c r="VBM89" s="1055"/>
      <c r="VBN89" s="1055"/>
      <c r="VBO89" s="1055"/>
      <c r="VBP89" s="1055"/>
      <c r="VBQ89" s="1055"/>
      <c r="VBR89" s="1055"/>
      <c r="VBS89" s="1055"/>
      <c r="VBT89" s="1055"/>
      <c r="VBU89" s="1055"/>
      <c r="VBV89" s="1055"/>
      <c r="VBW89" s="1055"/>
      <c r="VBX89" s="1055"/>
      <c r="VBY89" s="1055"/>
      <c r="VBZ89" s="1055"/>
      <c r="VCA89" s="1055"/>
      <c r="VCB89" s="1055"/>
      <c r="VCC89" s="1055"/>
      <c r="VCD89" s="1055"/>
      <c r="VCE89" s="1055"/>
      <c r="VCF89" s="1055"/>
      <c r="VCG89" s="1055"/>
      <c r="VCH89" s="1055"/>
      <c r="VCI89" s="1055"/>
      <c r="VCJ89" s="1055"/>
      <c r="VCK89" s="1055"/>
      <c r="VCL89" s="1055"/>
      <c r="VCM89" s="1055"/>
      <c r="VCN89" s="1055"/>
      <c r="VCO89" s="1055"/>
      <c r="VCP89" s="1055"/>
      <c r="VCQ89" s="1055"/>
      <c r="VCR89" s="1055"/>
      <c r="VCS89" s="1055"/>
      <c r="VCT89" s="1055"/>
      <c r="VCU89" s="1055"/>
      <c r="VCV89" s="1055"/>
      <c r="VCW89" s="1055"/>
      <c r="VCX89" s="1055"/>
      <c r="VCY89" s="1055"/>
      <c r="VCZ89" s="1055"/>
      <c r="VDA89" s="1055"/>
      <c r="VDB89" s="1055"/>
      <c r="VDC89" s="1055"/>
      <c r="VDD89" s="1055"/>
      <c r="VDE89" s="1055"/>
      <c r="VDF89" s="1055"/>
      <c r="VDG89" s="1055"/>
      <c r="VDH89" s="1055"/>
      <c r="VDI89" s="1055"/>
      <c r="VDJ89" s="1055"/>
      <c r="VDK89" s="1055"/>
      <c r="VDL89" s="1055"/>
      <c r="VDM89" s="1055"/>
      <c r="VDN89" s="1055"/>
      <c r="VDO89" s="1055"/>
      <c r="VDP89" s="1055"/>
      <c r="VDQ89" s="1055"/>
      <c r="VDR89" s="1055"/>
      <c r="VDS89" s="1055"/>
      <c r="VDT89" s="1055"/>
      <c r="VDU89" s="1055"/>
      <c r="VDV89" s="1055"/>
      <c r="VDW89" s="1055"/>
      <c r="VDX89" s="1055"/>
      <c r="VDY89" s="1055"/>
      <c r="VDZ89" s="1055"/>
      <c r="VEA89" s="1055"/>
      <c r="VEB89" s="1055"/>
      <c r="VEC89" s="1055"/>
      <c r="VED89" s="1055"/>
      <c r="VEE89" s="1055"/>
      <c r="VEF89" s="1055"/>
      <c r="VEG89" s="1055"/>
      <c r="VEH89" s="1055"/>
      <c r="VEI89" s="1055"/>
      <c r="VEJ89" s="1055"/>
      <c r="VEK89" s="1055"/>
      <c r="VEL89" s="1055"/>
      <c r="VEM89" s="1055"/>
      <c r="VEN89" s="1055"/>
      <c r="VEO89" s="1055"/>
      <c r="VEP89" s="1055"/>
      <c r="VEQ89" s="1055"/>
      <c r="VER89" s="1055"/>
      <c r="VES89" s="1055"/>
      <c r="VET89" s="1055"/>
      <c r="VEU89" s="1055"/>
      <c r="VEV89" s="1055"/>
      <c r="VEW89" s="1055"/>
      <c r="VEX89" s="1055"/>
      <c r="VEY89" s="1055"/>
      <c r="VEZ89" s="1055"/>
      <c r="VFA89" s="1055"/>
      <c r="VFB89" s="1055"/>
      <c r="VFC89" s="1055"/>
      <c r="VFD89" s="1055"/>
      <c r="VFE89" s="1055"/>
      <c r="VFF89" s="1055"/>
      <c r="VFG89" s="1055"/>
      <c r="VFH89" s="1055"/>
      <c r="VFI89" s="1055"/>
      <c r="VFJ89" s="1055"/>
      <c r="VFK89" s="1055"/>
      <c r="VFL89" s="1055"/>
      <c r="VFM89" s="1055"/>
      <c r="VFN89" s="1055"/>
      <c r="VFO89" s="1055"/>
      <c r="VFP89" s="1055"/>
      <c r="VFQ89" s="1055"/>
      <c r="VFR89" s="1055"/>
      <c r="VFS89" s="1055"/>
      <c r="VFT89" s="1055"/>
      <c r="VFU89" s="1055"/>
      <c r="VFV89" s="1055"/>
      <c r="VFW89" s="1055"/>
      <c r="VFX89" s="1055"/>
      <c r="VFY89" s="1055"/>
      <c r="VFZ89" s="1055"/>
      <c r="VGA89" s="1055"/>
      <c r="VGB89" s="1055"/>
      <c r="VGC89" s="1055"/>
      <c r="VGD89" s="1055"/>
      <c r="VGE89" s="1055"/>
      <c r="VGF89" s="1055"/>
      <c r="VGG89" s="1055"/>
      <c r="VGH89" s="1055"/>
      <c r="VGI89" s="1055"/>
      <c r="VGJ89" s="1055"/>
      <c r="VGK89" s="1055"/>
      <c r="VGL89" s="1055"/>
      <c r="VGM89" s="1055"/>
      <c r="VGN89" s="1055"/>
      <c r="VGO89" s="1055"/>
      <c r="VGP89" s="1055"/>
      <c r="VGQ89" s="1055"/>
      <c r="VGR89" s="1055"/>
      <c r="VGS89" s="1055"/>
      <c r="VGT89" s="1055"/>
      <c r="VGU89" s="1055"/>
      <c r="VGV89" s="1055"/>
      <c r="VGW89" s="1055"/>
      <c r="VGX89" s="1055"/>
      <c r="VGY89" s="1055"/>
      <c r="VGZ89" s="1055"/>
      <c r="VHA89" s="1055"/>
      <c r="VHB89" s="1055"/>
      <c r="VHC89" s="1055"/>
      <c r="VHD89" s="1055"/>
      <c r="VHE89" s="1055"/>
      <c r="VHF89" s="1055"/>
      <c r="VHG89" s="1055"/>
      <c r="VHH89" s="1055"/>
      <c r="VHI89" s="1055"/>
      <c r="VHJ89" s="1055"/>
      <c r="VHK89" s="1055"/>
      <c r="VHL89" s="1055"/>
      <c r="VHM89" s="1055"/>
      <c r="VHN89" s="1055"/>
      <c r="VHO89" s="1055"/>
      <c r="VHP89" s="1055"/>
      <c r="VHQ89" s="1055"/>
      <c r="VHR89" s="1055"/>
      <c r="VHS89" s="1055"/>
      <c r="VHT89" s="1055"/>
      <c r="VHU89" s="1055"/>
      <c r="VHV89" s="1055"/>
      <c r="VHW89" s="1055"/>
      <c r="VHX89" s="1055"/>
      <c r="VHY89" s="1055"/>
      <c r="VHZ89" s="1055"/>
      <c r="VIA89" s="1055"/>
      <c r="VIB89" s="1055"/>
      <c r="VIC89" s="1055"/>
      <c r="VID89" s="1055"/>
      <c r="VIE89" s="1055"/>
      <c r="VIF89" s="1055"/>
      <c r="VIG89" s="1055"/>
      <c r="VIH89" s="1055"/>
      <c r="VII89" s="1055"/>
      <c r="VIJ89" s="1055"/>
      <c r="VIK89" s="1055"/>
      <c r="VIL89" s="1055"/>
      <c r="VIM89" s="1055"/>
      <c r="VIN89" s="1055"/>
      <c r="VIO89" s="1055"/>
      <c r="VIP89" s="1055"/>
      <c r="VIQ89" s="1055"/>
      <c r="VIR89" s="1055"/>
      <c r="VIS89" s="1055"/>
      <c r="VIT89" s="1055"/>
      <c r="VIU89" s="1055"/>
      <c r="VIV89" s="1055"/>
      <c r="VIW89" s="1055"/>
      <c r="VIX89" s="1055"/>
      <c r="VIY89" s="1055"/>
      <c r="VIZ89" s="1055"/>
      <c r="VJA89" s="1055"/>
      <c r="VJB89" s="1055"/>
      <c r="VJC89" s="1055"/>
      <c r="VJD89" s="1055"/>
      <c r="VJE89" s="1055"/>
      <c r="VJF89" s="1055"/>
      <c r="VJG89" s="1055"/>
      <c r="VJH89" s="1055"/>
      <c r="VJI89" s="1055"/>
      <c r="VJJ89" s="1055"/>
      <c r="VJK89" s="1055"/>
      <c r="VJL89" s="1055"/>
      <c r="VJM89" s="1055"/>
      <c r="VJN89" s="1055"/>
      <c r="VJO89" s="1055"/>
      <c r="VJP89" s="1055"/>
      <c r="VJQ89" s="1055"/>
      <c r="VJR89" s="1055"/>
      <c r="VJS89" s="1055"/>
      <c r="VJT89" s="1055"/>
      <c r="VJU89" s="1055"/>
      <c r="VJV89" s="1055"/>
      <c r="VJW89" s="1055"/>
      <c r="VJX89" s="1055"/>
      <c r="VJY89" s="1055"/>
      <c r="VJZ89" s="1055"/>
      <c r="VKA89" s="1055"/>
      <c r="VKB89" s="1055"/>
      <c r="VKC89" s="1055"/>
      <c r="VKD89" s="1055"/>
      <c r="VKE89" s="1055"/>
      <c r="VKF89" s="1055"/>
      <c r="VKG89" s="1055"/>
      <c r="VKH89" s="1055"/>
      <c r="VKI89" s="1055"/>
      <c r="VKJ89" s="1055"/>
      <c r="VKK89" s="1055"/>
      <c r="VKL89" s="1055"/>
      <c r="VKM89" s="1055"/>
      <c r="VKN89" s="1055"/>
      <c r="VKO89" s="1055"/>
      <c r="VKP89" s="1055"/>
      <c r="VKQ89" s="1055"/>
      <c r="VKR89" s="1055"/>
      <c r="VKS89" s="1055"/>
      <c r="VKT89" s="1055"/>
      <c r="VKU89" s="1055"/>
      <c r="VKV89" s="1055"/>
      <c r="VKW89" s="1055"/>
      <c r="VKX89" s="1055"/>
      <c r="VKY89" s="1055"/>
      <c r="VKZ89" s="1055"/>
      <c r="VLA89" s="1055"/>
      <c r="VLB89" s="1055"/>
      <c r="VLC89" s="1055"/>
      <c r="VLD89" s="1055"/>
      <c r="VLE89" s="1055"/>
      <c r="VLF89" s="1055"/>
      <c r="VLG89" s="1055"/>
      <c r="VLH89" s="1055"/>
      <c r="VLI89" s="1055"/>
      <c r="VLJ89" s="1055"/>
      <c r="VLK89" s="1055"/>
      <c r="VLL89" s="1055"/>
      <c r="VLM89" s="1055"/>
      <c r="VLN89" s="1055"/>
      <c r="VLO89" s="1055"/>
      <c r="VLP89" s="1055"/>
      <c r="VLQ89" s="1055"/>
      <c r="VLR89" s="1055"/>
      <c r="VLS89" s="1055"/>
      <c r="VLT89" s="1055"/>
      <c r="VLU89" s="1055"/>
      <c r="VLV89" s="1055"/>
      <c r="VLW89" s="1055"/>
      <c r="VLX89" s="1055"/>
      <c r="VLY89" s="1055"/>
      <c r="VLZ89" s="1055"/>
      <c r="VMA89" s="1055"/>
      <c r="VMB89" s="1055"/>
      <c r="VMC89" s="1055"/>
      <c r="VMD89" s="1055"/>
      <c r="VME89" s="1055"/>
      <c r="VMF89" s="1055"/>
      <c r="VMG89" s="1055"/>
      <c r="VMH89" s="1055"/>
      <c r="VMI89" s="1055"/>
      <c r="VMJ89" s="1055"/>
      <c r="VMK89" s="1055"/>
      <c r="VML89" s="1055"/>
      <c r="VMM89" s="1055"/>
      <c r="VMN89" s="1055"/>
      <c r="VMO89" s="1055"/>
      <c r="VMP89" s="1055"/>
      <c r="VMQ89" s="1055"/>
      <c r="VMR89" s="1055"/>
      <c r="VMS89" s="1055"/>
      <c r="VMT89" s="1055"/>
      <c r="VMU89" s="1055"/>
      <c r="VMV89" s="1055"/>
      <c r="VMW89" s="1055"/>
      <c r="VMX89" s="1055"/>
      <c r="VMY89" s="1055"/>
      <c r="VMZ89" s="1055"/>
      <c r="VNA89" s="1055"/>
      <c r="VNB89" s="1055"/>
      <c r="VNC89" s="1055"/>
      <c r="VND89" s="1055"/>
      <c r="VNE89" s="1055"/>
      <c r="VNF89" s="1055"/>
      <c r="VNG89" s="1055"/>
      <c r="VNH89" s="1055"/>
      <c r="VNI89" s="1055"/>
      <c r="VNJ89" s="1055"/>
      <c r="VNK89" s="1055"/>
      <c r="VNL89" s="1055"/>
      <c r="VNM89" s="1055"/>
      <c r="VNN89" s="1055"/>
      <c r="VNO89" s="1055"/>
      <c r="VNP89" s="1055"/>
      <c r="VNQ89" s="1055"/>
      <c r="VNR89" s="1055"/>
      <c r="VNS89" s="1055"/>
      <c r="VNT89" s="1055"/>
      <c r="VNU89" s="1055"/>
      <c r="VNV89" s="1055"/>
      <c r="VNW89" s="1055"/>
      <c r="VNX89" s="1055"/>
      <c r="VNY89" s="1055"/>
      <c r="VNZ89" s="1055"/>
      <c r="VOA89" s="1055"/>
      <c r="VOB89" s="1055"/>
      <c r="VOC89" s="1055"/>
      <c r="VOD89" s="1055"/>
      <c r="VOE89" s="1055"/>
      <c r="VOF89" s="1055"/>
      <c r="VOG89" s="1055"/>
      <c r="VOH89" s="1055"/>
      <c r="VOI89" s="1055"/>
      <c r="VOJ89" s="1055"/>
      <c r="VOK89" s="1055"/>
      <c r="VOL89" s="1055"/>
      <c r="VOM89" s="1055"/>
      <c r="VON89" s="1055"/>
      <c r="VOO89" s="1055"/>
      <c r="VOP89" s="1055"/>
      <c r="VOQ89" s="1055"/>
      <c r="VOR89" s="1055"/>
      <c r="VOS89" s="1055"/>
      <c r="VOT89" s="1055"/>
      <c r="VOU89" s="1055"/>
      <c r="VOV89" s="1055"/>
      <c r="VOW89" s="1055"/>
      <c r="VOX89" s="1055"/>
      <c r="VOY89" s="1055"/>
      <c r="VOZ89" s="1055"/>
      <c r="VPA89" s="1055"/>
      <c r="VPB89" s="1055"/>
      <c r="VPC89" s="1055"/>
      <c r="VPD89" s="1055"/>
      <c r="VPE89" s="1055"/>
      <c r="VPF89" s="1055"/>
      <c r="VPG89" s="1055"/>
      <c r="VPH89" s="1055"/>
      <c r="VPI89" s="1055"/>
      <c r="VPJ89" s="1055"/>
      <c r="VPK89" s="1055"/>
      <c r="VPL89" s="1055"/>
      <c r="VPM89" s="1055"/>
      <c r="VPN89" s="1055"/>
      <c r="VPO89" s="1055"/>
      <c r="VPP89" s="1055"/>
      <c r="VPQ89" s="1055"/>
      <c r="VPR89" s="1055"/>
      <c r="VPS89" s="1055"/>
      <c r="VPT89" s="1055"/>
      <c r="VPU89" s="1055"/>
      <c r="VPV89" s="1055"/>
      <c r="VPW89" s="1055"/>
      <c r="VPX89" s="1055"/>
      <c r="VPY89" s="1055"/>
      <c r="VPZ89" s="1055"/>
      <c r="VQA89" s="1055"/>
      <c r="VQB89" s="1055"/>
      <c r="VQC89" s="1055"/>
      <c r="VQD89" s="1055"/>
      <c r="VQE89" s="1055"/>
      <c r="VQF89" s="1055"/>
      <c r="VQG89" s="1055"/>
      <c r="VQH89" s="1055"/>
      <c r="VQI89" s="1055"/>
      <c r="VQJ89" s="1055"/>
      <c r="VQK89" s="1055"/>
      <c r="VQL89" s="1055"/>
      <c r="VQM89" s="1055"/>
      <c r="VQN89" s="1055"/>
      <c r="VQO89" s="1055"/>
      <c r="VQP89" s="1055"/>
      <c r="VQQ89" s="1055"/>
      <c r="VQR89" s="1055"/>
      <c r="VQS89" s="1055"/>
      <c r="VQT89" s="1055"/>
      <c r="VQU89" s="1055"/>
      <c r="VQV89" s="1055"/>
      <c r="VQW89" s="1055"/>
      <c r="VQX89" s="1055"/>
      <c r="VQY89" s="1055"/>
      <c r="VQZ89" s="1055"/>
      <c r="VRA89" s="1055"/>
      <c r="VRB89" s="1055"/>
      <c r="VRC89" s="1055"/>
      <c r="VRD89" s="1055"/>
      <c r="VRE89" s="1055"/>
      <c r="VRF89" s="1055"/>
      <c r="VRG89" s="1055"/>
      <c r="VRH89" s="1055"/>
      <c r="VRI89" s="1055"/>
      <c r="VRJ89" s="1055"/>
      <c r="VRK89" s="1055"/>
      <c r="VRL89" s="1055"/>
      <c r="VRM89" s="1055"/>
      <c r="VRN89" s="1055"/>
      <c r="VRO89" s="1055"/>
      <c r="VRP89" s="1055"/>
      <c r="VRQ89" s="1055"/>
      <c r="VRR89" s="1055"/>
      <c r="VRS89" s="1055"/>
      <c r="VRT89" s="1055"/>
      <c r="VRU89" s="1055"/>
      <c r="VRV89" s="1055"/>
      <c r="VRW89" s="1055"/>
      <c r="VRX89" s="1055"/>
      <c r="VRY89" s="1055"/>
      <c r="VRZ89" s="1055"/>
      <c r="VSA89" s="1055"/>
      <c r="VSB89" s="1055"/>
      <c r="VSC89" s="1055"/>
      <c r="VSD89" s="1055"/>
      <c r="VSE89" s="1055"/>
      <c r="VSF89" s="1055"/>
      <c r="VSG89" s="1055"/>
      <c r="VSH89" s="1055"/>
      <c r="VSI89" s="1055"/>
      <c r="VSJ89" s="1055"/>
      <c r="VSK89" s="1055"/>
      <c r="VSL89" s="1055"/>
      <c r="VSM89" s="1055"/>
      <c r="VSN89" s="1055"/>
      <c r="VSO89" s="1055"/>
      <c r="VSP89" s="1055"/>
      <c r="VSQ89" s="1055"/>
      <c r="VSR89" s="1055"/>
      <c r="VSS89" s="1055"/>
      <c r="VST89" s="1055"/>
      <c r="VSU89" s="1055"/>
      <c r="VSV89" s="1055"/>
      <c r="VSW89" s="1055"/>
      <c r="VSX89" s="1055"/>
      <c r="VSY89" s="1055"/>
      <c r="VSZ89" s="1055"/>
      <c r="VTA89" s="1055"/>
      <c r="VTB89" s="1055"/>
      <c r="VTC89" s="1055"/>
      <c r="VTD89" s="1055"/>
      <c r="VTE89" s="1055"/>
      <c r="VTF89" s="1055"/>
      <c r="VTG89" s="1055"/>
      <c r="VTH89" s="1055"/>
      <c r="VTI89" s="1055"/>
      <c r="VTJ89" s="1055"/>
      <c r="VTK89" s="1055"/>
      <c r="VTL89" s="1055"/>
      <c r="VTM89" s="1055"/>
      <c r="VTN89" s="1055"/>
      <c r="VTO89" s="1055"/>
      <c r="VTP89" s="1055"/>
      <c r="VTQ89" s="1055"/>
      <c r="VTR89" s="1055"/>
      <c r="VTS89" s="1055"/>
      <c r="VTT89" s="1055"/>
      <c r="VTU89" s="1055"/>
      <c r="VTV89" s="1055"/>
      <c r="VTW89" s="1055"/>
      <c r="VTX89" s="1055"/>
      <c r="VTY89" s="1055"/>
      <c r="VTZ89" s="1055"/>
      <c r="VUA89" s="1055"/>
      <c r="VUB89" s="1055"/>
      <c r="VUC89" s="1055"/>
      <c r="VUD89" s="1055"/>
      <c r="VUE89" s="1055"/>
      <c r="VUF89" s="1055"/>
      <c r="VUG89" s="1055"/>
      <c r="VUH89" s="1055"/>
      <c r="VUI89" s="1055"/>
      <c r="VUJ89" s="1055"/>
      <c r="VUK89" s="1055"/>
      <c r="VUL89" s="1055"/>
      <c r="VUM89" s="1055"/>
      <c r="VUN89" s="1055"/>
      <c r="VUO89" s="1055"/>
      <c r="VUP89" s="1055"/>
      <c r="VUQ89" s="1055"/>
      <c r="VUR89" s="1055"/>
      <c r="VUS89" s="1055"/>
      <c r="VUT89" s="1055"/>
      <c r="VUU89" s="1055"/>
      <c r="VUV89" s="1055"/>
      <c r="VUW89" s="1055"/>
      <c r="VUX89" s="1055"/>
      <c r="VUY89" s="1055"/>
      <c r="VUZ89" s="1055"/>
      <c r="VVA89" s="1055"/>
      <c r="VVB89" s="1055"/>
      <c r="VVC89" s="1055"/>
      <c r="VVD89" s="1055"/>
      <c r="VVE89" s="1055"/>
      <c r="VVF89" s="1055"/>
      <c r="VVG89" s="1055"/>
      <c r="VVH89" s="1055"/>
      <c r="VVI89" s="1055"/>
      <c r="VVJ89" s="1055"/>
      <c r="VVK89" s="1055"/>
      <c r="VVL89" s="1055"/>
      <c r="VVM89" s="1055"/>
      <c r="VVN89" s="1055"/>
      <c r="VVO89" s="1055"/>
      <c r="VVP89" s="1055"/>
      <c r="VVQ89" s="1055"/>
      <c r="VVR89" s="1055"/>
      <c r="VVS89" s="1055"/>
      <c r="VVT89" s="1055"/>
      <c r="VVU89" s="1055"/>
      <c r="VVV89" s="1055"/>
      <c r="VVW89" s="1055"/>
      <c r="VVX89" s="1055"/>
      <c r="VVY89" s="1055"/>
      <c r="VVZ89" s="1055"/>
      <c r="VWA89" s="1055"/>
      <c r="VWB89" s="1055"/>
      <c r="VWC89" s="1055"/>
      <c r="VWD89" s="1055"/>
      <c r="VWE89" s="1055"/>
      <c r="VWF89" s="1055"/>
      <c r="VWG89" s="1055"/>
      <c r="VWH89" s="1055"/>
      <c r="VWI89" s="1055"/>
      <c r="VWJ89" s="1055"/>
      <c r="VWK89" s="1055"/>
      <c r="VWL89" s="1055"/>
      <c r="VWM89" s="1055"/>
      <c r="VWN89" s="1055"/>
      <c r="VWO89" s="1055"/>
      <c r="VWP89" s="1055"/>
      <c r="VWQ89" s="1055"/>
      <c r="VWR89" s="1055"/>
      <c r="VWS89" s="1055"/>
      <c r="VWT89" s="1055"/>
      <c r="VWU89" s="1055"/>
      <c r="VWV89" s="1055"/>
      <c r="VWW89" s="1055"/>
      <c r="VWX89" s="1055"/>
      <c r="VWY89" s="1055"/>
      <c r="VWZ89" s="1055"/>
      <c r="VXA89" s="1055"/>
      <c r="VXB89" s="1055"/>
      <c r="VXC89" s="1055"/>
      <c r="VXD89" s="1055"/>
      <c r="VXE89" s="1055"/>
      <c r="VXF89" s="1055"/>
      <c r="VXG89" s="1055"/>
      <c r="VXH89" s="1055"/>
      <c r="VXI89" s="1055"/>
      <c r="VXJ89" s="1055"/>
      <c r="VXK89" s="1055"/>
      <c r="VXL89" s="1055"/>
      <c r="VXM89" s="1055"/>
      <c r="VXN89" s="1055"/>
      <c r="VXO89" s="1055"/>
      <c r="VXP89" s="1055"/>
      <c r="VXQ89" s="1055"/>
      <c r="VXR89" s="1055"/>
      <c r="VXS89" s="1055"/>
      <c r="VXT89" s="1055"/>
      <c r="VXU89" s="1055"/>
      <c r="VXV89" s="1055"/>
      <c r="VXW89" s="1055"/>
      <c r="VXX89" s="1055"/>
      <c r="VXY89" s="1055"/>
      <c r="VXZ89" s="1055"/>
      <c r="VYA89" s="1055"/>
      <c r="VYB89" s="1055"/>
      <c r="VYC89" s="1055"/>
      <c r="VYD89" s="1055"/>
      <c r="VYE89" s="1055"/>
      <c r="VYF89" s="1055"/>
      <c r="VYG89" s="1055"/>
      <c r="VYH89" s="1055"/>
      <c r="VYI89" s="1055"/>
      <c r="VYJ89" s="1055"/>
      <c r="VYK89" s="1055"/>
      <c r="VYL89" s="1055"/>
      <c r="VYM89" s="1055"/>
      <c r="VYN89" s="1055"/>
      <c r="VYO89" s="1055"/>
      <c r="VYP89" s="1055"/>
      <c r="VYQ89" s="1055"/>
      <c r="VYR89" s="1055"/>
      <c r="VYS89" s="1055"/>
      <c r="VYT89" s="1055"/>
      <c r="VYU89" s="1055"/>
      <c r="VYV89" s="1055"/>
      <c r="VYW89" s="1055"/>
      <c r="VYX89" s="1055"/>
      <c r="VYY89" s="1055"/>
      <c r="VYZ89" s="1055"/>
      <c r="VZA89" s="1055"/>
      <c r="VZB89" s="1055"/>
      <c r="VZC89" s="1055"/>
      <c r="VZD89" s="1055"/>
      <c r="VZE89" s="1055"/>
      <c r="VZF89" s="1055"/>
      <c r="VZG89" s="1055"/>
      <c r="VZH89" s="1055"/>
      <c r="VZI89" s="1055"/>
      <c r="VZJ89" s="1055"/>
      <c r="VZK89" s="1055"/>
      <c r="VZL89" s="1055"/>
      <c r="VZM89" s="1055"/>
      <c r="VZN89" s="1055"/>
      <c r="VZO89" s="1055"/>
      <c r="VZP89" s="1055"/>
      <c r="VZQ89" s="1055"/>
      <c r="VZR89" s="1055"/>
      <c r="VZS89" s="1055"/>
      <c r="VZT89" s="1055"/>
      <c r="VZU89" s="1055"/>
      <c r="VZV89" s="1055"/>
      <c r="VZW89" s="1055"/>
      <c r="VZX89" s="1055"/>
      <c r="VZY89" s="1055"/>
      <c r="VZZ89" s="1055"/>
      <c r="WAA89" s="1055"/>
      <c r="WAB89" s="1055"/>
      <c r="WAC89" s="1055"/>
      <c r="WAD89" s="1055"/>
      <c r="WAE89" s="1055"/>
      <c r="WAF89" s="1055"/>
      <c r="WAG89" s="1055"/>
      <c r="WAH89" s="1055"/>
      <c r="WAI89" s="1055"/>
      <c r="WAJ89" s="1055"/>
      <c r="WAK89" s="1055"/>
      <c r="WAL89" s="1055"/>
      <c r="WAM89" s="1055"/>
      <c r="WAN89" s="1055"/>
      <c r="WAO89" s="1055"/>
      <c r="WAP89" s="1055"/>
      <c r="WAQ89" s="1055"/>
      <c r="WAR89" s="1055"/>
      <c r="WAS89" s="1055"/>
      <c r="WAT89" s="1055"/>
      <c r="WAU89" s="1055"/>
      <c r="WAV89" s="1055"/>
      <c r="WAW89" s="1055"/>
      <c r="WAX89" s="1055"/>
      <c r="WAY89" s="1055"/>
      <c r="WAZ89" s="1055"/>
      <c r="WBA89" s="1055"/>
      <c r="WBB89" s="1055"/>
      <c r="WBC89" s="1055"/>
      <c r="WBD89" s="1055"/>
      <c r="WBE89" s="1055"/>
      <c r="WBF89" s="1055"/>
      <c r="WBG89" s="1055"/>
      <c r="WBH89" s="1055"/>
      <c r="WBI89" s="1055"/>
      <c r="WBJ89" s="1055"/>
      <c r="WBK89" s="1055"/>
      <c r="WBL89" s="1055"/>
      <c r="WBM89" s="1055"/>
      <c r="WBN89" s="1055"/>
      <c r="WBO89" s="1055"/>
      <c r="WBP89" s="1055"/>
      <c r="WBQ89" s="1055"/>
      <c r="WBR89" s="1055"/>
      <c r="WBS89" s="1055"/>
      <c r="WBT89" s="1055"/>
      <c r="WBU89" s="1055"/>
      <c r="WBV89" s="1055"/>
      <c r="WBW89" s="1055"/>
      <c r="WBX89" s="1055"/>
      <c r="WBY89" s="1055"/>
      <c r="WBZ89" s="1055"/>
      <c r="WCA89" s="1055"/>
      <c r="WCB89" s="1055"/>
      <c r="WCC89" s="1055"/>
      <c r="WCD89" s="1055"/>
      <c r="WCE89" s="1055"/>
      <c r="WCF89" s="1055"/>
      <c r="WCG89" s="1055"/>
      <c r="WCH89" s="1055"/>
      <c r="WCI89" s="1055"/>
      <c r="WCJ89" s="1055"/>
      <c r="WCK89" s="1055"/>
      <c r="WCL89" s="1055"/>
      <c r="WCM89" s="1055"/>
      <c r="WCN89" s="1055"/>
      <c r="WCO89" s="1055"/>
      <c r="WCP89" s="1055"/>
      <c r="WCQ89" s="1055"/>
      <c r="WCR89" s="1055"/>
      <c r="WCS89" s="1055"/>
      <c r="WCT89" s="1055"/>
      <c r="WCU89" s="1055"/>
      <c r="WCV89" s="1055"/>
      <c r="WCW89" s="1055"/>
      <c r="WCX89" s="1055"/>
      <c r="WCY89" s="1055"/>
      <c r="WCZ89" s="1055"/>
      <c r="WDA89" s="1055"/>
      <c r="WDB89" s="1055"/>
      <c r="WDC89" s="1055"/>
      <c r="WDD89" s="1055"/>
      <c r="WDE89" s="1055"/>
      <c r="WDF89" s="1055"/>
      <c r="WDG89" s="1055"/>
      <c r="WDH89" s="1055"/>
      <c r="WDI89" s="1055"/>
      <c r="WDJ89" s="1055"/>
      <c r="WDK89" s="1055"/>
      <c r="WDL89" s="1055"/>
      <c r="WDM89" s="1055"/>
      <c r="WDN89" s="1055"/>
      <c r="WDO89" s="1055"/>
      <c r="WDP89" s="1055"/>
      <c r="WDQ89" s="1055"/>
      <c r="WDR89" s="1055"/>
      <c r="WDS89" s="1055"/>
      <c r="WDT89" s="1055"/>
      <c r="WDU89" s="1055"/>
      <c r="WDV89" s="1055"/>
      <c r="WDW89" s="1055"/>
      <c r="WDX89" s="1055"/>
      <c r="WDY89" s="1055"/>
      <c r="WDZ89" s="1055"/>
      <c r="WEA89" s="1055"/>
      <c r="WEB89" s="1055"/>
      <c r="WEC89" s="1055"/>
      <c r="WED89" s="1055"/>
      <c r="WEE89" s="1055"/>
      <c r="WEF89" s="1055"/>
      <c r="WEG89" s="1055"/>
      <c r="WEH89" s="1055"/>
      <c r="WEI89" s="1055"/>
      <c r="WEJ89" s="1055"/>
      <c r="WEK89" s="1055"/>
      <c r="WEL89" s="1055"/>
      <c r="WEM89" s="1055"/>
      <c r="WEN89" s="1055"/>
      <c r="WEO89" s="1055"/>
      <c r="WEP89" s="1055"/>
      <c r="WEQ89" s="1055"/>
      <c r="WER89" s="1055"/>
      <c r="WES89" s="1055"/>
      <c r="WET89" s="1055"/>
      <c r="WEU89" s="1055"/>
      <c r="WEV89" s="1055"/>
      <c r="WEW89" s="1055"/>
      <c r="WEX89" s="1055"/>
      <c r="WEY89" s="1055"/>
      <c r="WEZ89" s="1055"/>
      <c r="WFA89" s="1055"/>
      <c r="WFB89" s="1055"/>
      <c r="WFC89" s="1055"/>
      <c r="WFD89" s="1055"/>
      <c r="WFE89" s="1055"/>
      <c r="WFF89" s="1055"/>
      <c r="WFG89" s="1055"/>
      <c r="WFH89" s="1055"/>
      <c r="WFI89" s="1055"/>
      <c r="WFJ89" s="1055"/>
      <c r="WFK89" s="1055"/>
      <c r="WFL89" s="1055"/>
      <c r="WFM89" s="1055"/>
      <c r="WFN89" s="1055"/>
      <c r="WFO89" s="1055"/>
      <c r="WFP89" s="1055"/>
      <c r="WFQ89" s="1055"/>
      <c r="WFR89" s="1055"/>
      <c r="WFS89" s="1055"/>
      <c r="WFT89" s="1055"/>
      <c r="WFU89" s="1055"/>
      <c r="WFV89" s="1055"/>
      <c r="WFW89" s="1055"/>
      <c r="WFX89" s="1055"/>
      <c r="WFY89" s="1055"/>
      <c r="WFZ89" s="1055"/>
      <c r="WGA89" s="1055"/>
      <c r="WGB89" s="1055"/>
      <c r="WGC89" s="1055"/>
      <c r="WGD89" s="1055"/>
      <c r="WGE89" s="1055"/>
      <c r="WGF89" s="1055"/>
      <c r="WGG89" s="1055"/>
      <c r="WGH89" s="1055"/>
      <c r="WGI89" s="1055"/>
      <c r="WGJ89" s="1055"/>
      <c r="WGK89" s="1055"/>
      <c r="WGL89" s="1055"/>
      <c r="WGM89" s="1055"/>
      <c r="WGN89" s="1055"/>
      <c r="WGO89" s="1055"/>
      <c r="WGP89" s="1055"/>
      <c r="WGQ89" s="1055"/>
      <c r="WGR89" s="1055"/>
      <c r="WGS89" s="1055"/>
      <c r="WGT89" s="1055"/>
      <c r="WGU89" s="1055"/>
      <c r="WGV89" s="1055"/>
      <c r="WGW89" s="1055"/>
      <c r="WGX89" s="1055"/>
      <c r="WGY89" s="1055"/>
      <c r="WGZ89" s="1055"/>
      <c r="WHA89" s="1055"/>
      <c r="WHB89" s="1055"/>
      <c r="WHC89" s="1055"/>
      <c r="WHD89" s="1055"/>
      <c r="WHE89" s="1055"/>
      <c r="WHF89" s="1055"/>
      <c r="WHG89" s="1055"/>
      <c r="WHH89" s="1055"/>
      <c r="WHI89" s="1055"/>
      <c r="WHJ89" s="1055"/>
      <c r="WHK89" s="1055"/>
      <c r="WHL89" s="1055"/>
      <c r="WHM89" s="1055"/>
      <c r="WHN89" s="1055"/>
      <c r="WHO89" s="1055"/>
      <c r="WHP89" s="1055"/>
      <c r="WHQ89" s="1055"/>
      <c r="WHR89" s="1055"/>
      <c r="WHS89" s="1055"/>
      <c r="WHT89" s="1055"/>
      <c r="WHU89" s="1055"/>
      <c r="WHV89" s="1055"/>
      <c r="WHW89" s="1055"/>
      <c r="WHX89" s="1055"/>
      <c r="WHY89" s="1055"/>
      <c r="WHZ89" s="1055"/>
      <c r="WIA89" s="1055"/>
      <c r="WIB89" s="1055"/>
      <c r="WIC89" s="1055"/>
      <c r="WID89" s="1055"/>
      <c r="WIE89" s="1055"/>
      <c r="WIF89" s="1055"/>
      <c r="WIG89" s="1055"/>
      <c r="WIH89" s="1055"/>
      <c r="WII89" s="1055"/>
      <c r="WIJ89" s="1055"/>
      <c r="WIK89" s="1055"/>
      <c r="WIL89" s="1055"/>
      <c r="WIM89" s="1055"/>
      <c r="WIN89" s="1055"/>
      <c r="WIO89" s="1055"/>
      <c r="WIP89" s="1055"/>
      <c r="WIQ89" s="1055"/>
      <c r="WIR89" s="1055"/>
      <c r="WIS89" s="1055"/>
      <c r="WIT89" s="1055"/>
      <c r="WIU89" s="1055"/>
      <c r="WIV89" s="1055"/>
      <c r="WIW89" s="1055"/>
      <c r="WIX89" s="1055"/>
      <c r="WIY89" s="1055"/>
      <c r="WIZ89" s="1055"/>
      <c r="WJA89" s="1055"/>
      <c r="WJB89" s="1055"/>
      <c r="WJC89" s="1055"/>
      <c r="WJD89" s="1055"/>
      <c r="WJE89" s="1055"/>
      <c r="WJF89" s="1055"/>
      <c r="WJG89" s="1055"/>
      <c r="WJH89" s="1055"/>
      <c r="WJI89" s="1055"/>
      <c r="WJJ89" s="1055"/>
      <c r="WJK89" s="1055"/>
      <c r="WJL89" s="1055"/>
      <c r="WJM89" s="1055"/>
      <c r="WJN89" s="1055"/>
      <c r="WJO89" s="1055"/>
      <c r="WJP89" s="1055"/>
      <c r="WJQ89" s="1055"/>
      <c r="WJR89" s="1055"/>
      <c r="WJS89" s="1055"/>
      <c r="WJT89" s="1055"/>
      <c r="WJU89" s="1055"/>
      <c r="WJV89" s="1055"/>
      <c r="WJW89" s="1055"/>
      <c r="WJX89" s="1055"/>
      <c r="WJY89" s="1055"/>
      <c r="WJZ89" s="1055"/>
      <c r="WKA89" s="1055"/>
      <c r="WKB89" s="1055"/>
      <c r="WKC89" s="1055"/>
      <c r="WKD89" s="1055"/>
      <c r="WKE89" s="1055"/>
      <c r="WKF89" s="1055"/>
      <c r="WKG89" s="1055"/>
      <c r="WKH89" s="1055"/>
      <c r="WKI89" s="1055"/>
      <c r="WKJ89" s="1055"/>
      <c r="WKK89" s="1055"/>
      <c r="WKL89" s="1055"/>
      <c r="WKM89" s="1055"/>
      <c r="WKN89" s="1055"/>
      <c r="WKO89" s="1055"/>
      <c r="WKP89" s="1055"/>
      <c r="WKQ89" s="1055"/>
      <c r="WKR89" s="1055"/>
      <c r="WKS89" s="1055"/>
      <c r="WKT89" s="1055"/>
      <c r="WKU89" s="1055"/>
      <c r="WKV89" s="1055"/>
      <c r="WKW89" s="1055"/>
      <c r="WKX89" s="1055"/>
      <c r="WKY89" s="1055"/>
      <c r="WKZ89" s="1055"/>
      <c r="WLA89" s="1055"/>
      <c r="WLB89" s="1055"/>
      <c r="WLC89" s="1055"/>
      <c r="WLD89" s="1055"/>
      <c r="WLE89" s="1055"/>
      <c r="WLF89" s="1055"/>
      <c r="WLG89" s="1055"/>
      <c r="WLH89" s="1055"/>
      <c r="WLI89" s="1055"/>
      <c r="WLJ89" s="1055"/>
      <c r="WLK89" s="1055"/>
      <c r="WLL89" s="1055"/>
      <c r="WLM89" s="1055"/>
      <c r="WLN89" s="1055"/>
      <c r="WLO89" s="1055"/>
      <c r="WLP89" s="1055"/>
      <c r="WLQ89" s="1055"/>
      <c r="WLR89" s="1055"/>
      <c r="WLS89" s="1055"/>
      <c r="WLT89" s="1055"/>
      <c r="WLU89" s="1055"/>
      <c r="WLV89" s="1055"/>
      <c r="WLW89" s="1055"/>
      <c r="WLX89" s="1055"/>
      <c r="WLY89" s="1055"/>
      <c r="WLZ89" s="1055"/>
      <c r="WMA89" s="1055"/>
      <c r="WMB89" s="1055"/>
      <c r="WMC89" s="1055"/>
      <c r="WMD89" s="1055"/>
      <c r="WME89" s="1055"/>
      <c r="WMF89" s="1055"/>
      <c r="WMG89" s="1055"/>
      <c r="WMH89" s="1055"/>
      <c r="WMI89" s="1055"/>
      <c r="WMJ89" s="1055"/>
      <c r="WMK89" s="1055"/>
      <c r="WML89" s="1055"/>
      <c r="WMM89" s="1055"/>
      <c r="WMN89" s="1055"/>
      <c r="WMO89" s="1055"/>
      <c r="WMP89" s="1055"/>
      <c r="WMQ89" s="1055"/>
      <c r="WMR89" s="1055"/>
      <c r="WMS89" s="1055"/>
      <c r="WMT89" s="1055"/>
      <c r="WMU89" s="1055"/>
      <c r="WMV89" s="1055"/>
      <c r="WMW89" s="1055"/>
      <c r="WMX89" s="1055"/>
      <c r="WMY89" s="1055"/>
      <c r="WMZ89" s="1055"/>
      <c r="WNA89" s="1055"/>
      <c r="WNB89" s="1055"/>
      <c r="WNC89" s="1055"/>
      <c r="WND89" s="1055"/>
      <c r="WNE89" s="1055"/>
      <c r="WNF89" s="1055"/>
      <c r="WNG89" s="1055"/>
      <c r="WNH89" s="1055"/>
      <c r="WNI89" s="1055"/>
      <c r="WNJ89" s="1055"/>
      <c r="WNK89" s="1055"/>
      <c r="WNL89" s="1055"/>
      <c r="WNM89" s="1055"/>
      <c r="WNN89" s="1055"/>
      <c r="WNO89" s="1055"/>
      <c r="WNP89" s="1055"/>
      <c r="WNQ89" s="1055"/>
      <c r="WNR89" s="1055"/>
      <c r="WNS89" s="1055"/>
      <c r="WNT89" s="1055"/>
      <c r="WNU89" s="1055"/>
      <c r="WNV89" s="1055"/>
      <c r="WNW89" s="1055"/>
      <c r="WNX89" s="1055"/>
      <c r="WNY89" s="1055"/>
      <c r="WNZ89" s="1055"/>
      <c r="WOA89" s="1055"/>
      <c r="WOB89" s="1055"/>
      <c r="WOC89" s="1055"/>
      <c r="WOD89" s="1055"/>
      <c r="WOE89" s="1055"/>
      <c r="WOF89" s="1055"/>
      <c r="WOG89" s="1055"/>
      <c r="WOH89" s="1055"/>
      <c r="WOI89" s="1055"/>
      <c r="WOJ89" s="1055"/>
      <c r="WOK89" s="1055"/>
      <c r="WOL89" s="1055"/>
      <c r="WOM89" s="1055"/>
      <c r="WON89" s="1055"/>
      <c r="WOO89" s="1055"/>
      <c r="WOP89" s="1055"/>
      <c r="WOQ89" s="1055"/>
      <c r="WOR89" s="1055"/>
      <c r="WOS89" s="1055"/>
      <c r="WOT89" s="1055"/>
      <c r="WOU89" s="1055"/>
      <c r="WOV89" s="1055"/>
      <c r="WOW89" s="1055"/>
      <c r="WOX89" s="1055"/>
      <c r="WOY89" s="1055"/>
      <c r="WOZ89" s="1055"/>
      <c r="WPA89" s="1055"/>
      <c r="WPB89" s="1055"/>
      <c r="WPC89" s="1055"/>
      <c r="WPD89" s="1055"/>
      <c r="WPE89" s="1055"/>
      <c r="WPF89" s="1055"/>
      <c r="WPG89" s="1055"/>
      <c r="WPH89" s="1055"/>
      <c r="WPI89" s="1055"/>
      <c r="WPJ89" s="1055"/>
      <c r="WPK89" s="1055"/>
      <c r="WPL89" s="1055"/>
      <c r="WPM89" s="1055"/>
      <c r="WPN89" s="1055"/>
      <c r="WPO89" s="1055"/>
      <c r="WPP89" s="1055"/>
      <c r="WPQ89" s="1055"/>
      <c r="WPR89" s="1055"/>
      <c r="WPS89" s="1055"/>
      <c r="WPT89" s="1055"/>
      <c r="WPU89" s="1055"/>
      <c r="WPV89" s="1055"/>
      <c r="WPW89" s="1055"/>
      <c r="WPX89" s="1055"/>
      <c r="WPY89" s="1055"/>
      <c r="WPZ89" s="1055"/>
      <c r="WQA89" s="1055"/>
      <c r="WQB89" s="1055"/>
      <c r="WQC89" s="1055"/>
      <c r="WQD89" s="1055"/>
      <c r="WQE89" s="1055"/>
      <c r="WQF89" s="1055"/>
      <c r="WQG89" s="1055"/>
      <c r="WQH89" s="1055"/>
      <c r="WQI89" s="1055"/>
      <c r="WQJ89" s="1055"/>
      <c r="WQK89" s="1055"/>
      <c r="WQL89" s="1055"/>
      <c r="WQM89" s="1055"/>
      <c r="WQN89" s="1055"/>
      <c r="WQO89" s="1055"/>
      <c r="WQP89" s="1055"/>
      <c r="WQQ89" s="1055"/>
      <c r="WQR89" s="1055"/>
      <c r="WQS89" s="1055"/>
      <c r="WQT89" s="1055"/>
      <c r="WQU89" s="1055"/>
      <c r="WQV89" s="1055"/>
      <c r="WQW89" s="1055"/>
      <c r="WQX89" s="1055"/>
      <c r="WQY89" s="1055"/>
      <c r="WQZ89" s="1055"/>
      <c r="WRA89" s="1055"/>
      <c r="WRB89" s="1055"/>
      <c r="WRC89" s="1055"/>
      <c r="WRD89" s="1055"/>
      <c r="WRE89" s="1055"/>
      <c r="WRF89" s="1055"/>
      <c r="WRG89" s="1055"/>
      <c r="WRH89" s="1055"/>
      <c r="WRI89" s="1055"/>
      <c r="WRJ89" s="1055"/>
      <c r="WRK89" s="1055"/>
      <c r="WRL89" s="1055"/>
      <c r="WRM89" s="1055"/>
      <c r="WRN89" s="1055"/>
      <c r="WRO89" s="1055"/>
      <c r="WRP89" s="1055"/>
      <c r="WRQ89" s="1055"/>
      <c r="WRR89" s="1055"/>
      <c r="WRS89" s="1055"/>
      <c r="WRT89" s="1055"/>
      <c r="WRU89" s="1055"/>
      <c r="WRV89" s="1055"/>
      <c r="WRW89" s="1055"/>
      <c r="WRX89" s="1055"/>
      <c r="WRY89" s="1055"/>
      <c r="WRZ89" s="1055"/>
      <c r="WSA89" s="1055"/>
      <c r="WSB89" s="1055"/>
      <c r="WSC89" s="1055"/>
      <c r="WSD89" s="1055"/>
      <c r="WSE89" s="1055"/>
      <c r="WSF89" s="1055"/>
      <c r="WSG89" s="1055"/>
      <c r="WSH89" s="1055"/>
      <c r="WSI89" s="1055"/>
      <c r="WSJ89" s="1055"/>
      <c r="WSK89" s="1055"/>
      <c r="WSL89" s="1055"/>
      <c r="WSM89" s="1055"/>
      <c r="WSN89" s="1055"/>
      <c r="WSO89" s="1055"/>
      <c r="WSP89" s="1055"/>
      <c r="WSQ89" s="1055"/>
      <c r="WSR89" s="1055"/>
      <c r="WSS89" s="1055"/>
      <c r="WST89" s="1055"/>
      <c r="WSU89" s="1055"/>
      <c r="WSV89" s="1055"/>
      <c r="WSW89" s="1055"/>
      <c r="WSX89" s="1055"/>
      <c r="WSY89" s="1055"/>
      <c r="WSZ89" s="1055"/>
      <c r="WTA89" s="1055"/>
      <c r="WTB89" s="1055"/>
      <c r="WTC89" s="1055"/>
      <c r="WTD89" s="1055"/>
      <c r="WTE89" s="1055"/>
      <c r="WTF89" s="1055"/>
      <c r="WTG89" s="1055"/>
      <c r="WTH89" s="1055"/>
      <c r="WTI89" s="1055"/>
      <c r="WTJ89" s="1055"/>
      <c r="WTK89" s="1055"/>
      <c r="WTL89" s="1055"/>
      <c r="WTM89" s="1055"/>
      <c r="WTN89" s="1055"/>
      <c r="WTO89" s="1055"/>
      <c r="WTP89" s="1055"/>
      <c r="WTQ89" s="1055"/>
      <c r="WTR89" s="1055"/>
      <c r="WTS89" s="1055"/>
      <c r="WTT89" s="1055"/>
      <c r="WTU89" s="1055"/>
      <c r="WTV89" s="1055"/>
      <c r="WTW89" s="1055"/>
      <c r="WTX89" s="1055"/>
      <c r="WTY89" s="1055"/>
      <c r="WTZ89" s="1055"/>
      <c r="WUA89" s="1055"/>
      <c r="WUB89" s="1055"/>
      <c r="WUC89" s="1055"/>
      <c r="WUD89" s="1055"/>
      <c r="WUE89" s="1055"/>
      <c r="WUF89" s="1055"/>
      <c r="WUG89" s="1055"/>
      <c r="WUH89" s="1055"/>
      <c r="WUI89" s="1055"/>
      <c r="WUJ89" s="1055"/>
      <c r="WUK89" s="1055"/>
      <c r="WUL89" s="1055"/>
      <c r="WUM89" s="1055"/>
      <c r="WUN89" s="1055"/>
      <c r="WUO89" s="1055"/>
      <c r="WUP89" s="1055"/>
      <c r="WUQ89" s="1055"/>
      <c r="WUR89" s="1055"/>
      <c r="WUS89" s="1055"/>
      <c r="WUT89" s="1055"/>
      <c r="WUU89" s="1055"/>
      <c r="WUV89" s="1055"/>
      <c r="WUW89" s="1055"/>
      <c r="WUX89" s="1055"/>
      <c r="WUY89" s="1055"/>
      <c r="WUZ89" s="1055"/>
      <c r="WVA89" s="1055"/>
      <c r="WVB89" s="1055"/>
      <c r="WVC89" s="1055"/>
      <c r="WVD89" s="1055"/>
      <c r="WVE89" s="1055"/>
      <c r="WVF89" s="1055"/>
      <c r="WVG89" s="1055"/>
      <c r="WVH89" s="1055"/>
      <c r="WVI89" s="1055"/>
      <c r="WVJ89" s="1055"/>
      <c r="WVK89" s="1055"/>
      <c r="WVL89" s="1055"/>
      <c r="WVM89" s="1055"/>
      <c r="WVN89" s="1055"/>
      <c r="WVO89" s="1055"/>
      <c r="WVP89" s="1055"/>
      <c r="WVQ89" s="1055"/>
      <c r="WVR89" s="1055"/>
      <c r="WVS89" s="1055"/>
      <c r="WVT89" s="1055"/>
      <c r="WVU89" s="1055"/>
      <c r="WVV89" s="1055"/>
      <c r="WVW89" s="1055"/>
      <c r="WVX89" s="1055"/>
      <c r="WVY89" s="1055"/>
      <c r="WVZ89" s="1055"/>
      <c r="WWA89" s="1055"/>
      <c r="WWB89" s="1055"/>
      <c r="WWC89" s="1055"/>
      <c r="WWD89" s="1055"/>
      <c r="WWE89" s="1055"/>
      <c r="WWF89" s="1055"/>
      <c r="WWG89" s="1055"/>
      <c r="WWH89" s="1055"/>
      <c r="WWI89" s="1055"/>
      <c r="WWJ89" s="1055"/>
      <c r="WWK89" s="1055"/>
      <c r="WWL89" s="1055"/>
      <c r="WWM89" s="1055"/>
      <c r="WWN89" s="1055"/>
      <c r="WWO89" s="1055"/>
      <c r="WWP89" s="1055"/>
      <c r="WWQ89" s="1055"/>
      <c r="WWR89" s="1055"/>
      <c r="WWS89" s="1055"/>
      <c r="WWT89" s="1055"/>
      <c r="WWU89" s="1055"/>
      <c r="WWV89" s="1055"/>
      <c r="WWW89" s="1055"/>
      <c r="WWX89" s="1055"/>
      <c r="WWY89" s="1055"/>
      <c r="WWZ89" s="1055"/>
      <c r="WXA89" s="1055"/>
      <c r="WXB89" s="1055"/>
      <c r="WXC89" s="1055"/>
      <c r="WXD89" s="1055"/>
      <c r="WXE89" s="1055"/>
      <c r="WXF89" s="1055"/>
      <c r="WXG89" s="1055"/>
      <c r="WXH89" s="1055"/>
      <c r="WXI89" s="1055"/>
      <c r="WXJ89" s="1055"/>
      <c r="WXK89" s="1055"/>
      <c r="WXL89" s="1055"/>
      <c r="WXM89" s="1055"/>
      <c r="WXN89" s="1055"/>
      <c r="WXO89" s="1055"/>
      <c r="WXP89" s="1055"/>
      <c r="WXQ89" s="1055"/>
      <c r="WXR89" s="1055"/>
      <c r="WXS89" s="1055"/>
      <c r="WXT89" s="1055"/>
      <c r="WXU89" s="1055"/>
      <c r="WXV89" s="1055"/>
      <c r="WXW89" s="1055"/>
      <c r="WXX89" s="1055"/>
      <c r="WXY89" s="1055"/>
      <c r="WXZ89" s="1055"/>
      <c r="WYA89" s="1055"/>
      <c r="WYB89" s="1055"/>
      <c r="WYC89" s="1055"/>
      <c r="WYD89" s="1055"/>
      <c r="WYE89" s="1055"/>
      <c r="WYF89" s="1055"/>
      <c r="WYG89" s="1055"/>
      <c r="WYH89" s="1055"/>
      <c r="WYI89" s="1055"/>
      <c r="WYJ89" s="1055"/>
      <c r="WYK89" s="1055"/>
      <c r="WYL89" s="1055"/>
      <c r="WYM89" s="1055"/>
      <c r="WYN89" s="1055"/>
      <c r="WYO89" s="1055"/>
      <c r="WYP89" s="1055"/>
      <c r="WYQ89" s="1055"/>
      <c r="WYR89" s="1055"/>
      <c r="WYS89" s="1055"/>
      <c r="WYT89" s="1055"/>
      <c r="WYU89" s="1055"/>
      <c r="WYV89" s="1055"/>
      <c r="WYW89" s="1055"/>
      <c r="WYX89" s="1055"/>
      <c r="WYY89" s="1055"/>
      <c r="WYZ89" s="1055"/>
      <c r="WZA89" s="1055"/>
      <c r="WZB89" s="1055"/>
      <c r="WZC89" s="1055"/>
      <c r="WZD89" s="1055"/>
      <c r="WZE89" s="1055"/>
      <c r="WZF89" s="1055"/>
      <c r="WZG89" s="1055"/>
      <c r="WZH89" s="1055"/>
      <c r="WZI89" s="1055"/>
      <c r="WZJ89" s="1055"/>
      <c r="WZK89" s="1055"/>
      <c r="WZL89" s="1055"/>
      <c r="WZM89" s="1055"/>
      <c r="WZN89" s="1055"/>
      <c r="WZO89" s="1055"/>
      <c r="WZP89" s="1055"/>
      <c r="WZQ89" s="1055"/>
      <c r="WZR89" s="1055"/>
      <c r="WZS89" s="1055"/>
      <c r="WZT89" s="1055"/>
      <c r="WZU89" s="1055"/>
      <c r="WZV89" s="1055"/>
      <c r="WZW89" s="1055"/>
      <c r="WZX89" s="1055"/>
      <c r="WZY89" s="1055"/>
      <c r="WZZ89" s="1055"/>
      <c r="XAA89" s="1055"/>
      <c r="XAB89" s="1055"/>
      <c r="XAC89" s="1055"/>
      <c r="XAD89" s="1055"/>
      <c r="XAE89" s="1055"/>
      <c r="XAF89" s="1055"/>
      <c r="XAG89" s="1055"/>
      <c r="XAH89" s="1055"/>
      <c r="XAI89" s="1055"/>
      <c r="XAJ89" s="1055"/>
      <c r="XAK89" s="1055"/>
      <c r="XAL89" s="1055"/>
      <c r="XAM89" s="1055"/>
      <c r="XAN89" s="1055"/>
      <c r="XAO89" s="1055"/>
      <c r="XAP89" s="1055"/>
      <c r="XAQ89" s="1055"/>
      <c r="XAR89" s="1055"/>
      <c r="XAS89" s="1055"/>
      <c r="XAT89" s="1055"/>
      <c r="XAU89" s="1055"/>
      <c r="XAV89" s="1055"/>
      <c r="XAW89" s="1055"/>
      <c r="XAX89" s="1055"/>
      <c r="XAY89" s="1055"/>
      <c r="XAZ89" s="1055"/>
      <c r="XBA89" s="1055"/>
      <c r="XBB89" s="1055"/>
      <c r="XBC89" s="1055"/>
      <c r="XBD89" s="1055"/>
      <c r="XBE89" s="1055"/>
      <c r="XBF89" s="1055"/>
      <c r="XBG89" s="1055"/>
      <c r="XBH89" s="1055"/>
      <c r="XBI89" s="1055"/>
      <c r="XBJ89" s="1055"/>
      <c r="XBK89" s="1055"/>
      <c r="XBL89" s="1055"/>
      <c r="XBM89" s="1055"/>
      <c r="XBN89" s="1055"/>
      <c r="XBO89" s="1055"/>
      <c r="XBP89" s="1055"/>
      <c r="XBQ89" s="1055"/>
      <c r="XBR89" s="1055"/>
      <c r="XBS89" s="1055"/>
      <c r="XBT89" s="1055"/>
      <c r="XBU89" s="1055"/>
      <c r="XBV89" s="1055"/>
      <c r="XBW89" s="1055"/>
      <c r="XBX89" s="1055"/>
      <c r="XBY89" s="1055"/>
      <c r="XBZ89" s="1055"/>
      <c r="XCA89" s="1055"/>
      <c r="XCB89" s="1055"/>
      <c r="XCC89" s="1055"/>
      <c r="XCD89" s="1055"/>
      <c r="XCE89" s="1055"/>
      <c r="XCF89" s="1055"/>
      <c r="XCG89" s="1055"/>
      <c r="XCH89" s="1055"/>
      <c r="XCI89" s="1055"/>
      <c r="XCJ89" s="1055"/>
      <c r="XCK89" s="1055"/>
      <c r="XCL89" s="1055"/>
      <c r="XCM89" s="1055"/>
      <c r="XCN89" s="1055"/>
      <c r="XCO89" s="1055"/>
      <c r="XCP89" s="1055"/>
      <c r="XCQ89" s="1055"/>
      <c r="XCR89" s="1055"/>
      <c r="XCS89" s="1055"/>
      <c r="XCT89" s="1055"/>
      <c r="XCU89" s="1055"/>
      <c r="XCV89" s="1055"/>
      <c r="XCW89" s="1055"/>
      <c r="XCX89" s="1055"/>
      <c r="XCY89" s="1055"/>
      <c r="XCZ89" s="1055"/>
      <c r="XDA89" s="1055"/>
      <c r="XDB89" s="1055"/>
      <c r="XDC89" s="1055"/>
      <c r="XDD89" s="1055"/>
      <c r="XDE89" s="1055"/>
      <c r="XDF89" s="1055"/>
      <c r="XDG89" s="1055"/>
      <c r="XDH89" s="1055"/>
      <c r="XDI89" s="1055"/>
      <c r="XDJ89" s="1055"/>
      <c r="XDK89" s="1055"/>
      <c r="XDL89" s="1055"/>
      <c r="XDM89" s="1055"/>
      <c r="XDN89" s="1055"/>
      <c r="XDO89" s="1055"/>
      <c r="XDP89" s="1055"/>
      <c r="XDQ89" s="1055"/>
      <c r="XDR89" s="1055"/>
      <c r="XDS89" s="1055"/>
      <c r="XDT89" s="1055"/>
      <c r="XDU89" s="1055"/>
      <c r="XDV89" s="1055"/>
      <c r="XDW89" s="1055"/>
      <c r="XDX89" s="1055"/>
      <c r="XDY89" s="1055"/>
      <c r="XDZ89" s="1055"/>
      <c r="XEA89" s="1055"/>
      <c r="XEB89" s="1055"/>
      <c r="XEC89" s="1055"/>
      <c r="XED89" s="1055"/>
      <c r="XEE89" s="1055"/>
      <c r="XEF89" s="1055"/>
      <c r="XEG89" s="1055"/>
      <c r="XEH89" s="1055"/>
      <c r="XEI89" s="1055"/>
      <c r="XEJ89" s="1055"/>
      <c r="XEK89" s="1055"/>
      <c r="XEL89" s="1055"/>
      <c r="XEM89" s="1055"/>
      <c r="XEN89" s="1055"/>
      <c r="XEO89" s="1055"/>
      <c r="XEP89" s="1055"/>
      <c r="XEQ89" s="1055"/>
      <c r="XER89" s="1055"/>
      <c r="XES89" s="1055"/>
      <c r="XET89" s="1055"/>
      <c r="XEU89" s="1055"/>
      <c r="XEV89" s="1055"/>
      <c r="XEW89" s="1055"/>
      <c r="XEX89" s="1055"/>
      <c r="XEY89" s="1055"/>
      <c r="XEZ89" s="1055"/>
      <c r="XFA89" s="1055"/>
      <c r="XFB89" s="1055"/>
      <c r="XFC89" s="1055"/>
      <c r="XFD89" s="1055"/>
    </row>
    <row r="90" spans="1:16384" s="1056" customFormat="1" ht="24.95" customHeight="1">
      <c r="A90" s="147">
        <v>6</v>
      </c>
      <c r="B90" s="103" t="s">
        <v>4185</v>
      </c>
      <c r="C90" s="103" t="s">
        <v>4189</v>
      </c>
      <c r="D90" s="103" t="s">
        <v>62</v>
      </c>
      <c r="E90" s="103"/>
      <c r="F90" s="103">
        <v>1</v>
      </c>
      <c r="G90" s="103" t="s">
        <v>32</v>
      </c>
      <c r="H90" s="103" t="s">
        <v>41</v>
      </c>
      <c r="I90" s="103"/>
      <c r="J90" s="103"/>
      <c r="K90" s="103" t="s">
        <v>4188</v>
      </c>
      <c r="L90" s="103">
        <v>57317.65</v>
      </c>
      <c r="M90" s="103">
        <v>3614.6087636932598</v>
      </c>
      <c r="N90" s="103"/>
      <c r="O90" s="1899"/>
      <c r="P90" s="1055" t="s">
        <v>4141</v>
      </c>
      <c r="Q90" s="1055">
        <v>18535240345</v>
      </c>
      <c r="R90" s="1055" t="s">
        <v>4142</v>
      </c>
      <c r="S90" s="1055" t="s">
        <v>4043</v>
      </c>
      <c r="T90" s="1055"/>
      <c r="U90" s="1055"/>
      <c r="V90" s="1055"/>
      <c r="W90" s="1055"/>
      <c r="X90" s="1055"/>
      <c r="Y90" s="1055"/>
      <c r="Z90" s="1055"/>
      <c r="AA90" s="1055"/>
      <c r="AB90" s="1055"/>
      <c r="AC90" s="1055"/>
      <c r="AD90" s="1055"/>
      <c r="AE90" s="1055"/>
      <c r="AF90" s="1055"/>
      <c r="AG90" s="1055"/>
      <c r="AH90" s="1055"/>
      <c r="AI90" s="1055"/>
      <c r="AJ90" s="1055"/>
      <c r="AK90" s="1055"/>
      <c r="AL90" s="1055"/>
      <c r="AM90" s="1055"/>
      <c r="AN90" s="1055"/>
      <c r="AO90" s="1055"/>
      <c r="AP90" s="1055"/>
      <c r="AQ90" s="1055"/>
      <c r="AR90" s="1055"/>
      <c r="AS90" s="1055"/>
      <c r="AT90" s="1055"/>
      <c r="AU90" s="1055"/>
      <c r="AV90" s="1055"/>
      <c r="AW90" s="1055"/>
      <c r="AX90" s="1055"/>
      <c r="AY90" s="1055"/>
      <c r="AZ90" s="1055"/>
      <c r="BA90" s="1055"/>
      <c r="BB90" s="1055"/>
      <c r="BC90" s="1055"/>
      <c r="BD90" s="1055"/>
      <c r="BE90" s="1055"/>
      <c r="BF90" s="1055"/>
      <c r="BG90" s="1055"/>
      <c r="BH90" s="1055"/>
      <c r="BI90" s="1055"/>
      <c r="BJ90" s="1055"/>
      <c r="BK90" s="1055"/>
      <c r="BL90" s="1055"/>
      <c r="BM90" s="1055"/>
      <c r="BN90" s="1055"/>
      <c r="BO90" s="1055"/>
      <c r="BP90" s="1055"/>
      <c r="BQ90" s="1055"/>
      <c r="BR90" s="1055"/>
      <c r="BS90" s="1055"/>
      <c r="BT90" s="1055"/>
      <c r="BU90" s="1055"/>
      <c r="BV90" s="1055"/>
      <c r="BW90" s="1055"/>
      <c r="BX90" s="1055"/>
      <c r="BY90" s="1055"/>
      <c r="BZ90" s="1055"/>
      <c r="CA90" s="1055"/>
      <c r="CB90" s="1055"/>
      <c r="CC90" s="1055"/>
      <c r="CD90" s="1055"/>
      <c r="CE90" s="1055"/>
      <c r="CF90" s="1055"/>
      <c r="CG90" s="1055"/>
      <c r="CH90" s="1055"/>
      <c r="CI90" s="1055"/>
      <c r="CJ90" s="1055"/>
      <c r="CK90" s="1055"/>
      <c r="CL90" s="1055"/>
      <c r="CM90" s="1055"/>
      <c r="CN90" s="1055"/>
      <c r="CO90" s="1055"/>
      <c r="CP90" s="1055"/>
      <c r="CQ90" s="1055"/>
      <c r="CR90" s="1055"/>
      <c r="CS90" s="1055"/>
      <c r="CT90" s="1055"/>
      <c r="CU90" s="1055"/>
      <c r="CV90" s="1055"/>
      <c r="CW90" s="1055"/>
      <c r="CX90" s="1055"/>
      <c r="CY90" s="1055"/>
      <c r="CZ90" s="1055"/>
      <c r="DA90" s="1055"/>
      <c r="DB90" s="1055"/>
      <c r="DC90" s="1055"/>
      <c r="DD90" s="1055"/>
      <c r="DE90" s="1055"/>
      <c r="DF90" s="1055"/>
      <c r="DG90" s="1055"/>
      <c r="DH90" s="1055"/>
      <c r="DI90" s="1055"/>
      <c r="DJ90" s="1055"/>
      <c r="DK90" s="1055"/>
      <c r="DL90" s="1055"/>
      <c r="DM90" s="1055"/>
      <c r="DN90" s="1055"/>
      <c r="DO90" s="1055"/>
      <c r="DP90" s="1055"/>
      <c r="DQ90" s="1055"/>
      <c r="DR90" s="1055"/>
      <c r="DS90" s="1055"/>
      <c r="DT90" s="1055"/>
      <c r="DU90" s="1055"/>
      <c r="DV90" s="1055"/>
      <c r="DW90" s="1055"/>
      <c r="DX90" s="1055"/>
      <c r="DY90" s="1055"/>
      <c r="DZ90" s="1055"/>
      <c r="EA90" s="1055"/>
      <c r="EB90" s="1055"/>
      <c r="EC90" s="1055"/>
      <c r="ED90" s="1055"/>
      <c r="EE90" s="1055"/>
      <c r="EF90" s="1055"/>
      <c r="EG90" s="1055"/>
      <c r="EH90" s="1055"/>
      <c r="EI90" s="1055"/>
      <c r="EJ90" s="1055"/>
      <c r="EK90" s="1055"/>
      <c r="EL90" s="1055"/>
      <c r="EM90" s="1055"/>
      <c r="EN90" s="1055"/>
      <c r="EO90" s="1055"/>
      <c r="EP90" s="1055"/>
      <c r="EQ90" s="1055"/>
      <c r="ER90" s="1055"/>
      <c r="ES90" s="1055"/>
      <c r="ET90" s="1055"/>
      <c r="EU90" s="1055"/>
      <c r="EV90" s="1055"/>
      <c r="EW90" s="1055"/>
      <c r="EX90" s="1055"/>
      <c r="EY90" s="1055"/>
      <c r="EZ90" s="1055"/>
      <c r="FA90" s="1055"/>
      <c r="FB90" s="1055"/>
      <c r="FC90" s="1055"/>
      <c r="FD90" s="1055"/>
      <c r="FE90" s="1055"/>
      <c r="FF90" s="1055"/>
      <c r="FG90" s="1055"/>
      <c r="FH90" s="1055"/>
      <c r="FI90" s="1055"/>
      <c r="FJ90" s="1055"/>
      <c r="FK90" s="1055"/>
      <c r="FL90" s="1055"/>
      <c r="FM90" s="1055"/>
      <c r="FN90" s="1055"/>
      <c r="FO90" s="1055"/>
      <c r="FP90" s="1055"/>
      <c r="FQ90" s="1055"/>
      <c r="FR90" s="1055"/>
      <c r="FS90" s="1055"/>
      <c r="FT90" s="1055"/>
      <c r="FU90" s="1055"/>
      <c r="FV90" s="1055"/>
      <c r="FW90" s="1055"/>
      <c r="FX90" s="1055"/>
      <c r="FY90" s="1055"/>
      <c r="FZ90" s="1055"/>
      <c r="GA90" s="1055"/>
      <c r="GB90" s="1055"/>
      <c r="GC90" s="1055"/>
      <c r="GD90" s="1055"/>
      <c r="GE90" s="1055"/>
      <c r="GF90" s="1055"/>
      <c r="GG90" s="1055"/>
      <c r="GH90" s="1055"/>
      <c r="GI90" s="1055"/>
      <c r="GJ90" s="1055"/>
      <c r="GK90" s="1055"/>
      <c r="GL90" s="1055"/>
      <c r="GM90" s="1055"/>
      <c r="GN90" s="1055"/>
      <c r="GO90" s="1055"/>
      <c r="GP90" s="1055"/>
      <c r="GQ90" s="1055"/>
      <c r="GR90" s="1055"/>
      <c r="GS90" s="1055"/>
      <c r="GT90" s="1055"/>
      <c r="GU90" s="1055"/>
      <c r="GV90" s="1055"/>
      <c r="GW90" s="1055"/>
      <c r="GX90" s="1055"/>
      <c r="GY90" s="1055"/>
      <c r="GZ90" s="1055"/>
      <c r="HA90" s="1055"/>
      <c r="HB90" s="1055"/>
      <c r="HC90" s="1055"/>
      <c r="HD90" s="1055"/>
      <c r="HE90" s="1055"/>
      <c r="HF90" s="1055"/>
      <c r="HG90" s="1055"/>
      <c r="HH90" s="1055"/>
      <c r="HI90" s="1055"/>
      <c r="HJ90" s="1055"/>
      <c r="HK90" s="1055"/>
      <c r="HL90" s="1055"/>
      <c r="HM90" s="1055"/>
      <c r="HN90" s="1055"/>
      <c r="HO90" s="1055"/>
      <c r="HP90" s="1055"/>
      <c r="HQ90" s="1055"/>
      <c r="HR90" s="1055"/>
      <c r="HS90" s="1055"/>
      <c r="HT90" s="1055"/>
      <c r="HU90" s="1055"/>
      <c r="HV90" s="1055"/>
      <c r="HW90" s="1055"/>
      <c r="HX90" s="1055"/>
      <c r="HY90" s="1055"/>
      <c r="HZ90" s="1055"/>
      <c r="IA90" s="1055"/>
      <c r="IB90" s="1055"/>
      <c r="IC90" s="1055"/>
      <c r="ID90" s="1055"/>
      <c r="IE90" s="1055"/>
      <c r="IF90" s="1055"/>
      <c r="IG90" s="1055"/>
      <c r="IH90" s="1055"/>
      <c r="II90" s="1055"/>
      <c r="IJ90" s="1055"/>
      <c r="IK90" s="1055"/>
      <c r="IL90" s="1055"/>
      <c r="IM90" s="1055"/>
      <c r="IN90" s="1055"/>
      <c r="IO90" s="1055"/>
      <c r="IP90" s="1055"/>
      <c r="IQ90" s="1055"/>
      <c r="IR90" s="1055"/>
      <c r="IS90" s="1055"/>
      <c r="IT90" s="1055"/>
      <c r="IU90" s="1055"/>
      <c r="IV90" s="1055"/>
      <c r="IW90" s="1055"/>
      <c r="IX90" s="1055"/>
      <c r="IY90" s="1055"/>
      <c r="IZ90" s="1055"/>
      <c r="JA90" s="1055"/>
      <c r="JB90" s="1055"/>
      <c r="JC90" s="1055"/>
      <c r="JD90" s="1055"/>
      <c r="JE90" s="1055"/>
      <c r="JF90" s="1055"/>
      <c r="JG90" s="1055"/>
      <c r="JH90" s="1055"/>
      <c r="JI90" s="1055"/>
      <c r="JJ90" s="1055"/>
      <c r="JK90" s="1055"/>
      <c r="JL90" s="1055"/>
      <c r="JM90" s="1055"/>
      <c r="JN90" s="1055"/>
      <c r="JO90" s="1055"/>
      <c r="JP90" s="1055"/>
      <c r="JQ90" s="1055"/>
      <c r="JR90" s="1055"/>
      <c r="JS90" s="1055"/>
      <c r="JT90" s="1055"/>
      <c r="JU90" s="1055"/>
      <c r="JV90" s="1055"/>
      <c r="JW90" s="1055"/>
      <c r="JX90" s="1055"/>
      <c r="JY90" s="1055"/>
      <c r="JZ90" s="1055"/>
      <c r="KA90" s="1055"/>
      <c r="KB90" s="1055"/>
      <c r="KC90" s="1055"/>
      <c r="KD90" s="1055"/>
      <c r="KE90" s="1055"/>
      <c r="KF90" s="1055"/>
      <c r="KG90" s="1055"/>
      <c r="KH90" s="1055"/>
      <c r="KI90" s="1055"/>
      <c r="KJ90" s="1055"/>
      <c r="KK90" s="1055"/>
      <c r="KL90" s="1055"/>
      <c r="KM90" s="1055"/>
      <c r="KN90" s="1055"/>
      <c r="KO90" s="1055"/>
      <c r="KP90" s="1055"/>
      <c r="KQ90" s="1055"/>
      <c r="KR90" s="1055"/>
      <c r="KS90" s="1055"/>
      <c r="KT90" s="1055"/>
      <c r="KU90" s="1055"/>
      <c r="KV90" s="1055"/>
      <c r="KW90" s="1055"/>
      <c r="KX90" s="1055"/>
      <c r="KY90" s="1055"/>
      <c r="KZ90" s="1055"/>
      <c r="LA90" s="1055"/>
      <c r="LB90" s="1055"/>
      <c r="LC90" s="1055"/>
      <c r="LD90" s="1055"/>
      <c r="LE90" s="1055"/>
      <c r="LF90" s="1055"/>
      <c r="LG90" s="1055"/>
      <c r="LH90" s="1055"/>
      <c r="LI90" s="1055"/>
      <c r="LJ90" s="1055"/>
      <c r="LK90" s="1055"/>
      <c r="LL90" s="1055"/>
      <c r="LM90" s="1055"/>
      <c r="LN90" s="1055"/>
      <c r="LO90" s="1055"/>
      <c r="LP90" s="1055"/>
      <c r="LQ90" s="1055"/>
      <c r="LR90" s="1055"/>
      <c r="LS90" s="1055"/>
      <c r="LT90" s="1055"/>
      <c r="LU90" s="1055"/>
      <c r="LV90" s="1055"/>
      <c r="LW90" s="1055"/>
      <c r="LX90" s="1055"/>
      <c r="LY90" s="1055"/>
      <c r="LZ90" s="1055"/>
      <c r="MA90" s="1055"/>
      <c r="MB90" s="1055"/>
      <c r="MC90" s="1055"/>
      <c r="MD90" s="1055"/>
      <c r="ME90" s="1055"/>
      <c r="MF90" s="1055"/>
      <c r="MG90" s="1055"/>
      <c r="MH90" s="1055"/>
      <c r="MI90" s="1055"/>
      <c r="MJ90" s="1055"/>
      <c r="MK90" s="1055"/>
      <c r="ML90" s="1055"/>
      <c r="MM90" s="1055"/>
      <c r="MN90" s="1055"/>
      <c r="MO90" s="1055"/>
      <c r="MP90" s="1055"/>
      <c r="MQ90" s="1055"/>
      <c r="MR90" s="1055"/>
      <c r="MS90" s="1055"/>
      <c r="MT90" s="1055"/>
      <c r="MU90" s="1055"/>
      <c r="MV90" s="1055"/>
      <c r="MW90" s="1055"/>
      <c r="MX90" s="1055"/>
      <c r="MY90" s="1055"/>
      <c r="MZ90" s="1055"/>
      <c r="NA90" s="1055"/>
      <c r="NB90" s="1055"/>
      <c r="NC90" s="1055"/>
      <c r="ND90" s="1055"/>
      <c r="NE90" s="1055"/>
      <c r="NF90" s="1055"/>
      <c r="NG90" s="1055"/>
      <c r="NH90" s="1055"/>
      <c r="NI90" s="1055"/>
      <c r="NJ90" s="1055"/>
      <c r="NK90" s="1055"/>
      <c r="NL90" s="1055"/>
      <c r="NM90" s="1055"/>
      <c r="NN90" s="1055"/>
      <c r="NO90" s="1055"/>
      <c r="NP90" s="1055"/>
      <c r="NQ90" s="1055"/>
      <c r="NR90" s="1055"/>
      <c r="NS90" s="1055"/>
      <c r="NT90" s="1055"/>
      <c r="NU90" s="1055"/>
      <c r="NV90" s="1055"/>
      <c r="NW90" s="1055"/>
      <c r="NX90" s="1055"/>
      <c r="NY90" s="1055"/>
      <c r="NZ90" s="1055"/>
      <c r="OA90" s="1055"/>
      <c r="OB90" s="1055"/>
      <c r="OC90" s="1055"/>
      <c r="OD90" s="1055"/>
      <c r="OE90" s="1055"/>
      <c r="OF90" s="1055"/>
      <c r="OG90" s="1055"/>
      <c r="OH90" s="1055"/>
      <c r="OI90" s="1055"/>
      <c r="OJ90" s="1055"/>
      <c r="OK90" s="1055"/>
      <c r="OL90" s="1055"/>
      <c r="OM90" s="1055"/>
      <c r="ON90" s="1055"/>
      <c r="OO90" s="1055"/>
      <c r="OP90" s="1055"/>
      <c r="OQ90" s="1055"/>
      <c r="OR90" s="1055"/>
      <c r="OS90" s="1055"/>
      <c r="OT90" s="1055"/>
      <c r="OU90" s="1055"/>
      <c r="OV90" s="1055"/>
      <c r="OW90" s="1055"/>
      <c r="OX90" s="1055"/>
      <c r="OY90" s="1055"/>
      <c r="OZ90" s="1055"/>
      <c r="PA90" s="1055"/>
      <c r="PB90" s="1055"/>
      <c r="PC90" s="1055"/>
      <c r="PD90" s="1055"/>
      <c r="PE90" s="1055"/>
      <c r="PF90" s="1055"/>
      <c r="PG90" s="1055"/>
      <c r="PH90" s="1055"/>
      <c r="PI90" s="1055"/>
      <c r="PJ90" s="1055"/>
      <c r="PK90" s="1055"/>
      <c r="PL90" s="1055"/>
      <c r="PM90" s="1055"/>
      <c r="PN90" s="1055"/>
      <c r="PO90" s="1055"/>
      <c r="PP90" s="1055"/>
      <c r="PQ90" s="1055"/>
      <c r="PR90" s="1055"/>
      <c r="PS90" s="1055"/>
      <c r="PT90" s="1055"/>
      <c r="PU90" s="1055"/>
      <c r="PV90" s="1055"/>
      <c r="PW90" s="1055"/>
      <c r="PX90" s="1055"/>
      <c r="PY90" s="1055"/>
      <c r="PZ90" s="1055"/>
      <c r="QA90" s="1055"/>
      <c r="QB90" s="1055"/>
      <c r="QC90" s="1055"/>
      <c r="QD90" s="1055"/>
      <c r="QE90" s="1055"/>
      <c r="QF90" s="1055"/>
      <c r="QG90" s="1055"/>
      <c r="QH90" s="1055"/>
      <c r="QI90" s="1055"/>
      <c r="QJ90" s="1055"/>
      <c r="QK90" s="1055"/>
      <c r="QL90" s="1055"/>
      <c r="QM90" s="1055"/>
      <c r="QN90" s="1055"/>
      <c r="QO90" s="1055"/>
      <c r="QP90" s="1055"/>
      <c r="QQ90" s="1055"/>
      <c r="QR90" s="1055"/>
      <c r="QS90" s="1055"/>
      <c r="QT90" s="1055"/>
      <c r="QU90" s="1055"/>
      <c r="QV90" s="1055"/>
      <c r="QW90" s="1055"/>
      <c r="QX90" s="1055"/>
      <c r="QY90" s="1055"/>
      <c r="QZ90" s="1055"/>
      <c r="RA90" s="1055"/>
      <c r="RB90" s="1055"/>
      <c r="RC90" s="1055"/>
      <c r="RD90" s="1055"/>
      <c r="RE90" s="1055"/>
      <c r="RF90" s="1055"/>
      <c r="RG90" s="1055"/>
      <c r="RH90" s="1055"/>
      <c r="RI90" s="1055"/>
      <c r="RJ90" s="1055"/>
      <c r="RK90" s="1055"/>
      <c r="RL90" s="1055"/>
      <c r="RM90" s="1055"/>
      <c r="RN90" s="1055"/>
      <c r="RO90" s="1055"/>
      <c r="RP90" s="1055"/>
      <c r="RQ90" s="1055"/>
      <c r="RR90" s="1055"/>
      <c r="RS90" s="1055"/>
      <c r="RT90" s="1055"/>
      <c r="RU90" s="1055"/>
      <c r="RV90" s="1055"/>
      <c r="RW90" s="1055"/>
      <c r="RX90" s="1055"/>
      <c r="RY90" s="1055"/>
      <c r="RZ90" s="1055"/>
      <c r="SA90" s="1055"/>
      <c r="SB90" s="1055"/>
      <c r="SC90" s="1055"/>
      <c r="SD90" s="1055"/>
      <c r="SE90" s="1055"/>
      <c r="SF90" s="1055"/>
      <c r="SG90" s="1055"/>
      <c r="SH90" s="1055"/>
      <c r="SI90" s="1055"/>
      <c r="SJ90" s="1055"/>
      <c r="SK90" s="1055"/>
      <c r="SL90" s="1055"/>
      <c r="SM90" s="1055"/>
      <c r="SN90" s="1055"/>
      <c r="SO90" s="1055"/>
      <c r="SP90" s="1055"/>
      <c r="SQ90" s="1055"/>
      <c r="SR90" s="1055"/>
      <c r="SS90" s="1055"/>
      <c r="ST90" s="1055"/>
      <c r="SU90" s="1055"/>
      <c r="SV90" s="1055"/>
      <c r="SW90" s="1055"/>
      <c r="SX90" s="1055"/>
      <c r="SY90" s="1055"/>
      <c r="SZ90" s="1055"/>
      <c r="TA90" s="1055"/>
      <c r="TB90" s="1055"/>
      <c r="TC90" s="1055"/>
      <c r="TD90" s="1055"/>
      <c r="TE90" s="1055"/>
      <c r="TF90" s="1055"/>
      <c r="TG90" s="1055"/>
      <c r="TH90" s="1055"/>
      <c r="TI90" s="1055"/>
      <c r="TJ90" s="1055"/>
      <c r="TK90" s="1055"/>
      <c r="TL90" s="1055"/>
      <c r="TM90" s="1055"/>
      <c r="TN90" s="1055"/>
      <c r="TO90" s="1055"/>
      <c r="TP90" s="1055"/>
      <c r="TQ90" s="1055"/>
      <c r="TR90" s="1055"/>
      <c r="TS90" s="1055"/>
      <c r="TT90" s="1055"/>
      <c r="TU90" s="1055"/>
      <c r="TV90" s="1055"/>
      <c r="TW90" s="1055"/>
      <c r="TX90" s="1055"/>
      <c r="TY90" s="1055"/>
      <c r="TZ90" s="1055"/>
      <c r="UA90" s="1055"/>
      <c r="UB90" s="1055"/>
      <c r="UC90" s="1055"/>
      <c r="UD90" s="1055"/>
      <c r="UE90" s="1055"/>
      <c r="UF90" s="1055"/>
      <c r="UG90" s="1055"/>
      <c r="UH90" s="1055"/>
      <c r="UI90" s="1055"/>
      <c r="UJ90" s="1055"/>
      <c r="UK90" s="1055"/>
      <c r="UL90" s="1055"/>
      <c r="UM90" s="1055"/>
      <c r="UN90" s="1055"/>
      <c r="UO90" s="1055"/>
      <c r="UP90" s="1055"/>
      <c r="UQ90" s="1055"/>
      <c r="UR90" s="1055"/>
      <c r="US90" s="1055"/>
      <c r="UT90" s="1055"/>
      <c r="UU90" s="1055"/>
      <c r="UV90" s="1055"/>
      <c r="UW90" s="1055"/>
      <c r="UX90" s="1055"/>
      <c r="UY90" s="1055"/>
      <c r="UZ90" s="1055"/>
      <c r="VA90" s="1055"/>
      <c r="VB90" s="1055"/>
      <c r="VC90" s="1055"/>
      <c r="VD90" s="1055"/>
      <c r="VE90" s="1055"/>
      <c r="VF90" s="1055"/>
      <c r="VG90" s="1055"/>
      <c r="VH90" s="1055"/>
      <c r="VI90" s="1055"/>
      <c r="VJ90" s="1055"/>
      <c r="VK90" s="1055"/>
      <c r="VL90" s="1055"/>
      <c r="VM90" s="1055"/>
      <c r="VN90" s="1055"/>
      <c r="VO90" s="1055"/>
      <c r="VP90" s="1055"/>
      <c r="VQ90" s="1055"/>
      <c r="VR90" s="1055"/>
      <c r="VS90" s="1055"/>
      <c r="VT90" s="1055"/>
      <c r="VU90" s="1055"/>
      <c r="VV90" s="1055"/>
      <c r="VW90" s="1055"/>
      <c r="VX90" s="1055"/>
      <c r="VY90" s="1055"/>
      <c r="VZ90" s="1055"/>
      <c r="WA90" s="1055"/>
      <c r="WB90" s="1055"/>
      <c r="WC90" s="1055"/>
      <c r="WD90" s="1055"/>
      <c r="WE90" s="1055"/>
      <c r="WF90" s="1055"/>
      <c r="WG90" s="1055"/>
      <c r="WH90" s="1055"/>
      <c r="WI90" s="1055"/>
      <c r="WJ90" s="1055"/>
      <c r="WK90" s="1055"/>
      <c r="WL90" s="1055"/>
      <c r="WM90" s="1055"/>
      <c r="WN90" s="1055"/>
      <c r="WO90" s="1055"/>
      <c r="WP90" s="1055"/>
      <c r="WQ90" s="1055"/>
      <c r="WR90" s="1055"/>
      <c r="WS90" s="1055"/>
      <c r="WT90" s="1055"/>
      <c r="WU90" s="1055"/>
      <c r="WV90" s="1055"/>
      <c r="WW90" s="1055"/>
      <c r="WX90" s="1055"/>
      <c r="WY90" s="1055"/>
      <c r="WZ90" s="1055"/>
      <c r="XA90" s="1055"/>
      <c r="XB90" s="1055"/>
      <c r="XC90" s="1055"/>
      <c r="XD90" s="1055"/>
      <c r="XE90" s="1055"/>
      <c r="XF90" s="1055"/>
      <c r="XG90" s="1055"/>
      <c r="XH90" s="1055"/>
      <c r="XI90" s="1055"/>
      <c r="XJ90" s="1055"/>
      <c r="XK90" s="1055"/>
      <c r="XL90" s="1055"/>
      <c r="XM90" s="1055"/>
      <c r="XN90" s="1055"/>
      <c r="XO90" s="1055"/>
      <c r="XP90" s="1055"/>
      <c r="XQ90" s="1055"/>
      <c r="XR90" s="1055"/>
      <c r="XS90" s="1055"/>
      <c r="XT90" s="1055"/>
      <c r="XU90" s="1055"/>
      <c r="XV90" s="1055"/>
      <c r="XW90" s="1055"/>
      <c r="XX90" s="1055"/>
      <c r="XY90" s="1055"/>
      <c r="XZ90" s="1055"/>
      <c r="YA90" s="1055"/>
      <c r="YB90" s="1055"/>
      <c r="YC90" s="1055"/>
      <c r="YD90" s="1055"/>
      <c r="YE90" s="1055"/>
      <c r="YF90" s="1055"/>
      <c r="YG90" s="1055"/>
      <c r="YH90" s="1055"/>
      <c r="YI90" s="1055"/>
      <c r="YJ90" s="1055"/>
      <c r="YK90" s="1055"/>
      <c r="YL90" s="1055"/>
      <c r="YM90" s="1055"/>
      <c r="YN90" s="1055"/>
      <c r="YO90" s="1055"/>
      <c r="YP90" s="1055"/>
      <c r="YQ90" s="1055"/>
      <c r="YR90" s="1055"/>
      <c r="YS90" s="1055"/>
      <c r="YT90" s="1055"/>
      <c r="YU90" s="1055"/>
      <c r="YV90" s="1055"/>
      <c r="YW90" s="1055"/>
      <c r="YX90" s="1055"/>
      <c r="YY90" s="1055"/>
      <c r="YZ90" s="1055"/>
      <c r="ZA90" s="1055"/>
      <c r="ZB90" s="1055"/>
      <c r="ZC90" s="1055"/>
      <c r="ZD90" s="1055"/>
      <c r="ZE90" s="1055"/>
      <c r="ZF90" s="1055"/>
      <c r="ZG90" s="1055"/>
      <c r="ZH90" s="1055"/>
      <c r="ZI90" s="1055"/>
      <c r="ZJ90" s="1055"/>
      <c r="ZK90" s="1055"/>
      <c r="ZL90" s="1055"/>
      <c r="ZM90" s="1055"/>
      <c r="ZN90" s="1055"/>
      <c r="ZO90" s="1055"/>
      <c r="ZP90" s="1055"/>
      <c r="ZQ90" s="1055"/>
      <c r="ZR90" s="1055"/>
      <c r="ZS90" s="1055"/>
      <c r="ZT90" s="1055"/>
      <c r="ZU90" s="1055"/>
      <c r="ZV90" s="1055"/>
      <c r="ZW90" s="1055"/>
      <c r="ZX90" s="1055"/>
      <c r="ZY90" s="1055"/>
      <c r="ZZ90" s="1055"/>
      <c r="AAA90" s="1055"/>
      <c r="AAB90" s="1055"/>
      <c r="AAC90" s="1055"/>
      <c r="AAD90" s="1055"/>
      <c r="AAE90" s="1055"/>
      <c r="AAF90" s="1055"/>
      <c r="AAG90" s="1055"/>
      <c r="AAH90" s="1055"/>
      <c r="AAI90" s="1055"/>
      <c r="AAJ90" s="1055"/>
      <c r="AAK90" s="1055"/>
      <c r="AAL90" s="1055"/>
      <c r="AAM90" s="1055"/>
      <c r="AAN90" s="1055"/>
      <c r="AAO90" s="1055"/>
      <c r="AAP90" s="1055"/>
      <c r="AAQ90" s="1055"/>
      <c r="AAR90" s="1055"/>
      <c r="AAS90" s="1055"/>
      <c r="AAT90" s="1055"/>
      <c r="AAU90" s="1055"/>
      <c r="AAV90" s="1055"/>
      <c r="AAW90" s="1055"/>
      <c r="AAX90" s="1055"/>
      <c r="AAY90" s="1055"/>
      <c r="AAZ90" s="1055"/>
      <c r="ABA90" s="1055"/>
      <c r="ABB90" s="1055"/>
      <c r="ABC90" s="1055"/>
      <c r="ABD90" s="1055"/>
      <c r="ABE90" s="1055"/>
      <c r="ABF90" s="1055"/>
      <c r="ABG90" s="1055"/>
      <c r="ABH90" s="1055"/>
      <c r="ABI90" s="1055"/>
      <c r="ABJ90" s="1055"/>
      <c r="ABK90" s="1055"/>
      <c r="ABL90" s="1055"/>
      <c r="ABM90" s="1055"/>
      <c r="ABN90" s="1055"/>
      <c r="ABO90" s="1055"/>
      <c r="ABP90" s="1055"/>
      <c r="ABQ90" s="1055"/>
      <c r="ABR90" s="1055"/>
      <c r="ABS90" s="1055"/>
      <c r="ABT90" s="1055"/>
      <c r="ABU90" s="1055"/>
      <c r="ABV90" s="1055"/>
      <c r="ABW90" s="1055"/>
      <c r="ABX90" s="1055"/>
      <c r="ABY90" s="1055"/>
      <c r="ABZ90" s="1055"/>
      <c r="ACA90" s="1055"/>
      <c r="ACB90" s="1055"/>
      <c r="ACC90" s="1055"/>
      <c r="ACD90" s="1055"/>
      <c r="ACE90" s="1055"/>
      <c r="ACF90" s="1055"/>
      <c r="ACG90" s="1055"/>
      <c r="ACH90" s="1055"/>
      <c r="ACI90" s="1055"/>
      <c r="ACJ90" s="1055"/>
      <c r="ACK90" s="1055"/>
      <c r="ACL90" s="1055"/>
      <c r="ACM90" s="1055"/>
      <c r="ACN90" s="1055"/>
      <c r="ACO90" s="1055"/>
      <c r="ACP90" s="1055"/>
      <c r="ACQ90" s="1055"/>
      <c r="ACR90" s="1055"/>
      <c r="ACS90" s="1055"/>
      <c r="ACT90" s="1055"/>
      <c r="ACU90" s="1055"/>
      <c r="ACV90" s="1055"/>
      <c r="ACW90" s="1055"/>
      <c r="ACX90" s="1055"/>
      <c r="ACY90" s="1055"/>
      <c r="ACZ90" s="1055"/>
      <c r="ADA90" s="1055"/>
      <c r="ADB90" s="1055"/>
      <c r="ADC90" s="1055"/>
      <c r="ADD90" s="1055"/>
      <c r="ADE90" s="1055"/>
      <c r="ADF90" s="1055"/>
      <c r="ADG90" s="1055"/>
      <c r="ADH90" s="1055"/>
      <c r="ADI90" s="1055"/>
      <c r="ADJ90" s="1055"/>
      <c r="ADK90" s="1055"/>
      <c r="ADL90" s="1055"/>
      <c r="ADM90" s="1055"/>
      <c r="ADN90" s="1055"/>
      <c r="ADO90" s="1055"/>
      <c r="ADP90" s="1055"/>
      <c r="ADQ90" s="1055"/>
      <c r="ADR90" s="1055"/>
      <c r="ADS90" s="1055"/>
      <c r="ADT90" s="1055"/>
      <c r="ADU90" s="1055"/>
      <c r="ADV90" s="1055"/>
      <c r="ADW90" s="1055"/>
      <c r="ADX90" s="1055"/>
      <c r="ADY90" s="1055"/>
      <c r="ADZ90" s="1055"/>
      <c r="AEA90" s="1055"/>
      <c r="AEB90" s="1055"/>
      <c r="AEC90" s="1055"/>
      <c r="AED90" s="1055"/>
      <c r="AEE90" s="1055"/>
      <c r="AEF90" s="1055"/>
      <c r="AEG90" s="1055"/>
      <c r="AEH90" s="1055"/>
      <c r="AEI90" s="1055"/>
      <c r="AEJ90" s="1055"/>
      <c r="AEK90" s="1055"/>
      <c r="AEL90" s="1055"/>
      <c r="AEM90" s="1055"/>
      <c r="AEN90" s="1055"/>
      <c r="AEO90" s="1055"/>
      <c r="AEP90" s="1055"/>
      <c r="AEQ90" s="1055"/>
      <c r="AER90" s="1055"/>
      <c r="AES90" s="1055"/>
      <c r="AET90" s="1055"/>
      <c r="AEU90" s="1055"/>
      <c r="AEV90" s="1055"/>
      <c r="AEW90" s="1055"/>
      <c r="AEX90" s="1055"/>
      <c r="AEY90" s="1055"/>
      <c r="AEZ90" s="1055"/>
      <c r="AFA90" s="1055"/>
      <c r="AFB90" s="1055"/>
      <c r="AFC90" s="1055"/>
      <c r="AFD90" s="1055"/>
      <c r="AFE90" s="1055"/>
      <c r="AFF90" s="1055"/>
      <c r="AFG90" s="1055"/>
      <c r="AFH90" s="1055"/>
      <c r="AFI90" s="1055"/>
      <c r="AFJ90" s="1055"/>
      <c r="AFK90" s="1055"/>
      <c r="AFL90" s="1055"/>
      <c r="AFM90" s="1055"/>
      <c r="AFN90" s="1055"/>
      <c r="AFO90" s="1055"/>
      <c r="AFP90" s="1055"/>
      <c r="AFQ90" s="1055"/>
      <c r="AFR90" s="1055"/>
      <c r="AFS90" s="1055"/>
      <c r="AFT90" s="1055"/>
      <c r="AFU90" s="1055"/>
      <c r="AFV90" s="1055"/>
      <c r="AFW90" s="1055"/>
      <c r="AFX90" s="1055"/>
      <c r="AFY90" s="1055"/>
      <c r="AFZ90" s="1055"/>
      <c r="AGA90" s="1055"/>
      <c r="AGB90" s="1055"/>
      <c r="AGC90" s="1055"/>
      <c r="AGD90" s="1055"/>
      <c r="AGE90" s="1055"/>
      <c r="AGF90" s="1055"/>
      <c r="AGG90" s="1055"/>
      <c r="AGH90" s="1055"/>
      <c r="AGI90" s="1055"/>
      <c r="AGJ90" s="1055"/>
      <c r="AGK90" s="1055"/>
      <c r="AGL90" s="1055"/>
      <c r="AGM90" s="1055"/>
      <c r="AGN90" s="1055"/>
      <c r="AGO90" s="1055"/>
      <c r="AGP90" s="1055"/>
      <c r="AGQ90" s="1055"/>
      <c r="AGR90" s="1055"/>
      <c r="AGS90" s="1055"/>
      <c r="AGT90" s="1055"/>
      <c r="AGU90" s="1055"/>
      <c r="AGV90" s="1055"/>
      <c r="AGW90" s="1055"/>
      <c r="AGX90" s="1055"/>
      <c r="AGY90" s="1055"/>
      <c r="AGZ90" s="1055"/>
      <c r="AHA90" s="1055"/>
      <c r="AHB90" s="1055"/>
      <c r="AHC90" s="1055"/>
      <c r="AHD90" s="1055"/>
      <c r="AHE90" s="1055"/>
      <c r="AHF90" s="1055"/>
      <c r="AHG90" s="1055"/>
      <c r="AHH90" s="1055"/>
      <c r="AHI90" s="1055"/>
      <c r="AHJ90" s="1055"/>
      <c r="AHK90" s="1055"/>
      <c r="AHL90" s="1055"/>
      <c r="AHM90" s="1055"/>
      <c r="AHN90" s="1055"/>
      <c r="AHO90" s="1055"/>
      <c r="AHP90" s="1055"/>
      <c r="AHQ90" s="1055"/>
      <c r="AHR90" s="1055"/>
      <c r="AHS90" s="1055"/>
      <c r="AHT90" s="1055"/>
      <c r="AHU90" s="1055"/>
      <c r="AHV90" s="1055"/>
      <c r="AHW90" s="1055"/>
      <c r="AHX90" s="1055"/>
      <c r="AHY90" s="1055"/>
      <c r="AHZ90" s="1055"/>
      <c r="AIA90" s="1055"/>
      <c r="AIB90" s="1055"/>
      <c r="AIC90" s="1055"/>
      <c r="AID90" s="1055"/>
      <c r="AIE90" s="1055"/>
      <c r="AIF90" s="1055"/>
      <c r="AIG90" s="1055"/>
      <c r="AIH90" s="1055"/>
      <c r="AII90" s="1055"/>
      <c r="AIJ90" s="1055"/>
      <c r="AIK90" s="1055"/>
      <c r="AIL90" s="1055"/>
      <c r="AIM90" s="1055"/>
      <c r="AIN90" s="1055"/>
      <c r="AIO90" s="1055"/>
      <c r="AIP90" s="1055"/>
      <c r="AIQ90" s="1055"/>
      <c r="AIR90" s="1055"/>
      <c r="AIS90" s="1055"/>
      <c r="AIT90" s="1055"/>
      <c r="AIU90" s="1055"/>
      <c r="AIV90" s="1055"/>
      <c r="AIW90" s="1055"/>
      <c r="AIX90" s="1055"/>
      <c r="AIY90" s="1055"/>
      <c r="AIZ90" s="1055"/>
      <c r="AJA90" s="1055"/>
      <c r="AJB90" s="1055"/>
      <c r="AJC90" s="1055"/>
      <c r="AJD90" s="1055"/>
      <c r="AJE90" s="1055"/>
      <c r="AJF90" s="1055"/>
      <c r="AJG90" s="1055"/>
      <c r="AJH90" s="1055"/>
      <c r="AJI90" s="1055"/>
      <c r="AJJ90" s="1055"/>
      <c r="AJK90" s="1055"/>
      <c r="AJL90" s="1055"/>
      <c r="AJM90" s="1055"/>
      <c r="AJN90" s="1055"/>
      <c r="AJO90" s="1055"/>
      <c r="AJP90" s="1055"/>
      <c r="AJQ90" s="1055"/>
      <c r="AJR90" s="1055"/>
      <c r="AJS90" s="1055"/>
      <c r="AJT90" s="1055"/>
      <c r="AJU90" s="1055"/>
      <c r="AJV90" s="1055"/>
      <c r="AJW90" s="1055"/>
      <c r="AJX90" s="1055"/>
      <c r="AJY90" s="1055"/>
      <c r="AJZ90" s="1055"/>
      <c r="AKA90" s="1055"/>
      <c r="AKB90" s="1055"/>
      <c r="AKC90" s="1055"/>
      <c r="AKD90" s="1055"/>
      <c r="AKE90" s="1055"/>
      <c r="AKF90" s="1055"/>
      <c r="AKG90" s="1055"/>
      <c r="AKH90" s="1055"/>
      <c r="AKI90" s="1055"/>
      <c r="AKJ90" s="1055"/>
      <c r="AKK90" s="1055"/>
      <c r="AKL90" s="1055"/>
      <c r="AKM90" s="1055"/>
      <c r="AKN90" s="1055"/>
      <c r="AKO90" s="1055"/>
      <c r="AKP90" s="1055"/>
      <c r="AKQ90" s="1055"/>
      <c r="AKR90" s="1055"/>
      <c r="AKS90" s="1055"/>
      <c r="AKT90" s="1055"/>
      <c r="AKU90" s="1055"/>
      <c r="AKV90" s="1055"/>
      <c r="AKW90" s="1055"/>
      <c r="AKX90" s="1055"/>
      <c r="AKY90" s="1055"/>
      <c r="AKZ90" s="1055"/>
      <c r="ALA90" s="1055"/>
      <c r="ALB90" s="1055"/>
      <c r="ALC90" s="1055"/>
      <c r="ALD90" s="1055"/>
      <c r="ALE90" s="1055"/>
      <c r="ALF90" s="1055"/>
      <c r="ALG90" s="1055"/>
      <c r="ALH90" s="1055"/>
      <c r="ALI90" s="1055"/>
      <c r="ALJ90" s="1055"/>
      <c r="ALK90" s="1055"/>
      <c r="ALL90" s="1055"/>
      <c r="ALM90" s="1055"/>
      <c r="ALN90" s="1055"/>
      <c r="ALO90" s="1055"/>
      <c r="ALP90" s="1055"/>
      <c r="ALQ90" s="1055"/>
      <c r="ALR90" s="1055"/>
      <c r="ALS90" s="1055"/>
      <c r="ALT90" s="1055"/>
      <c r="ALU90" s="1055"/>
      <c r="ALV90" s="1055"/>
      <c r="ALW90" s="1055"/>
      <c r="ALX90" s="1055"/>
      <c r="ALY90" s="1055"/>
      <c r="ALZ90" s="1055"/>
      <c r="AMA90" s="1055"/>
      <c r="AMB90" s="1055"/>
      <c r="AMC90" s="1055"/>
      <c r="AMD90" s="1055"/>
      <c r="AME90" s="1055"/>
      <c r="AMF90" s="1055"/>
      <c r="AMG90" s="1055"/>
      <c r="AMH90" s="1055"/>
      <c r="AMI90" s="1055"/>
      <c r="AMJ90" s="1055"/>
      <c r="AMK90" s="1055"/>
      <c r="AML90" s="1055"/>
      <c r="AMM90" s="1055"/>
      <c r="AMN90" s="1055"/>
      <c r="AMO90" s="1055"/>
      <c r="AMP90" s="1055"/>
      <c r="AMQ90" s="1055"/>
      <c r="AMR90" s="1055"/>
      <c r="AMS90" s="1055"/>
      <c r="AMT90" s="1055"/>
      <c r="AMU90" s="1055"/>
      <c r="AMV90" s="1055"/>
      <c r="AMW90" s="1055"/>
      <c r="AMX90" s="1055"/>
      <c r="AMY90" s="1055"/>
      <c r="AMZ90" s="1055"/>
      <c r="ANA90" s="1055"/>
      <c r="ANB90" s="1055"/>
      <c r="ANC90" s="1055"/>
      <c r="AND90" s="1055"/>
      <c r="ANE90" s="1055"/>
      <c r="ANF90" s="1055"/>
      <c r="ANG90" s="1055"/>
      <c r="ANH90" s="1055"/>
      <c r="ANI90" s="1055"/>
      <c r="ANJ90" s="1055"/>
      <c r="ANK90" s="1055"/>
      <c r="ANL90" s="1055"/>
      <c r="ANM90" s="1055"/>
      <c r="ANN90" s="1055"/>
      <c r="ANO90" s="1055"/>
      <c r="ANP90" s="1055"/>
      <c r="ANQ90" s="1055"/>
      <c r="ANR90" s="1055"/>
      <c r="ANS90" s="1055"/>
      <c r="ANT90" s="1055"/>
      <c r="ANU90" s="1055"/>
      <c r="ANV90" s="1055"/>
      <c r="ANW90" s="1055"/>
      <c r="ANX90" s="1055"/>
      <c r="ANY90" s="1055"/>
      <c r="ANZ90" s="1055"/>
      <c r="AOA90" s="1055"/>
      <c r="AOB90" s="1055"/>
      <c r="AOC90" s="1055"/>
      <c r="AOD90" s="1055"/>
      <c r="AOE90" s="1055"/>
      <c r="AOF90" s="1055"/>
      <c r="AOG90" s="1055"/>
      <c r="AOH90" s="1055"/>
      <c r="AOI90" s="1055"/>
      <c r="AOJ90" s="1055"/>
      <c r="AOK90" s="1055"/>
      <c r="AOL90" s="1055"/>
      <c r="AOM90" s="1055"/>
      <c r="AON90" s="1055"/>
      <c r="AOO90" s="1055"/>
      <c r="AOP90" s="1055"/>
      <c r="AOQ90" s="1055"/>
      <c r="AOR90" s="1055"/>
      <c r="AOS90" s="1055"/>
      <c r="AOT90" s="1055"/>
      <c r="AOU90" s="1055"/>
      <c r="AOV90" s="1055"/>
      <c r="AOW90" s="1055"/>
      <c r="AOX90" s="1055"/>
      <c r="AOY90" s="1055"/>
      <c r="AOZ90" s="1055"/>
      <c r="APA90" s="1055"/>
      <c r="APB90" s="1055"/>
      <c r="APC90" s="1055"/>
      <c r="APD90" s="1055"/>
      <c r="APE90" s="1055"/>
      <c r="APF90" s="1055"/>
      <c r="APG90" s="1055"/>
      <c r="APH90" s="1055"/>
      <c r="API90" s="1055"/>
      <c r="APJ90" s="1055"/>
      <c r="APK90" s="1055"/>
      <c r="APL90" s="1055"/>
      <c r="APM90" s="1055"/>
      <c r="APN90" s="1055"/>
      <c r="APO90" s="1055"/>
      <c r="APP90" s="1055"/>
      <c r="APQ90" s="1055"/>
      <c r="APR90" s="1055"/>
      <c r="APS90" s="1055"/>
      <c r="APT90" s="1055"/>
      <c r="APU90" s="1055"/>
      <c r="APV90" s="1055"/>
      <c r="APW90" s="1055"/>
      <c r="APX90" s="1055"/>
      <c r="APY90" s="1055"/>
      <c r="APZ90" s="1055"/>
      <c r="AQA90" s="1055"/>
      <c r="AQB90" s="1055"/>
      <c r="AQC90" s="1055"/>
      <c r="AQD90" s="1055"/>
      <c r="AQE90" s="1055"/>
      <c r="AQF90" s="1055"/>
      <c r="AQG90" s="1055"/>
      <c r="AQH90" s="1055"/>
      <c r="AQI90" s="1055"/>
      <c r="AQJ90" s="1055"/>
      <c r="AQK90" s="1055"/>
      <c r="AQL90" s="1055"/>
      <c r="AQM90" s="1055"/>
      <c r="AQN90" s="1055"/>
      <c r="AQO90" s="1055"/>
      <c r="AQP90" s="1055"/>
      <c r="AQQ90" s="1055"/>
      <c r="AQR90" s="1055"/>
      <c r="AQS90" s="1055"/>
      <c r="AQT90" s="1055"/>
      <c r="AQU90" s="1055"/>
      <c r="AQV90" s="1055"/>
      <c r="AQW90" s="1055"/>
      <c r="AQX90" s="1055"/>
      <c r="AQY90" s="1055"/>
      <c r="AQZ90" s="1055"/>
      <c r="ARA90" s="1055"/>
      <c r="ARB90" s="1055"/>
      <c r="ARC90" s="1055"/>
      <c r="ARD90" s="1055"/>
      <c r="ARE90" s="1055"/>
      <c r="ARF90" s="1055"/>
      <c r="ARG90" s="1055"/>
      <c r="ARH90" s="1055"/>
      <c r="ARI90" s="1055"/>
      <c r="ARJ90" s="1055"/>
      <c r="ARK90" s="1055"/>
      <c r="ARL90" s="1055"/>
      <c r="ARM90" s="1055"/>
      <c r="ARN90" s="1055"/>
      <c r="ARO90" s="1055"/>
      <c r="ARP90" s="1055"/>
      <c r="ARQ90" s="1055"/>
      <c r="ARR90" s="1055"/>
      <c r="ARS90" s="1055"/>
      <c r="ART90" s="1055"/>
      <c r="ARU90" s="1055"/>
      <c r="ARV90" s="1055"/>
      <c r="ARW90" s="1055"/>
      <c r="ARX90" s="1055"/>
      <c r="ARY90" s="1055"/>
      <c r="ARZ90" s="1055"/>
      <c r="ASA90" s="1055"/>
      <c r="ASB90" s="1055"/>
      <c r="ASC90" s="1055"/>
      <c r="ASD90" s="1055"/>
      <c r="ASE90" s="1055"/>
      <c r="ASF90" s="1055"/>
      <c r="ASG90" s="1055"/>
      <c r="ASH90" s="1055"/>
      <c r="ASI90" s="1055"/>
      <c r="ASJ90" s="1055"/>
      <c r="ASK90" s="1055"/>
      <c r="ASL90" s="1055"/>
      <c r="ASM90" s="1055"/>
      <c r="ASN90" s="1055"/>
      <c r="ASO90" s="1055"/>
      <c r="ASP90" s="1055"/>
      <c r="ASQ90" s="1055"/>
      <c r="ASR90" s="1055"/>
      <c r="ASS90" s="1055"/>
      <c r="AST90" s="1055"/>
      <c r="ASU90" s="1055"/>
      <c r="ASV90" s="1055"/>
      <c r="ASW90" s="1055"/>
      <c r="ASX90" s="1055"/>
      <c r="ASY90" s="1055"/>
      <c r="ASZ90" s="1055"/>
      <c r="ATA90" s="1055"/>
      <c r="ATB90" s="1055"/>
      <c r="ATC90" s="1055"/>
      <c r="ATD90" s="1055"/>
      <c r="ATE90" s="1055"/>
      <c r="ATF90" s="1055"/>
      <c r="ATG90" s="1055"/>
      <c r="ATH90" s="1055"/>
      <c r="ATI90" s="1055"/>
      <c r="ATJ90" s="1055"/>
      <c r="ATK90" s="1055"/>
      <c r="ATL90" s="1055"/>
      <c r="ATM90" s="1055"/>
      <c r="ATN90" s="1055"/>
      <c r="ATO90" s="1055"/>
      <c r="ATP90" s="1055"/>
      <c r="ATQ90" s="1055"/>
      <c r="ATR90" s="1055"/>
      <c r="ATS90" s="1055"/>
      <c r="ATT90" s="1055"/>
      <c r="ATU90" s="1055"/>
      <c r="ATV90" s="1055"/>
      <c r="ATW90" s="1055"/>
      <c r="ATX90" s="1055"/>
      <c r="ATY90" s="1055"/>
      <c r="ATZ90" s="1055"/>
      <c r="AUA90" s="1055"/>
      <c r="AUB90" s="1055"/>
      <c r="AUC90" s="1055"/>
      <c r="AUD90" s="1055"/>
      <c r="AUE90" s="1055"/>
      <c r="AUF90" s="1055"/>
      <c r="AUG90" s="1055"/>
      <c r="AUH90" s="1055"/>
      <c r="AUI90" s="1055"/>
      <c r="AUJ90" s="1055"/>
      <c r="AUK90" s="1055"/>
      <c r="AUL90" s="1055"/>
      <c r="AUM90" s="1055"/>
      <c r="AUN90" s="1055"/>
      <c r="AUO90" s="1055"/>
      <c r="AUP90" s="1055"/>
      <c r="AUQ90" s="1055"/>
      <c r="AUR90" s="1055"/>
      <c r="AUS90" s="1055"/>
      <c r="AUT90" s="1055"/>
      <c r="AUU90" s="1055"/>
      <c r="AUV90" s="1055"/>
      <c r="AUW90" s="1055"/>
      <c r="AUX90" s="1055"/>
      <c r="AUY90" s="1055"/>
      <c r="AUZ90" s="1055"/>
      <c r="AVA90" s="1055"/>
      <c r="AVB90" s="1055"/>
      <c r="AVC90" s="1055"/>
      <c r="AVD90" s="1055"/>
      <c r="AVE90" s="1055"/>
      <c r="AVF90" s="1055"/>
      <c r="AVG90" s="1055"/>
      <c r="AVH90" s="1055"/>
      <c r="AVI90" s="1055"/>
      <c r="AVJ90" s="1055"/>
      <c r="AVK90" s="1055"/>
      <c r="AVL90" s="1055"/>
      <c r="AVM90" s="1055"/>
      <c r="AVN90" s="1055"/>
      <c r="AVO90" s="1055"/>
      <c r="AVP90" s="1055"/>
      <c r="AVQ90" s="1055"/>
      <c r="AVR90" s="1055"/>
      <c r="AVS90" s="1055"/>
      <c r="AVT90" s="1055"/>
      <c r="AVU90" s="1055"/>
      <c r="AVV90" s="1055"/>
      <c r="AVW90" s="1055"/>
      <c r="AVX90" s="1055"/>
      <c r="AVY90" s="1055"/>
      <c r="AVZ90" s="1055"/>
      <c r="AWA90" s="1055"/>
      <c r="AWB90" s="1055"/>
      <c r="AWC90" s="1055"/>
      <c r="AWD90" s="1055"/>
      <c r="AWE90" s="1055"/>
      <c r="AWF90" s="1055"/>
      <c r="AWG90" s="1055"/>
      <c r="AWH90" s="1055"/>
      <c r="AWI90" s="1055"/>
      <c r="AWJ90" s="1055"/>
      <c r="AWK90" s="1055"/>
      <c r="AWL90" s="1055"/>
      <c r="AWM90" s="1055"/>
      <c r="AWN90" s="1055"/>
      <c r="AWO90" s="1055"/>
      <c r="AWP90" s="1055"/>
      <c r="AWQ90" s="1055"/>
      <c r="AWR90" s="1055"/>
      <c r="AWS90" s="1055"/>
      <c r="AWT90" s="1055"/>
      <c r="AWU90" s="1055"/>
      <c r="AWV90" s="1055"/>
      <c r="AWW90" s="1055"/>
      <c r="AWX90" s="1055"/>
      <c r="AWY90" s="1055"/>
      <c r="AWZ90" s="1055"/>
      <c r="AXA90" s="1055"/>
      <c r="AXB90" s="1055"/>
      <c r="AXC90" s="1055"/>
      <c r="AXD90" s="1055"/>
      <c r="AXE90" s="1055"/>
      <c r="AXF90" s="1055"/>
      <c r="AXG90" s="1055"/>
      <c r="AXH90" s="1055"/>
      <c r="AXI90" s="1055"/>
      <c r="AXJ90" s="1055"/>
      <c r="AXK90" s="1055"/>
      <c r="AXL90" s="1055"/>
      <c r="AXM90" s="1055"/>
      <c r="AXN90" s="1055"/>
      <c r="AXO90" s="1055"/>
      <c r="AXP90" s="1055"/>
      <c r="AXQ90" s="1055"/>
      <c r="AXR90" s="1055"/>
      <c r="AXS90" s="1055"/>
      <c r="AXT90" s="1055"/>
      <c r="AXU90" s="1055"/>
      <c r="AXV90" s="1055"/>
      <c r="AXW90" s="1055"/>
      <c r="AXX90" s="1055"/>
      <c r="AXY90" s="1055"/>
      <c r="AXZ90" s="1055"/>
      <c r="AYA90" s="1055"/>
      <c r="AYB90" s="1055"/>
      <c r="AYC90" s="1055"/>
      <c r="AYD90" s="1055"/>
      <c r="AYE90" s="1055"/>
      <c r="AYF90" s="1055"/>
      <c r="AYG90" s="1055"/>
      <c r="AYH90" s="1055"/>
      <c r="AYI90" s="1055"/>
      <c r="AYJ90" s="1055"/>
      <c r="AYK90" s="1055"/>
      <c r="AYL90" s="1055"/>
      <c r="AYM90" s="1055"/>
      <c r="AYN90" s="1055"/>
      <c r="AYO90" s="1055"/>
      <c r="AYP90" s="1055"/>
      <c r="AYQ90" s="1055"/>
      <c r="AYR90" s="1055"/>
      <c r="AYS90" s="1055"/>
      <c r="AYT90" s="1055"/>
      <c r="AYU90" s="1055"/>
      <c r="AYV90" s="1055"/>
      <c r="AYW90" s="1055"/>
      <c r="AYX90" s="1055"/>
      <c r="AYY90" s="1055"/>
      <c r="AYZ90" s="1055"/>
      <c r="AZA90" s="1055"/>
      <c r="AZB90" s="1055"/>
      <c r="AZC90" s="1055"/>
      <c r="AZD90" s="1055"/>
      <c r="AZE90" s="1055"/>
      <c r="AZF90" s="1055"/>
      <c r="AZG90" s="1055"/>
      <c r="AZH90" s="1055"/>
      <c r="AZI90" s="1055"/>
      <c r="AZJ90" s="1055"/>
      <c r="AZK90" s="1055"/>
      <c r="AZL90" s="1055"/>
      <c r="AZM90" s="1055"/>
      <c r="AZN90" s="1055"/>
      <c r="AZO90" s="1055"/>
      <c r="AZP90" s="1055"/>
      <c r="AZQ90" s="1055"/>
      <c r="AZR90" s="1055"/>
      <c r="AZS90" s="1055"/>
      <c r="AZT90" s="1055"/>
      <c r="AZU90" s="1055"/>
      <c r="AZV90" s="1055"/>
      <c r="AZW90" s="1055"/>
      <c r="AZX90" s="1055"/>
      <c r="AZY90" s="1055"/>
      <c r="AZZ90" s="1055"/>
      <c r="BAA90" s="1055"/>
      <c r="BAB90" s="1055"/>
      <c r="BAC90" s="1055"/>
      <c r="BAD90" s="1055"/>
      <c r="BAE90" s="1055"/>
      <c r="BAF90" s="1055"/>
      <c r="BAG90" s="1055"/>
      <c r="BAH90" s="1055"/>
      <c r="BAI90" s="1055"/>
      <c r="BAJ90" s="1055"/>
      <c r="BAK90" s="1055"/>
      <c r="BAL90" s="1055"/>
      <c r="BAM90" s="1055"/>
      <c r="BAN90" s="1055"/>
      <c r="BAO90" s="1055"/>
      <c r="BAP90" s="1055"/>
      <c r="BAQ90" s="1055"/>
      <c r="BAR90" s="1055"/>
      <c r="BAS90" s="1055"/>
      <c r="BAT90" s="1055"/>
      <c r="BAU90" s="1055"/>
      <c r="BAV90" s="1055"/>
      <c r="BAW90" s="1055"/>
      <c r="BAX90" s="1055"/>
      <c r="BAY90" s="1055"/>
      <c r="BAZ90" s="1055"/>
      <c r="BBA90" s="1055"/>
      <c r="BBB90" s="1055"/>
      <c r="BBC90" s="1055"/>
      <c r="BBD90" s="1055"/>
      <c r="BBE90" s="1055"/>
      <c r="BBF90" s="1055"/>
      <c r="BBG90" s="1055"/>
      <c r="BBH90" s="1055"/>
      <c r="BBI90" s="1055"/>
      <c r="BBJ90" s="1055"/>
      <c r="BBK90" s="1055"/>
      <c r="BBL90" s="1055"/>
      <c r="BBM90" s="1055"/>
      <c r="BBN90" s="1055"/>
      <c r="BBO90" s="1055"/>
      <c r="BBP90" s="1055"/>
      <c r="BBQ90" s="1055"/>
      <c r="BBR90" s="1055"/>
      <c r="BBS90" s="1055"/>
      <c r="BBT90" s="1055"/>
      <c r="BBU90" s="1055"/>
      <c r="BBV90" s="1055"/>
      <c r="BBW90" s="1055"/>
      <c r="BBX90" s="1055"/>
      <c r="BBY90" s="1055"/>
      <c r="BBZ90" s="1055"/>
      <c r="BCA90" s="1055"/>
      <c r="BCB90" s="1055"/>
      <c r="BCC90" s="1055"/>
      <c r="BCD90" s="1055"/>
      <c r="BCE90" s="1055"/>
      <c r="BCF90" s="1055"/>
      <c r="BCG90" s="1055"/>
      <c r="BCH90" s="1055"/>
      <c r="BCI90" s="1055"/>
      <c r="BCJ90" s="1055"/>
      <c r="BCK90" s="1055"/>
      <c r="BCL90" s="1055"/>
      <c r="BCM90" s="1055"/>
      <c r="BCN90" s="1055"/>
      <c r="BCO90" s="1055"/>
      <c r="BCP90" s="1055"/>
      <c r="BCQ90" s="1055"/>
      <c r="BCR90" s="1055"/>
      <c r="BCS90" s="1055"/>
      <c r="BCT90" s="1055"/>
      <c r="BCU90" s="1055"/>
      <c r="BCV90" s="1055"/>
      <c r="BCW90" s="1055"/>
      <c r="BCX90" s="1055"/>
      <c r="BCY90" s="1055"/>
      <c r="BCZ90" s="1055"/>
      <c r="BDA90" s="1055"/>
      <c r="BDB90" s="1055"/>
      <c r="BDC90" s="1055"/>
      <c r="BDD90" s="1055"/>
      <c r="BDE90" s="1055"/>
      <c r="BDF90" s="1055"/>
      <c r="BDG90" s="1055"/>
      <c r="BDH90" s="1055"/>
      <c r="BDI90" s="1055"/>
      <c r="BDJ90" s="1055"/>
      <c r="BDK90" s="1055"/>
      <c r="BDL90" s="1055"/>
      <c r="BDM90" s="1055"/>
      <c r="BDN90" s="1055"/>
      <c r="BDO90" s="1055"/>
      <c r="BDP90" s="1055"/>
      <c r="BDQ90" s="1055"/>
      <c r="BDR90" s="1055"/>
      <c r="BDS90" s="1055"/>
      <c r="BDT90" s="1055"/>
      <c r="BDU90" s="1055"/>
      <c r="BDV90" s="1055"/>
      <c r="BDW90" s="1055"/>
      <c r="BDX90" s="1055"/>
      <c r="BDY90" s="1055"/>
      <c r="BDZ90" s="1055"/>
      <c r="BEA90" s="1055"/>
      <c r="BEB90" s="1055"/>
      <c r="BEC90" s="1055"/>
      <c r="BED90" s="1055"/>
      <c r="BEE90" s="1055"/>
      <c r="BEF90" s="1055"/>
      <c r="BEG90" s="1055"/>
      <c r="BEH90" s="1055"/>
      <c r="BEI90" s="1055"/>
      <c r="BEJ90" s="1055"/>
      <c r="BEK90" s="1055"/>
      <c r="BEL90" s="1055"/>
      <c r="BEM90" s="1055"/>
      <c r="BEN90" s="1055"/>
      <c r="BEO90" s="1055"/>
      <c r="BEP90" s="1055"/>
      <c r="BEQ90" s="1055"/>
      <c r="BER90" s="1055"/>
      <c r="BES90" s="1055"/>
      <c r="BET90" s="1055"/>
      <c r="BEU90" s="1055"/>
      <c r="BEV90" s="1055"/>
      <c r="BEW90" s="1055"/>
      <c r="BEX90" s="1055"/>
      <c r="BEY90" s="1055"/>
      <c r="BEZ90" s="1055"/>
      <c r="BFA90" s="1055"/>
      <c r="BFB90" s="1055"/>
      <c r="BFC90" s="1055"/>
      <c r="BFD90" s="1055"/>
      <c r="BFE90" s="1055"/>
      <c r="BFF90" s="1055"/>
      <c r="BFG90" s="1055"/>
      <c r="BFH90" s="1055"/>
      <c r="BFI90" s="1055"/>
      <c r="BFJ90" s="1055"/>
      <c r="BFK90" s="1055"/>
      <c r="BFL90" s="1055"/>
      <c r="BFM90" s="1055"/>
      <c r="BFN90" s="1055"/>
      <c r="BFO90" s="1055"/>
      <c r="BFP90" s="1055"/>
      <c r="BFQ90" s="1055"/>
      <c r="BFR90" s="1055"/>
      <c r="BFS90" s="1055"/>
      <c r="BFT90" s="1055"/>
      <c r="BFU90" s="1055"/>
      <c r="BFV90" s="1055"/>
      <c r="BFW90" s="1055"/>
      <c r="BFX90" s="1055"/>
      <c r="BFY90" s="1055"/>
      <c r="BFZ90" s="1055"/>
      <c r="BGA90" s="1055"/>
      <c r="BGB90" s="1055"/>
      <c r="BGC90" s="1055"/>
      <c r="BGD90" s="1055"/>
      <c r="BGE90" s="1055"/>
      <c r="BGF90" s="1055"/>
      <c r="BGG90" s="1055"/>
      <c r="BGH90" s="1055"/>
      <c r="BGI90" s="1055"/>
      <c r="BGJ90" s="1055"/>
      <c r="BGK90" s="1055"/>
      <c r="BGL90" s="1055"/>
      <c r="BGM90" s="1055"/>
      <c r="BGN90" s="1055"/>
      <c r="BGO90" s="1055"/>
      <c r="BGP90" s="1055"/>
      <c r="BGQ90" s="1055"/>
      <c r="BGR90" s="1055"/>
      <c r="BGS90" s="1055"/>
      <c r="BGT90" s="1055"/>
      <c r="BGU90" s="1055"/>
      <c r="BGV90" s="1055"/>
      <c r="BGW90" s="1055"/>
      <c r="BGX90" s="1055"/>
      <c r="BGY90" s="1055"/>
      <c r="BGZ90" s="1055"/>
      <c r="BHA90" s="1055"/>
      <c r="BHB90" s="1055"/>
      <c r="BHC90" s="1055"/>
      <c r="BHD90" s="1055"/>
      <c r="BHE90" s="1055"/>
      <c r="BHF90" s="1055"/>
      <c r="BHG90" s="1055"/>
      <c r="BHH90" s="1055"/>
      <c r="BHI90" s="1055"/>
      <c r="BHJ90" s="1055"/>
      <c r="BHK90" s="1055"/>
      <c r="BHL90" s="1055"/>
      <c r="BHM90" s="1055"/>
      <c r="BHN90" s="1055"/>
      <c r="BHO90" s="1055"/>
      <c r="BHP90" s="1055"/>
      <c r="BHQ90" s="1055"/>
      <c r="BHR90" s="1055"/>
      <c r="BHS90" s="1055"/>
      <c r="BHT90" s="1055"/>
      <c r="BHU90" s="1055"/>
      <c r="BHV90" s="1055"/>
      <c r="BHW90" s="1055"/>
      <c r="BHX90" s="1055"/>
      <c r="BHY90" s="1055"/>
      <c r="BHZ90" s="1055"/>
      <c r="BIA90" s="1055"/>
      <c r="BIB90" s="1055"/>
      <c r="BIC90" s="1055"/>
      <c r="BID90" s="1055"/>
      <c r="BIE90" s="1055"/>
      <c r="BIF90" s="1055"/>
      <c r="BIG90" s="1055"/>
      <c r="BIH90" s="1055"/>
      <c r="BII90" s="1055"/>
      <c r="BIJ90" s="1055"/>
      <c r="BIK90" s="1055"/>
      <c r="BIL90" s="1055"/>
      <c r="BIM90" s="1055"/>
      <c r="BIN90" s="1055"/>
      <c r="BIO90" s="1055"/>
      <c r="BIP90" s="1055"/>
      <c r="BIQ90" s="1055"/>
      <c r="BIR90" s="1055"/>
      <c r="BIS90" s="1055"/>
      <c r="BIT90" s="1055"/>
      <c r="BIU90" s="1055"/>
      <c r="BIV90" s="1055"/>
      <c r="BIW90" s="1055"/>
      <c r="BIX90" s="1055"/>
      <c r="BIY90" s="1055"/>
      <c r="BIZ90" s="1055"/>
      <c r="BJA90" s="1055"/>
      <c r="BJB90" s="1055"/>
      <c r="BJC90" s="1055"/>
      <c r="BJD90" s="1055"/>
      <c r="BJE90" s="1055"/>
      <c r="BJF90" s="1055"/>
      <c r="BJG90" s="1055"/>
      <c r="BJH90" s="1055"/>
      <c r="BJI90" s="1055"/>
      <c r="BJJ90" s="1055"/>
      <c r="BJK90" s="1055"/>
      <c r="BJL90" s="1055"/>
      <c r="BJM90" s="1055"/>
      <c r="BJN90" s="1055"/>
      <c r="BJO90" s="1055"/>
      <c r="BJP90" s="1055"/>
      <c r="BJQ90" s="1055"/>
      <c r="BJR90" s="1055"/>
      <c r="BJS90" s="1055"/>
      <c r="BJT90" s="1055"/>
      <c r="BJU90" s="1055"/>
      <c r="BJV90" s="1055"/>
      <c r="BJW90" s="1055"/>
      <c r="BJX90" s="1055"/>
      <c r="BJY90" s="1055"/>
      <c r="BJZ90" s="1055"/>
      <c r="BKA90" s="1055"/>
      <c r="BKB90" s="1055"/>
      <c r="BKC90" s="1055"/>
      <c r="BKD90" s="1055"/>
      <c r="BKE90" s="1055"/>
      <c r="BKF90" s="1055"/>
      <c r="BKG90" s="1055"/>
      <c r="BKH90" s="1055"/>
      <c r="BKI90" s="1055"/>
      <c r="BKJ90" s="1055"/>
      <c r="BKK90" s="1055"/>
      <c r="BKL90" s="1055"/>
      <c r="BKM90" s="1055"/>
      <c r="BKN90" s="1055"/>
      <c r="BKO90" s="1055"/>
      <c r="BKP90" s="1055"/>
      <c r="BKQ90" s="1055"/>
      <c r="BKR90" s="1055"/>
      <c r="BKS90" s="1055"/>
      <c r="BKT90" s="1055"/>
      <c r="BKU90" s="1055"/>
      <c r="BKV90" s="1055"/>
      <c r="BKW90" s="1055"/>
      <c r="BKX90" s="1055"/>
      <c r="BKY90" s="1055"/>
      <c r="BKZ90" s="1055"/>
      <c r="BLA90" s="1055"/>
      <c r="BLB90" s="1055"/>
      <c r="BLC90" s="1055"/>
      <c r="BLD90" s="1055"/>
      <c r="BLE90" s="1055"/>
      <c r="BLF90" s="1055"/>
      <c r="BLG90" s="1055"/>
      <c r="BLH90" s="1055"/>
      <c r="BLI90" s="1055"/>
      <c r="BLJ90" s="1055"/>
      <c r="BLK90" s="1055"/>
      <c r="BLL90" s="1055"/>
      <c r="BLM90" s="1055"/>
      <c r="BLN90" s="1055"/>
      <c r="BLO90" s="1055"/>
      <c r="BLP90" s="1055"/>
      <c r="BLQ90" s="1055"/>
      <c r="BLR90" s="1055"/>
      <c r="BLS90" s="1055"/>
      <c r="BLT90" s="1055"/>
      <c r="BLU90" s="1055"/>
      <c r="BLV90" s="1055"/>
      <c r="BLW90" s="1055"/>
      <c r="BLX90" s="1055"/>
      <c r="BLY90" s="1055"/>
      <c r="BLZ90" s="1055"/>
      <c r="BMA90" s="1055"/>
      <c r="BMB90" s="1055"/>
      <c r="BMC90" s="1055"/>
      <c r="BMD90" s="1055"/>
      <c r="BME90" s="1055"/>
      <c r="BMF90" s="1055"/>
      <c r="BMG90" s="1055"/>
      <c r="BMH90" s="1055"/>
      <c r="BMI90" s="1055"/>
      <c r="BMJ90" s="1055"/>
      <c r="BMK90" s="1055"/>
      <c r="BML90" s="1055"/>
      <c r="BMM90" s="1055"/>
      <c r="BMN90" s="1055"/>
      <c r="BMO90" s="1055"/>
      <c r="BMP90" s="1055"/>
      <c r="BMQ90" s="1055"/>
      <c r="BMR90" s="1055"/>
      <c r="BMS90" s="1055"/>
      <c r="BMT90" s="1055"/>
      <c r="BMU90" s="1055"/>
      <c r="BMV90" s="1055"/>
      <c r="BMW90" s="1055"/>
      <c r="BMX90" s="1055"/>
      <c r="BMY90" s="1055"/>
      <c r="BMZ90" s="1055"/>
      <c r="BNA90" s="1055"/>
      <c r="BNB90" s="1055"/>
      <c r="BNC90" s="1055"/>
      <c r="BND90" s="1055"/>
      <c r="BNE90" s="1055"/>
      <c r="BNF90" s="1055"/>
      <c r="BNG90" s="1055"/>
      <c r="BNH90" s="1055"/>
      <c r="BNI90" s="1055"/>
      <c r="BNJ90" s="1055"/>
      <c r="BNK90" s="1055"/>
      <c r="BNL90" s="1055"/>
      <c r="BNM90" s="1055"/>
      <c r="BNN90" s="1055"/>
      <c r="BNO90" s="1055"/>
      <c r="BNP90" s="1055"/>
      <c r="BNQ90" s="1055"/>
      <c r="BNR90" s="1055"/>
      <c r="BNS90" s="1055"/>
      <c r="BNT90" s="1055"/>
      <c r="BNU90" s="1055"/>
      <c r="BNV90" s="1055"/>
      <c r="BNW90" s="1055"/>
      <c r="BNX90" s="1055"/>
      <c r="BNY90" s="1055"/>
      <c r="BNZ90" s="1055"/>
      <c r="BOA90" s="1055"/>
      <c r="BOB90" s="1055"/>
      <c r="BOC90" s="1055"/>
      <c r="BOD90" s="1055"/>
      <c r="BOE90" s="1055"/>
      <c r="BOF90" s="1055"/>
      <c r="BOG90" s="1055"/>
      <c r="BOH90" s="1055"/>
      <c r="BOI90" s="1055"/>
      <c r="BOJ90" s="1055"/>
      <c r="BOK90" s="1055"/>
      <c r="BOL90" s="1055"/>
      <c r="BOM90" s="1055"/>
      <c r="BON90" s="1055"/>
      <c r="BOO90" s="1055"/>
      <c r="BOP90" s="1055"/>
      <c r="BOQ90" s="1055"/>
      <c r="BOR90" s="1055"/>
      <c r="BOS90" s="1055"/>
      <c r="BOT90" s="1055"/>
      <c r="BOU90" s="1055"/>
      <c r="BOV90" s="1055"/>
      <c r="BOW90" s="1055"/>
      <c r="BOX90" s="1055"/>
      <c r="BOY90" s="1055"/>
      <c r="BOZ90" s="1055"/>
      <c r="BPA90" s="1055"/>
      <c r="BPB90" s="1055"/>
      <c r="BPC90" s="1055"/>
      <c r="BPD90" s="1055"/>
      <c r="BPE90" s="1055"/>
      <c r="BPF90" s="1055"/>
      <c r="BPG90" s="1055"/>
      <c r="BPH90" s="1055"/>
      <c r="BPI90" s="1055"/>
      <c r="BPJ90" s="1055"/>
      <c r="BPK90" s="1055"/>
      <c r="BPL90" s="1055"/>
      <c r="BPM90" s="1055"/>
      <c r="BPN90" s="1055"/>
      <c r="BPO90" s="1055"/>
      <c r="BPP90" s="1055"/>
      <c r="BPQ90" s="1055"/>
      <c r="BPR90" s="1055"/>
      <c r="BPS90" s="1055"/>
      <c r="BPT90" s="1055"/>
      <c r="BPU90" s="1055"/>
      <c r="BPV90" s="1055"/>
      <c r="BPW90" s="1055"/>
      <c r="BPX90" s="1055"/>
      <c r="BPY90" s="1055"/>
      <c r="BPZ90" s="1055"/>
      <c r="BQA90" s="1055"/>
      <c r="BQB90" s="1055"/>
      <c r="BQC90" s="1055"/>
      <c r="BQD90" s="1055"/>
      <c r="BQE90" s="1055"/>
      <c r="BQF90" s="1055"/>
      <c r="BQG90" s="1055"/>
      <c r="BQH90" s="1055"/>
      <c r="BQI90" s="1055"/>
      <c r="BQJ90" s="1055"/>
      <c r="BQK90" s="1055"/>
      <c r="BQL90" s="1055"/>
      <c r="BQM90" s="1055"/>
      <c r="BQN90" s="1055"/>
      <c r="BQO90" s="1055"/>
      <c r="BQP90" s="1055"/>
      <c r="BQQ90" s="1055"/>
      <c r="BQR90" s="1055"/>
      <c r="BQS90" s="1055"/>
      <c r="BQT90" s="1055"/>
      <c r="BQU90" s="1055"/>
      <c r="BQV90" s="1055"/>
      <c r="BQW90" s="1055"/>
      <c r="BQX90" s="1055"/>
      <c r="BQY90" s="1055"/>
      <c r="BQZ90" s="1055"/>
      <c r="BRA90" s="1055"/>
      <c r="BRB90" s="1055"/>
      <c r="BRC90" s="1055"/>
      <c r="BRD90" s="1055"/>
      <c r="BRE90" s="1055"/>
      <c r="BRF90" s="1055"/>
      <c r="BRG90" s="1055"/>
      <c r="BRH90" s="1055"/>
      <c r="BRI90" s="1055"/>
      <c r="BRJ90" s="1055"/>
      <c r="BRK90" s="1055"/>
      <c r="BRL90" s="1055"/>
      <c r="BRM90" s="1055"/>
      <c r="BRN90" s="1055"/>
      <c r="BRO90" s="1055"/>
      <c r="BRP90" s="1055"/>
      <c r="BRQ90" s="1055"/>
      <c r="BRR90" s="1055"/>
      <c r="BRS90" s="1055"/>
      <c r="BRT90" s="1055"/>
      <c r="BRU90" s="1055"/>
      <c r="BRV90" s="1055"/>
      <c r="BRW90" s="1055"/>
      <c r="BRX90" s="1055"/>
      <c r="BRY90" s="1055"/>
      <c r="BRZ90" s="1055"/>
      <c r="BSA90" s="1055"/>
      <c r="BSB90" s="1055"/>
      <c r="BSC90" s="1055"/>
      <c r="BSD90" s="1055"/>
      <c r="BSE90" s="1055"/>
      <c r="BSF90" s="1055"/>
      <c r="BSG90" s="1055"/>
      <c r="BSH90" s="1055"/>
      <c r="BSI90" s="1055"/>
      <c r="BSJ90" s="1055"/>
      <c r="BSK90" s="1055"/>
      <c r="BSL90" s="1055"/>
      <c r="BSM90" s="1055"/>
      <c r="BSN90" s="1055"/>
      <c r="BSO90" s="1055"/>
      <c r="BSP90" s="1055"/>
      <c r="BSQ90" s="1055"/>
      <c r="BSR90" s="1055"/>
      <c r="BSS90" s="1055"/>
      <c r="BST90" s="1055"/>
      <c r="BSU90" s="1055"/>
      <c r="BSV90" s="1055"/>
      <c r="BSW90" s="1055"/>
      <c r="BSX90" s="1055"/>
      <c r="BSY90" s="1055"/>
      <c r="BSZ90" s="1055"/>
      <c r="BTA90" s="1055"/>
      <c r="BTB90" s="1055"/>
      <c r="BTC90" s="1055"/>
      <c r="BTD90" s="1055"/>
      <c r="BTE90" s="1055"/>
      <c r="BTF90" s="1055"/>
      <c r="BTG90" s="1055"/>
      <c r="BTH90" s="1055"/>
      <c r="BTI90" s="1055"/>
      <c r="BTJ90" s="1055"/>
      <c r="BTK90" s="1055"/>
      <c r="BTL90" s="1055"/>
      <c r="BTM90" s="1055"/>
      <c r="BTN90" s="1055"/>
      <c r="BTO90" s="1055"/>
      <c r="BTP90" s="1055"/>
      <c r="BTQ90" s="1055"/>
      <c r="BTR90" s="1055"/>
      <c r="BTS90" s="1055"/>
      <c r="BTT90" s="1055"/>
      <c r="BTU90" s="1055"/>
      <c r="BTV90" s="1055"/>
      <c r="BTW90" s="1055"/>
      <c r="BTX90" s="1055"/>
      <c r="BTY90" s="1055"/>
      <c r="BTZ90" s="1055"/>
      <c r="BUA90" s="1055"/>
      <c r="BUB90" s="1055"/>
      <c r="BUC90" s="1055"/>
      <c r="BUD90" s="1055"/>
      <c r="BUE90" s="1055"/>
      <c r="BUF90" s="1055"/>
      <c r="BUG90" s="1055"/>
      <c r="BUH90" s="1055"/>
      <c r="BUI90" s="1055"/>
      <c r="BUJ90" s="1055"/>
      <c r="BUK90" s="1055"/>
      <c r="BUL90" s="1055"/>
      <c r="BUM90" s="1055"/>
      <c r="BUN90" s="1055"/>
      <c r="BUO90" s="1055"/>
      <c r="BUP90" s="1055"/>
      <c r="BUQ90" s="1055"/>
      <c r="BUR90" s="1055"/>
      <c r="BUS90" s="1055"/>
      <c r="BUT90" s="1055"/>
      <c r="BUU90" s="1055"/>
      <c r="BUV90" s="1055"/>
      <c r="BUW90" s="1055"/>
      <c r="BUX90" s="1055"/>
      <c r="BUY90" s="1055"/>
      <c r="BUZ90" s="1055"/>
      <c r="BVA90" s="1055"/>
      <c r="BVB90" s="1055"/>
      <c r="BVC90" s="1055"/>
      <c r="BVD90" s="1055"/>
      <c r="BVE90" s="1055"/>
      <c r="BVF90" s="1055"/>
      <c r="BVG90" s="1055"/>
      <c r="BVH90" s="1055"/>
      <c r="BVI90" s="1055"/>
      <c r="BVJ90" s="1055"/>
      <c r="BVK90" s="1055"/>
      <c r="BVL90" s="1055"/>
      <c r="BVM90" s="1055"/>
      <c r="BVN90" s="1055"/>
      <c r="BVO90" s="1055"/>
      <c r="BVP90" s="1055"/>
      <c r="BVQ90" s="1055"/>
      <c r="BVR90" s="1055"/>
      <c r="BVS90" s="1055"/>
      <c r="BVT90" s="1055"/>
      <c r="BVU90" s="1055"/>
      <c r="BVV90" s="1055"/>
      <c r="BVW90" s="1055"/>
      <c r="BVX90" s="1055"/>
      <c r="BVY90" s="1055"/>
      <c r="BVZ90" s="1055"/>
      <c r="BWA90" s="1055"/>
      <c r="BWB90" s="1055"/>
      <c r="BWC90" s="1055"/>
      <c r="BWD90" s="1055"/>
      <c r="BWE90" s="1055"/>
      <c r="BWF90" s="1055"/>
      <c r="BWG90" s="1055"/>
      <c r="BWH90" s="1055"/>
      <c r="BWI90" s="1055"/>
      <c r="BWJ90" s="1055"/>
      <c r="BWK90" s="1055"/>
      <c r="BWL90" s="1055"/>
      <c r="BWM90" s="1055"/>
      <c r="BWN90" s="1055"/>
      <c r="BWO90" s="1055"/>
      <c r="BWP90" s="1055"/>
      <c r="BWQ90" s="1055"/>
      <c r="BWR90" s="1055"/>
      <c r="BWS90" s="1055"/>
      <c r="BWT90" s="1055"/>
      <c r="BWU90" s="1055"/>
      <c r="BWV90" s="1055"/>
      <c r="BWW90" s="1055"/>
      <c r="BWX90" s="1055"/>
      <c r="BWY90" s="1055"/>
      <c r="BWZ90" s="1055"/>
      <c r="BXA90" s="1055"/>
      <c r="BXB90" s="1055"/>
      <c r="BXC90" s="1055"/>
      <c r="BXD90" s="1055"/>
      <c r="BXE90" s="1055"/>
      <c r="BXF90" s="1055"/>
      <c r="BXG90" s="1055"/>
      <c r="BXH90" s="1055"/>
      <c r="BXI90" s="1055"/>
      <c r="BXJ90" s="1055"/>
      <c r="BXK90" s="1055"/>
      <c r="BXL90" s="1055"/>
      <c r="BXM90" s="1055"/>
      <c r="BXN90" s="1055"/>
      <c r="BXO90" s="1055"/>
      <c r="BXP90" s="1055"/>
      <c r="BXQ90" s="1055"/>
      <c r="BXR90" s="1055"/>
      <c r="BXS90" s="1055"/>
      <c r="BXT90" s="1055"/>
      <c r="BXU90" s="1055"/>
      <c r="BXV90" s="1055"/>
      <c r="BXW90" s="1055"/>
      <c r="BXX90" s="1055"/>
      <c r="BXY90" s="1055"/>
      <c r="BXZ90" s="1055"/>
      <c r="BYA90" s="1055"/>
      <c r="BYB90" s="1055"/>
      <c r="BYC90" s="1055"/>
      <c r="BYD90" s="1055"/>
      <c r="BYE90" s="1055"/>
      <c r="BYF90" s="1055"/>
      <c r="BYG90" s="1055"/>
      <c r="BYH90" s="1055"/>
      <c r="BYI90" s="1055"/>
      <c r="BYJ90" s="1055"/>
      <c r="BYK90" s="1055"/>
      <c r="BYL90" s="1055"/>
      <c r="BYM90" s="1055"/>
      <c r="BYN90" s="1055"/>
      <c r="BYO90" s="1055"/>
      <c r="BYP90" s="1055"/>
      <c r="BYQ90" s="1055"/>
      <c r="BYR90" s="1055"/>
      <c r="BYS90" s="1055"/>
      <c r="BYT90" s="1055"/>
      <c r="BYU90" s="1055"/>
      <c r="BYV90" s="1055"/>
      <c r="BYW90" s="1055"/>
      <c r="BYX90" s="1055"/>
      <c r="BYY90" s="1055"/>
      <c r="BYZ90" s="1055"/>
      <c r="BZA90" s="1055"/>
      <c r="BZB90" s="1055"/>
      <c r="BZC90" s="1055"/>
      <c r="BZD90" s="1055"/>
      <c r="BZE90" s="1055"/>
      <c r="BZF90" s="1055"/>
      <c r="BZG90" s="1055"/>
      <c r="BZH90" s="1055"/>
      <c r="BZI90" s="1055"/>
      <c r="BZJ90" s="1055"/>
      <c r="BZK90" s="1055"/>
      <c r="BZL90" s="1055"/>
      <c r="BZM90" s="1055"/>
      <c r="BZN90" s="1055"/>
      <c r="BZO90" s="1055"/>
      <c r="BZP90" s="1055"/>
      <c r="BZQ90" s="1055"/>
      <c r="BZR90" s="1055"/>
      <c r="BZS90" s="1055"/>
      <c r="BZT90" s="1055"/>
      <c r="BZU90" s="1055"/>
      <c r="BZV90" s="1055"/>
      <c r="BZW90" s="1055"/>
      <c r="BZX90" s="1055"/>
      <c r="BZY90" s="1055"/>
      <c r="BZZ90" s="1055"/>
      <c r="CAA90" s="1055"/>
      <c r="CAB90" s="1055"/>
      <c r="CAC90" s="1055"/>
      <c r="CAD90" s="1055"/>
      <c r="CAE90" s="1055"/>
      <c r="CAF90" s="1055"/>
      <c r="CAG90" s="1055"/>
      <c r="CAH90" s="1055"/>
      <c r="CAI90" s="1055"/>
      <c r="CAJ90" s="1055"/>
      <c r="CAK90" s="1055"/>
      <c r="CAL90" s="1055"/>
      <c r="CAM90" s="1055"/>
      <c r="CAN90" s="1055"/>
      <c r="CAO90" s="1055"/>
      <c r="CAP90" s="1055"/>
      <c r="CAQ90" s="1055"/>
      <c r="CAR90" s="1055"/>
      <c r="CAS90" s="1055"/>
      <c r="CAT90" s="1055"/>
      <c r="CAU90" s="1055"/>
      <c r="CAV90" s="1055"/>
      <c r="CAW90" s="1055"/>
      <c r="CAX90" s="1055"/>
      <c r="CAY90" s="1055"/>
      <c r="CAZ90" s="1055"/>
      <c r="CBA90" s="1055"/>
      <c r="CBB90" s="1055"/>
      <c r="CBC90" s="1055"/>
      <c r="CBD90" s="1055"/>
      <c r="CBE90" s="1055"/>
      <c r="CBF90" s="1055"/>
      <c r="CBG90" s="1055"/>
      <c r="CBH90" s="1055"/>
      <c r="CBI90" s="1055"/>
      <c r="CBJ90" s="1055"/>
      <c r="CBK90" s="1055"/>
      <c r="CBL90" s="1055"/>
      <c r="CBM90" s="1055"/>
      <c r="CBN90" s="1055"/>
      <c r="CBO90" s="1055"/>
      <c r="CBP90" s="1055"/>
      <c r="CBQ90" s="1055"/>
      <c r="CBR90" s="1055"/>
      <c r="CBS90" s="1055"/>
      <c r="CBT90" s="1055"/>
      <c r="CBU90" s="1055"/>
      <c r="CBV90" s="1055"/>
      <c r="CBW90" s="1055"/>
      <c r="CBX90" s="1055"/>
      <c r="CBY90" s="1055"/>
      <c r="CBZ90" s="1055"/>
      <c r="CCA90" s="1055"/>
      <c r="CCB90" s="1055"/>
      <c r="CCC90" s="1055"/>
      <c r="CCD90" s="1055"/>
      <c r="CCE90" s="1055"/>
      <c r="CCF90" s="1055"/>
      <c r="CCG90" s="1055"/>
      <c r="CCH90" s="1055"/>
      <c r="CCI90" s="1055"/>
      <c r="CCJ90" s="1055"/>
      <c r="CCK90" s="1055"/>
      <c r="CCL90" s="1055"/>
      <c r="CCM90" s="1055"/>
      <c r="CCN90" s="1055"/>
      <c r="CCO90" s="1055"/>
      <c r="CCP90" s="1055"/>
      <c r="CCQ90" s="1055"/>
      <c r="CCR90" s="1055"/>
      <c r="CCS90" s="1055"/>
      <c r="CCT90" s="1055"/>
      <c r="CCU90" s="1055"/>
      <c r="CCV90" s="1055"/>
      <c r="CCW90" s="1055"/>
      <c r="CCX90" s="1055"/>
      <c r="CCY90" s="1055"/>
      <c r="CCZ90" s="1055"/>
      <c r="CDA90" s="1055"/>
      <c r="CDB90" s="1055"/>
      <c r="CDC90" s="1055"/>
      <c r="CDD90" s="1055"/>
      <c r="CDE90" s="1055"/>
      <c r="CDF90" s="1055"/>
      <c r="CDG90" s="1055"/>
      <c r="CDH90" s="1055"/>
      <c r="CDI90" s="1055"/>
      <c r="CDJ90" s="1055"/>
      <c r="CDK90" s="1055"/>
      <c r="CDL90" s="1055"/>
      <c r="CDM90" s="1055"/>
      <c r="CDN90" s="1055"/>
      <c r="CDO90" s="1055"/>
      <c r="CDP90" s="1055"/>
      <c r="CDQ90" s="1055"/>
      <c r="CDR90" s="1055"/>
      <c r="CDS90" s="1055"/>
      <c r="CDT90" s="1055"/>
      <c r="CDU90" s="1055"/>
      <c r="CDV90" s="1055"/>
      <c r="CDW90" s="1055"/>
      <c r="CDX90" s="1055"/>
      <c r="CDY90" s="1055"/>
      <c r="CDZ90" s="1055"/>
      <c r="CEA90" s="1055"/>
      <c r="CEB90" s="1055"/>
      <c r="CEC90" s="1055"/>
      <c r="CED90" s="1055"/>
      <c r="CEE90" s="1055"/>
      <c r="CEF90" s="1055"/>
      <c r="CEG90" s="1055"/>
      <c r="CEH90" s="1055"/>
      <c r="CEI90" s="1055"/>
      <c r="CEJ90" s="1055"/>
      <c r="CEK90" s="1055"/>
      <c r="CEL90" s="1055"/>
      <c r="CEM90" s="1055"/>
      <c r="CEN90" s="1055"/>
      <c r="CEO90" s="1055"/>
      <c r="CEP90" s="1055"/>
      <c r="CEQ90" s="1055"/>
      <c r="CER90" s="1055"/>
      <c r="CES90" s="1055"/>
      <c r="CET90" s="1055"/>
      <c r="CEU90" s="1055"/>
      <c r="CEV90" s="1055"/>
      <c r="CEW90" s="1055"/>
      <c r="CEX90" s="1055"/>
      <c r="CEY90" s="1055"/>
      <c r="CEZ90" s="1055"/>
      <c r="CFA90" s="1055"/>
      <c r="CFB90" s="1055"/>
      <c r="CFC90" s="1055"/>
      <c r="CFD90" s="1055"/>
      <c r="CFE90" s="1055"/>
      <c r="CFF90" s="1055"/>
      <c r="CFG90" s="1055"/>
      <c r="CFH90" s="1055"/>
      <c r="CFI90" s="1055"/>
      <c r="CFJ90" s="1055"/>
      <c r="CFK90" s="1055"/>
      <c r="CFL90" s="1055"/>
      <c r="CFM90" s="1055"/>
      <c r="CFN90" s="1055"/>
      <c r="CFO90" s="1055"/>
      <c r="CFP90" s="1055"/>
      <c r="CFQ90" s="1055"/>
      <c r="CFR90" s="1055"/>
      <c r="CFS90" s="1055"/>
      <c r="CFT90" s="1055"/>
      <c r="CFU90" s="1055"/>
      <c r="CFV90" s="1055"/>
      <c r="CFW90" s="1055"/>
      <c r="CFX90" s="1055"/>
      <c r="CFY90" s="1055"/>
      <c r="CFZ90" s="1055"/>
      <c r="CGA90" s="1055"/>
      <c r="CGB90" s="1055"/>
      <c r="CGC90" s="1055"/>
      <c r="CGD90" s="1055"/>
      <c r="CGE90" s="1055"/>
      <c r="CGF90" s="1055"/>
      <c r="CGG90" s="1055"/>
      <c r="CGH90" s="1055"/>
      <c r="CGI90" s="1055"/>
      <c r="CGJ90" s="1055"/>
      <c r="CGK90" s="1055"/>
      <c r="CGL90" s="1055"/>
      <c r="CGM90" s="1055"/>
      <c r="CGN90" s="1055"/>
      <c r="CGO90" s="1055"/>
      <c r="CGP90" s="1055"/>
      <c r="CGQ90" s="1055"/>
      <c r="CGR90" s="1055"/>
      <c r="CGS90" s="1055"/>
      <c r="CGT90" s="1055"/>
      <c r="CGU90" s="1055"/>
      <c r="CGV90" s="1055"/>
      <c r="CGW90" s="1055"/>
      <c r="CGX90" s="1055"/>
      <c r="CGY90" s="1055"/>
      <c r="CGZ90" s="1055"/>
      <c r="CHA90" s="1055"/>
      <c r="CHB90" s="1055"/>
      <c r="CHC90" s="1055"/>
      <c r="CHD90" s="1055"/>
      <c r="CHE90" s="1055"/>
      <c r="CHF90" s="1055"/>
      <c r="CHG90" s="1055"/>
      <c r="CHH90" s="1055"/>
      <c r="CHI90" s="1055"/>
      <c r="CHJ90" s="1055"/>
      <c r="CHK90" s="1055"/>
      <c r="CHL90" s="1055"/>
      <c r="CHM90" s="1055"/>
      <c r="CHN90" s="1055"/>
      <c r="CHO90" s="1055"/>
      <c r="CHP90" s="1055"/>
      <c r="CHQ90" s="1055"/>
      <c r="CHR90" s="1055"/>
      <c r="CHS90" s="1055"/>
      <c r="CHT90" s="1055"/>
      <c r="CHU90" s="1055"/>
      <c r="CHV90" s="1055"/>
      <c r="CHW90" s="1055"/>
      <c r="CHX90" s="1055"/>
      <c r="CHY90" s="1055"/>
      <c r="CHZ90" s="1055"/>
      <c r="CIA90" s="1055"/>
      <c r="CIB90" s="1055"/>
      <c r="CIC90" s="1055"/>
      <c r="CID90" s="1055"/>
      <c r="CIE90" s="1055"/>
      <c r="CIF90" s="1055"/>
      <c r="CIG90" s="1055"/>
      <c r="CIH90" s="1055"/>
      <c r="CII90" s="1055"/>
      <c r="CIJ90" s="1055"/>
      <c r="CIK90" s="1055"/>
      <c r="CIL90" s="1055"/>
      <c r="CIM90" s="1055"/>
      <c r="CIN90" s="1055"/>
      <c r="CIO90" s="1055"/>
      <c r="CIP90" s="1055"/>
      <c r="CIQ90" s="1055"/>
      <c r="CIR90" s="1055"/>
      <c r="CIS90" s="1055"/>
      <c r="CIT90" s="1055"/>
      <c r="CIU90" s="1055"/>
      <c r="CIV90" s="1055"/>
      <c r="CIW90" s="1055"/>
      <c r="CIX90" s="1055"/>
      <c r="CIY90" s="1055"/>
      <c r="CIZ90" s="1055"/>
      <c r="CJA90" s="1055"/>
      <c r="CJB90" s="1055"/>
      <c r="CJC90" s="1055"/>
      <c r="CJD90" s="1055"/>
      <c r="CJE90" s="1055"/>
      <c r="CJF90" s="1055"/>
      <c r="CJG90" s="1055"/>
      <c r="CJH90" s="1055"/>
      <c r="CJI90" s="1055"/>
      <c r="CJJ90" s="1055"/>
      <c r="CJK90" s="1055"/>
      <c r="CJL90" s="1055"/>
      <c r="CJM90" s="1055"/>
      <c r="CJN90" s="1055"/>
      <c r="CJO90" s="1055"/>
      <c r="CJP90" s="1055"/>
      <c r="CJQ90" s="1055"/>
      <c r="CJR90" s="1055"/>
      <c r="CJS90" s="1055"/>
      <c r="CJT90" s="1055"/>
      <c r="CJU90" s="1055"/>
      <c r="CJV90" s="1055"/>
      <c r="CJW90" s="1055"/>
      <c r="CJX90" s="1055"/>
      <c r="CJY90" s="1055"/>
      <c r="CJZ90" s="1055"/>
      <c r="CKA90" s="1055"/>
      <c r="CKB90" s="1055"/>
      <c r="CKC90" s="1055"/>
      <c r="CKD90" s="1055"/>
      <c r="CKE90" s="1055"/>
      <c r="CKF90" s="1055"/>
      <c r="CKG90" s="1055"/>
      <c r="CKH90" s="1055"/>
      <c r="CKI90" s="1055"/>
      <c r="CKJ90" s="1055"/>
      <c r="CKK90" s="1055"/>
      <c r="CKL90" s="1055"/>
      <c r="CKM90" s="1055"/>
      <c r="CKN90" s="1055"/>
      <c r="CKO90" s="1055"/>
      <c r="CKP90" s="1055"/>
      <c r="CKQ90" s="1055"/>
      <c r="CKR90" s="1055"/>
      <c r="CKS90" s="1055"/>
      <c r="CKT90" s="1055"/>
      <c r="CKU90" s="1055"/>
      <c r="CKV90" s="1055"/>
      <c r="CKW90" s="1055"/>
      <c r="CKX90" s="1055"/>
      <c r="CKY90" s="1055"/>
      <c r="CKZ90" s="1055"/>
      <c r="CLA90" s="1055"/>
      <c r="CLB90" s="1055"/>
      <c r="CLC90" s="1055"/>
      <c r="CLD90" s="1055"/>
      <c r="CLE90" s="1055"/>
      <c r="CLF90" s="1055"/>
      <c r="CLG90" s="1055"/>
      <c r="CLH90" s="1055"/>
      <c r="CLI90" s="1055"/>
      <c r="CLJ90" s="1055"/>
      <c r="CLK90" s="1055"/>
      <c r="CLL90" s="1055"/>
      <c r="CLM90" s="1055"/>
      <c r="CLN90" s="1055"/>
      <c r="CLO90" s="1055"/>
      <c r="CLP90" s="1055"/>
      <c r="CLQ90" s="1055"/>
      <c r="CLR90" s="1055"/>
      <c r="CLS90" s="1055"/>
      <c r="CLT90" s="1055"/>
      <c r="CLU90" s="1055"/>
      <c r="CLV90" s="1055"/>
      <c r="CLW90" s="1055"/>
      <c r="CLX90" s="1055"/>
      <c r="CLY90" s="1055"/>
      <c r="CLZ90" s="1055"/>
      <c r="CMA90" s="1055"/>
      <c r="CMB90" s="1055"/>
      <c r="CMC90" s="1055"/>
      <c r="CMD90" s="1055"/>
      <c r="CME90" s="1055"/>
      <c r="CMF90" s="1055"/>
      <c r="CMG90" s="1055"/>
      <c r="CMH90" s="1055"/>
      <c r="CMI90" s="1055"/>
      <c r="CMJ90" s="1055"/>
      <c r="CMK90" s="1055"/>
      <c r="CML90" s="1055"/>
      <c r="CMM90" s="1055"/>
      <c r="CMN90" s="1055"/>
      <c r="CMO90" s="1055"/>
      <c r="CMP90" s="1055"/>
      <c r="CMQ90" s="1055"/>
      <c r="CMR90" s="1055"/>
      <c r="CMS90" s="1055"/>
      <c r="CMT90" s="1055"/>
      <c r="CMU90" s="1055"/>
      <c r="CMV90" s="1055"/>
      <c r="CMW90" s="1055"/>
      <c r="CMX90" s="1055"/>
      <c r="CMY90" s="1055"/>
      <c r="CMZ90" s="1055"/>
      <c r="CNA90" s="1055"/>
      <c r="CNB90" s="1055"/>
      <c r="CNC90" s="1055"/>
      <c r="CND90" s="1055"/>
      <c r="CNE90" s="1055"/>
      <c r="CNF90" s="1055"/>
      <c r="CNG90" s="1055"/>
      <c r="CNH90" s="1055"/>
      <c r="CNI90" s="1055"/>
      <c r="CNJ90" s="1055"/>
      <c r="CNK90" s="1055"/>
      <c r="CNL90" s="1055"/>
      <c r="CNM90" s="1055"/>
      <c r="CNN90" s="1055"/>
      <c r="CNO90" s="1055"/>
      <c r="CNP90" s="1055"/>
      <c r="CNQ90" s="1055"/>
      <c r="CNR90" s="1055"/>
      <c r="CNS90" s="1055"/>
      <c r="CNT90" s="1055"/>
      <c r="CNU90" s="1055"/>
      <c r="CNV90" s="1055"/>
      <c r="CNW90" s="1055"/>
      <c r="CNX90" s="1055"/>
      <c r="CNY90" s="1055"/>
      <c r="CNZ90" s="1055"/>
      <c r="COA90" s="1055"/>
      <c r="COB90" s="1055"/>
      <c r="COC90" s="1055"/>
      <c r="COD90" s="1055"/>
      <c r="COE90" s="1055"/>
      <c r="COF90" s="1055"/>
      <c r="COG90" s="1055"/>
      <c r="COH90" s="1055"/>
      <c r="COI90" s="1055"/>
      <c r="COJ90" s="1055"/>
      <c r="COK90" s="1055"/>
      <c r="COL90" s="1055"/>
      <c r="COM90" s="1055"/>
      <c r="CON90" s="1055"/>
      <c r="COO90" s="1055"/>
      <c r="COP90" s="1055"/>
      <c r="COQ90" s="1055"/>
      <c r="COR90" s="1055"/>
      <c r="COS90" s="1055"/>
      <c r="COT90" s="1055"/>
      <c r="COU90" s="1055"/>
      <c r="COV90" s="1055"/>
      <c r="COW90" s="1055"/>
      <c r="COX90" s="1055"/>
      <c r="COY90" s="1055"/>
      <c r="COZ90" s="1055"/>
      <c r="CPA90" s="1055"/>
      <c r="CPB90" s="1055"/>
      <c r="CPC90" s="1055"/>
      <c r="CPD90" s="1055"/>
      <c r="CPE90" s="1055"/>
      <c r="CPF90" s="1055"/>
      <c r="CPG90" s="1055"/>
      <c r="CPH90" s="1055"/>
      <c r="CPI90" s="1055"/>
      <c r="CPJ90" s="1055"/>
      <c r="CPK90" s="1055"/>
      <c r="CPL90" s="1055"/>
      <c r="CPM90" s="1055"/>
      <c r="CPN90" s="1055"/>
      <c r="CPO90" s="1055"/>
      <c r="CPP90" s="1055"/>
      <c r="CPQ90" s="1055"/>
      <c r="CPR90" s="1055"/>
      <c r="CPS90" s="1055"/>
      <c r="CPT90" s="1055"/>
      <c r="CPU90" s="1055"/>
      <c r="CPV90" s="1055"/>
      <c r="CPW90" s="1055"/>
      <c r="CPX90" s="1055"/>
      <c r="CPY90" s="1055"/>
      <c r="CPZ90" s="1055"/>
      <c r="CQA90" s="1055"/>
      <c r="CQB90" s="1055"/>
      <c r="CQC90" s="1055"/>
      <c r="CQD90" s="1055"/>
      <c r="CQE90" s="1055"/>
      <c r="CQF90" s="1055"/>
      <c r="CQG90" s="1055"/>
      <c r="CQH90" s="1055"/>
      <c r="CQI90" s="1055"/>
      <c r="CQJ90" s="1055"/>
      <c r="CQK90" s="1055"/>
      <c r="CQL90" s="1055"/>
      <c r="CQM90" s="1055"/>
      <c r="CQN90" s="1055"/>
      <c r="CQO90" s="1055"/>
      <c r="CQP90" s="1055"/>
      <c r="CQQ90" s="1055"/>
      <c r="CQR90" s="1055"/>
      <c r="CQS90" s="1055"/>
      <c r="CQT90" s="1055"/>
      <c r="CQU90" s="1055"/>
      <c r="CQV90" s="1055"/>
      <c r="CQW90" s="1055"/>
      <c r="CQX90" s="1055"/>
      <c r="CQY90" s="1055"/>
      <c r="CQZ90" s="1055"/>
      <c r="CRA90" s="1055"/>
      <c r="CRB90" s="1055"/>
      <c r="CRC90" s="1055"/>
      <c r="CRD90" s="1055"/>
      <c r="CRE90" s="1055"/>
      <c r="CRF90" s="1055"/>
      <c r="CRG90" s="1055"/>
      <c r="CRH90" s="1055"/>
      <c r="CRI90" s="1055"/>
      <c r="CRJ90" s="1055"/>
      <c r="CRK90" s="1055"/>
      <c r="CRL90" s="1055"/>
      <c r="CRM90" s="1055"/>
      <c r="CRN90" s="1055"/>
      <c r="CRO90" s="1055"/>
      <c r="CRP90" s="1055"/>
      <c r="CRQ90" s="1055"/>
      <c r="CRR90" s="1055"/>
      <c r="CRS90" s="1055"/>
      <c r="CRT90" s="1055"/>
      <c r="CRU90" s="1055"/>
      <c r="CRV90" s="1055"/>
      <c r="CRW90" s="1055"/>
      <c r="CRX90" s="1055"/>
      <c r="CRY90" s="1055"/>
      <c r="CRZ90" s="1055"/>
      <c r="CSA90" s="1055"/>
      <c r="CSB90" s="1055"/>
      <c r="CSC90" s="1055"/>
      <c r="CSD90" s="1055"/>
      <c r="CSE90" s="1055"/>
      <c r="CSF90" s="1055"/>
      <c r="CSG90" s="1055"/>
      <c r="CSH90" s="1055"/>
      <c r="CSI90" s="1055"/>
      <c r="CSJ90" s="1055"/>
      <c r="CSK90" s="1055"/>
      <c r="CSL90" s="1055"/>
      <c r="CSM90" s="1055"/>
      <c r="CSN90" s="1055"/>
      <c r="CSO90" s="1055"/>
      <c r="CSP90" s="1055"/>
      <c r="CSQ90" s="1055"/>
      <c r="CSR90" s="1055"/>
      <c r="CSS90" s="1055"/>
      <c r="CST90" s="1055"/>
      <c r="CSU90" s="1055"/>
      <c r="CSV90" s="1055"/>
      <c r="CSW90" s="1055"/>
      <c r="CSX90" s="1055"/>
      <c r="CSY90" s="1055"/>
      <c r="CSZ90" s="1055"/>
      <c r="CTA90" s="1055"/>
      <c r="CTB90" s="1055"/>
      <c r="CTC90" s="1055"/>
      <c r="CTD90" s="1055"/>
      <c r="CTE90" s="1055"/>
      <c r="CTF90" s="1055"/>
      <c r="CTG90" s="1055"/>
      <c r="CTH90" s="1055"/>
      <c r="CTI90" s="1055"/>
      <c r="CTJ90" s="1055"/>
      <c r="CTK90" s="1055"/>
      <c r="CTL90" s="1055"/>
      <c r="CTM90" s="1055"/>
      <c r="CTN90" s="1055"/>
      <c r="CTO90" s="1055"/>
      <c r="CTP90" s="1055"/>
      <c r="CTQ90" s="1055"/>
      <c r="CTR90" s="1055"/>
      <c r="CTS90" s="1055"/>
      <c r="CTT90" s="1055"/>
      <c r="CTU90" s="1055"/>
      <c r="CTV90" s="1055"/>
      <c r="CTW90" s="1055"/>
      <c r="CTX90" s="1055"/>
      <c r="CTY90" s="1055"/>
      <c r="CTZ90" s="1055"/>
      <c r="CUA90" s="1055"/>
      <c r="CUB90" s="1055"/>
      <c r="CUC90" s="1055"/>
      <c r="CUD90" s="1055"/>
      <c r="CUE90" s="1055"/>
      <c r="CUF90" s="1055"/>
      <c r="CUG90" s="1055"/>
      <c r="CUH90" s="1055"/>
      <c r="CUI90" s="1055"/>
      <c r="CUJ90" s="1055"/>
      <c r="CUK90" s="1055"/>
      <c r="CUL90" s="1055"/>
      <c r="CUM90" s="1055"/>
      <c r="CUN90" s="1055"/>
      <c r="CUO90" s="1055"/>
      <c r="CUP90" s="1055"/>
      <c r="CUQ90" s="1055"/>
      <c r="CUR90" s="1055"/>
      <c r="CUS90" s="1055"/>
      <c r="CUT90" s="1055"/>
      <c r="CUU90" s="1055"/>
      <c r="CUV90" s="1055"/>
      <c r="CUW90" s="1055"/>
      <c r="CUX90" s="1055"/>
      <c r="CUY90" s="1055"/>
      <c r="CUZ90" s="1055"/>
      <c r="CVA90" s="1055"/>
      <c r="CVB90" s="1055"/>
      <c r="CVC90" s="1055"/>
      <c r="CVD90" s="1055"/>
      <c r="CVE90" s="1055"/>
      <c r="CVF90" s="1055"/>
      <c r="CVG90" s="1055"/>
      <c r="CVH90" s="1055"/>
      <c r="CVI90" s="1055"/>
      <c r="CVJ90" s="1055"/>
      <c r="CVK90" s="1055"/>
      <c r="CVL90" s="1055"/>
      <c r="CVM90" s="1055"/>
      <c r="CVN90" s="1055"/>
      <c r="CVO90" s="1055"/>
      <c r="CVP90" s="1055"/>
      <c r="CVQ90" s="1055"/>
      <c r="CVR90" s="1055"/>
      <c r="CVS90" s="1055"/>
      <c r="CVT90" s="1055"/>
      <c r="CVU90" s="1055"/>
      <c r="CVV90" s="1055"/>
      <c r="CVW90" s="1055"/>
      <c r="CVX90" s="1055"/>
      <c r="CVY90" s="1055"/>
      <c r="CVZ90" s="1055"/>
      <c r="CWA90" s="1055"/>
      <c r="CWB90" s="1055"/>
      <c r="CWC90" s="1055"/>
      <c r="CWD90" s="1055"/>
      <c r="CWE90" s="1055"/>
      <c r="CWF90" s="1055"/>
      <c r="CWG90" s="1055"/>
      <c r="CWH90" s="1055"/>
      <c r="CWI90" s="1055"/>
      <c r="CWJ90" s="1055"/>
      <c r="CWK90" s="1055"/>
      <c r="CWL90" s="1055"/>
      <c r="CWM90" s="1055"/>
      <c r="CWN90" s="1055"/>
      <c r="CWO90" s="1055"/>
      <c r="CWP90" s="1055"/>
      <c r="CWQ90" s="1055"/>
      <c r="CWR90" s="1055"/>
      <c r="CWS90" s="1055"/>
      <c r="CWT90" s="1055"/>
      <c r="CWU90" s="1055"/>
      <c r="CWV90" s="1055"/>
      <c r="CWW90" s="1055"/>
      <c r="CWX90" s="1055"/>
      <c r="CWY90" s="1055"/>
      <c r="CWZ90" s="1055"/>
      <c r="CXA90" s="1055"/>
      <c r="CXB90" s="1055"/>
      <c r="CXC90" s="1055"/>
      <c r="CXD90" s="1055"/>
      <c r="CXE90" s="1055"/>
      <c r="CXF90" s="1055"/>
      <c r="CXG90" s="1055"/>
      <c r="CXH90" s="1055"/>
      <c r="CXI90" s="1055"/>
      <c r="CXJ90" s="1055"/>
      <c r="CXK90" s="1055"/>
      <c r="CXL90" s="1055"/>
      <c r="CXM90" s="1055"/>
      <c r="CXN90" s="1055"/>
      <c r="CXO90" s="1055"/>
      <c r="CXP90" s="1055"/>
      <c r="CXQ90" s="1055"/>
      <c r="CXR90" s="1055"/>
      <c r="CXS90" s="1055"/>
      <c r="CXT90" s="1055"/>
      <c r="CXU90" s="1055"/>
      <c r="CXV90" s="1055"/>
      <c r="CXW90" s="1055"/>
      <c r="CXX90" s="1055"/>
      <c r="CXY90" s="1055"/>
      <c r="CXZ90" s="1055"/>
      <c r="CYA90" s="1055"/>
      <c r="CYB90" s="1055"/>
      <c r="CYC90" s="1055"/>
      <c r="CYD90" s="1055"/>
      <c r="CYE90" s="1055"/>
      <c r="CYF90" s="1055"/>
      <c r="CYG90" s="1055"/>
      <c r="CYH90" s="1055"/>
      <c r="CYI90" s="1055"/>
      <c r="CYJ90" s="1055"/>
      <c r="CYK90" s="1055"/>
      <c r="CYL90" s="1055"/>
      <c r="CYM90" s="1055"/>
      <c r="CYN90" s="1055"/>
      <c r="CYO90" s="1055"/>
      <c r="CYP90" s="1055"/>
      <c r="CYQ90" s="1055"/>
      <c r="CYR90" s="1055"/>
      <c r="CYS90" s="1055"/>
      <c r="CYT90" s="1055"/>
      <c r="CYU90" s="1055"/>
      <c r="CYV90" s="1055"/>
      <c r="CYW90" s="1055"/>
      <c r="CYX90" s="1055"/>
      <c r="CYY90" s="1055"/>
      <c r="CYZ90" s="1055"/>
      <c r="CZA90" s="1055"/>
      <c r="CZB90" s="1055"/>
      <c r="CZC90" s="1055"/>
      <c r="CZD90" s="1055"/>
      <c r="CZE90" s="1055"/>
      <c r="CZF90" s="1055"/>
      <c r="CZG90" s="1055"/>
      <c r="CZH90" s="1055"/>
      <c r="CZI90" s="1055"/>
      <c r="CZJ90" s="1055"/>
      <c r="CZK90" s="1055"/>
      <c r="CZL90" s="1055"/>
      <c r="CZM90" s="1055"/>
      <c r="CZN90" s="1055"/>
      <c r="CZO90" s="1055"/>
      <c r="CZP90" s="1055"/>
      <c r="CZQ90" s="1055"/>
      <c r="CZR90" s="1055"/>
      <c r="CZS90" s="1055"/>
      <c r="CZT90" s="1055"/>
      <c r="CZU90" s="1055"/>
      <c r="CZV90" s="1055"/>
      <c r="CZW90" s="1055"/>
      <c r="CZX90" s="1055"/>
      <c r="CZY90" s="1055"/>
      <c r="CZZ90" s="1055"/>
      <c r="DAA90" s="1055"/>
      <c r="DAB90" s="1055"/>
      <c r="DAC90" s="1055"/>
      <c r="DAD90" s="1055"/>
      <c r="DAE90" s="1055"/>
      <c r="DAF90" s="1055"/>
      <c r="DAG90" s="1055"/>
      <c r="DAH90" s="1055"/>
      <c r="DAI90" s="1055"/>
      <c r="DAJ90" s="1055"/>
      <c r="DAK90" s="1055"/>
      <c r="DAL90" s="1055"/>
      <c r="DAM90" s="1055"/>
      <c r="DAN90" s="1055"/>
      <c r="DAO90" s="1055"/>
      <c r="DAP90" s="1055"/>
      <c r="DAQ90" s="1055"/>
      <c r="DAR90" s="1055"/>
      <c r="DAS90" s="1055"/>
      <c r="DAT90" s="1055"/>
      <c r="DAU90" s="1055"/>
      <c r="DAV90" s="1055"/>
      <c r="DAW90" s="1055"/>
      <c r="DAX90" s="1055"/>
      <c r="DAY90" s="1055"/>
      <c r="DAZ90" s="1055"/>
      <c r="DBA90" s="1055"/>
      <c r="DBB90" s="1055"/>
      <c r="DBC90" s="1055"/>
      <c r="DBD90" s="1055"/>
      <c r="DBE90" s="1055"/>
      <c r="DBF90" s="1055"/>
      <c r="DBG90" s="1055"/>
      <c r="DBH90" s="1055"/>
      <c r="DBI90" s="1055"/>
      <c r="DBJ90" s="1055"/>
      <c r="DBK90" s="1055"/>
      <c r="DBL90" s="1055"/>
      <c r="DBM90" s="1055"/>
      <c r="DBN90" s="1055"/>
      <c r="DBO90" s="1055"/>
      <c r="DBP90" s="1055"/>
      <c r="DBQ90" s="1055"/>
      <c r="DBR90" s="1055"/>
      <c r="DBS90" s="1055"/>
      <c r="DBT90" s="1055"/>
      <c r="DBU90" s="1055"/>
      <c r="DBV90" s="1055"/>
      <c r="DBW90" s="1055"/>
      <c r="DBX90" s="1055"/>
      <c r="DBY90" s="1055"/>
      <c r="DBZ90" s="1055"/>
      <c r="DCA90" s="1055"/>
      <c r="DCB90" s="1055"/>
      <c r="DCC90" s="1055"/>
      <c r="DCD90" s="1055"/>
      <c r="DCE90" s="1055"/>
      <c r="DCF90" s="1055"/>
      <c r="DCG90" s="1055"/>
      <c r="DCH90" s="1055"/>
      <c r="DCI90" s="1055"/>
      <c r="DCJ90" s="1055"/>
      <c r="DCK90" s="1055"/>
      <c r="DCL90" s="1055"/>
      <c r="DCM90" s="1055"/>
      <c r="DCN90" s="1055"/>
      <c r="DCO90" s="1055"/>
      <c r="DCP90" s="1055"/>
      <c r="DCQ90" s="1055"/>
      <c r="DCR90" s="1055"/>
      <c r="DCS90" s="1055"/>
      <c r="DCT90" s="1055"/>
      <c r="DCU90" s="1055"/>
      <c r="DCV90" s="1055"/>
      <c r="DCW90" s="1055"/>
      <c r="DCX90" s="1055"/>
      <c r="DCY90" s="1055"/>
      <c r="DCZ90" s="1055"/>
      <c r="DDA90" s="1055"/>
      <c r="DDB90" s="1055"/>
      <c r="DDC90" s="1055"/>
      <c r="DDD90" s="1055"/>
      <c r="DDE90" s="1055"/>
      <c r="DDF90" s="1055"/>
      <c r="DDG90" s="1055"/>
      <c r="DDH90" s="1055"/>
      <c r="DDI90" s="1055"/>
      <c r="DDJ90" s="1055"/>
      <c r="DDK90" s="1055"/>
      <c r="DDL90" s="1055"/>
      <c r="DDM90" s="1055"/>
      <c r="DDN90" s="1055"/>
      <c r="DDO90" s="1055"/>
      <c r="DDP90" s="1055"/>
      <c r="DDQ90" s="1055"/>
      <c r="DDR90" s="1055"/>
      <c r="DDS90" s="1055"/>
      <c r="DDT90" s="1055"/>
      <c r="DDU90" s="1055"/>
      <c r="DDV90" s="1055"/>
      <c r="DDW90" s="1055"/>
      <c r="DDX90" s="1055"/>
      <c r="DDY90" s="1055"/>
      <c r="DDZ90" s="1055"/>
      <c r="DEA90" s="1055"/>
      <c r="DEB90" s="1055"/>
      <c r="DEC90" s="1055"/>
      <c r="DED90" s="1055"/>
      <c r="DEE90" s="1055"/>
      <c r="DEF90" s="1055"/>
      <c r="DEG90" s="1055"/>
      <c r="DEH90" s="1055"/>
      <c r="DEI90" s="1055"/>
      <c r="DEJ90" s="1055"/>
      <c r="DEK90" s="1055"/>
      <c r="DEL90" s="1055"/>
      <c r="DEM90" s="1055"/>
      <c r="DEN90" s="1055"/>
      <c r="DEO90" s="1055"/>
      <c r="DEP90" s="1055"/>
      <c r="DEQ90" s="1055"/>
      <c r="DER90" s="1055"/>
      <c r="DES90" s="1055"/>
      <c r="DET90" s="1055"/>
      <c r="DEU90" s="1055"/>
      <c r="DEV90" s="1055"/>
      <c r="DEW90" s="1055"/>
      <c r="DEX90" s="1055"/>
      <c r="DEY90" s="1055"/>
      <c r="DEZ90" s="1055"/>
      <c r="DFA90" s="1055"/>
      <c r="DFB90" s="1055"/>
      <c r="DFC90" s="1055"/>
      <c r="DFD90" s="1055"/>
      <c r="DFE90" s="1055"/>
      <c r="DFF90" s="1055"/>
      <c r="DFG90" s="1055"/>
      <c r="DFH90" s="1055"/>
      <c r="DFI90" s="1055"/>
      <c r="DFJ90" s="1055"/>
      <c r="DFK90" s="1055"/>
      <c r="DFL90" s="1055"/>
      <c r="DFM90" s="1055"/>
      <c r="DFN90" s="1055"/>
      <c r="DFO90" s="1055"/>
      <c r="DFP90" s="1055"/>
      <c r="DFQ90" s="1055"/>
      <c r="DFR90" s="1055"/>
      <c r="DFS90" s="1055"/>
      <c r="DFT90" s="1055"/>
      <c r="DFU90" s="1055"/>
      <c r="DFV90" s="1055"/>
      <c r="DFW90" s="1055"/>
      <c r="DFX90" s="1055"/>
      <c r="DFY90" s="1055"/>
      <c r="DFZ90" s="1055"/>
      <c r="DGA90" s="1055"/>
      <c r="DGB90" s="1055"/>
      <c r="DGC90" s="1055"/>
      <c r="DGD90" s="1055"/>
      <c r="DGE90" s="1055"/>
      <c r="DGF90" s="1055"/>
      <c r="DGG90" s="1055"/>
      <c r="DGH90" s="1055"/>
      <c r="DGI90" s="1055"/>
      <c r="DGJ90" s="1055"/>
      <c r="DGK90" s="1055"/>
      <c r="DGL90" s="1055"/>
      <c r="DGM90" s="1055"/>
      <c r="DGN90" s="1055"/>
      <c r="DGO90" s="1055"/>
      <c r="DGP90" s="1055"/>
      <c r="DGQ90" s="1055"/>
      <c r="DGR90" s="1055"/>
      <c r="DGS90" s="1055"/>
      <c r="DGT90" s="1055"/>
      <c r="DGU90" s="1055"/>
      <c r="DGV90" s="1055"/>
      <c r="DGW90" s="1055"/>
      <c r="DGX90" s="1055"/>
      <c r="DGY90" s="1055"/>
      <c r="DGZ90" s="1055"/>
      <c r="DHA90" s="1055"/>
      <c r="DHB90" s="1055"/>
      <c r="DHC90" s="1055"/>
      <c r="DHD90" s="1055"/>
      <c r="DHE90" s="1055"/>
      <c r="DHF90" s="1055"/>
      <c r="DHG90" s="1055"/>
      <c r="DHH90" s="1055"/>
      <c r="DHI90" s="1055"/>
      <c r="DHJ90" s="1055"/>
      <c r="DHK90" s="1055"/>
      <c r="DHL90" s="1055"/>
      <c r="DHM90" s="1055"/>
      <c r="DHN90" s="1055"/>
      <c r="DHO90" s="1055"/>
      <c r="DHP90" s="1055"/>
      <c r="DHQ90" s="1055"/>
      <c r="DHR90" s="1055"/>
      <c r="DHS90" s="1055"/>
      <c r="DHT90" s="1055"/>
      <c r="DHU90" s="1055"/>
      <c r="DHV90" s="1055"/>
      <c r="DHW90" s="1055"/>
      <c r="DHX90" s="1055"/>
      <c r="DHY90" s="1055"/>
      <c r="DHZ90" s="1055"/>
      <c r="DIA90" s="1055"/>
      <c r="DIB90" s="1055"/>
      <c r="DIC90" s="1055"/>
      <c r="DID90" s="1055"/>
      <c r="DIE90" s="1055"/>
      <c r="DIF90" s="1055"/>
      <c r="DIG90" s="1055"/>
      <c r="DIH90" s="1055"/>
      <c r="DII90" s="1055"/>
      <c r="DIJ90" s="1055"/>
      <c r="DIK90" s="1055"/>
      <c r="DIL90" s="1055"/>
      <c r="DIM90" s="1055"/>
      <c r="DIN90" s="1055"/>
      <c r="DIO90" s="1055"/>
      <c r="DIP90" s="1055"/>
      <c r="DIQ90" s="1055"/>
      <c r="DIR90" s="1055"/>
      <c r="DIS90" s="1055"/>
      <c r="DIT90" s="1055"/>
      <c r="DIU90" s="1055"/>
      <c r="DIV90" s="1055"/>
      <c r="DIW90" s="1055"/>
      <c r="DIX90" s="1055"/>
      <c r="DIY90" s="1055"/>
      <c r="DIZ90" s="1055"/>
      <c r="DJA90" s="1055"/>
      <c r="DJB90" s="1055"/>
      <c r="DJC90" s="1055"/>
      <c r="DJD90" s="1055"/>
      <c r="DJE90" s="1055"/>
      <c r="DJF90" s="1055"/>
      <c r="DJG90" s="1055"/>
      <c r="DJH90" s="1055"/>
      <c r="DJI90" s="1055"/>
      <c r="DJJ90" s="1055"/>
      <c r="DJK90" s="1055"/>
      <c r="DJL90" s="1055"/>
      <c r="DJM90" s="1055"/>
      <c r="DJN90" s="1055"/>
      <c r="DJO90" s="1055"/>
      <c r="DJP90" s="1055"/>
      <c r="DJQ90" s="1055"/>
      <c r="DJR90" s="1055"/>
      <c r="DJS90" s="1055"/>
      <c r="DJT90" s="1055"/>
      <c r="DJU90" s="1055"/>
      <c r="DJV90" s="1055"/>
      <c r="DJW90" s="1055"/>
      <c r="DJX90" s="1055"/>
      <c r="DJY90" s="1055"/>
      <c r="DJZ90" s="1055"/>
      <c r="DKA90" s="1055"/>
      <c r="DKB90" s="1055"/>
      <c r="DKC90" s="1055"/>
      <c r="DKD90" s="1055"/>
      <c r="DKE90" s="1055"/>
      <c r="DKF90" s="1055"/>
      <c r="DKG90" s="1055"/>
      <c r="DKH90" s="1055"/>
      <c r="DKI90" s="1055"/>
      <c r="DKJ90" s="1055"/>
      <c r="DKK90" s="1055"/>
      <c r="DKL90" s="1055"/>
      <c r="DKM90" s="1055"/>
      <c r="DKN90" s="1055"/>
      <c r="DKO90" s="1055"/>
      <c r="DKP90" s="1055"/>
      <c r="DKQ90" s="1055"/>
      <c r="DKR90" s="1055"/>
      <c r="DKS90" s="1055"/>
      <c r="DKT90" s="1055"/>
      <c r="DKU90" s="1055"/>
      <c r="DKV90" s="1055"/>
      <c r="DKW90" s="1055"/>
      <c r="DKX90" s="1055"/>
      <c r="DKY90" s="1055"/>
      <c r="DKZ90" s="1055"/>
      <c r="DLA90" s="1055"/>
      <c r="DLB90" s="1055"/>
      <c r="DLC90" s="1055"/>
      <c r="DLD90" s="1055"/>
      <c r="DLE90" s="1055"/>
      <c r="DLF90" s="1055"/>
      <c r="DLG90" s="1055"/>
      <c r="DLH90" s="1055"/>
      <c r="DLI90" s="1055"/>
      <c r="DLJ90" s="1055"/>
      <c r="DLK90" s="1055"/>
      <c r="DLL90" s="1055"/>
      <c r="DLM90" s="1055"/>
      <c r="DLN90" s="1055"/>
      <c r="DLO90" s="1055"/>
      <c r="DLP90" s="1055"/>
      <c r="DLQ90" s="1055"/>
      <c r="DLR90" s="1055"/>
      <c r="DLS90" s="1055"/>
      <c r="DLT90" s="1055"/>
      <c r="DLU90" s="1055"/>
      <c r="DLV90" s="1055"/>
      <c r="DLW90" s="1055"/>
      <c r="DLX90" s="1055"/>
      <c r="DLY90" s="1055"/>
      <c r="DLZ90" s="1055"/>
      <c r="DMA90" s="1055"/>
      <c r="DMB90" s="1055"/>
      <c r="DMC90" s="1055"/>
      <c r="DMD90" s="1055"/>
      <c r="DME90" s="1055"/>
      <c r="DMF90" s="1055"/>
      <c r="DMG90" s="1055"/>
      <c r="DMH90" s="1055"/>
      <c r="DMI90" s="1055"/>
      <c r="DMJ90" s="1055"/>
      <c r="DMK90" s="1055"/>
      <c r="DML90" s="1055"/>
      <c r="DMM90" s="1055"/>
      <c r="DMN90" s="1055"/>
      <c r="DMO90" s="1055"/>
      <c r="DMP90" s="1055"/>
      <c r="DMQ90" s="1055"/>
      <c r="DMR90" s="1055"/>
      <c r="DMS90" s="1055"/>
      <c r="DMT90" s="1055"/>
      <c r="DMU90" s="1055"/>
      <c r="DMV90" s="1055"/>
      <c r="DMW90" s="1055"/>
      <c r="DMX90" s="1055"/>
      <c r="DMY90" s="1055"/>
      <c r="DMZ90" s="1055"/>
      <c r="DNA90" s="1055"/>
      <c r="DNB90" s="1055"/>
      <c r="DNC90" s="1055"/>
      <c r="DND90" s="1055"/>
      <c r="DNE90" s="1055"/>
      <c r="DNF90" s="1055"/>
      <c r="DNG90" s="1055"/>
      <c r="DNH90" s="1055"/>
      <c r="DNI90" s="1055"/>
      <c r="DNJ90" s="1055"/>
      <c r="DNK90" s="1055"/>
      <c r="DNL90" s="1055"/>
      <c r="DNM90" s="1055"/>
      <c r="DNN90" s="1055"/>
      <c r="DNO90" s="1055"/>
      <c r="DNP90" s="1055"/>
      <c r="DNQ90" s="1055"/>
      <c r="DNR90" s="1055"/>
      <c r="DNS90" s="1055"/>
      <c r="DNT90" s="1055"/>
      <c r="DNU90" s="1055"/>
      <c r="DNV90" s="1055"/>
      <c r="DNW90" s="1055"/>
      <c r="DNX90" s="1055"/>
      <c r="DNY90" s="1055"/>
      <c r="DNZ90" s="1055"/>
      <c r="DOA90" s="1055"/>
      <c r="DOB90" s="1055"/>
      <c r="DOC90" s="1055"/>
      <c r="DOD90" s="1055"/>
      <c r="DOE90" s="1055"/>
      <c r="DOF90" s="1055"/>
      <c r="DOG90" s="1055"/>
      <c r="DOH90" s="1055"/>
      <c r="DOI90" s="1055"/>
      <c r="DOJ90" s="1055"/>
      <c r="DOK90" s="1055"/>
      <c r="DOL90" s="1055"/>
      <c r="DOM90" s="1055"/>
      <c r="DON90" s="1055"/>
      <c r="DOO90" s="1055"/>
      <c r="DOP90" s="1055"/>
      <c r="DOQ90" s="1055"/>
      <c r="DOR90" s="1055"/>
      <c r="DOS90" s="1055"/>
      <c r="DOT90" s="1055"/>
      <c r="DOU90" s="1055"/>
      <c r="DOV90" s="1055"/>
      <c r="DOW90" s="1055"/>
      <c r="DOX90" s="1055"/>
      <c r="DOY90" s="1055"/>
      <c r="DOZ90" s="1055"/>
      <c r="DPA90" s="1055"/>
      <c r="DPB90" s="1055"/>
      <c r="DPC90" s="1055"/>
      <c r="DPD90" s="1055"/>
      <c r="DPE90" s="1055"/>
      <c r="DPF90" s="1055"/>
      <c r="DPG90" s="1055"/>
      <c r="DPH90" s="1055"/>
      <c r="DPI90" s="1055"/>
      <c r="DPJ90" s="1055"/>
      <c r="DPK90" s="1055"/>
      <c r="DPL90" s="1055"/>
      <c r="DPM90" s="1055"/>
      <c r="DPN90" s="1055"/>
      <c r="DPO90" s="1055"/>
      <c r="DPP90" s="1055"/>
      <c r="DPQ90" s="1055"/>
      <c r="DPR90" s="1055"/>
      <c r="DPS90" s="1055"/>
      <c r="DPT90" s="1055"/>
      <c r="DPU90" s="1055"/>
      <c r="DPV90" s="1055"/>
      <c r="DPW90" s="1055"/>
      <c r="DPX90" s="1055"/>
      <c r="DPY90" s="1055"/>
      <c r="DPZ90" s="1055"/>
      <c r="DQA90" s="1055"/>
      <c r="DQB90" s="1055"/>
      <c r="DQC90" s="1055"/>
      <c r="DQD90" s="1055"/>
      <c r="DQE90" s="1055"/>
      <c r="DQF90" s="1055"/>
      <c r="DQG90" s="1055"/>
      <c r="DQH90" s="1055"/>
      <c r="DQI90" s="1055"/>
      <c r="DQJ90" s="1055"/>
      <c r="DQK90" s="1055"/>
      <c r="DQL90" s="1055"/>
      <c r="DQM90" s="1055"/>
      <c r="DQN90" s="1055"/>
      <c r="DQO90" s="1055"/>
      <c r="DQP90" s="1055"/>
      <c r="DQQ90" s="1055"/>
      <c r="DQR90" s="1055"/>
      <c r="DQS90" s="1055"/>
      <c r="DQT90" s="1055"/>
      <c r="DQU90" s="1055"/>
      <c r="DQV90" s="1055"/>
      <c r="DQW90" s="1055"/>
      <c r="DQX90" s="1055"/>
      <c r="DQY90" s="1055"/>
      <c r="DQZ90" s="1055"/>
      <c r="DRA90" s="1055"/>
      <c r="DRB90" s="1055"/>
      <c r="DRC90" s="1055"/>
      <c r="DRD90" s="1055"/>
      <c r="DRE90" s="1055"/>
      <c r="DRF90" s="1055"/>
      <c r="DRG90" s="1055"/>
      <c r="DRH90" s="1055"/>
      <c r="DRI90" s="1055"/>
      <c r="DRJ90" s="1055"/>
      <c r="DRK90" s="1055"/>
      <c r="DRL90" s="1055"/>
      <c r="DRM90" s="1055"/>
      <c r="DRN90" s="1055"/>
      <c r="DRO90" s="1055"/>
      <c r="DRP90" s="1055"/>
      <c r="DRQ90" s="1055"/>
      <c r="DRR90" s="1055"/>
      <c r="DRS90" s="1055"/>
      <c r="DRT90" s="1055"/>
      <c r="DRU90" s="1055"/>
      <c r="DRV90" s="1055"/>
      <c r="DRW90" s="1055"/>
      <c r="DRX90" s="1055"/>
      <c r="DRY90" s="1055"/>
      <c r="DRZ90" s="1055"/>
      <c r="DSA90" s="1055"/>
      <c r="DSB90" s="1055"/>
      <c r="DSC90" s="1055"/>
      <c r="DSD90" s="1055"/>
      <c r="DSE90" s="1055"/>
      <c r="DSF90" s="1055"/>
      <c r="DSG90" s="1055"/>
      <c r="DSH90" s="1055"/>
      <c r="DSI90" s="1055"/>
      <c r="DSJ90" s="1055"/>
      <c r="DSK90" s="1055"/>
      <c r="DSL90" s="1055"/>
      <c r="DSM90" s="1055"/>
      <c r="DSN90" s="1055"/>
      <c r="DSO90" s="1055"/>
      <c r="DSP90" s="1055"/>
      <c r="DSQ90" s="1055"/>
      <c r="DSR90" s="1055"/>
      <c r="DSS90" s="1055"/>
      <c r="DST90" s="1055"/>
      <c r="DSU90" s="1055"/>
      <c r="DSV90" s="1055"/>
      <c r="DSW90" s="1055"/>
      <c r="DSX90" s="1055"/>
      <c r="DSY90" s="1055"/>
      <c r="DSZ90" s="1055"/>
      <c r="DTA90" s="1055"/>
      <c r="DTB90" s="1055"/>
      <c r="DTC90" s="1055"/>
      <c r="DTD90" s="1055"/>
      <c r="DTE90" s="1055"/>
      <c r="DTF90" s="1055"/>
      <c r="DTG90" s="1055"/>
      <c r="DTH90" s="1055"/>
      <c r="DTI90" s="1055"/>
      <c r="DTJ90" s="1055"/>
      <c r="DTK90" s="1055"/>
      <c r="DTL90" s="1055"/>
      <c r="DTM90" s="1055"/>
      <c r="DTN90" s="1055"/>
      <c r="DTO90" s="1055"/>
      <c r="DTP90" s="1055"/>
      <c r="DTQ90" s="1055"/>
      <c r="DTR90" s="1055"/>
      <c r="DTS90" s="1055"/>
      <c r="DTT90" s="1055"/>
      <c r="DTU90" s="1055"/>
      <c r="DTV90" s="1055"/>
      <c r="DTW90" s="1055"/>
      <c r="DTX90" s="1055"/>
      <c r="DTY90" s="1055"/>
      <c r="DTZ90" s="1055"/>
      <c r="DUA90" s="1055"/>
      <c r="DUB90" s="1055"/>
      <c r="DUC90" s="1055"/>
      <c r="DUD90" s="1055"/>
      <c r="DUE90" s="1055"/>
      <c r="DUF90" s="1055"/>
      <c r="DUG90" s="1055"/>
      <c r="DUH90" s="1055"/>
      <c r="DUI90" s="1055"/>
      <c r="DUJ90" s="1055"/>
      <c r="DUK90" s="1055"/>
      <c r="DUL90" s="1055"/>
      <c r="DUM90" s="1055"/>
      <c r="DUN90" s="1055"/>
      <c r="DUO90" s="1055"/>
      <c r="DUP90" s="1055"/>
      <c r="DUQ90" s="1055"/>
      <c r="DUR90" s="1055"/>
      <c r="DUS90" s="1055"/>
      <c r="DUT90" s="1055"/>
      <c r="DUU90" s="1055"/>
      <c r="DUV90" s="1055"/>
      <c r="DUW90" s="1055"/>
      <c r="DUX90" s="1055"/>
      <c r="DUY90" s="1055"/>
      <c r="DUZ90" s="1055"/>
      <c r="DVA90" s="1055"/>
      <c r="DVB90" s="1055"/>
      <c r="DVC90" s="1055"/>
      <c r="DVD90" s="1055"/>
      <c r="DVE90" s="1055"/>
      <c r="DVF90" s="1055"/>
      <c r="DVG90" s="1055"/>
      <c r="DVH90" s="1055"/>
      <c r="DVI90" s="1055"/>
      <c r="DVJ90" s="1055"/>
      <c r="DVK90" s="1055"/>
      <c r="DVL90" s="1055"/>
      <c r="DVM90" s="1055"/>
      <c r="DVN90" s="1055"/>
      <c r="DVO90" s="1055"/>
      <c r="DVP90" s="1055"/>
      <c r="DVQ90" s="1055"/>
      <c r="DVR90" s="1055"/>
      <c r="DVS90" s="1055"/>
      <c r="DVT90" s="1055"/>
      <c r="DVU90" s="1055"/>
      <c r="DVV90" s="1055"/>
      <c r="DVW90" s="1055"/>
      <c r="DVX90" s="1055"/>
      <c r="DVY90" s="1055"/>
      <c r="DVZ90" s="1055"/>
      <c r="DWA90" s="1055"/>
      <c r="DWB90" s="1055"/>
      <c r="DWC90" s="1055"/>
      <c r="DWD90" s="1055"/>
      <c r="DWE90" s="1055"/>
      <c r="DWF90" s="1055"/>
      <c r="DWG90" s="1055"/>
      <c r="DWH90" s="1055"/>
      <c r="DWI90" s="1055"/>
      <c r="DWJ90" s="1055"/>
      <c r="DWK90" s="1055"/>
      <c r="DWL90" s="1055"/>
      <c r="DWM90" s="1055"/>
      <c r="DWN90" s="1055"/>
      <c r="DWO90" s="1055"/>
      <c r="DWP90" s="1055"/>
      <c r="DWQ90" s="1055"/>
      <c r="DWR90" s="1055"/>
      <c r="DWS90" s="1055"/>
      <c r="DWT90" s="1055"/>
      <c r="DWU90" s="1055"/>
      <c r="DWV90" s="1055"/>
      <c r="DWW90" s="1055"/>
      <c r="DWX90" s="1055"/>
      <c r="DWY90" s="1055"/>
      <c r="DWZ90" s="1055"/>
      <c r="DXA90" s="1055"/>
      <c r="DXB90" s="1055"/>
      <c r="DXC90" s="1055"/>
      <c r="DXD90" s="1055"/>
      <c r="DXE90" s="1055"/>
      <c r="DXF90" s="1055"/>
      <c r="DXG90" s="1055"/>
      <c r="DXH90" s="1055"/>
      <c r="DXI90" s="1055"/>
      <c r="DXJ90" s="1055"/>
      <c r="DXK90" s="1055"/>
      <c r="DXL90" s="1055"/>
      <c r="DXM90" s="1055"/>
      <c r="DXN90" s="1055"/>
      <c r="DXO90" s="1055"/>
      <c r="DXP90" s="1055"/>
      <c r="DXQ90" s="1055"/>
      <c r="DXR90" s="1055"/>
      <c r="DXS90" s="1055"/>
      <c r="DXT90" s="1055"/>
      <c r="DXU90" s="1055"/>
      <c r="DXV90" s="1055"/>
      <c r="DXW90" s="1055"/>
      <c r="DXX90" s="1055"/>
      <c r="DXY90" s="1055"/>
      <c r="DXZ90" s="1055"/>
      <c r="DYA90" s="1055"/>
      <c r="DYB90" s="1055"/>
      <c r="DYC90" s="1055"/>
      <c r="DYD90" s="1055"/>
      <c r="DYE90" s="1055"/>
      <c r="DYF90" s="1055"/>
      <c r="DYG90" s="1055"/>
      <c r="DYH90" s="1055"/>
      <c r="DYI90" s="1055"/>
      <c r="DYJ90" s="1055"/>
      <c r="DYK90" s="1055"/>
      <c r="DYL90" s="1055"/>
      <c r="DYM90" s="1055"/>
      <c r="DYN90" s="1055"/>
      <c r="DYO90" s="1055"/>
      <c r="DYP90" s="1055"/>
      <c r="DYQ90" s="1055"/>
      <c r="DYR90" s="1055"/>
      <c r="DYS90" s="1055"/>
      <c r="DYT90" s="1055"/>
      <c r="DYU90" s="1055"/>
      <c r="DYV90" s="1055"/>
      <c r="DYW90" s="1055"/>
      <c r="DYX90" s="1055"/>
      <c r="DYY90" s="1055"/>
      <c r="DYZ90" s="1055"/>
      <c r="DZA90" s="1055"/>
      <c r="DZB90" s="1055"/>
      <c r="DZC90" s="1055"/>
      <c r="DZD90" s="1055"/>
      <c r="DZE90" s="1055"/>
      <c r="DZF90" s="1055"/>
      <c r="DZG90" s="1055"/>
      <c r="DZH90" s="1055"/>
      <c r="DZI90" s="1055"/>
      <c r="DZJ90" s="1055"/>
      <c r="DZK90" s="1055"/>
      <c r="DZL90" s="1055"/>
      <c r="DZM90" s="1055"/>
      <c r="DZN90" s="1055"/>
      <c r="DZO90" s="1055"/>
      <c r="DZP90" s="1055"/>
      <c r="DZQ90" s="1055"/>
      <c r="DZR90" s="1055"/>
      <c r="DZS90" s="1055"/>
      <c r="DZT90" s="1055"/>
      <c r="DZU90" s="1055"/>
      <c r="DZV90" s="1055"/>
      <c r="DZW90" s="1055"/>
      <c r="DZX90" s="1055"/>
      <c r="DZY90" s="1055"/>
      <c r="DZZ90" s="1055"/>
      <c r="EAA90" s="1055"/>
      <c r="EAB90" s="1055"/>
      <c r="EAC90" s="1055"/>
      <c r="EAD90" s="1055"/>
      <c r="EAE90" s="1055"/>
      <c r="EAF90" s="1055"/>
      <c r="EAG90" s="1055"/>
      <c r="EAH90" s="1055"/>
      <c r="EAI90" s="1055"/>
      <c r="EAJ90" s="1055"/>
      <c r="EAK90" s="1055"/>
      <c r="EAL90" s="1055"/>
      <c r="EAM90" s="1055"/>
      <c r="EAN90" s="1055"/>
      <c r="EAO90" s="1055"/>
      <c r="EAP90" s="1055"/>
      <c r="EAQ90" s="1055"/>
      <c r="EAR90" s="1055"/>
      <c r="EAS90" s="1055"/>
      <c r="EAT90" s="1055"/>
      <c r="EAU90" s="1055"/>
      <c r="EAV90" s="1055"/>
      <c r="EAW90" s="1055"/>
      <c r="EAX90" s="1055"/>
      <c r="EAY90" s="1055"/>
      <c r="EAZ90" s="1055"/>
      <c r="EBA90" s="1055"/>
      <c r="EBB90" s="1055"/>
      <c r="EBC90" s="1055"/>
      <c r="EBD90" s="1055"/>
      <c r="EBE90" s="1055"/>
      <c r="EBF90" s="1055"/>
      <c r="EBG90" s="1055"/>
      <c r="EBH90" s="1055"/>
      <c r="EBI90" s="1055"/>
      <c r="EBJ90" s="1055"/>
      <c r="EBK90" s="1055"/>
      <c r="EBL90" s="1055"/>
      <c r="EBM90" s="1055"/>
      <c r="EBN90" s="1055"/>
      <c r="EBO90" s="1055"/>
      <c r="EBP90" s="1055"/>
      <c r="EBQ90" s="1055"/>
      <c r="EBR90" s="1055"/>
      <c r="EBS90" s="1055"/>
      <c r="EBT90" s="1055"/>
      <c r="EBU90" s="1055"/>
      <c r="EBV90" s="1055"/>
      <c r="EBW90" s="1055"/>
      <c r="EBX90" s="1055"/>
      <c r="EBY90" s="1055"/>
      <c r="EBZ90" s="1055"/>
      <c r="ECA90" s="1055"/>
      <c r="ECB90" s="1055"/>
      <c r="ECC90" s="1055"/>
      <c r="ECD90" s="1055"/>
      <c r="ECE90" s="1055"/>
      <c r="ECF90" s="1055"/>
      <c r="ECG90" s="1055"/>
      <c r="ECH90" s="1055"/>
      <c r="ECI90" s="1055"/>
      <c r="ECJ90" s="1055"/>
      <c r="ECK90" s="1055"/>
      <c r="ECL90" s="1055"/>
      <c r="ECM90" s="1055"/>
      <c r="ECN90" s="1055"/>
      <c r="ECO90" s="1055"/>
      <c r="ECP90" s="1055"/>
      <c r="ECQ90" s="1055"/>
      <c r="ECR90" s="1055"/>
      <c r="ECS90" s="1055"/>
      <c r="ECT90" s="1055"/>
      <c r="ECU90" s="1055"/>
      <c r="ECV90" s="1055"/>
      <c r="ECW90" s="1055"/>
      <c r="ECX90" s="1055"/>
      <c r="ECY90" s="1055"/>
      <c r="ECZ90" s="1055"/>
      <c r="EDA90" s="1055"/>
      <c r="EDB90" s="1055"/>
      <c r="EDC90" s="1055"/>
      <c r="EDD90" s="1055"/>
      <c r="EDE90" s="1055"/>
      <c r="EDF90" s="1055"/>
      <c r="EDG90" s="1055"/>
      <c r="EDH90" s="1055"/>
      <c r="EDI90" s="1055"/>
      <c r="EDJ90" s="1055"/>
      <c r="EDK90" s="1055"/>
      <c r="EDL90" s="1055"/>
      <c r="EDM90" s="1055"/>
      <c r="EDN90" s="1055"/>
      <c r="EDO90" s="1055"/>
      <c r="EDP90" s="1055"/>
      <c r="EDQ90" s="1055"/>
      <c r="EDR90" s="1055"/>
      <c r="EDS90" s="1055"/>
      <c r="EDT90" s="1055"/>
      <c r="EDU90" s="1055"/>
      <c r="EDV90" s="1055"/>
      <c r="EDW90" s="1055"/>
      <c r="EDX90" s="1055"/>
      <c r="EDY90" s="1055"/>
      <c r="EDZ90" s="1055"/>
      <c r="EEA90" s="1055"/>
      <c r="EEB90" s="1055"/>
      <c r="EEC90" s="1055"/>
      <c r="EED90" s="1055"/>
      <c r="EEE90" s="1055"/>
      <c r="EEF90" s="1055"/>
      <c r="EEG90" s="1055"/>
      <c r="EEH90" s="1055"/>
      <c r="EEI90" s="1055"/>
      <c r="EEJ90" s="1055"/>
      <c r="EEK90" s="1055"/>
      <c r="EEL90" s="1055"/>
      <c r="EEM90" s="1055"/>
      <c r="EEN90" s="1055"/>
      <c r="EEO90" s="1055"/>
      <c r="EEP90" s="1055"/>
      <c r="EEQ90" s="1055"/>
      <c r="EER90" s="1055"/>
      <c r="EES90" s="1055"/>
      <c r="EET90" s="1055"/>
      <c r="EEU90" s="1055"/>
      <c r="EEV90" s="1055"/>
      <c r="EEW90" s="1055"/>
      <c r="EEX90" s="1055"/>
      <c r="EEY90" s="1055"/>
      <c r="EEZ90" s="1055"/>
      <c r="EFA90" s="1055"/>
      <c r="EFB90" s="1055"/>
      <c r="EFC90" s="1055"/>
      <c r="EFD90" s="1055"/>
      <c r="EFE90" s="1055"/>
      <c r="EFF90" s="1055"/>
      <c r="EFG90" s="1055"/>
      <c r="EFH90" s="1055"/>
      <c r="EFI90" s="1055"/>
      <c r="EFJ90" s="1055"/>
      <c r="EFK90" s="1055"/>
      <c r="EFL90" s="1055"/>
      <c r="EFM90" s="1055"/>
      <c r="EFN90" s="1055"/>
      <c r="EFO90" s="1055"/>
      <c r="EFP90" s="1055"/>
      <c r="EFQ90" s="1055"/>
      <c r="EFR90" s="1055"/>
      <c r="EFS90" s="1055"/>
      <c r="EFT90" s="1055"/>
      <c r="EFU90" s="1055"/>
      <c r="EFV90" s="1055"/>
      <c r="EFW90" s="1055"/>
      <c r="EFX90" s="1055"/>
      <c r="EFY90" s="1055"/>
      <c r="EFZ90" s="1055"/>
      <c r="EGA90" s="1055"/>
      <c r="EGB90" s="1055"/>
      <c r="EGC90" s="1055"/>
      <c r="EGD90" s="1055"/>
      <c r="EGE90" s="1055"/>
      <c r="EGF90" s="1055"/>
      <c r="EGG90" s="1055"/>
      <c r="EGH90" s="1055"/>
      <c r="EGI90" s="1055"/>
      <c r="EGJ90" s="1055"/>
      <c r="EGK90" s="1055"/>
      <c r="EGL90" s="1055"/>
      <c r="EGM90" s="1055"/>
      <c r="EGN90" s="1055"/>
      <c r="EGO90" s="1055"/>
      <c r="EGP90" s="1055"/>
      <c r="EGQ90" s="1055"/>
      <c r="EGR90" s="1055"/>
      <c r="EGS90" s="1055"/>
      <c r="EGT90" s="1055"/>
      <c r="EGU90" s="1055"/>
      <c r="EGV90" s="1055"/>
      <c r="EGW90" s="1055"/>
      <c r="EGX90" s="1055"/>
      <c r="EGY90" s="1055"/>
      <c r="EGZ90" s="1055"/>
      <c r="EHA90" s="1055"/>
      <c r="EHB90" s="1055"/>
      <c r="EHC90" s="1055"/>
      <c r="EHD90" s="1055"/>
      <c r="EHE90" s="1055"/>
      <c r="EHF90" s="1055"/>
      <c r="EHG90" s="1055"/>
      <c r="EHH90" s="1055"/>
      <c r="EHI90" s="1055"/>
      <c r="EHJ90" s="1055"/>
      <c r="EHK90" s="1055"/>
      <c r="EHL90" s="1055"/>
      <c r="EHM90" s="1055"/>
      <c r="EHN90" s="1055"/>
      <c r="EHO90" s="1055"/>
      <c r="EHP90" s="1055"/>
      <c r="EHQ90" s="1055"/>
      <c r="EHR90" s="1055"/>
      <c r="EHS90" s="1055"/>
      <c r="EHT90" s="1055"/>
      <c r="EHU90" s="1055"/>
      <c r="EHV90" s="1055"/>
      <c r="EHW90" s="1055"/>
      <c r="EHX90" s="1055"/>
      <c r="EHY90" s="1055"/>
      <c r="EHZ90" s="1055"/>
      <c r="EIA90" s="1055"/>
      <c r="EIB90" s="1055"/>
      <c r="EIC90" s="1055"/>
      <c r="EID90" s="1055"/>
      <c r="EIE90" s="1055"/>
      <c r="EIF90" s="1055"/>
      <c r="EIG90" s="1055"/>
      <c r="EIH90" s="1055"/>
      <c r="EII90" s="1055"/>
      <c r="EIJ90" s="1055"/>
      <c r="EIK90" s="1055"/>
      <c r="EIL90" s="1055"/>
      <c r="EIM90" s="1055"/>
      <c r="EIN90" s="1055"/>
      <c r="EIO90" s="1055"/>
      <c r="EIP90" s="1055"/>
      <c r="EIQ90" s="1055"/>
      <c r="EIR90" s="1055"/>
      <c r="EIS90" s="1055"/>
      <c r="EIT90" s="1055"/>
      <c r="EIU90" s="1055"/>
      <c r="EIV90" s="1055"/>
      <c r="EIW90" s="1055"/>
      <c r="EIX90" s="1055"/>
      <c r="EIY90" s="1055"/>
      <c r="EIZ90" s="1055"/>
      <c r="EJA90" s="1055"/>
      <c r="EJB90" s="1055"/>
      <c r="EJC90" s="1055"/>
      <c r="EJD90" s="1055"/>
      <c r="EJE90" s="1055"/>
      <c r="EJF90" s="1055"/>
      <c r="EJG90" s="1055"/>
      <c r="EJH90" s="1055"/>
      <c r="EJI90" s="1055"/>
      <c r="EJJ90" s="1055"/>
      <c r="EJK90" s="1055"/>
      <c r="EJL90" s="1055"/>
      <c r="EJM90" s="1055"/>
      <c r="EJN90" s="1055"/>
      <c r="EJO90" s="1055"/>
      <c r="EJP90" s="1055"/>
      <c r="EJQ90" s="1055"/>
      <c r="EJR90" s="1055"/>
      <c r="EJS90" s="1055"/>
      <c r="EJT90" s="1055"/>
      <c r="EJU90" s="1055"/>
      <c r="EJV90" s="1055"/>
      <c r="EJW90" s="1055"/>
      <c r="EJX90" s="1055"/>
      <c r="EJY90" s="1055"/>
      <c r="EJZ90" s="1055"/>
      <c r="EKA90" s="1055"/>
      <c r="EKB90" s="1055"/>
      <c r="EKC90" s="1055"/>
      <c r="EKD90" s="1055"/>
      <c r="EKE90" s="1055"/>
      <c r="EKF90" s="1055"/>
      <c r="EKG90" s="1055"/>
      <c r="EKH90" s="1055"/>
      <c r="EKI90" s="1055"/>
      <c r="EKJ90" s="1055"/>
      <c r="EKK90" s="1055"/>
      <c r="EKL90" s="1055"/>
      <c r="EKM90" s="1055"/>
      <c r="EKN90" s="1055"/>
      <c r="EKO90" s="1055"/>
      <c r="EKP90" s="1055"/>
      <c r="EKQ90" s="1055"/>
      <c r="EKR90" s="1055"/>
      <c r="EKS90" s="1055"/>
      <c r="EKT90" s="1055"/>
      <c r="EKU90" s="1055"/>
      <c r="EKV90" s="1055"/>
      <c r="EKW90" s="1055"/>
      <c r="EKX90" s="1055"/>
      <c r="EKY90" s="1055"/>
      <c r="EKZ90" s="1055"/>
      <c r="ELA90" s="1055"/>
      <c r="ELB90" s="1055"/>
      <c r="ELC90" s="1055"/>
      <c r="ELD90" s="1055"/>
      <c r="ELE90" s="1055"/>
      <c r="ELF90" s="1055"/>
      <c r="ELG90" s="1055"/>
      <c r="ELH90" s="1055"/>
      <c r="ELI90" s="1055"/>
      <c r="ELJ90" s="1055"/>
      <c r="ELK90" s="1055"/>
      <c r="ELL90" s="1055"/>
      <c r="ELM90" s="1055"/>
      <c r="ELN90" s="1055"/>
      <c r="ELO90" s="1055"/>
      <c r="ELP90" s="1055"/>
      <c r="ELQ90" s="1055"/>
      <c r="ELR90" s="1055"/>
      <c r="ELS90" s="1055"/>
      <c r="ELT90" s="1055"/>
      <c r="ELU90" s="1055"/>
      <c r="ELV90" s="1055"/>
      <c r="ELW90" s="1055"/>
      <c r="ELX90" s="1055"/>
      <c r="ELY90" s="1055"/>
      <c r="ELZ90" s="1055"/>
      <c r="EMA90" s="1055"/>
      <c r="EMB90" s="1055"/>
      <c r="EMC90" s="1055"/>
      <c r="EMD90" s="1055"/>
      <c r="EME90" s="1055"/>
      <c r="EMF90" s="1055"/>
      <c r="EMG90" s="1055"/>
      <c r="EMH90" s="1055"/>
      <c r="EMI90" s="1055"/>
      <c r="EMJ90" s="1055"/>
      <c r="EMK90" s="1055"/>
      <c r="EML90" s="1055"/>
      <c r="EMM90" s="1055"/>
      <c r="EMN90" s="1055"/>
      <c r="EMO90" s="1055"/>
      <c r="EMP90" s="1055"/>
      <c r="EMQ90" s="1055"/>
      <c r="EMR90" s="1055"/>
      <c r="EMS90" s="1055"/>
      <c r="EMT90" s="1055"/>
      <c r="EMU90" s="1055"/>
      <c r="EMV90" s="1055"/>
      <c r="EMW90" s="1055"/>
      <c r="EMX90" s="1055"/>
      <c r="EMY90" s="1055"/>
      <c r="EMZ90" s="1055"/>
      <c r="ENA90" s="1055"/>
      <c r="ENB90" s="1055"/>
      <c r="ENC90" s="1055"/>
      <c r="END90" s="1055"/>
      <c r="ENE90" s="1055"/>
      <c r="ENF90" s="1055"/>
      <c r="ENG90" s="1055"/>
      <c r="ENH90" s="1055"/>
      <c r="ENI90" s="1055"/>
      <c r="ENJ90" s="1055"/>
      <c r="ENK90" s="1055"/>
      <c r="ENL90" s="1055"/>
      <c r="ENM90" s="1055"/>
      <c r="ENN90" s="1055"/>
      <c r="ENO90" s="1055"/>
      <c r="ENP90" s="1055"/>
      <c r="ENQ90" s="1055"/>
      <c r="ENR90" s="1055"/>
      <c r="ENS90" s="1055"/>
      <c r="ENT90" s="1055"/>
      <c r="ENU90" s="1055"/>
      <c r="ENV90" s="1055"/>
      <c r="ENW90" s="1055"/>
      <c r="ENX90" s="1055"/>
      <c r="ENY90" s="1055"/>
      <c r="ENZ90" s="1055"/>
      <c r="EOA90" s="1055"/>
      <c r="EOB90" s="1055"/>
      <c r="EOC90" s="1055"/>
      <c r="EOD90" s="1055"/>
      <c r="EOE90" s="1055"/>
      <c r="EOF90" s="1055"/>
      <c r="EOG90" s="1055"/>
      <c r="EOH90" s="1055"/>
      <c r="EOI90" s="1055"/>
      <c r="EOJ90" s="1055"/>
      <c r="EOK90" s="1055"/>
      <c r="EOL90" s="1055"/>
      <c r="EOM90" s="1055"/>
      <c r="EON90" s="1055"/>
      <c r="EOO90" s="1055"/>
      <c r="EOP90" s="1055"/>
      <c r="EOQ90" s="1055"/>
      <c r="EOR90" s="1055"/>
      <c r="EOS90" s="1055"/>
      <c r="EOT90" s="1055"/>
      <c r="EOU90" s="1055"/>
      <c r="EOV90" s="1055"/>
      <c r="EOW90" s="1055"/>
      <c r="EOX90" s="1055"/>
      <c r="EOY90" s="1055"/>
      <c r="EOZ90" s="1055"/>
      <c r="EPA90" s="1055"/>
      <c r="EPB90" s="1055"/>
      <c r="EPC90" s="1055"/>
      <c r="EPD90" s="1055"/>
      <c r="EPE90" s="1055"/>
      <c r="EPF90" s="1055"/>
      <c r="EPG90" s="1055"/>
      <c r="EPH90" s="1055"/>
      <c r="EPI90" s="1055"/>
      <c r="EPJ90" s="1055"/>
      <c r="EPK90" s="1055"/>
      <c r="EPL90" s="1055"/>
      <c r="EPM90" s="1055"/>
      <c r="EPN90" s="1055"/>
      <c r="EPO90" s="1055"/>
      <c r="EPP90" s="1055"/>
      <c r="EPQ90" s="1055"/>
      <c r="EPR90" s="1055"/>
      <c r="EPS90" s="1055"/>
      <c r="EPT90" s="1055"/>
      <c r="EPU90" s="1055"/>
      <c r="EPV90" s="1055"/>
      <c r="EPW90" s="1055"/>
      <c r="EPX90" s="1055"/>
      <c r="EPY90" s="1055"/>
      <c r="EPZ90" s="1055"/>
      <c r="EQA90" s="1055"/>
      <c r="EQB90" s="1055"/>
      <c r="EQC90" s="1055"/>
      <c r="EQD90" s="1055"/>
      <c r="EQE90" s="1055"/>
      <c r="EQF90" s="1055"/>
      <c r="EQG90" s="1055"/>
      <c r="EQH90" s="1055"/>
      <c r="EQI90" s="1055"/>
      <c r="EQJ90" s="1055"/>
      <c r="EQK90" s="1055"/>
      <c r="EQL90" s="1055"/>
      <c r="EQM90" s="1055"/>
      <c r="EQN90" s="1055"/>
      <c r="EQO90" s="1055"/>
      <c r="EQP90" s="1055"/>
      <c r="EQQ90" s="1055"/>
      <c r="EQR90" s="1055"/>
      <c r="EQS90" s="1055"/>
      <c r="EQT90" s="1055"/>
      <c r="EQU90" s="1055"/>
      <c r="EQV90" s="1055"/>
      <c r="EQW90" s="1055"/>
      <c r="EQX90" s="1055"/>
      <c r="EQY90" s="1055"/>
      <c r="EQZ90" s="1055"/>
      <c r="ERA90" s="1055"/>
      <c r="ERB90" s="1055"/>
      <c r="ERC90" s="1055"/>
      <c r="ERD90" s="1055"/>
      <c r="ERE90" s="1055"/>
      <c r="ERF90" s="1055"/>
      <c r="ERG90" s="1055"/>
      <c r="ERH90" s="1055"/>
      <c r="ERI90" s="1055"/>
      <c r="ERJ90" s="1055"/>
      <c r="ERK90" s="1055"/>
      <c r="ERL90" s="1055"/>
      <c r="ERM90" s="1055"/>
      <c r="ERN90" s="1055"/>
      <c r="ERO90" s="1055"/>
      <c r="ERP90" s="1055"/>
      <c r="ERQ90" s="1055"/>
      <c r="ERR90" s="1055"/>
      <c r="ERS90" s="1055"/>
      <c r="ERT90" s="1055"/>
      <c r="ERU90" s="1055"/>
      <c r="ERV90" s="1055"/>
      <c r="ERW90" s="1055"/>
      <c r="ERX90" s="1055"/>
      <c r="ERY90" s="1055"/>
      <c r="ERZ90" s="1055"/>
      <c r="ESA90" s="1055"/>
      <c r="ESB90" s="1055"/>
      <c r="ESC90" s="1055"/>
      <c r="ESD90" s="1055"/>
      <c r="ESE90" s="1055"/>
      <c r="ESF90" s="1055"/>
      <c r="ESG90" s="1055"/>
      <c r="ESH90" s="1055"/>
      <c r="ESI90" s="1055"/>
      <c r="ESJ90" s="1055"/>
      <c r="ESK90" s="1055"/>
      <c r="ESL90" s="1055"/>
      <c r="ESM90" s="1055"/>
      <c r="ESN90" s="1055"/>
      <c r="ESO90" s="1055"/>
      <c r="ESP90" s="1055"/>
      <c r="ESQ90" s="1055"/>
      <c r="ESR90" s="1055"/>
      <c r="ESS90" s="1055"/>
      <c r="EST90" s="1055"/>
      <c r="ESU90" s="1055"/>
      <c r="ESV90" s="1055"/>
      <c r="ESW90" s="1055"/>
      <c r="ESX90" s="1055"/>
      <c r="ESY90" s="1055"/>
      <c r="ESZ90" s="1055"/>
      <c r="ETA90" s="1055"/>
      <c r="ETB90" s="1055"/>
      <c r="ETC90" s="1055"/>
      <c r="ETD90" s="1055"/>
      <c r="ETE90" s="1055"/>
      <c r="ETF90" s="1055"/>
      <c r="ETG90" s="1055"/>
      <c r="ETH90" s="1055"/>
      <c r="ETI90" s="1055"/>
      <c r="ETJ90" s="1055"/>
      <c r="ETK90" s="1055"/>
      <c r="ETL90" s="1055"/>
      <c r="ETM90" s="1055"/>
      <c r="ETN90" s="1055"/>
      <c r="ETO90" s="1055"/>
      <c r="ETP90" s="1055"/>
      <c r="ETQ90" s="1055"/>
      <c r="ETR90" s="1055"/>
      <c r="ETS90" s="1055"/>
      <c r="ETT90" s="1055"/>
      <c r="ETU90" s="1055"/>
      <c r="ETV90" s="1055"/>
      <c r="ETW90" s="1055"/>
      <c r="ETX90" s="1055"/>
      <c r="ETY90" s="1055"/>
      <c r="ETZ90" s="1055"/>
      <c r="EUA90" s="1055"/>
      <c r="EUB90" s="1055"/>
      <c r="EUC90" s="1055"/>
      <c r="EUD90" s="1055"/>
      <c r="EUE90" s="1055"/>
      <c r="EUF90" s="1055"/>
      <c r="EUG90" s="1055"/>
      <c r="EUH90" s="1055"/>
      <c r="EUI90" s="1055"/>
      <c r="EUJ90" s="1055"/>
      <c r="EUK90" s="1055"/>
      <c r="EUL90" s="1055"/>
      <c r="EUM90" s="1055"/>
      <c r="EUN90" s="1055"/>
      <c r="EUO90" s="1055"/>
      <c r="EUP90" s="1055"/>
      <c r="EUQ90" s="1055"/>
      <c r="EUR90" s="1055"/>
      <c r="EUS90" s="1055"/>
      <c r="EUT90" s="1055"/>
      <c r="EUU90" s="1055"/>
      <c r="EUV90" s="1055"/>
      <c r="EUW90" s="1055"/>
      <c r="EUX90" s="1055"/>
      <c r="EUY90" s="1055"/>
      <c r="EUZ90" s="1055"/>
      <c r="EVA90" s="1055"/>
      <c r="EVB90" s="1055"/>
      <c r="EVC90" s="1055"/>
      <c r="EVD90" s="1055"/>
      <c r="EVE90" s="1055"/>
      <c r="EVF90" s="1055"/>
      <c r="EVG90" s="1055"/>
      <c r="EVH90" s="1055"/>
      <c r="EVI90" s="1055"/>
      <c r="EVJ90" s="1055"/>
      <c r="EVK90" s="1055"/>
      <c r="EVL90" s="1055"/>
      <c r="EVM90" s="1055"/>
      <c r="EVN90" s="1055"/>
      <c r="EVO90" s="1055"/>
      <c r="EVP90" s="1055"/>
      <c r="EVQ90" s="1055"/>
      <c r="EVR90" s="1055"/>
      <c r="EVS90" s="1055"/>
      <c r="EVT90" s="1055"/>
      <c r="EVU90" s="1055"/>
      <c r="EVV90" s="1055"/>
      <c r="EVW90" s="1055"/>
      <c r="EVX90" s="1055"/>
      <c r="EVY90" s="1055"/>
      <c r="EVZ90" s="1055"/>
      <c r="EWA90" s="1055"/>
      <c r="EWB90" s="1055"/>
      <c r="EWC90" s="1055"/>
      <c r="EWD90" s="1055"/>
      <c r="EWE90" s="1055"/>
      <c r="EWF90" s="1055"/>
      <c r="EWG90" s="1055"/>
      <c r="EWH90" s="1055"/>
      <c r="EWI90" s="1055"/>
      <c r="EWJ90" s="1055"/>
      <c r="EWK90" s="1055"/>
      <c r="EWL90" s="1055"/>
      <c r="EWM90" s="1055"/>
      <c r="EWN90" s="1055"/>
      <c r="EWO90" s="1055"/>
      <c r="EWP90" s="1055"/>
      <c r="EWQ90" s="1055"/>
      <c r="EWR90" s="1055"/>
      <c r="EWS90" s="1055"/>
      <c r="EWT90" s="1055"/>
      <c r="EWU90" s="1055"/>
      <c r="EWV90" s="1055"/>
      <c r="EWW90" s="1055"/>
      <c r="EWX90" s="1055"/>
      <c r="EWY90" s="1055"/>
      <c r="EWZ90" s="1055"/>
      <c r="EXA90" s="1055"/>
      <c r="EXB90" s="1055"/>
      <c r="EXC90" s="1055"/>
      <c r="EXD90" s="1055"/>
      <c r="EXE90" s="1055"/>
      <c r="EXF90" s="1055"/>
      <c r="EXG90" s="1055"/>
      <c r="EXH90" s="1055"/>
      <c r="EXI90" s="1055"/>
      <c r="EXJ90" s="1055"/>
      <c r="EXK90" s="1055"/>
      <c r="EXL90" s="1055"/>
      <c r="EXM90" s="1055"/>
      <c r="EXN90" s="1055"/>
      <c r="EXO90" s="1055"/>
      <c r="EXP90" s="1055"/>
      <c r="EXQ90" s="1055"/>
      <c r="EXR90" s="1055"/>
      <c r="EXS90" s="1055"/>
      <c r="EXT90" s="1055"/>
      <c r="EXU90" s="1055"/>
      <c r="EXV90" s="1055"/>
      <c r="EXW90" s="1055"/>
      <c r="EXX90" s="1055"/>
      <c r="EXY90" s="1055"/>
      <c r="EXZ90" s="1055"/>
      <c r="EYA90" s="1055"/>
      <c r="EYB90" s="1055"/>
      <c r="EYC90" s="1055"/>
      <c r="EYD90" s="1055"/>
      <c r="EYE90" s="1055"/>
      <c r="EYF90" s="1055"/>
      <c r="EYG90" s="1055"/>
      <c r="EYH90" s="1055"/>
      <c r="EYI90" s="1055"/>
      <c r="EYJ90" s="1055"/>
      <c r="EYK90" s="1055"/>
      <c r="EYL90" s="1055"/>
      <c r="EYM90" s="1055"/>
      <c r="EYN90" s="1055"/>
      <c r="EYO90" s="1055"/>
      <c r="EYP90" s="1055"/>
      <c r="EYQ90" s="1055"/>
      <c r="EYR90" s="1055"/>
      <c r="EYS90" s="1055"/>
      <c r="EYT90" s="1055"/>
      <c r="EYU90" s="1055"/>
      <c r="EYV90" s="1055"/>
      <c r="EYW90" s="1055"/>
      <c r="EYX90" s="1055"/>
      <c r="EYY90" s="1055"/>
      <c r="EYZ90" s="1055"/>
      <c r="EZA90" s="1055"/>
      <c r="EZB90" s="1055"/>
      <c r="EZC90" s="1055"/>
      <c r="EZD90" s="1055"/>
      <c r="EZE90" s="1055"/>
      <c r="EZF90" s="1055"/>
      <c r="EZG90" s="1055"/>
      <c r="EZH90" s="1055"/>
      <c r="EZI90" s="1055"/>
      <c r="EZJ90" s="1055"/>
      <c r="EZK90" s="1055"/>
      <c r="EZL90" s="1055"/>
      <c r="EZM90" s="1055"/>
      <c r="EZN90" s="1055"/>
      <c r="EZO90" s="1055"/>
      <c r="EZP90" s="1055"/>
      <c r="EZQ90" s="1055"/>
      <c r="EZR90" s="1055"/>
      <c r="EZS90" s="1055"/>
      <c r="EZT90" s="1055"/>
      <c r="EZU90" s="1055"/>
      <c r="EZV90" s="1055"/>
      <c r="EZW90" s="1055"/>
      <c r="EZX90" s="1055"/>
      <c r="EZY90" s="1055"/>
      <c r="EZZ90" s="1055"/>
      <c r="FAA90" s="1055"/>
      <c r="FAB90" s="1055"/>
      <c r="FAC90" s="1055"/>
      <c r="FAD90" s="1055"/>
      <c r="FAE90" s="1055"/>
      <c r="FAF90" s="1055"/>
      <c r="FAG90" s="1055"/>
      <c r="FAH90" s="1055"/>
      <c r="FAI90" s="1055"/>
      <c r="FAJ90" s="1055"/>
      <c r="FAK90" s="1055"/>
      <c r="FAL90" s="1055"/>
      <c r="FAM90" s="1055"/>
      <c r="FAN90" s="1055"/>
      <c r="FAO90" s="1055"/>
      <c r="FAP90" s="1055"/>
      <c r="FAQ90" s="1055"/>
      <c r="FAR90" s="1055"/>
      <c r="FAS90" s="1055"/>
      <c r="FAT90" s="1055"/>
      <c r="FAU90" s="1055"/>
      <c r="FAV90" s="1055"/>
      <c r="FAW90" s="1055"/>
      <c r="FAX90" s="1055"/>
      <c r="FAY90" s="1055"/>
      <c r="FAZ90" s="1055"/>
      <c r="FBA90" s="1055"/>
      <c r="FBB90" s="1055"/>
      <c r="FBC90" s="1055"/>
      <c r="FBD90" s="1055"/>
      <c r="FBE90" s="1055"/>
      <c r="FBF90" s="1055"/>
      <c r="FBG90" s="1055"/>
      <c r="FBH90" s="1055"/>
      <c r="FBI90" s="1055"/>
      <c r="FBJ90" s="1055"/>
      <c r="FBK90" s="1055"/>
      <c r="FBL90" s="1055"/>
      <c r="FBM90" s="1055"/>
      <c r="FBN90" s="1055"/>
      <c r="FBO90" s="1055"/>
      <c r="FBP90" s="1055"/>
      <c r="FBQ90" s="1055"/>
      <c r="FBR90" s="1055"/>
      <c r="FBS90" s="1055"/>
      <c r="FBT90" s="1055"/>
      <c r="FBU90" s="1055"/>
      <c r="FBV90" s="1055"/>
      <c r="FBW90" s="1055"/>
      <c r="FBX90" s="1055"/>
      <c r="FBY90" s="1055"/>
      <c r="FBZ90" s="1055"/>
      <c r="FCA90" s="1055"/>
      <c r="FCB90" s="1055"/>
      <c r="FCC90" s="1055"/>
      <c r="FCD90" s="1055"/>
      <c r="FCE90" s="1055"/>
      <c r="FCF90" s="1055"/>
      <c r="FCG90" s="1055"/>
      <c r="FCH90" s="1055"/>
      <c r="FCI90" s="1055"/>
      <c r="FCJ90" s="1055"/>
      <c r="FCK90" s="1055"/>
      <c r="FCL90" s="1055"/>
      <c r="FCM90" s="1055"/>
      <c r="FCN90" s="1055"/>
      <c r="FCO90" s="1055"/>
      <c r="FCP90" s="1055"/>
      <c r="FCQ90" s="1055"/>
      <c r="FCR90" s="1055"/>
      <c r="FCS90" s="1055"/>
      <c r="FCT90" s="1055"/>
      <c r="FCU90" s="1055"/>
      <c r="FCV90" s="1055"/>
      <c r="FCW90" s="1055"/>
      <c r="FCX90" s="1055"/>
      <c r="FCY90" s="1055"/>
      <c r="FCZ90" s="1055"/>
      <c r="FDA90" s="1055"/>
      <c r="FDB90" s="1055"/>
      <c r="FDC90" s="1055"/>
      <c r="FDD90" s="1055"/>
      <c r="FDE90" s="1055"/>
      <c r="FDF90" s="1055"/>
      <c r="FDG90" s="1055"/>
      <c r="FDH90" s="1055"/>
      <c r="FDI90" s="1055"/>
      <c r="FDJ90" s="1055"/>
      <c r="FDK90" s="1055"/>
      <c r="FDL90" s="1055"/>
      <c r="FDM90" s="1055"/>
      <c r="FDN90" s="1055"/>
      <c r="FDO90" s="1055"/>
      <c r="FDP90" s="1055"/>
      <c r="FDQ90" s="1055"/>
      <c r="FDR90" s="1055"/>
      <c r="FDS90" s="1055"/>
      <c r="FDT90" s="1055"/>
      <c r="FDU90" s="1055"/>
      <c r="FDV90" s="1055"/>
      <c r="FDW90" s="1055"/>
      <c r="FDX90" s="1055"/>
      <c r="FDY90" s="1055"/>
      <c r="FDZ90" s="1055"/>
      <c r="FEA90" s="1055"/>
      <c r="FEB90" s="1055"/>
      <c r="FEC90" s="1055"/>
      <c r="FED90" s="1055"/>
      <c r="FEE90" s="1055"/>
      <c r="FEF90" s="1055"/>
      <c r="FEG90" s="1055"/>
      <c r="FEH90" s="1055"/>
      <c r="FEI90" s="1055"/>
      <c r="FEJ90" s="1055"/>
      <c r="FEK90" s="1055"/>
      <c r="FEL90" s="1055"/>
      <c r="FEM90" s="1055"/>
      <c r="FEN90" s="1055"/>
      <c r="FEO90" s="1055"/>
      <c r="FEP90" s="1055"/>
      <c r="FEQ90" s="1055"/>
      <c r="FER90" s="1055"/>
      <c r="FES90" s="1055"/>
      <c r="FET90" s="1055"/>
      <c r="FEU90" s="1055"/>
      <c r="FEV90" s="1055"/>
      <c r="FEW90" s="1055"/>
      <c r="FEX90" s="1055"/>
      <c r="FEY90" s="1055"/>
      <c r="FEZ90" s="1055"/>
      <c r="FFA90" s="1055"/>
      <c r="FFB90" s="1055"/>
      <c r="FFC90" s="1055"/>
      <c r="FFD90" s="1055"/>
      <c r="FFE90" s="1055"/>
      <c r="FFF90" s="1055"/>
      <c r="FFG90" s="1055"/>
      <c r="FFH90" s="1055"/>
      <c r="FFI90" s="1055"/>
      <c r="FFJ90" s="1055"/>
      <c r="FFK90" s="1055"/>
      <c r="FFL90" s="1055"/>
      <c r="FFM90" s="1055"/>
      <c r="FFN90" s="1055"/>
      <c r="FFO90" s="1055"/>
      <c r="FFP90" s="1055"/>
      <c r="FFQ90" s="1055"/>
      <c r="FFR90" s="1055"/>
      <c r="FFS90" s="1055"/>
      <c r="FFT90" s="1055"/>
      <c r="FFU90" s="1055"/>
      <c r="FFV90" s="1055"/>
      <c r="FFW90" s="1055"/>
      <c r="FFX90" s="1055"/>
      <c r="FFY90" s="1055"/>
      <c r="FFZ90" s="1055"/>
      <c r="FGA90" s="1055"/>
      <c r="FGB90" s="1055"/>
      <c r="FGC90" s="1055"/>
      <c r="FGD90" s="1055"/>
      <c r="FGE90" s="1055"/>
      <c r="FGF90" s="1055"/>
      <c r="FGG90" s="1055"/>
      <c r="FGH90" s="1055"/>
      <c r="FGI90" s="1055"/>
      <c r="FGJ90" s="1055"/>
      <c r="FGK90" s="1055"/>
      <c r="FGL90" s="1055"/>
      <c r="FGM90" s="1055"/>
      <c r="FGN90" s="1055"/>
      <c r="FGO90" s="1055"/>
      <c r="FGP90" s="1055"/>
      <c r="FGQ90" s="1055"/>
      <c r="FGR90" s="1055"/>
      <c r="FGS90" s="1055"/>
      <c r="FGT90" s="1055"/>
      <c r="FGU90" s="1055"/>
      <c r="FGV90" s="1055"/>
      <c r="FGW90" s="1055"/>
      <c r="FGX90" s="1055"/>
      <c r="FGY90" s="1055"/>
      <c r="FGZ90" s="1055"/>
      <c r="FHA90" s="1055"/>
      <c r="FHB90" s="1055"/>
      <c r="FHC90" s="1055"/>
      <c r="FHD90" s="1055"/>
      <c r="FHE90" s="1055"/>
      <c r="FHF90" s="1055"/>
      <c r="FHG90" s="1055"/>
      <c r="FHH90" s="1055"/>
      <c r="FHI90" s="1055"/>
      <c r="FHJ90" s="1055"/>
      <c r="FHK90" s="1055"/>
      <c r="FHL90" s="1055"/>
      <c r="FHM90" s="1055"/>
      <c r="FHN90" s="1055"/>
      <c r="FHO90" s="1055"/>
      <c r="FHP90" s="1055"/>
      <c r="FHQ90" s="1055"/>
      <c r="FHR90" s="1055"/>
      <c r="FHS90" s="1055"/>
      <c r="FHT90" s="1055"/>
      <c r="FHU90" s="1055"/>
      <c r="FHV90" s="1055"/>
      <c r="FHW90" s="1055"/>
      <c r="FHX90" s="1055"/>
      <c r="FHY90" s="1055"/>
      <c r="FHZ90" s="1055"/>
      <c r="FIA90" s="1055"/>
      <c r="FIB90" s="1055"/>
      <c r="FIC90" s="1055"/>
      <c r="FID90" s="1055"/>
      <c r="FIE90" s="1055"/>
      <c r="FIF90" s="1055"/>
      <c r="FIG90" s="1055"/>
      <c r="FIH90" s="1055"/>
      <c r="FII90" s="1055"/>
      <c r="FIJ90" s="1055"/>
      <c r="FIK90" s="1055"/>
      <c r="FIL90" s="1055"/>
      <c r="FIM90" s="1055"/>
      <c r="FIN90" s="1055"/>
      <c r="FIO90" s="1055"/>
      <c r="FIP90" s="1055"/>
      <c r="FIQ90" s="1055"/>
      <c r="FIR90" s="1055"/>
      <c r="FIS90" s="1055"/>
      <c r="FIT90" s="1055"/>
      <c r="FIU90" s="1055"/>
      <c r="FIV90" s="1055"/>
      <c r="FIW90" s="1055"/>
      <c r="FIX90" s="1055"/>
      <c r="FIY90" s="1055"/>
      <c r="FIZ90" s="1055"/>
      <c r="FJA90" s="1055"/>
      <c r="FJB90" s="1055"/>
      <c r="FJC90" s="1055"/>
      <c r="FJD90" s="1055"/>
      <c r="FJE90" s="1055"/>
      <c r="FJF90" s="1055"/>
      <c r="FJG90" s="1055"/>
      <c r="FJH90" s="1055"/>
      <c r="FJI90" s="1055"/>
      <c r="FJJ90" s="1055"/>
      <c r="FJK90" s="1055"/>
      <c r="FJL90" s="1055"/>
      <c r="FJM90" s="1055"/>
      <c r="FJN90" s="1055"/>
      <c r="FJO90" s="1055"/>
      <c r="FJP90" s="1055"/>
      <c r="FJQ90" s="1055"/>
      <c r="FJR90" s="1055"/>
      <c r="FJS90" s="1055"/>
      <c r="FJT90" s="1055"/>
      <c r="FJU90" s="1055"/>
      <c r="FJV90" s="1055"/>
      <c r="FJW90" s="1055"/>
      <c r="FJX90" s="1055"/>
      <c r="FJY90" s="1055"/>
      <c r="FJZ90" s="1055"/>
      <c r="FKA90" s="1055"/>
      <c r="FKB90" s="1055"/>
      <c r="FKC90" s="1055"/>
      <c r="FKD90" s="1055"/>
      <c r="FKE90" s="1055"/>
      <c r="FKF90" s="1055"/>
      <c r="FKG90" s="1055"/>
      <c r="FKH90" s="1055"/>
      <c r="FKI90" s="1055"/>
      <c r="FKJ90" s="1055"/>
      <c r="FKK90" s="1055"/>
      <c r="FKL90" s="1055"/>
      <c r="FKM90" s="1055"/>
      <c r="FKN90" s="1055"/>
      <c r="FKO90" s="1055"/>
      <c r="FKP90" s="1055"/>
      <c r="FKQ90" s="1055"/>
      <c r="FKR90" s="1055"/>
      <c r="FKS90" s="1055"/>
      <c r="FKT90" s="1055"/>
      <c r="FKU90" s="1055"/>
      <c r="FKV90" s="1055"/>
      <c r="FKW90" s="1055"/>
      <c r="FKX90" s="1055"/>
      <c r="FKY90" s="1055"/>
      <c r="FKZ90" s="1055"/>
      <c r="FLA90" s="1055"/>
      <c r="FLB90" s="1055"/>
      <c r="FLC90" s="1055"/>
      <c r="FLD90" s="1055"/>
      <c r="FLE90" s="1055"/>
      <c r="FLF90" s="1055"/>
      <c r="FLG90" s="1055"/>
      <c r="FLH90" s="1055"/>
      <c r="FLI90" s="1055"/>
      <c r="FLJ90" s="1055"/>
      <c r="FLK90" s="1055"/>
      <c r="FLL90" s="1055"/>
      <c r="FLM90" s="1055"/>
      <c r="FLN90" s="1055"/>
      <c r="FLO90" s="1055"/>
      <c r="FLP90" s="1055"/>
      <c r="FLQ90" s="1055"/>
      <c r="FLR90" s="1055"/>
      <c r="FLS90" s="1055"/>
      <c r="FLT90" s="1055"/>
      <c r="FLU90" s="1055"/>
      <c r="FLV90" s="1055"/>
      <c r="FLW90" s="1055"/>
      <c r="FLX90" s="1055"/>
      <c r="FLY90" s="1055"/>
      <c r="FLZ90" s="1055"/>
      <c r="FMA90" s="1055"/>
      <c r="FMB90" s="1055"/>
      <c r="FMC90" s="1055"/>
      <c r="FMD90" s="1055"/>
      <c r="FME90" s="1055"/>
      <c r="FMF90" s="1055"/>
      <c r="FMG90" s="1055"/>
      <c r="FMH90" s="1055"/>
      <c r="FMI90" s="1055"/>
      <c r="FMJ90" s="1055"/>
      <c r="FMK90" s="1055"/>
      <c r="FML90" s="1055"/>
      <c r="FMM90" s="1055"/>
      <c r="FMN90" s="1055"/>
      <c r="FMO90" s="1055"/>
      <c r="FMP90" s="1055"/>
      <c r="FMQ90" s="1055"/>
      <c r="FMR90" s="1055"/>
      <c r="FMS90" s="1055"/>
      <c r="FMT90" s="1055"/>
      <c r="FMU90" s="1055"/>
      <c r="FMV90" s="1055"/>
      <c r="FMW90" s="1055"/>
      <c r="FMX90" s="1055"/>
      <c r="FMY90" s="1055"/>
      <c r="FMZ90" s="1055"/>
      <c r="FNA90" s="1055"/>
      <c r="FNB90" s="1055"/>
      <c r="FNC90" s="1055"/>
      <c r="FND90" s="1055"/>
      <c r="FNE90" s="1055"/>
      <c r="FNF90" s="1055"/>
      <c r="FNG90" s="1055"/>
      <c r="FNH90" s="1055"/>
      <c r="FNI90" s="1055"/>
      <c r="FNJ90" s="1055"/>
      <c r="FNK90" s="1055"/>
      <c r="FNL90" s="1055"/>
      <c r="FNM90" s="1055"/>
      <c r="FNN90" s="1055"/>
      <c r="FNO90" s="1055"/>
      <c r="FNP90" s="1055"/>
      <c r="FNQ90" s="1055"/>
      <c r="FNR90" s="1055"/>
      <c r="FNS90" s="1055"/>
      <c r="FNT90" s="1055"/>
      <c r="FNU90" s="1055"/>
      <c r="FNV90" s="1055"/>
      <c r="FNW90" s="1055"/>
      <c r="FNX90" s="1055"/>
      <c r="FNY90" s="1055"/>
      <c r="FNZ90" s="1055"/>
      <c r="FOA90" s="1055"/>
      <c r="FOB90" s="1055"/>
      <c r="FOC90" s="1055"/>
      <c r="FOD90" s="1055"/>
      <c r="FOE90" s="1055"/>
      <c r="FOF90" s="1055"/>
      <c r="FOG90" s="1055"/>
      <c r="FOH90" s="1055"/>
      <c r="FOI90" s="1055"/>
      <c r="FOJ90" s="1055"/>
      <c r="FOK90" s="1055"/>
      <c r="FOL90" s="1055"/>
      <c r="FOM90" s="1055"/>
      <c r="FON90" s="1055"/>
      <c r="FOO90" s="1055"/>
      <c r="FOP90" s="1055"/>
      <c r="FOQ90" s="1055"/>
      <c r="FOR90" s="1055"/>
      <c r="FOS90" s="1055"/>
      <c r="FOT90" s="1055"/>
      <c r="FOU90" s="1055"/>
      <c r="FOV90" s="1055"/>
      <c r="FOW90" s="1055"/>
      <c r="FOX90" s="1055"/>
      <c r="FOY90" s="1055"/>
      <c r="FOZ90" s="1055"/>
      <c r="FPA90" s="1055"/>
      <c r="FPB90" s="1055"/>
      <c r="FPC90" s="1055"/>
      <c r="FPD90" s="1055"/>
      <c r="FPE90" s="1055"/>
      <c r="FPF90" s="1055"/>
      <c r="FPG90" s="1055"/>
      <c r="FPH90" s="1055"/>
      <c r="FPI90" s="1055"/>
      <c r="FPJ90" s="1055"/>
      <c r="FPK90" s="1055"/>
      <c r="FPL90" s="1055"/>
      <c r="FPM90" s="1055"/>
      <c r="FPN90" s="1055"/>
      <c r="FPO90" s="1055"/>
      <c r="FPP90" s="1055"/>
      <c r="FPQ90" s="1055"/>
      <c r="FPR90" s="1055"/>
      <c r="FPS90" s="1055"/>
      <c r="FPT90" s="1055"/>
      <c r="FPU90" s="1055"/>
      <c r="FPV90" s="1055"/>
      <c r="FPW90" s="1055"/>
      <c r="FPX90" s="1055"/>
      <c r="FPY90" s="1055"/>
      <c r="FPZ90" s="1055"/>
      <c r="FQA90" s="1055"/>
      <c r="FQB90" s="1055"/>
      <c r="FQC90" s="1055"/>
      <c r="FQD90" s="1055"/>
      <c r="FQE90" s="1055"/>
      <c r="FQF90" s="1055"/>
      <c r="FQG90" s="1055"/>
      <c r="FQH90" s="1055"/>
      <c r="FQI90" s="1055"/>
      <c r="FQJ90" s="1055"/>
      <c r="FQK90" s="1055"/>
      <c r="FQL90" s="1055"/>
      <c r="FQM90" s="1055"/>
      <c r="FQN90" s="1055"/>
      <c r="FQO90" s="1055"/>
      <c r="FQP90" s="1055"/>
      <c r="FQQ90" s="1055"/>
      <c r="FQR90" s="1055"/>
      <c r="FQS90" s="1055"/>
      <c r="FQT90" s="1055"/>
      <c r="FQU90" s="1055"/>
      <c r="FQV90" s="1055"/>
      <c r="FQW90" s="1055"/>
      <c r="FQX90" s="1055"/>
      <c r="FQY90" s="1055"/>
      <c r="FQZ90" s="1055"/>
      <c r="FRA90" s="1055"/>
      <c r="FRB90" s="1055"/>
      <c r="FRC90" s="1055"/>
      <c r="FRD90" s="1055"/>
      <c r="FRE90" s="1055"/>
      <c r="FRF90" s="1055"/>
      <c r="FRG90" s="1055"/>
      <c r="FRH90" s="1055"/>
      <c r="FRI90" s="1055"/>
      <c r="FRJ90" s="1055"/>
      <c r="FRK90" s="1055"/>
      <c r="FRL90" s="1055"/>
      <c r="FRM90" s="1055"/>
      <c r="FRN90" s="1055"/>
      <c r="FRO90" s="1055"/>
      <c r="FRP90" s="1055"/>
      <c r="FRQ90" s="1055"/>
      <c r="FRR90" s="1055"/>
      <c r="FRS90" s="1055"/>
      <c r="FRT90" s="1055"/>
      <c r="FRU90" s="1055"/>
      <c r="FRV90" s="1055"/>
      <c r="FRW90" s="1055"/>
      <c r="FRX90" s="1055"/>
      <c r="FRY90" s="1055"/>
      <c r="FRZ90" s="1055"/>
      <c r="FSA90" s="1055"/>
      <c r="FSB90" s="1055"/>
      <c r="FSC90" s="1055"/>
      <c r="FSD90" s="1055"/>
      <c r="FSE90" s="1055"/>
      <c r="FSF90" s="1055"/>
      <c r="FSG90" s="1055"/>
      <c r="FSH90" s="1055"/>
      <c r="FSI90" s="1055"/>
      <c r="FSJ90" s="1055"/>
      <c r="FSK90" s="1055"/>
      <c r="FSL90" s="1055"/>
      <c r="FSM90" s="1055"/>
      <c r="FSN90" s="1055"/>
      <c r="FSO90" s="1055"/>
      <c r="FSP90" s="1055"/>
      <c r="FSQ90" s="1055"/>
      <c r="FSR90" s="1055"/>
      <c r="FSS90" s="1055"/>
      <c r="FST90" s="1055"/>
      <c r="FSU90" s="1055"/>
      <c r="FSV90" s="1055"/>
      <c r="FSW90" s="1055"/>
      <c r="FSX90" s="1055"/>
      <c r="FSY90" s="1055"/>
      <c r="FSZ90" s="1055"/>
      <c r="FTA90" s="1055"/>
      <c r="FTB90" s="1055"/>
      <c r="FTC90" s="1055"/>
      <c r="FTD90" s="1055"/>
      <c r="FTE90" s="1055"/>
      <c r="FTF90" s="1055"/>
      <c r="FTG90" s="1055"/>
      <c r="FTH90" s="1055"/>
      <c r="FTI90" s="1055"/>
      <c r="FTJ90" s="1055"/>
      <c r="FTK90" s="1055"/>
      <c r="FTL90" s="1055"/>
      <c r="FTM90" s="1055"/>
      <c r="FTN90" s="1055"/>
      <c r="FTO90" s="1055"/>
      <c r="FTP90" s="1055"/>
      <c r="FTQ90" s="1055"/>
      <c r="FTR90" s="1055"/>
      <c r="FTS90" s="1055"/>
      <c r="FTT90" s="1055"/>
      <c r="FTU90" s="1055"/>
      <c r="FTV90" s="1055"/>
      <c r="FTW90" s="1055"/>
      <c r="FTX90" s="1055"/>
      <c r="FTY90" s="1055"/>
      <c r="FTZ90" s="1055"/>
      <c r="FUA90" s="1055"/>
      <c r="FUB90" s="1055"/>
      <c r="FUC90" s="1055"/>
      <c r="FUD90" s="1055"/>
      <c r="FUE90" s="1055"/>
      <c r="FUF90" s="1055"/>
      <c r="FUG90" s="1055"/>
      <c r="FUH90" s="1055"/>
      <c r="FUI90" s="1055"/>
      <c r="FUJ90" s="1055"/>
      <c r="FUK90" s="1055"/>
      <c r="FUL90" s="1055"/>
      <c r="FUM90" s="1055"/>
      <c r="FUN90" s="1055"/>
      <c r="FUO90" s="1055"/>
      <c r="FUP90" s="1055"/>
      <c r="FUQ90" s="1055"/>
      <c r="FUR90" s="1055"/>
      <c r="FUS90" s="1055"/>
      <c r="FUT90" s="1055"/>
      <c r="FUU90" s="1055"/>
      <c r="FUV90" s="1055"/>
      <c r="FUW90" s="1055"/>
      <c r="FUX90" s="1055"/>
      <c r="FUY90" s="1055"/>
      <c r="FUZ90" s="1055"/>
      <c r="FVA90" s="1055"/>
      <c r="FVB90" s="1055"/>
      <c r="FVC90" s="1055"/>
      <c r="FVD90" s="1055"/>
      <c r="FVE90" s="1055"/>
      <c r="FVF90" s="1055"/>
      <c r="FVG90" s="1055"/>
      <c r="FVH90" s="1055"/>
      <c r="FVI90" s="1055"/>
      <c r="FVJ90" s="1055"/>
      <c r="FVK90" s="1055"/>
      <c r="FVL90" s="1055"/>
      <c r="FVM90" s="1055"/>
      <c r="FVN90" s="1055"/>
      <c r="FVO90" s="1055"/>
      <c r="FVP90" s="1055"/>
      <c r="FVQ90" s="1055"/>
      <c r="FVR90" s="1055"/>
      <c r="FVS90" s="1055"/>
      <c r="FVT90" s="1055"/>
      <c r="FVU90" s="1055"/>
      <c r="FVV90" s="1055"/>
      <c r="FVW90" s="1055"/>
      <c r="FVX90" s="1055"/>
      <c r="FVY90" s="1055"/>
      <c r="FVZ90" s="1055"/>
      <c r="FWA90" s="1055"/>
      <c r="FWB90" s="1055"/>
      <c r="FWC90" s="1055"/>
      <c r="FWD90" s="1055"/>
      <c r="FWE90" s="1055"/>
      <c r="FWF90" s="1055"/>
      <c r="FWG90" s="1055"/>
      <c r="FWH90" s="1055"/>
      <c r="FWI90" s="1055"/>
      <c r="FWJ90" s="1055"/>
      <c r="FWK90" s="1055"/>
      <c r="FWL90" s="1055"/>
      <c r="FWM90" s="1055"/>
      <c r="FWN90" s="1055"/>
      <c r="FWO90" s="1055"/>
      <c r="FWP90" s="1055"/>
      <c r="FWQ90" s="1055"/>
      <c r="FWR90" s="1055"/>
      <c r="FWS90" s="1055"/>
      <c r="FWT90" s="1055"/>
      <c r="FWU90" s="1055"/>
      <c r="FWV90" s="1055"/>
      <c r="FWW90" s="1055"/>
      <c r="FWX90" s="1055"/>
      <c r="FWY90" s="1055"/>
      <c r="FWZ90" s="1055"/>
      <c r="FXA90" s="1055"/>
      <c r="FXB90" s="1055"/>
      <c r="FXC90" s="1055"/>
      <c r="FXD90" s="1055"/>
      <c r="FXE90" s="1055"/>
      <c r="FXF90" s="1055"/>
      <c r="FXG90" s="1055"/>
      <c r="FXH90" s="1055"/>
      <c r="FXI90" s="1055"/>
      <c r="FXJ90" s="1055"/>
      <c r="FXK90" s="1055"/>
      <c r="FXL90" s="1055"/>
      <c r="FXM90" s="1055"/>
      <c r="FXN90" s="1055"/>
      <c r="FXO90" s="1055"/>
      <c r="FXP90" s="1055"/>
      <c r="FXQ90" s="1055"/>
      <c r="FXR90" s="1055"/>
      <c r="FXS90" s="1055"/>
      <c r="FXT90" s="1055"/>
      <c r="FXU90" s="1055"/>
      <c r="FXV90" s="1055"/>
      <c r="FXW90" s="1055"/>
      <c r="FXX90" s="1055"/>
      <c r="FXY90" s="1055"/>
      <c r="FXZ90" s="1055"/>
      <c r="FYA90" s="1055"/>
      <c r="FYB90" s="1055"/>
      <c r="FYC90" s="1055"/>
      <c r="FYD90" s="1055"/>
      <c r="FYE90" s="1055"/>
      <c r="FYF90" s="1055"/>
      <c r="FYG90" s="1055"/>
      <c r="FYH90" s="1055"/>
      <c r="FYI90" s="1055"/>
      <c r="FYJ90" s="1055"/>
      <c r="FYK90" s="1055"/>
      <c r="FYL90" s="1055"/>
      <c r="FYM90" s="1055"/>
      <c r="FYN90" s="1055"/>
      <c r="FYO90" s="1055"/>
      <c r="FYP90" s="1055"/>
      <c r="FYQ90" s="1055"/>
      <c r="FYR90" s="1055"/>
      <c r="FYS90" s="1055"/>
      <c r="FYT90" s="1055"/>
      <c r="FYU90" s="1055"/>
      <c r="FYV90" s="1055"/>
      <c r="FYW90" s="1055"/>
      <c r="FYX90" s="1055"/>
      <c r="FYY90" s="1055"/>
      <c r="FYZ90" s="1055"/>
      <c r="FZA90" s="1055"/>
      <c r="FZB90" s="1055"/>
      <c r="FZC90" s="1055"/>
      <c r="FZD90" s="1055"/>
      <c r="FZE90" s="1055"/>
      <c r="FZF90" s="1055"/>
      <c r="FZG90" s="1055"/>
      <c r="FZH90" s="1055"/>
      <c r="FZI90" s="1055"/>
      <c r="FZJ90" s="1055"/>
      <c r="FZK90" s="1055"/>
      <c r="FZL90" s="1055"/>
      <c r="FZM90" s="1055"/>
      <c r="FZN90" s="1055"/>
      <c r="FZO90" s="1055"/>
      <c r="FZP90" s="1055"/>
      <c r="FZQ90" s="1055"/>
      <c r="FZR90" s="1055"/>
      <c r="FZS90" s="1055"/>
      <c r="FZT90" s="1055"/>
      <c r="FZU90" s="1055"/>
      <c r="FZV90" s="1055"/>
      <c r="FZW90" s="1055"/>
      <c r="FZX90" s="1055"/>
      <c r="FZY90" s="1055"/>
      <c r="FZZ90" s="1055"/>
      <c r="GAA90" s="1055"/>
      <c r="GAB90" s="1055"/>
      <c r="GAC90" s="1055"/>
      <c r="GAD90" s="1055"/>
      <c r="GAE90" s="1055"/>
      <c r="GAF90" s="1055"/>
      <c r="GAG90" s="1055"/>
      <c r="GAH90" s="1055"/>
      <c r="GAI90" s="1055"/>
      <c r="GAJ90" s="1055"/>
      <c r="GAK90" s="1055"/>
      <c r="GAL90" s="1055"/>
      <c r="GAM90" s="1055"/>
      <c r="GAN90" s="1055"/>
      <c r="GAO90" s="1055"/>
      <c r="GAP90" s="1055"/>
      <c r="GAQ90" s="1055"/>
      <c r="GAR90" s="1055"/>
      <c r="GAS90" s="1055"/>
      <c r="GAT90" s="1055"/>
      <c r="GAU90" s="1055"/>
      <c r="GAV90" s="1055"/>
      <c r="GAW90" s="1055"/>
      <c r="GAX90" s="1055"/>
      <c r="GAY90" s="1055"/>
      <c r="GAZ90" s="1055"/>
      <c r="GBA90" s="1055"/>
      <c r="GBB90" s="1055"/>
      <c r="GBC90" s="1055"/>
      <c r="GBD90" s="1055"/>
      <c r="GBE90" s="1055"/>
      <c r="GBF90" s="1055"/>
      <c r="GBG90" s="1055"/>
      <c r="GBH90" s="1055"/>
      <c r="GBI90" s="1055"/>
      <c r="GBJ90" s="1055"/>
      <c r="GBK90" s="1055"/>
      <c r="GBL90" s="1055"/>
      <c r="GBM90" s="1055"/>
      <c r="GBN90" s="1055"/>
      <c r="GBO90" s="1055"/>
      <c r="GBP90" s="1055"/>
      <c r="GBQ90" s="1055"/>
      <c r="GBR90" s="1055"/>
      <c r="GBS90" s="1055"/>
      <c r="GBT90" s="1055"/>
      <c r="GBU90" s="1055"/>
      <c r="GBV90" s="1055"/>
      <c r="GBW90" s="1055"/>
      <c r="GBX90" s="1055"/>
      <c r="GBY90" s="1055"/>
      <c r="GBZ90" s="1055"/>
      <c r="GCA90" s="1055"/>
      <c r="GCB90" s="1055"/>
      <c r="GCC90" s="1055"/>
      <c r="GCD90" s="1055"/>
      <c r="GCE90" s="1055"/>
      <c r="GCF90" s="1055"/>
      <c r="GCG90" s="1055"/>
      <c r="GCH90" s="1055"/>
      <c r="GCI90" s="1055"/>
      <c r="GCJ90" s="1055"/>
      <c r="GCK90" s="1055"/>
      <c r="GCL90" s="1055"/>
      <c r="GCM90" s="1055"/>
      <c r="GCN90" s="1055"/>
      <c r="GCO90" s="1055"/>
      <c r="GCP90" s="1055"/>
      <c r="GCQ90" s="1055"/>
      <c r="GCR90" s="1055"/>
      <c r="GCS90" s="1055"/>
      <c r="GCT90" s="1055"/>
      <c r="GCU90" s="1055"/>
      <c r="GCV90" s="1055"/>
      <c r="GCW90" s="1055"/>
      <c r="GCX90" s="1055"/>
      <c r="GCY90" s="1055"/>
      <c r="GCZ90" s="1055"/>
      <c r="GDA90" s="1055"/>
      <c r="GDB90" s="1055"/>
      <c r="GDC90" s="1055"/>
      <c r="GDD90" s="1055"/>
      <c r="GDE90" s="1055"/>
      <c r="GDF90" s="1055"/>
      <c r="GDG90" s="1055"/>
      <c r="GDH90" s="1055"/>
      <c r="GDI90" s="1055"/>
      <c r="GDJ90" s="1055"/>
      <c r="GDK90" s="1055"/>
      <c r="GDL90" s="1055"/>
      <c r="GDM90" s="1055"/>
      <c r="GDN90" s="1055"/>
      <c r="GDO90" s="1055"/>
      <c r="GDP90" s="1055"/>
      <c r="GDQ90" s="1055"/>
      <c r="GDR90" s="1055"/>
      <c r="GDS90" s="1055"/>
      <c r="GDT90" s="1055"/>
      <c r="GDU90" s="1055"/>
      <c r="GDV90" s="1055"/>
      <c r="GDW90" s="1055"/>
      <c r="GDX90" s="1055"/>
      <c r="GDY90" s="1055"/>
      <c r="GDZ90" s="1055"/>
      <c r="GEA90" s="1055"/>
      <c r="GEB90" s="1055"/>
      <c r="GEC90" s="1055"/>
      <c r="GED90" s="1055"/>
      <c r="GEE90" s="1055"/>
      <c r="GEF90" s="1055"/>
      <c r="GEG90" s="1055"/>
      <c r="GEH90" s="1055"/>
      <c r="GEI90" s="1055"/>
      <c r="GEJ90" s="1055"/>
      <c r="GEK90" s="1055"/>
      <c r="GEL90" s="1055"/>
      <c r="GEM90" s="1055"/>
      <c r="GEN90" s="1055"/>
      <c r="GEO90" s="1055"/>
      <c r="GEP90" s="1055"/>
      <c r="GEQ90" s="1055"/>
      <c r="GER90" s="1055"/>
      <c r="GES90" s="1055"/>
      <c r="GET90" s="1055"/>
      <c r="GEU90" s="1055"/>
      <c r="GEV90" s="1055"/>
      <c r="GEW90" s="1055"/>
      <c r="GEX90" s="1055"/>
      <c r="GEY90" s="1055"/>
      <c r="GEZ90" s="1055"/>
      <c r="GFA90" s="1055"/>
      <c r="GFB90" s="1055"/>
      <c r="GFC90" s="1055"/>
      <c r="GFD90" s="1055"/>
      <c r="GFE90" s="1055"/>
      <c r="GFF90" s="1055"/>
      <c r="GFG90" s="1055"/>
      <c r="GFH90" s="1055"/>
      <c r="GFI90" s="1055"/>
      <c r="GFJ90" s="1055"/>
      <c r="GFK90" s="1055"/>
      <c r="GFL90" s="1055"/>
      <c r="GFM90" s="1055"/>
      <c r="GFN90" s="1055"/>
      <c r="GFO90" s="1055"/>
      <c r="GFP90" s="1055"/>
      <c r="GFQ90" s="1055"/>
      <c r="GFR90" s="1055"/>
      <c r="GFS90" s="1055"/>
      <c r="GFT90" s="1055"/>
      <c r="GFU90" s="1055"/>
      <c r="GFV90" s="1055"/>
      <c r="GFW90" s="1055"/>
      <c r="GFX90" s="1055"/>
      <c r="GFY90" s="1055"/>
      <c r="GFZ90" s="1055"/>
      <c r="GGA90" s="1055"/>
      <c r="GGB90" s="1055"/>
      <c r="GGC90" s="1055"/>
      <c r="GGD90" s="1055"/>
      <c r="GGE90" s="1055"/>
      <c r="GGF90" s="1055"/>
      <c r="GGG90" s="1055"/>
      <c r="GGH90" s="1055"/>
      <c r="GGI90" s="1055"/>
      <c r="GGJ90" s="1055"/>
      <c r="GGK90" s="1055"/>
      <c r="GGL90" s="1055"/>
      <c r="GGM90" s="1055"/>
      <c r="GGN90" s="1055"/>
      <c r="GGO90" s="1055"/>
      <c r="GGP90" s="1055"/>
      <c r="GGQ90" s="1055"/>
      <c r="GGR90" s="1055"/>
      <c r="GGS90" s="1055"/>
      <c r="GGT90" s="1055"/>
      <c r="GGU90" s="1055"/>
      <c r="GGV90" s="1055"/>
      <c r="GGW90" s="1055"/>
      <c r="GGX90" s="1055"/>
      <c r="GGY90" s="1055"/>
      <c r="GGZ90" s="1055"/>
      <c r="GHA90" s="1055"/>
      <c r="GHB90" s="1055"/>
      <c r="GHC90" s="1055"/>
      <c r="GHD90" s="1055"/>
      <c r="GHE90" s="1055"/>
      <c r="GHF90" s="1055"/>
      <c r="GHG90" s="1055"/>
      <c r="GHH90" s="1055"/>
      <c r="GHI90" s="1055"/>
      <c r="GHJ90" s="1055"/>
      <c r="GHK90" s="1055"/>
      <c r="GHL90" s="1055"/>
      <c r="GHM90" s="1055"/>
      <c r="GHN90" s="1055"/>
      <c r="GHO90" s="1055"/>
      <c r="GHP90" s="1055"/>
      <c r="GHQ90" s="1055"/>
      <c r="GHR90" s="1055"/>
      <c r="GHS90" s="1055"/>
      <c r="GHT90" s="1055"/>
      <c r="GHU90" s="1055"/>
      <c r="GHV90" s="1055"/>
      <c r="GHW90" s="1055"/>
      <c r="GHX90" s="1055"/>
      <c r="GHY90" s="1055"/>
      <c r="GHZ90" s="1055"/>
      <c r="GIA90" s="1055"/>
      <c r="GIB90" s="1055"/>
      <c r="GIC90" s="1055"/>
      <c r="GID90" s="1055"/>
      <c r="GIE90" s="1055"/>
      <c r="GIF90" s="1055"/>
      <c r="GIG90" s="1055"/>
      <c r="GIH90" s="1055"/>
      <c r="GII90" s="1055"/>
      <c r="GIJ90" s="1055"/>
      <c r="GIK90" s="1055"/>
      <c r="GIL90" s="1055"/>
      <c r="GIM90" s="1055"/>
      <c r="GIN90" s="1055"/>
      <c r="GIO90" s="1055"/>
      <c r="GIP90" s="1055"/>
      <c r="GIQ90" s="1055"/>
      <c r="GIR90" s="1055"/>
      <c r="GIS90" s="1055"/>
      <c r="GIT90" s="1055"/>
      <c r="GIU90" s="1055"/>
      <c r="GIV90" s="1055"/>
      <c r="GIW90" s="1055"/>
      <c r="GIX90" s="1055"/>
      <c r="GIY90" s="1055"/>
      <c r="GIZ90" s="1055"/>
      <c r="GJA90" s="1055"/>
      <c r="GJB90" s="1055"/>
      <c r="GJC90" s="1055"/>
      <c r="GJD90" s="1055"/>
      <c r="GJE90" s="1055"/>
      <c r="GJF90" s="1055"/>
      <c r="GJG90" s="1055"/>
      <c r="GJH90" s="1055"/>
      <c r="GJI90" s="1055"/>
      <c r="GJJ90" s="1055"/>
      <c r="GJK90" s="1055"/>
      <c r="GJL90" s="1055"/>
      <c r="GJM90" s="1055"/>
      <c r="GJN90" s="1055"/>
      <c r="GJO90" s="1055"/>
      <c r="GJP90" s="1055"/>
      <c r="GJQ90" s="1055"/>
      <c r="GJR90" s="1055"/>
      <c r="GJS90" s="1055"/>
      <c r="GJT90" s="1055"/>
      <c r="GJU90" s="1055"/>
      <c r="GJV90" s="1055"/>
      <c r="GJW90" s="1055"/>
      <c r="GJX90" s="1055"/>
      <c r="GJY90" s="1055"/>
      <c r="GJZ90" s="1055"/>
      <c r="GKA90" s="1055"/>
      <c r="GKB90" s="1055"/>
      <c r="GKC90" s="1055"/>
      <c r="GKD90" s="1055"/>
      <c r="GKE90" s="1055"/>
      <c r="GKF90" s="1055"/>
      <c r="GKG90" s="1055"/>
      <c r="GKH90" s="1055"/>
      <c r="GKI90" s="1055"/>
      <c r="GKJ90" s="1055"/>
      <c r="GKK90" s="1055"/>
      <c r="GKL90" s="1055"/>
      <c r="GKM90" s="1055"/>
      <c r="GKN90" s="1055"/>
      <c r="GKO90" s="1055"/>
      <c r="GKP90" s="1055"/>
      <c r="GKQ90" s="1055"/>
      <c r="GKR90" s="1055"/>
      <c r="GKS90" s="1055"/>
      <c r="GKT90" s="1055"/>
      <c r="GKU90" s="1055"/>
      <c r="GKV90" s="1055"/>
      <c r="GKW90" s="1055"/>
      <c r="GKX90" s="1055"/>
      <c r="GKY90" s="1055"/>
      <c r="GKZ90" s="1055"/>
      <c r="GLA90" s="1055"/>
      <c r="GLB90" s="1055"/>
      <c r="GLC90" s="1055"/>
      <c r="GLD90" s="1055"/>
      <c r="GLE90" s="1055"/>
      <c r="GLF90" s="1055"/>
      <c r="GLG90" s="1055"/>
      <c r="GLH90" s="1055"/>
      <c r="GLI90" s="1055"/>
      <c r="GLJ90" s="1055"/>
      <c r="GLK90" s="1055"/>
      <c r="GLL90" s="1055"/>
      <c r="GLM90" s="1055"/>
      <c r="GLN90" s="1055"/>
      <c r="GLO90" s="1055"/>
      <c r="GLP90" s="1055"/>
      <c r="GLQ90" s="1055"/>
      <c r="GLR90" s="1055"/>
      <c r="GLS90" s="1055"/>
      <c r="GLT90" s="1055"/>
      <c r="GLU90" s="1055"/>
      <c r="GLV90" s="1055"/>
      <c r="GLW90" s="1055"/>
      <c r="GLX90" s="1055"/>
      <c r="GLY90" s="1055"/>
      <c r="GLZ90" s="1055"/>
      <c r="GMA90" s="1055"/>
      <c r="GMB90" s="1055"/>
      <c r="GMC90" s="1055"/>
      <c r="GMD90" s="1055"/>
      <c r="GME90" s="1055"/>
      <c r="GMF90" s="1055"/>
      <c r="GMG90" s="1055"/>
      <c r="GMH90" s="1055"/>
      <c r="GMI90" s="1055"/>
      <c r="GMJ90" s="1055"/>
      <c r="GMK90" s="1055"/>
      <c r="GML90" s="1055"/>
      <c r="GMM90" s="1055"/>
      <c r="GMN90" s="1055"/>
      <c r="GMO90" s="1055"/>
      <c r="GMP90" s="1055"/>
      <c r="GMQ90" s="1055"/>
      <c r="GMR90" s="1055"/>
      <c r="GMS90" s="1055"/>
      <c r="GMT90" s="1055"/>
      <c r="GMU90" s="1055"/>
      <c r="GMV90" s="1055"/>
      <c r="GMW90" s="1055"/>
      <c r="GMX90" s="1055"/>
      <c r="GMY90" s="1055"/>
      <c r="GMZ90" s="1055"/>
      <c r="GNA90" s="1055"/>
      <c r="GNB90" s="1055"/>
      <c r="GNC90" s="1055"/>
      <c r="GND90" s="1055"/>
      <c r="GNE90" s="1055"/>
      <c r="GNF90" s="1055"/>
      <c r="GNG90" s="1055"/>
      <c r="GNH90" s="1055"/>
      <c r="GNI90" s="1055"/>
      <c r="GNJ90" s="1055"/>
      <c r="GNK90" s="1055"/>
      <c r="GNL90" s="1055"/>
      <c r="GNM90" s="1055"/>
      <c r="GNN90" s="1055"/>
      <c r="GNO90" s="1055"/>
      <c r="GNP90" s="1055"/>
      <c r="GNQ90" s="1055"/>
      <c r="GNR90" s="1055"/>
      <c r="GNS90" s="1055"/>
      <c r="GNT90" s="1055"/>
      <c r="GNU90" s="1055"/>
      <c r="GNV90" s="1055"/>
      <c r="GNW90" s="1055"/>
      <c r="GNX90" s="1055"/>
      <c r="GNY90" s="1055"/>
      <c r="GNZ90" s="1055"/>
      <c r="GOA90" s="1055"/>
      <c r="GOB90" s="1055"/>
      <c r="GOC90" s="1055"/>
      <c r="GOD90" s="1055"/>
      <c r="GOE90" s="1055"/>
      <c r="GOF90" s="1055"/>
      <c r="GOG90" s="1055"/>
      <c r="GOH90" s="1055"/>
      <c r="GOI90" s="1055"/>
      <c r="GOJ90" s="1055"/>
      <c r="GOK90" s="1055"/>
      <c r="GOL90" s="1055"/>
      <c r="GOM90" s="1055"/>
      <c r="GON90" s="1055"/>
      <c r="GOO90" s="1055"/>
      <c r="GOP90" s="1055"/>
      <c r="GOQ90" s="1055"/>
      <c r="GOR90" s="1055"/>
      <c r="GOS90" s="1055"/>
      <c r="GOT90" s="1055"/>
      <c r="GOU90" s="1055"/>
      <c r="GOV90" s="1055"/>
      <c r="GOW90" s="1055"/>
      <c r="GOX90" s="1055"/>
      <c r="GOY90" s="1055"/>
      <c r="GOZ90" s="1055"/>
      <c r="GPA90" s="1055"/>
      <c r="GPB90" s="1055"/>
      <c r="GPC90" s="1055"/>
      <c r="GPD90" s="1055"/>
      <c r="GPE90" s="1055"/>
      <c r="GPF90" s="1055"/>
      <c r="GPG90" s="1055"/>
      <c r="GPH90" s="1055"/>
      <c r="GPI90" s="1055"/>
      <c r="GPJ90" s="1055"/>
      <c r="GPK90" s="1055"/>
      <c r="GPL90" s="1055"/>
      <c r="GPM90" s="1055"/>
      <c r="GPN90" s="1055"/>
      <c r="GPO90" s="1055"/>
      <c r="GPP90" s="1055"/>
      <c r="GPQ90" s="1055"/>
      <c r="GPR90" s="1055"/>
      <c r="GPS90" s="1055"/>
      <c r="GPT90" s="1055"/>
      <c r="GPU90" s="1055"/>
      <c r="GPV90" s="1055"/>
      <c r="GPW90" s="1055"/>
      <c r="GPX90" s="1055"/>
      <c r="GPY90" s="1055"/>
      <c r="GPZ90" s="1055"/>
      <c r="GQA90" s="1055"/>
      <c r="GQB90" s="1055"/>
      <c r="GQC90" s="1055"/>
      <c r="GQD90" s="1055"/>
      <c r="GQE90" s="1055"/>
      <c r="GQF90" s="1055"/>
      <c r="GQG90" s="1055"/>
      <c r="GQH90" s="1055"/>
      <c r="GQI90" s="1055"/>
      <c r="GQJ90" s="1055"/>
      <c r="GQK90" s="1055"/>
      <c r="GQL90" s="1055"/>
      <c r="GQM90" s="1055"/>
      <c r="GQN90" s="1055"/>
      <c r="GQO90" s="1055"/>
      <c r="GQP90" s="1055"/>
      <c r="GQQ90" s="1055"/>
      <c r="GQR90" s="1055"/>
      <c r="GQS90" s="1055"/>
      <c r="GQT90" s="1055"/>
      <c r="GQU90" s="1055"/>
      <c r="GQV90" s="1055"/>
      <c r="GQW90" s="1055"/>
      <c r="GQX90" s="1055"/>
      <c r="GQY90" s="1055"/>
      <c r="GQZ90" s="1055"/>
      <c r="GRA90" s="1055"/>
      <c r="GRB90" s="1055"/>
      <c r="GRC90" s="1055"/>
      <c r="GRD90" s="1055"/>
      <c r="GRE90" s="1055"/>
      <c r="GRF90" s="1055"/>
      <c r="GRG90" s="1055"/>
      <c r="GRH90" s="1055"/>
      <c r="GRI90" s="1055"/>
      <c r="GRJ90" s="1055"/>
      <c r="GRK90" s="1055"/>
      <c r="GRL90" s="1055"/>
      <c r="GRM90" s="1055"/>
      <c r="GRN90" s="1055"/>
      <c r="GRO90" s="1055"/>
      <c r="GRP90" s="1055"/>
      <c r="GRQ90" s="1055"/>
      <c r="GRR90" s="1055"/>
      <c r="GRS90" s="1055"/>
      <c r="GRT90" s="1055"/>
      <c r="GRU90" s="1055"/>
      <c r="GRV90" s="1055"/>
      <c r="GRW90" s="1055"/>
      <c r="GRX90" s="1055"/>
      <c r="GRY90" s="1055"/>
      <c r="GRZ90" s="1055"/>
      <c r="GSA90" s="1055"/>
      <c r="GSB90" s="1055"/>
      <c r="GSC90" s="1055"/>
      <c r="GSD90" s="1055"/>
      <c r="GSE90" s="1055"/>
      <c r="GSF90" s="1055"/>
      <c r="GSG90" s="1055"/>
      <c r="GSH90" s="1055"/>
      <c r="GSI90" s="1055"/>
      <c r="GSJ90" s="1055"/>
      <c r="GSK90" s="1055"/>
      <c r="GSL90" s="1055"/>
      <c r="GSM90" s="1055"/>
      <c r="GSN90" s="1055"/>
      <c r="GSO90" s="1055"/>
      <c r="GSP90" s="1055"/>
      <c r="GSQ90" s="1055"/>
      <c r="GSR90" s="1055"/>
      <c r="GSS90" s="1055"/>
      <c r="GST90" s="1055"/>
      <c r="GSU90" s="1055"/>
      <c r="GSV90" s="1055"/>
      <c r="GSW90" s="1055"/>
      <c r="GSX90" s="1055"/>
      <c r="GSY90" s="1055"/>
      <c r="GSZ90" s="1055"/>
      <c r="GTA90" s="1055"/>
      <c r="GTB90" s="1055"/>
      <c r="GTC90" s="1055"/>
      <c r="GTD90" s="1055"/>
      <c r="GTE90" s="1055"/>
      <c r="GTF90" s="1055"/>
      <c r="GTG90" s="1055"/>
      <c r="GTH90" s="1055"/>
      <c r="GTI90" s="1055"/>
      <c r="GTJ90" s="1055"/>
      <c r="GTK90" s="1055"/>
      <c r="GTL90" s="1055"/>
      <c r="GTM90" s="1055"/>
      <c r="GTN90" s="1055"/>
      <c r="GTO90" s="1055"/>
      <c r="GTP90" s="1055"/>
      <c r="GTQ90" s="1055"/>
      <c r="GTR90" s="1055"/>
      <c r="GTS90" s="1055"/>
      <c r="GTT90" s="1055"/>
      <c r="GTU90" s="1055"/>
      <c r="GTV90" s="1055"/>
      <c r="GTW90" s="1055"/>
      <c r="GTX90" s="1055"/>
      <c r="GTY90" s="1055"/>
      <c r="GTZ90" s="1055"/>
      <c r="GUA90" s="1055"/>
      <c r="GUB90" s="1055"/>
      <c r="GUC90" s="1055"/>
      <c r="GUD90" s="1055"/>
      <c r="GUE90" s="1055"/>
      <c r="GUF90" s="1055"/>
      <c r="GUG90" s="1055"/>
      <c r="GUH90" s="1055"/>
      <c r="GUI90" s="1055"/>
      <c r="GUJ90" s="1055"/>
      <c r="GUK90" s="1055"/>
      <c r="GUL90" s="1055"/>
      <c r="GUM90" s="1055"/>
      <c r="GUN90" s="1055"/>
      <c r="GUO90" s="1055"/>
      <c r="GUP90" s="1055"/>
      <c r="GUQ90" s="1055"/>
      <c r="GUR90" s="1055"/>
      <c r="GUS90" s="1055"/>
      <c r="GUT90" s="1055"/>
      <c r="GUU90" s="1055"/>
      <c r="GUV90" s="1055"/>
      <c r="GUW90" s="1055"/>
      <c r="GUX90" s="1055"/>
      <c r="GUY90" s="1055"/>
      <c r="GUZ90" s="1055"/>
      <c r="GVA90" s="1055"/>
      <c r="GVB90" s="1055"/>
      <c r="GVC90" s="1055"/>
      <c r="GVD90" s="1055"/>
      <c r="GVE90" s="1055"/>
      <c r="GVF90" s="1055"/>
      <c r="GVG90" s="1055"/>
      <c r="GVH90" s="1055"/>
      <c r="GVI90" s="1055"/>
      <c r="GVJ90" s="1055"/>
      <c r="GVK90" s="1055"/>
      <c r="GVL90" s="1055"/>
      <c r="GVM90" s="1055"/>
      <c r="GVN90" s="1055"/>
      <c r="GVO90" s="1055"/>
      <c r="GVP90" s="1055"/>
      <c r="GVQ90" s="1055"/>
      <c r="GVR90" s="1055"/>
      <c r="GVS90" s="1055"/>
      <c r="GVT90" s="1055"/>
      <c r="GVU90" s="1055"/>
      <c r="GVV90" s="1055"/>
      <c r="GVW90" s="1055"/>
      <c r="GVX90" s="1055"/>
      <c r="GVY90" s="1055"/>
      <c r="GVZ90" s="1055"/>
      <c r="GWA90" s="1055"/>
      <c r="GWB90" s="1055"/>
      <c r="GWC90" s="1055"/>
      <c r="GWD90" s="1055"/>
      <c r="GWE90" s="1055"/>
      <c r="GWF90" s="1055"/>
      <c r="GWG90" s="1055"/>
      <c r="GWH90" s="1055"/>
      <c r="GWI90" s="1055"/>
      <c r="GWJ90" s="1055"/>
      <c r="GWK90" s="1055"/>
      <c r="GWL90" s="1055"/>
      <c r="GWM90" s="1055"/>
      <c r="GWN90" s="1055"/>
      <c r="GWO90" s="1055"/>
      <c r="GWP90" s="1055"/>
      <c r="GWQ90" s="1055"/>
      <c r="GWR90" s="1055"/>
      <c r="GWS90" s="1055"/>
      <c r="GWT90" s="1055"/>
      <c r="GWU90" s="1055"/>
      <c r="GWV90" s="1055"/>
      <c r="GWW90" s="1055"/>
      <c r="GWX90" s="1055"/>
      <c r="GWY90" s="1055"/>
      <c r="GWZ90" s="1055"/>
      <c r="GXA90" s="1055"/>
      <c r="GXB90" s="1055"/>
      <c r="GXC90" s="1055"/>
      <c r="GXD90" s="1055"/>
      <c r="GXE90" s="1055"/>
      <c r="GXF90" s="1055"/>
      <c r="GXG90" s="1055"/>
      <c r="GXH90" s="1055"/>
      <c r="GXI90" s="1055"/>
      <c r="GXJ90" s="1055"/>
      <c r="GXK90" s="1055"/>
      <c r="GXL90" s="1055"/>
      <c r="GXM90" s="1055"/>
      <c r="GXN90" s="1055"/>
      <c r="GXO90" s="1055"/>
      <c r="GXP90" s="1055"/>
      <c r="GXQ90" s="1055"/>
      <c r="GXR90" s="1055"/>
      <c r="GXS90" s="1055"/>
      <c r="GXT90" s="1055"/>
      <c r="GXU90" s="1055"/>
      <c r="GXV90" s="1055"/>
      <c r="GXW90" s="1055"/>
      <c r="GXX90" s="1055"/>
      <c r="GXY90" s="1055"/>
      <c r="GXZ90" s="1055"/>
      <c r="GYA90" s="1055"/>
      <c r="GYB90" s="1055"/>
      <c r="GYC90" s="1055"/>
      <c r="GYD90" s="1055"/>
      <c r="GYE90" s="1055"/>
      <c r="GYF90" s="1055"/>
      <c r="GYG90" s="1055"/>
      <c r="GYH90" s="1055"/>
      <c r="GYI90" s="1055"/>
      <c r="GYJ90" s="1055"/>
      <c r="GYK90" s="1055"/>
      <c r="GYL90" s="1055"/>
      <c r="GYM90" s="1055"/>
      <c r="GYN90" s="1055"/>
      <c r="GYO90" s="1055"/>
      <c r="GYP90" s="1055"/>
      <c r="GYQ90" s="1055"/>
      <c r="GYR90" s="1055"/>
      <c r="GYS90" s="1055"/>
      <c r="GYT90" s="1055"/>
      <c r="GYU90" s="1055"/>
      <c r="GYV90" s="1055"/>
      <c r="GYW90" s="1055"/>
      <c r="GYX90" s="1055"/>
      <c r="GYY90" s="1055"/>
      <c r="GYZ90" s="1055"/>
      <c r="GZA90" s="1055"/>
      <c r="GZB90" s="1055"/>
      <c r="GZC90" s="1055"/>
      <c r="GZD90" s="1055"/>
      <c r="GZE90" s="1055"/>
      <c r="GZF90" s="1055"/>
      <c r="GZG90" s="1055"/>
      <c r="GZH90" s="1055"/>
      <c r="GZI90" s="1055"/>
      <c r="GZJ90" s="1055"/>
      <c r="GZK90" s="1055"/>
      <c r="GZL90" s="1055"/>
      <c r="GZM90" s="1055"/>
      <c r="GZN90" s="1055"/>
      <c r="GZO90" s="1055"/>
      <c r="GZP90" s="1055"/>
      <c r="GZQ90" s="1055"/>
      <c r="GZR90" s="1055"/>
      <c r="GZS90" s="1055"/>
      <c r="GZT90" s="1055"/>
      <c r="GZU90" s="1055"/>
      <c r="GZV90" s="1055"/>
      <c r="GZW90" s="1055"/>
      <c r="GZX90" s="1055"/>
      <c r="GZY90" s="1055"/>
      <c r="GZZ90" s="1055"/>
      <c r="HAA90" s="1055"/>
      <c r="HAB90" s="1055"/>
      <c r="HAC90" s="1055"/>
      <c r="HAD90" s="1055"/>
      <c r="HAE90" s="1055"/>
      <c r="HAF90" s="1055"/>
      <c r="HAG90" s="1055"/>
      <c r="HAH90" s="1055"/>
      <c r="HAI90" s="1055"/>
      <c r="HAJ90" s="1055"/>
      <c r="HAK90" s="1055"/>
      <c r="HAL90" s="1055"/>
      <c r="HAM90" s="1055"/>
      <c r="HAN90" s="1055"/>
      <c r="HAO90" s="1055"/>
      <c r="HAP90" s="1055"/>
      <c r="HAQ90" s="1055"/>
      <c r="HAR90" s="1055"/>
      <c r="HAS90" s="1055"/>
      <c r="HAT90" s="1055"/>
      <c r="HAU90" s="1055"/>
      <c r="HAV90" s="1055"/>
      <c r="HAW90" s="1055"/>
      <c r="HAX90" s="1055"/>
      <c r="HAY90" s="1055"/>
      <c r="HAZ90" s="1055"/>
      <c r="HBA90" s="1055"/>
      <c r="HBB90" s="1055"/>
      <c r="HBC90" s="1055"/>
      <c r="HBD90" s="1055"/>
      <c r="HBE90" s="1055"/>
      <c r="HBF90" s="1055"/>
      <c r="HBG90" s="1055"/>
      <c r="HBH90" s="1055"/>
      <c r="HBI90" s="1055"/>
      <c r="HBJ90" s="1055"/>
      <c r="HBK90" s="1055"/>
      <c r="HBL90" s="1055"/>
      <c r="HBM90" s="1055"/>
      <c r="HBN90" s="1055"/>
      <c r="HBO90" s="1055"/>
      <c r="HBP90" s="1055"/>
      <c r="HBQ90" s="1055"/>
      <c r="HBR90" s="1055"/>
      <c r="HBS90" s="1055"/>
      <c r="HBT90" s="1055"/>
      <c r="HBU90" s="1055"/>
      <c r="HBV90" s="1055"/>
      <c r="HBW90" s="1055"/>
      <c r="HBX90" s="1055"/>
      <c r="HBY90" s="1055"/>
      <c r="HBZ90" s="1055"/>
      <c r="HCA90" s="1055"/>
      <c r="HCB90" s="1055"/>
      <c r="HCC90" s="1055"/>
      <c r="HCD90" s="1055"/>
      <c r="HCE90" s="1055"/>
      <c r="HCF90" s="1055"/>
      <c r="HCG90" s="1055"/>
      <c r="HCH90" s="1055"/>
      <c r="HCI90" s="1055"/>
      <c r="HCJ90" s="1055"/>
      <c r="HCK90" s="1055"/>
      <c r="HCL90" s="1055"/>
      <c r="HCM90" s="1055"/>
      <c r="HCN90" s="1055"/>
      <c r="HCO90" s="1055"/>
      <c r="HCP90" s="1055"/>
      <c r="HCQ90" s="1055"/>
      <c r="HCR90" s="1055"/>
      <c r="HCS90" s="1055"/>
      <c r="HCT90" s="1055"/>
      <c r="HCU90" s="1055"/>
      <c r="HCV90" s="1055"/>
      <c r="HCW90" s="1055"/>
      <c r="HCX90" s="1055"/>
      <c r="HCY90" s="1055"/>
      <c r="HCZ90" s="1055"/>
      <c r="HDA90" s="1055"/>
      <c r="HDB90" s="1055"/>
      <c r="HDC90" s="1055"/>
      <c r="HDD90" s="1055"/>
      <c r="HDE90" s="1055"/>
      <c r="HDF90" s="1055"/>
      <c r="HDG90" s="1055"/>
      <c r="HDH90" s="1055"/>
      <c r="HDI90" s="1055"/>
      <c r="HDJ90" s="1055"/>
      <c r="HDK90" s="1055"/>
      <c r="HDL90" s="1055"/>
      <c r="HDM90" s="1055"/>
      <c r="HDN90" s="1055"/>
      <c r="HDO90" s="1055"/>
      <c r="HDP90" s="1055"/>
      <c r="HDQ90" s="1055"/>
      <c r="HDR90" s="1055"/>
      <c r="HDS90" s="1055"/>
      <c r="HDT90" s="1055"/>
      <c r="HDU90" s="1055"/>
      <c r="HDV90" s="1055"/>
      <c r="HDW90" s="1055"/>
      <c r="HDX90" s="1055"/>
      <c r="HDY90" s="1055"/>
      <c r="HDZ90" s="1055"/>
      <c r="HEA90" s="1055"/>
      <c r="HEB90" s="1055"/>
      <c r="HEC90" s="1055"/>
      <c r="HED90" s="1055"/>
      <c r="HEE90" s="1055"/>
      <c r="HEF90" s="1055"/>
      <c r="HEG90" s="1055"/>
      <c r="HEH90" s="1055"/>
      <c r="HEI90" s="1055"/>
      <c r="HEJ90" s="1055"/>
      <c r="HEK90" s="1055"/>
      <c r="HEL90" s="1055"/>
      <c r="HEM90" s="1055"/>
      <c r="HEN90" s="1055"/>
      <c r="HEO90" s="1055"/>
      <c r="HEP90" s="1055"/>
      <c r="HEQ90" s="1055"/>
      <c r="HER90" s="1055"/>
      <c r="HES90" s="1055"/>
      <c r="HET90" s="1055"/>
      <c r="HEU90" s="1055"/>
      <c r="HEV90" s="1055"/>
      <c r="HEW90" s="1055"/>
      <c r="HEX90" s="1055"/>
      <c r="HEY90" s="1055"/>
      <c r="HEZ90" s="1055"/>
      <c r="HFA90" s="1055"/>
      <c r="HFB90" s="1055"/>
      <c r="HFC90" s="1055"/>
      <c r="HFD90" s="1055"/>
      <c r="HFE90" s="1055"/>
      <c r="HFF90" s="1055"/>
      <c r="HFG90" s="1055"/>
      <c r="HFH90" s="1055"/>
      <c r="HFI90" s="1055"/>
      <c r="HFJ90" s="1055"/>
      <c r="HFK90" s="1055"/>
      <c r="HFL90" s="1055"/>
      <c r="HFM90" s="1055"/>
      <c r="HFN90" s="1055"/>
      <c r="HFO90" s="1055"/>
      <c r="HFP90" s="1055"/>
      <c r="HFQ90" s="1055"/>
      <c r="HFR90" s="1055"/>
      <c r="HFS90" s="1055"/>
      <c r="HFT90" s="1055"/>
      <c r="HFU90" s="1055"/>
      <c r="HFV90" s="1055"/>
      <c r="HFW90" s="1055"/>
      <c r="HFX90" s="1055"/>
      <c r="HFY90" s="1055"/>
      <c r="HFZ90" s="1055"/>
      <c r="HGA90" s="1055"/>
      <c r="HGB90" s="1055"/>
      <c r="HGC90" s="1055"/>
      <c r="HGD90" s="1055"/>
      <c r="HGE90" s="1055"/>
      <c r="HGF90" s="1055"/>
      <c r="HGG90" s="1055"/>
      <c r="HGH90" s="1055"/>
      <c r="HGI90" s="1055"/>
      <c r="HGJ90" s="1055"/>
      <c r="HGK90" s="1055"/>
      <c r="HGL90" s="1055"/>
      <c r="HGM90" s="1055"/>
      <c r="HGN90" s="1055"/>
      <c r="HGO90" s="1055"/>
      <c r="HGP90" s="1055"/>
      <c r="HGQ90" s="1055"/>
      <c r="HGR90" s="1055"/>
      <c r="HGS90" s="1055"/>
      <c r="HGT90" s="1055"/>
      <c r="HGU90" s="1055"/>
      <c r="HGV90" s="1055"/>
      <c r="HGW90" s="1055"/>
      <c r="HGX90" s="1055"/>
      <c r="HGY90" s="1055"/>
      <c r="HGZ90" s="1055"/>
      <c r="HHA90" s="1055"/>
      <c r="HHB90" s="1055"/>
      <c r="HHC90" s="1055"/>
      <c r="HHD90" s="1055"/>
      <c r="HHE90" s="1055"/>
      <c r="HHF90" s="1055"/>
      <c r="HHG90" s="1055"/>
      <c r="HHH90" s="1055"/>
      <c r="HHI90" s="1055"/>
      <c r="HHJ90" s="1055"/>
      <c r="HHK90" s="1055"/>
      <c r="HHL90" s="1055"/>
      <c r="HHM90" s="1055"/>
      <c r="HHN90" s="1055"/>
      <c r="HHO90" s="1055"/>
      <c r="HHP90" s="1055"/>
      <c r="HHQ90" s="1055"/>
      <c r="HHR90" s="1055"/>
      <c r="HHS90" s="1055"/>
      <c r="HHT90" s="1055"/>
      <c r="HHU90" s="1055"/>
      <c r="HHV90" s="1055"/>
      <c r="HHW90" s="1055"/>
      <c r="HHX90" s="1055"/>
      <c r="HHY90" s="1055"/>
      <c r="HHZ90" s="1055"/>
      <c r="HIA90" s="1055"/>
      <c r="HIB90" s="1055"/>
      <c r="HIC90" s="1055"/>
      <c r="HID90" s="1055"/>
      <c r="HIE90" s="1055"/>
      <c r="HIF90" s="1055"/>
      <c r="HIG90" s="1055"/>
      <c r="HIH90" s="1055"/>
      <c r="HII90" s="1055"/>
      <c r="HIJ90" s="1055"/>
      <c r="HIK90" s="1055"/>
      <c r="HIL90" s="1055"/>
      <c r="HIM90" s="1055"/>
      <c r="HIN90" s="1055"/>
      <c r="HIO90" s="1055"/>
      <c r="HIP90" s="1055"/>
      <c r="HIQ90" s="1055"/>
      <c r="HIR90" s="1055"/>
      <c r="HIS90" s="1055"/>
      <c r="HIT90" s="1055"/>
      <c r="HIU90" s="1055"/>
      <c r="HIV90" s="1055"/>
      <c r="HIW90" s="1055"/>
      <c r="HIX90" s="1055"/>
      <c r="HIY90" s="1055"/>
      <c r="HIZ90" s="1055"/>
      <c r="HJA90" s="1055"/>
      <c r="HJB90" s="1055"/>
      <c r="HJC90" s="1055"/>
      <c r="HJD90" s="1055"/>
      <c r="HJE90" s="1055"/>
      <c r="HJF90" s="1055"/>
      <c r="HJG90" s="1055"/>
      <c r="HJH90" s="1055"/>
      <c r="HJI90" s="1055"/>
      <c r="HJJ90" s="1055"/>
      <c r="HJK90" s="1055"/>
      <c r="HJL90" s="1055"/>
      <c r="HJM90" s="1055"/>
      <c r="HJN90" s="1055"/>
      <c r="HJO90" s="1055"/>
      <c r="HJP90" s="1055"/>
      <c r="HJQ90" s="1055"/>
      <c r="HJR90" s="1055"/>
      <c r="HJS90" s="1055"/>
      <c r="HJT90" s="1055"/>
      <c r="HJU90" s="1055"/>
      <c r="HJV90" s="1055"/>
      <c r="HJW90" s="1055"/>
      <c r="HJX90" s="1055"/>
      <c r="HJY90" s="1055"/>
      <c r="HJZ90" s="1055"/>
      <c r="HKA90" s="1055"/>
      <c r="HKB90" s="1055"/>
      <c r="HKC90" s="1055"/>
      <c r="HKD90" s="1055"/>
      <c r="HKE90" s="1055"/>
      <c r="HKF90" s="1055"/>
      <c r="HKG90" s="1055"/>
      <c r="HKH90" s="1055"/>
      <c r="HKI90" s="1055"/>
      <c r="HKJ90" s="1055"/>
      <c r="HKK90" s="1055"/>
      <c r="HKL90" s="1055"/>
      <c r="HKM90" s="1055"/>
      <c r="HKN90" s="1055"/>
      <c r="HKO90" s="1055"/>
      <c r="HKP90" s="1055"/>
      <c r="HKQ90" s="1055"/>
      <c r="HKR90" s="1055"/>
      <c r="HKS90" s="1055"/>
      <c r="HKT90" s="1055"/>
      <c r="HKU90" s="1055"/>
      <c r="HKV90" s="1055"/>
      <c r="HKW90" s="1055"/>
      <c r="HKX90" s="1055"/>
      <c r="HKY90" s="1055"/>
      <c r="HKZ90" s="1055"/>
      <c r="HLA90" s="1055"/>
      <c r="HLB90" s="1055"/>
      <c r="HLC90" s="1055"/>
      <c r="HLD90" s="1055"/>
      <c r="HLE90" s="1055"/>
      <c r="HLF90" s="1055"/>
      <c r="HLG90" s="1055"/>
      <c r="HLH90" s="1055"/>
      <c r="HLI90" s="1055"/>
      <c r="HLJ90" s="1055"/>
      <c r="HLK90" s="1055"/>
      <c r="HLL90" s="1055"/>
      <c r="HLM90" s="1055"/>
      <c r="HLN90" s="1055"/>
      <c r="HLO90" s="1055"/>
      <c r="HLP90" s="1055"/>
      <c r="HLQ90" s="1055"/>
      <c r="HLR90" s="1055"/>
      <c r="HLS90" s="1055"/>
      <c r="HLT90" s="1055"/>
      <c r="HLU90" s="1055"/>
      <c r="HLV90" s="1055"/>
      <c r="HLW90" s="1055"/>
      <c r="HLX90" s="1055"/>
      <c r="HLY90" s="1055"/>
      <c r="HLZ90" s="1055"/>
      <c r="HMA90" s="1055"/>
      <c r="HMB90" s="1055"/>
      <c r="HMC90" s="1055"/>
      <c r="HMD90" s="1055"/>
      <c r="HME90" s="1055"/>
      <c r="HMF90" s="1055"/>
      <c r="HMG90" s="1055"/>
      <c r="HMH90" s="1055"/>
      <c r="HMI90" s="1055"/>
      <c r="HMJ90" s="1055"/>
      <c r="HMK90" s="1055"/>
      <c r="HML90" s="1055"/>
      <c r="HMM90" s="1055"/>
      <c r="HMN90" s="1055"/>
      <c r="HMO90" s="1055"/>
      <c r="HMP90" s="1055"/>
      <c r="HMQ90" s="1055"/>
      <c r="HMR90" s="1055"/>
      <c r="HMS90" s="1055"/>
      <c r="HMT90" s="1055"/>
      <c r="HMU90" s="1055"/>
      <c r="HMV90" s="1055"/>
      <c r="HMW90" s="1055"/>
      <c r="HMX90" s="1055"/>
      <c r="HMY90" s="1055"/>
      <c r="HMZ90" s="1055"/>
      <c r="HNA90" s="1055"/>
      <c r="HNB90" s="1055"/>
      <c r="HNC90" s="1055"/>
      <c r="HND90" s="1055"/>
      <c r="HNE90" s="1055"/>
      <c r="HNF90" s="1055"/>
      <c r="HNG90" s="1055"/>
      <c r="HNH90" s="1055"/>
      <c r="HNI90" s="1055"/>
      <c r="HNJ90" s="1055"/>
      <c r="HNK90" s="1055"/>
      <c r="HNL90" s="1055"/>
      <c r="HNM90" s="1055"/>
      <c r="HNN90" s="1055"/>
      <c r="HNO90" s="1055"/>
      <c r="HNP90" s="1055"/>
      <c r="HNQ90" s="1055"/>
      <c r="HNR90" s="1055"/>
      <c r="HNS90" s="1055"/>
      <c r="HNT90" s="1055"/>
      <c r="HNU90" s="1055"/>
      <c r="HNV90" s="1055"/>
      <c r="HNW90" s="1055"/>
      <c r="HNX90" s="1055"/>
      <c r="HNY90" s="1055"/>
      <c r="HNZ90" s="1055"/>
      <c r="HOA90" s="1055"/>
      <c r="HOB90" s="1055"/>
      <c r="HOC90" s="1055"/>
      <c r="HOD90" s="1055"/>
      <c r="HOE90" s="1055"/>
      <c r="HOF90" s="1055"/>
      <c r="HOG90" s="1055"/>
      <c r="HOH90" s="1055"/>
      <c r="HOI90" s="1055"/>
      <c r="HOJ90" s="1055"/>
      <c r="HOK90" s="1055"/>
      <c r="HOL90" s="1055"/>
      <c r="HOM90" s="1055"/>
      <c r="HON90" s="1055"/>
      <c r="HOO90" s="1055"/>
      <c r="HOP90" s="1055"/>
      <c r="HOQ90" s="1055"/>
      <c r="HOR90" s="1055"/>
      <c r="HOS90" s="1055"/>
      <c r="HOT90" s="1055"/>
      <c r="HOU90" s="1055"/>
      <c r="HOV90" s="1055"/>
      <c r="HOW90" s="1055"/>
      <c r="HOX90" s="1055"/>
      <c r="HOY90" s="1055"/>
      <c r="HOZ90" s="1055"/>
      <c r="HPA90" s="1055"/>
      <c r="HPB90" s="1055"/>
      <c r="HPC90" s="1055"/>
      <c r="HPD90" s="1055"/>
      <c r="HPE90" s="1055"/>
      <c r="HPF90" s="1055"/>
      <c r="HPG90" s="1055"/>
      <c r="HPH90" s="1055"/>
      <c r="HPI90" s="1055"/>
      <c r="HPJ90" s="1055"/>
      <c r="HPK90" s="1055"/>
      <c r="HPL90" s="1055"/>
      <c r="HPM90" s="1055"/>
      <c r="HPN90" s="1055"/>
      <c r="HPO90" s="1055"/>
      <c r="HPP90" s="1055"/>
      <c r="HPQ90" s="1055"/>
      <c r="HPR90" s="1055"/>
      <c r="HPS90" s="1055"/>
      <c r="HPT90" s="1055"/>
      <c r="HPU90" s="1055"/>
      <c r="HPV90" s="1055"/>
      <c r="HPW90" s="1055"/>
      <c r="HPX90" s="1055"/>
      <c r="HPY90" s="1055"/>
      <c r="HPZ90" s="1055"/>
      <c r="HQA90" s="1055"/>
      <c r="HQB90" s="1055"/>
      <c r="HQC90" s="1055"/>
      <c r="HQD90" s="1055"/>
      <c r="HQE90" s="1055"/>
      <c r="HQF90" s="1055"/>
      <c r="HQG90" s="1055"/>
      <c r="HQH90" s="1055"/>
      <c r="HQI90" s="1055"/>
      <c r="HQJ90" s="1055"/>
      <c r="HQK90" s="1055"/>
      <c r="HQL90" s="1055"/>
      <c r="HQM90" s="1055"/>
      <c r="HQN90" s="1055"/>
      <c r="HQO90" s="1055"/>
      <c r="HQP90" s="1055"/>
      <c r="HQQ90" s="1055"/>
      <c r="HQR90" s="1055"/>
      <c r="HQS90" s="1055"/>
      <c r="HQT90" s="1055"/>
      <c r="HQU90" s="1055"/>
      <c r="HQV90" s="1055"/>
      <c r="HQW90" s="1055"/>
      <c r="HQX90" s="1055"/>
      <c r="HQY90" s="1055"/>
      <c r="HQZ90" s="1055"/>
      <c r="HRA90" s="1055"/>
      <c r="HRB90" s="1055"/>
      <c r="HRC90" s="1055"/>
      <c r="HRD90" s="1055"/>
      <c r="HRE90" s="1055"/>
      <c r="HRF90" s="1055"/>
      <c r="HRG90" s="1055"/>
      <c r="HRH90" s="1055"/>
      <c r="HRI90" s="1055"/>
      <c r="HRJ90" s="1055"/>
      <c r="HRK90" s="1055"/>
      <c r="HRL90" s="1055"/>
      <c r="HRM90" s="1055"/>
      <c r="HRN90" s="1055"/>
      <c r="HRO90" s="1055"/>
      <c r="HRP90" s="1055"/>
      <c r="HRQ90" s="1055"/>
      <c r="HRR90" s="1055"/>
      <c r="HRS90" s="1055"/>
      <c r="HRT90" s="1055"/>
      <c r="HRU90" s="1055"/>
      <c r="HRV90" s="1055"/>
      <c r="HRW90" s="1055"/>
      <c r="HRX90" s="1055"/>
      <c r="HRY90" s="1055"/>
      <c r="HRZ90" s="1055"/>
      <c r="HSA90" s="1055"/>
      <c r="HSB90" s="1055"/>
      <c r="HSC90" s="1055"/>
      <c r="HSD90" s="1055"/>
      <c r="HSE90" s="1055"/>
      <c r="HSF90" s="1055"/>
      <c r="HSG90" s="1055"/>
      <c r="HSH90" s="1055"/>
      <c r="HSI90" s="1055"/>
      <c r="HSJ90" s="1055"/>
      <c r="HSK90" s="1055"/>
      <c r="HSL90" s="1055"/>
      <c r="HSM90" s="1055"/>
      <c r="HSN90" s="1055"/>
      <c r="HSO90" s="1055"/>
      <c r="HSP90" s="1055"/>
      <c r="HSQ90" s="1055"/>
      <c r="HSR90" s="1055"/>
      <c r="HSS90" s="1055"/>
      <c r="HST90" s="1055"/>
      <c r="HSU90" s="1055"/>
      <c r="HSV90" s="1055"/>
      <c r="HSW90" s="1055"/>
      <c r="HSX90" s="1055"/>
      <c r="HSY90" s="1055"/>
      <c r="HSZ90" s="1055"/>
      <c r="HTA90" s="1055"/>
      <c r="HTB90" s="1055"/>
      <c r="HTC90" s="1055"/>
      <c r="HTD90" s="1055"/>
      <c r="HTE90" s="1055"/>
      <c r="HTF90" s="1055"/>
      <c r="HTG90" s="1055"/>
      <c r="HTH90" s="1055"/>
      <c r="HTI90" s="1055"/>
      <c r="HTJ90" s="1055"/>
      <c r="HTK90" s="1055"/>
      <c r="HTL90" s="1055"/>
      <c r="HTM90" s="1055"/>
      <c r="HTN90" s="1055"/>
      <c r="HTO90" s="1055"/>
      <c r="HTP90" s="1055"/>
      <c r="HTQ90" s="1055"/>
      <c r="HTR90" s="1055"/>
      <c r="HTS90" s="1055"/>
      <c r="HTT90" s="1055"/>
      <c r="HTU90" s="1055"/>
      <c r="HTV90" s="1055"/>
      <c r="HTW90" s="1055"/>
      <c r="HTX90" s="1055"/>
      <c r="HTY90" s="1055"/>
      <c r="HTZ90" s="1055"/>
      <c r="HUA90" s="1055"/>
      <c r="HUB90" s="1055"/>
      <c r="HUC90" s="1055"/>
      <c r="HUD90" s="1055"/>
      <c r="HUE90" s="1055"/>
      <c r="HUF90" s="1055"/>
      <c r="HUG90" s="1055"/>
      <c r="HUH90" s="1055"/>
      <c r="HUI90" s="1055"/>
      <c r="HUJ90" s="1055"/>
      <c r="HUK90" s="1055"/>
      <c r="HUL90" s="1055"/>
      <c r="HUM90" s="1055"/>
      <c r="HUN90" s="1055"/>
      <c r="HUO90" s="1055"/>
      <c r="HUP90" s="1055"/>
      <c r="HUQ90" s="1055"/>
      <c r="HUR90" s="1055"/>
      <c r="HUS90" s="1055"/>
      <c r="HUT90" s="1055"/>
      <c r="HUU90" s="1055"/>
      <c r="HUV90" s="1055"/>
      <c r="HUW90" s="1055"/>
      <c r="HUX90" s="1055"/>
      <c r="HUY90" s="1055"/>
      <c r="HUZ90" s="1055"/>
      <c r="HVA90" s="1055"/>
      <c r="HVB90" s="1055"/>
      <c r="HVC90" s="1055"/>
      <c r="HVD90" s="1055"/>
      <c r="HVE90" s="1055"/>
      <c r="HVF90" s="1055"/>
      <c r="HVG90" s="1055"/>
      <c r="HVH90" s="1055"/>
      <c r="HVI90" s="1055"/>
      <c r="HVJ90" s="1055"/>
      <c r="HVK90" s="1055"/>
      <c r="HVL90" s="1055"/>
      <c r="HVM90" s="1055"/>
      <c r="HVN90" s="1055"/>
      <c r="HVO90" s="1055"/>
      <c r="HVP90" s="1055"/>
      <c r="HVQ90" s="1055"/>
      <c r="HVR90" s="1055"/>
      <c r="HVS90" s="1055"/>
      <c r="HVT90" s="1055"/>
      <c r="HVU90" s="1055"/>
      <c r="HVV90" s="1055"/>
      <c r="HVW90" s="1055"/>
      <c r="HVX90" s="1055"/>
      <c r="HVY90" s="1055"/>
      <c r="HVZ90" s="1055"/>
      <c r="HWA90" s="1055"/>
      <c r="HWB90" s="1055"/>
      <c r="HWC90" s="1055"/>
      <c r="HWD90" s="1055"/>
      <c r="HWE90" s="1055"/>
      <c r="HWF90" s="1055"/>
      <c r="HWG90" s="1055"/>
      <c r="HWH90" s="1055"/>
      <c r="HWI90" s="1055"/>
      <c r="HWJ90" s="1055"/>
      <c r="HWK90" s="1055"/>
      <c r="HWL90" s="1055"/>
      <c r="HWM90" s="1055"/>
      <c r="HWN90" s="1055"/>
      <c r="HWO90" s="1055"/>
      <c r="HWP90" s="1055"/>
      <c r="HWQ90" s="1055"/>
      <c r="HWR90" s="1055"/>
      <c r="HWS90" s="1055"/>
      <c r="HWT90" s="1055"/>
      <c r="HWU90" s="1055"/>
      <c r="HWV90" s="1055"/>
      <c r="HWW90" s="1055"/>
      <c r="HWX90" s="1055"/>
      <c r="HWY90" s="1055"/>
      <c r="HWZ90" s="1055"/>
      <c r="HXA90" s="1055"/>
      <c r="HXB90" s="1055"/>
      <c r="HXC90" s="1055"/>
      <c r="HXD90" s="1055"/>
      <c r="HXE90" s="1055"/>
      <c r="HXF90" s="1055"/>
      <c r="HXG90" s="1055"/>
      <c r="HXH90" s="1055"/>
      <c r="HXI90" s="1055"/>
      <c r="HXJ90" s="1055"/>
      <c r="HXK90" s="1055"/>
      <c r="HXL90" s="1055"/>
      <c r="HXM90" s="1055"/>
      <c r="HXN90" s="1055"/>
      <c r="HXO90" s="1055"/>
      <c r="HXP90" s="1055"/>
      <c r="HXQ90" s="1055"/>
      <c r="HXR90" s="1055"/>
      <c r="HXS90" s="1055"/>
      <c r="HXT90" s="1055"/>
      <c r="HXU90" s="1055"/>
      <c r="HXV90" s="1055"/>
      <c r="HXW90" s="1055"/>
      <c r="HXX90" s="1055"/>
      <c r="HXY90" s="1055"/>
      <c r="HXZ90" s="1055"/>
      <c r="HYA90" s="1055"/>
      <c r="HYB90" s="1055"/>
      <c r="HYC90" s="1055"/>
      <c r="HYD90" s="1055"/>
      <c r="HYE90" s="1055"/>
      <c r="HYF90" s="1055"/>
      <c r="HYG90" s="1055"/>
      <c r="HYH90" s="1055"/>
      <c r="HYI90" s="1055"/>
      <c r="HYJ90" s="1055"/>
      <c r="HYK90" s="1055"/>
      <c r="HYL90" s="1055"/>
      <c r="HYM90" s="1055"/>
      <c r="HYN90" s="1055"/>
      <c r="HYO90" s="1055"/>
      <c r="HYP90" s="1055"/>
      <c r="HYQ90" s="1055"/>
      <c r="HYR90" s="1055"/>
      <c r="HYS90" s="1055"/>
      <c r="HYT90" s="1055"/>
      <c r="HYU90" s="1055"/>
      <c r="HYV90" s="1055"/>
      <c r="HYW90" s="1055"/>
      <c r="HYX90" s="1055"/>
      <c r="HYY90" s="1055"/>
      <c r="HYZ90" s="1055"/>
      <c r="HZA90" s="1055"/>
      <c r="HZB90" s="1055"/>
      <c r="HZC90" s="1055"/>
      <c r="HZD90" s="1055"/>
      <c r="HZE90" s="1055"/>
      <c r="HZF90" s="1055"/>
      <c r="HZG90" s="1055"/>
      <c r="HZH90" s="1055"/>
      <c r="HZI90" s="1055"/>
      <c r="HZJ90" s="1055"/>
      <c r="HZK90" s="1055"/>
      <c r="HZL90" s="1055"/>
      <c r="HZM90" s="1055"/>
      <c r="HZN90" s="1055"/>
      <c r="HZO90" s="1055"/>
      <c r="HZP90" s="1055"/>
      <c r="HZQ90" s="1055"/>
      <c r="HZR90" s="1055"/>
      <c r="HZS90" s="1055"/>
      <c r="HZT90" s="1055"/>
      <c r="HZU90" s="1055"/>
      <c r="HZV90" s="1055"/>
      <c r="HZW90" s="1055"/>
      <c r="HZX90" s="1055"/>
      <c r="HZY90" s="1055"/>
      <c r="HZZ90" s="1055"/>
      <c r="IAA90" s="1055"/>
      <c r="IAB90" s="1055"/>
      <c r="IAC90" s="1055"/>
      <c r="IAD90" s="1055"/>
      <c r="IAE90" s="1055"/>
      <c r="IAF90" s="1055"/>
      <c r="IAG90" s="1055"/>
      <c r="IAH90" s="1055"/>
      <c r="IAI90" s="1055"/>
      <c r="IAJ90" s="1055"/>
      <c r="IAK90" s="1055"/>
      <c r="IAL90" s="1055"/>
      <c r="IAM90" s="1055"/>
      <c r="IAN90" s="1055"/>
      <c r="IAO90" s="1055"/>
      <c r="IAP90" s="1055"/>
      <c r="IAQ90" s="1055"/>
      <c r="IAR90" s="1055"/>
      <c r="IAS90" s="1055"/>
      <c r="IAT90" s="1055"/>
      <c r="IAU90" s="1055"/>
      <c r="IAV90" s="1055"/>
      <c r="IAW90" s="1055"/>
      <c r="IAX90" s="1055"/>
      <c r="IAY90" s="1055"/>
      <c r="IAZ90" s="1055"/>
      <c r="IBA90" s="1055"/>
      <c r="IBB90" s="1055"/>
      <c r="IBC90" s="1055"/>
      <c r="IBD90" s="1055"/>
      <c r="IBE90" s="1055"/>
      <c r="IBF90" s="1055"/>
      <c r="IBG90" s="1055"/>
      <c r="IBH90" s="1055"/>
      <c r="IBI90" s="1055"/>
      <c r="IBJ90" s="1055"/>
      <c r="IBK90" s="1055"/>
      <c r="IBL90" s="1055"/>
      <c r="IBM90" s="1055"/>
      <c r="IBN90" s="1055"/>
      <c r="IBO90" s="1055"/>
      <c r="IBP90" s="1055"/>
      <c r="IBQ90" s="1055"/>
      <c r="IBR90" s="1055"/>
      <c r="IBS90" s="1055"/>
      <c r="IBT90" s="1055"/>
      <c r="IBU90" s="1055"/>
      <c r="IBV90" s="1055"/>
      <c r="IBW90" s="1055"/>
      <c r="IBX90" s="1055"/>
      <c r="IBY90" s="1055"/>
      <c r="IBZ90" s="1055"/>
      <c r="ICA90" s="1055"/>
      <c r="ICB90" s="1055"/>
      <c r="ICC90" s="1055"/>
      <c r="ICD90" s="1055"/>
      <c r="ICE90" s="1055"/>
      <c r="ICF90" s="1055"/>
      <c r="ICG90" s="1055"/>
      <c r="ICH90" s="1055"/>
      <c r="ICI90" s="1055"/>
      <c r="ICJ90" s="1055"/>
      <c r="ICK90" s="1055"/>
      <c r="ICL90" s="1055"/>
      <c r="ICM90" s="1055"/>
      <c r="ICN90" s="1055"/>
      <c r="ICO90" s="1055"/>
      <c r="ICP90" s="1055"/>
      <c r="ICQ90" s="1055"/>
      <c r="ICR90" s="1055"/>
      <c r="ICS90" s="1055"/>
      <c r="ICT90" s="1055"/>
      <c r="ICU90" s="1055"/>
      <c r="ICV90" s="1055"/>
      <c r="ICW90" s="1055"/>
      <c r="ICX90" s="1055"/>
      <c r="ICY90" s="1055"/>
      <c r="ICZ90" s="1055"/>
      <c r="IDA90" s="1055"/>
      <c r="IDB90" s="1055"/>
      <c r="IDC90" s="1055"/>
      <c r="IDD90" s="1055"/>
      <c r="IDE90" s="1055"/>
      <c r="IDF90" s="1055"/>
      <c r="IDG90" s="1055"/>
      <c r="IDH90" s="1055"/>
      <c r="IDI90" s="1055"/>
      <c r="IDJ90" s="1055"/>
      <c r="IDK90" s="1055"/>
      <c r="IDL90" s="1055"/>
      <c r="IDM90" s="1055"/>
      <c r="IDN90" s="1055"/>
      <c r="IDO90" s="1055"/>
      <c r="IDP90" s="1055"/>
      <c r="IDQ90" s="1055"/>
      <c r="IDR90" s="1055"/>
      <c r="IDS90" s="1055"/>
      <c r="IDT90" s="1055"/>
      <c r="IDU90" s="1055"/>
      <c r="IDV90" s="1055"/>
      <c r="IDW90" s="1055"/>
      <c r="IDX90" s="1055"/>
      <c r="IDY90" s="1055"/>
      <c r="IDZ90" s="1055"/>
      <c r="IEA90" s="1055"/>
      <c r="IEB90" s="1055"/>
      <c r="IEC90" s="1055"/>
      <c r="IED90" s="1055"/>
      <c r="IEE90" s="1055"/>
      <c r="IEF90" s="1055"/>
      <c r="IEG90" s="1055"/>
      <c r="IEH90" s="1055"/>
      <c r="IEI90" s="1055"/>
      <c r="IEJ90" s="1055"/>
      <c r="IEK90" s="1055"/>
      <c r="IEL90" s="1055"/>
      <c r="IEM90" s="1055"/>
      <c r="IEN90" s="1055"/>
      <c r="IEO90" s="1055"/>
      <c r="IEP90" s="1055"/>
      <c r="IEQ90" s="1055"/>
      <c r="IER90" s="1055"/>
      <c r="IES90" s="1055"/>
      <c r="IET90" s="1055"/>
      <c r="IEU90" s="1055"/>
      <c r="IEV90" s="1055"/>
      <c r="IEW90" s="1055"/>
      <c r="IEX90" s="1055"/>
      <c r="IEY90" s="1055"/>
      <c r="IEZ90" s="1055"/>
      <c r="IFA90" s="1055"/>
      <c r="IFB90" s="1055"/>
      <c r="IFC90" s="1055"/>
      <c r="IFD90" s="1055"/>
      <c r="IFE90" s="1055"/>
      <c r="IFF90" s="1055"/>
      <c r="IFG90" s="1055"/>
      <c r="IFH90" s="1055"/>
      <c r="IFI90" s="1055"/>
      <c r="IFJ90" s="1055"/>
      <c r="IFK90" s="1055"/>
      <c r="IFL90" s="1055"/>
      <c r="IFM90" s="1055"/>
      <c r="IFN90" s="1055"/>
      <c r="IFO90" s="1055"/>
      <c r="IFP90" s="1055"/>
      <c r="IFQ90" s="1055"/>
      <c r="IFR90" s="1055"/>
      <c r="IFS90" s="1055"/>
      <c r="IFT90" s="1055"/>
      <c r="IFU90" s="1055"/>
      <c r="IFV90" s="1055"/>
      <c r="IFW90" s="1055"/>
      <c r="IFX90" s="1055"/>
      <c r="IFY90" s="1055"/>
      <c r="IFZ90" s="1055"/>
      <c r="IGA90" s="1055"/>
      <c r="IGB90" s="1055"/>
      <c r="IGC90" s="1055"/>
      <c r="IGD90" s="1055"/>
      <c r="IGE90" s="1055"/>
      <c r="IGF90" s="1055"/>
      <c r="IGG90" s="1055"/>
      <c r="IGH90" s="1055"/>
      <c r="IGI90" s="1055"/>
      <c r="IGJ90" s="1055"/>
      <c r="IGK90" s="1055"/>
      <c r="IGL90" s="1055"/>
      <c r="IGM90" s="1055"/>
      <c r="IGN90" s="1055"/>
      <c r="IGO90" s="1055"/>
      <c r="IGP90" s="1055"/>
      <c r="IGQ90" s="1055"/>
      <c r="IGR90" s="1055"/>
      <c r="IGS90" s="1055"/>
      <c r="IGT90" s="1055"/>
      <c r="IGU90" s="1055"/>
      <c r="IGV90" s="1055"/>
      <c r="IGW90" s="1055"/>
      <c r="IGX90" s="1055"/>
      <c r="IGY90" s="1055"/>
      <c r="IGZ90" s="1055"/>
      <c r="IHA90" s="1055"/>
      <c r="IHB90" s="1055"/>
      <c r="IHC90" s="1055"/>
      <c r="IHD90" s="1055"/>
      <c r="IHE90" s="1055"/>
      <c r="IHF90" s="1055"/>
      <c r="IHG90" s="1055"/>
      <c r="IHH90" s="1055"/>
      <c r="IHI90" s="1055"/>
      <c r="IHJ90" s="1055"/>
      <c r="IHK90" s="1055"/>
      <c r="IHL90" s="1055"/>
      <c r="IHM90" s="1055"/>
      <c r="IHN90" s="1055"/>
      <c r="IHO90" s="1055"/>
      <c r="IHP90" s="1055"/>
      <c r="IHQ90" s="1055"/>
      <c r="IHR90" s="1055"/>
      <c r="IHS90" s="1055"/>
      <c r="IHT90" s="1055"/>
      <c r="IHU90" s="1055"/>
      <c r="IHV90" s="1055"/>
      <c r="IHW90" s="1055"/>
      <c r="IHX90" s="1055"/>
      <c r="IHY90" s="1055"/>
      <c r="IHZ90" s="1055"/>
      <c r="IIA90" s="1055"/>
      <c r="IIB90" s="1055"/>
      <c r="IIC90" s="1055"/>
      <c r="IID90" s="1055"/>
      <c r="IIE90" s="1055"/>
      <c r="IIF90" s="1055"/>
      <c r="IIG90" s="1055"/>
      <c r="IIH90" s="1055"/>
      <c r="III90" s="1055"/>
      <c r="IIJ90" s="1055"/>
      <c r="IIK90" s="1055"/>
      <c r="IIL90" s="1055"/>
      <c r="IIM90" s="1055"/>
      <c r="IIN90" s="1055"/>
      <c r="IIO90" s="1055"/>
      <c r="IIP90" s="1055"/>
      <c r="IIQ90" s="1055"/>
      <c r="IIR90" s="1055"/>
      <c r="IIS90" s="1055"/>
      <c r="IIT90" s="1055"/>
      <c r="IIU90" s="1055"/>
      <c r="IIV90" s="1055"/>
      <c r="IIW90" s="1055"/>
      <c r="IIX90" s="1055"/>
      <c r="IIY90" s="1055"/>
      <c r="IIZ90" s="1055"/>
      <c r="IJA90" s="1055"/>
      <c r="IJB90" s="1055"/>
      <c r="IJC90" s="1055"/>
      <c r="IJD90" s="1055"/>
      <c r="IJE90" s="1055"/>
      <c r="IJF90" s="1055"/>
      <c r="IJG90" s="1055"/>
      <c r="IJH90" s="1055"/>
      <c r="IJI90" s="1055"/>
      <c r="IJJ90" s="1055"/>
      <c r="IJK90" s="1055"/>
      <c r="IJL90" s="1055"/>
      <c r="IJM90" s="1055"/>
      <c r="IJN90" s="1055"/>
      <c r="IJO90" s="1055"/>
      <c r="IJP90" s="1055"/>
      <c r="IJQ90" s="1055"/>
      <c r="IJR90" s="1055"/>
      <c r="IJS90" s="1055"/>
      <c r="IJT90" s="1055"/>
      <c r="IJU90" s="1055"/>
      <c r="IJV90" s="1055"/>
      <c r="IJW90" s="1055"/>
      <c r="IJX90" s="1055"/>
      <c r="IJY90" s="1055"/>
      <c r="IJZ90" s="1055"/>
      <c r="IKA90" s="1055"/>
      <c r="IKB90" s="1055"/>
      <c r="IKC90" s="1055"/>
      <c r="IKD90" s="1055"/>
      <c r="IKE90" s="1055"/>
      <c r="IKF90" s="1055"/>
      <c r="IKG90" s="1055"/>
      <c r="IKH90" s="1055"/>
      <c r="IKI90" s="1055"/>
      <c r="IKJ90" s="1055"/>
      <c r="IKK90" s="1055"/>
      <c r="IKL90" s="1055"/>
      <c r="IKM90" s="1055"/>
      <c r="IKN90" s="1055"/>
      <c r="IKO90" s="1055"/>
      <c r="IKP90" s="1055"/>
      <c r="IKQ90" s="1055"/>
      <c r="IKR90" s="1055"/>
      <c r="IKS90" s="1055"/>
      <c r="IKT90" s="1055"/>
      <c r="IKU90" s="1055"/>
      <c r="IKV90" s="1055"/>
      <c r="IKW90" s="1055"/>
      <c r="IKX90" s="1055"/>
      <c r="IKY90" s="1055"/>
      <c r="IKZ90" s="1055"/>
      <c r="ILA90" s="1055"/>
      <c r="ILB90" s="1055"/>
      <c r="ILC90" s="1055"/>
      <c r="ILD90" s="1055"/>
      <c r="ILE90" s="1055"/>
      <c r="ILF90" s="1055"/>
      <c r="ILG90" s="1055"/>
      <c r="ILH90" s="1055"/>
      <c r="ILI90" s="1055"/>
      <c r="ILJ90" s="1055"/>
      <c r="ILK90" s="1055"/>
      <c r="ILL90" s="1055"/>
      <c r="ILM90" s="1055"/>
      <c r="ILN90" s="1055"/>
      <c r="ILO90" s="1055"/>
      <c r="ILP90" s="1055"/>
      <c r="ILQ90" s="1055"/>
      <c r="ILR90" s="1055"/>
      <c r="ILS90" s="1055"/>
      <c r="ILT90" s="1055"/>
      <c r="ILU90" s="1055"/>
      <c r="ILV90" s="1055"/>
      <c r="ILW90" s="1055"/>
      <c r="ILX90" s="1055"/>
      <c r="ILY90" s="1055"/>
      <c r="ILZ90" s="1055"/>
      <c r="IMA90" s="1055"/>
      <c r="IMB90" s="1055"/>
      <c r="IMC90" s="1055"/>
      <c r="IMD90" s="1055"/>
      <c r="IME90" s="1055"/>
      <c r="IMF90" s="1055"/>
      <c r="IMG90" s="1055"/>
      <c r="IMH90" s="1055"/>
      <c r="IMI90" s="1055"/>
      <c r="IMJ90" s="1055"/>
      <c r="IMK90" s="1055"/>
      <c r="IML90" s="1055"/>
      <c r="IMM90" s="1055"/>
      <c r="IMN90" s="1055"/>
      <c r="IMO90" s="1055"/>
      <c r="IMP90" s="1055"/>
      <c r="IMQ90" s="1055"/>
      <c r="IMR90" s="1055"/>
      <c r="IMS90" s="1055"/>
      <c r="IMT90" s="1055"/>
      <c r="IMU90" s="1055"/>
      <c r="IMV90" s="1055"/>
      <c r="IMW90" s="1055"/>
      <c r="IMX90" s="1055"/>
      <c r="IMY90" s="1055"/>
      <c r="IMZ90" s="1055"/>
      <c r="INA90" s="1055"/>
      <c r="INB90" s="1055"/>
      <c r="INC90" s="1055"/>
      <c r="IND90" s="1055"/>
      <c r="INE90" s="1055"/>
      <c r="INF90" s="1055"/>
      <c r="ING90" s="1055"/>
      <c r="INH90" s="1055"/>
      <c r="INI90" s="1055"/>
      <c r="INJ90" s="1055"/>
      <c r="INK90" s="1055"/>
      <c r="INL90" s="1055"/>
      <c r="INM90" s="1055"/>
      <c r="INN90" s="1055"/>
      <c r="INO90" s="1055"/>
      <c r="INP90" s="1055"/>
      <c r="INQ90" s="1055"/>
      <c r="INR90" s="1055"/>
      <c r="INS90" s="1055"/>
      <c r="INT90" s="1055"/>
      <c r="INU90" s="1055"/>
      <c r="INV90" s="1055"/>
      <c r="INW90" s="1055"/>
      <c r="INX90" s="1055"/>
      <c r="INY90" s="1055"/>
      <c r="INZ90" s="1055"/>
      <c r="IOA90" s="1055"/>
      <c r="IOB90" s="1055"/>
      <c r="IOC90" s="1055"/>
      <c r="IOD90" s="1055"/>
      <c r="IOE90" s="1055"/>
      <c r="IOF90" s="1055"/>
      <c r="IOG90" s="1055"/>
      <c r="IOH90" s="1055"/>
      <c r="IOI90" s="1055"/>
      <c r="IOJ90" s="1055"/>
      <c r="IOK90" s="1055"/>
      <c r="IOL90" s="1055"/>
      <c r="IOM90" s="1055"/>
      <c r="ION90" s="1055"/>
      <c r="IOO90" s="1055"/>
      <c r="IOP90" s="1055"/>
      <c r="IOQ90" s="1055"/>
      <c r="IOR90" s="1055"/>
      <c r="IOS90" s="1055"/>
      <c r="IOT90" s="1055"/>
      <c r="IOU90" s="1055"/>
      <c r="IOV90" s="1055"/>
      <c r="IOW90" s="1055"/>
      <c r="IOX90" s="1055"/>
      <c r="IOY90" s="1055"/>
      <c r="IOZ90" s="1055"/>
      <c r="IPA90" s="1055"/>
      <c r="IPB90" s="1055"/>
      <c r="IPC90" s="1055"/>
      <c r="IPD90" s="1055"/>
      <c r="IPE90" s="1055"/>
      <c r="IPF90" s="1055"/>
      <c r="IPG90" s="1055"/>
      <c r="IPH90" s="1055"/>
      <c r="IPI90" s="1055"/>
      <c r="IPJ90" s="1055"/>
      <c r="IPK90" s="1055"/>
      <c r="IPL90" s="1055"/>
      <c r="IPM90" s="1055"/>
      <c r="IPN90" s="1055"/>
      <c r="IPO90" s="1055"/>
      <c r="IPP90" s="1055"/>
      <c r="IPQ90" s="1055"/>
      <c r="IPR90" s="1055"/>
      <c r="IPS90" s="1055"/>
      <c r="IPT90" s="1055"/>
      <c r="IPU90" s="1055"/>
      <c r="IPV90" s="1055"/>
      <c r="IPW90" s="1055"/>
      <c r="IPX90" s="1055"/>
      <c r="IPY90" s="1055"/>
      <c r="IPZ90" s="1055"/>
      <c r="IQA90" s="1055"/>
      <c r="IQB90" s="1055"/>
      <c r="IQC90" s="1055"/>
      <c r="IQD90" s="1055"/>
      <c r="IQE90" s="1055"/>
      <c r="IQF90" s="1055"/>
      <c r="IQG90" s="1055"/>
      <c r="IQH90" s="1055"/>
      <c r="IQI90" s="1055"/>
      <c r="IQJ90" s="1055"/>
      <c r="IQK90" s="1055"/>
      <c r="IQL90" s="1055"/>
      <c r="IQM90" s="1055"/>
      <c r="IQN90" s="1055"/>
      <c r="IQO90" s="1055"/>
      <c r="IQP90" s="1055"/>
      <c r="IQQ90" s="1055"/>
      <c r="IQR90" s="1055"/>
      <c r="IQS90" s="1055"/>
      <c r="IQT90" s="1055"/>
      <c r="IQU90" s="1055"/>
      <c r="IQV90" s="1055"/>
      <c r="IQW90" s="1055"/>
      <c r="IQX90" s="1055"/>
      <c r="IQY90" s="1055"/>
      <c r="IQZ90" s="1055"/>
      <c r="IRA90" s="1055"/>
      <c r="IRB90" s="1055"/>
      <c r="IRC90" s="1055"/>
      <c r="IRD90" s="1055"/>
      <c r="IRE90" s="1055"/>
      <c r="IRF90" s="1055"/>
      <c r="IRG90" s="1055"/>
      <c r="IRH90" s="1055"/>
      <c r="IRI90" s="1055"/>
      <c r="IRJ90" s="1055"/>
      <c r="IRK90" s="1055"/>
      <c r="IRL90" s="1055"/>
      <c r="IRM90" s="1055"/>
      <c r="IRN90" s="1055"/>
      <c r="IRO90" s="1055"/>
      <c r="IRP90" s="1055"/>
      <c r="IRQ90" s="1055"/>
      <c r="IRR90" s="1055"/>
      <c r="IRS90" s="1055"/>
      <c r="IRT90" s="1055"/>
      <c r="IRU90" s="1055"/>
      <c r="IRV90" s="1055"/>
      <c r="IRW90" s="1055"/>
      <c r="IRX90" s="1055"/>
      <c r="IRY90" s="1055"/>
      <c r="IRZ90" s="1055"/>
      <c r="ISA90" s="1055"/>
      <c r="ISB90" s="1055"/>
      <c r="ISC90" s="1055"/>
      <c r="ISD90" s="1055"/>
      <c r="ISE90" s="1055"/>
      <c r="ISF90" s="1055"/>
      <c r="ISG90" s="1055"/>
      <c r="ISH90" s="1055"/>
      <c r="ISI90" s="1055"/>
      <c r="ISJ90" s="1055"/>
      <c r="ISK90" s="1055"/>
      <c r="ISL90" s="1055"/>
      <c r="ISM90" s="1055"/>
      <c r="ISN90" s="1055"/>
      <c r="ISO90" s="1055"/>
      <c r="ISP90" s="1055"/>
      <c r="ISQ90" s="1055"/>
      <c r="ISR90" s="1055"/>
      <c r="ISS90" s="1055"/>
      <c r="IST90" s="1055"/>
      <c r="ISU90" s="1055"/>
      <c r="ISV90" s="1055"/>
      <c r="ISW90" s="1055"/>
      <c r="ISX90" s="1055"/>
      <c r="ISY90" s="1055"/>
      <c r="ISZ90" s="1055"/>
      <c r="ITA90" s="1055"/>
      <c r="ITB90" s="1055"/>
      <c r="ITC90" s="1055"/>
      <c r="ITD90" s="1055"/>
      <c r="ITE90" s="1055"/>
      <c r="ITF90" s="1055"/>
      <c r="ITG90" s="1055"/>
      <c r="ITH90" s="1055"/>
      <c r="ITI90" s="1055"/>
      <c r="ITJ90" s="1055"/>
      <c r="ITK90" s="1055"/>
      <c r="ITL90" s="1055"/>
      <c r="ITM90" s="1055"/>
      <c r="ITN90" s="1055"/>
      <c r="ITO90" s="1055"/>
      <c r="ITP90" s="1055"/>
      <c r="ITQ90" s="1055"/>
      <c r="ITR90" s="1055"/>
      <c r="ITS90" s="1055"/>
      <c r="ITT90" s="1055"/>
      <c r="ITU90" s="1055"/>
      <c r="ITV90" s="1055"/>
      <c r="ITW90" s="1055"/>
      <c r="ITX90" s="1055"/>
      <c r="ITY90" s="1055"/>
      <c r="ITZ90" s="1055"/>
      <c r="IUA90" s="1055"/>
      <c r="IUB90" s="1055"/>
      <c r="IUC90" s="1055"/>
      <c r="IUD90" s="1055"/>
      <c r="IUE90" s="1055"/>
      <c r="IUF90" s="1055"/>
      <c r="IUG90" s="1055"/>
      <c r="IUH90" s="1055"/>
      <c r="IUI90" s="1055"/>
      <c r="IUJ90" s="1055"/>
      <c r="IUK90" s="1055"/>
      <c r="IUL90" s="1055"/>
      <c r="IUM90" s="1055"/>
      <c r="IUN90" s="1055"/>
      <c r="IUO90" s="1055"/>
      <c r="IUP90" s="1055"/>
      <c r="IUQ90" s="1055"/>
      <c r="IUR90" s="1055"/>
      <c r="IUS90" s="1055"/>
      <c r="IUT90" s="1055"/>
      <c r="IUU90" s="1055"/>
      <c r="IUV90" s="1055"/>
      <c r="IUW90" s="1055"/>
      <c r="IUX90" s="1055"/>
      <c r="IUY90" s="1055"/>
      <c r="IUZ90" s="1055"/>
      <c r="IVA90" s="1055"/>
      <c r="IVB90" s="1055"/>
      <c r="IVC90" s="1055"/>
      <c r="IVD90" s="1055"/>
      <c r="IVE90" s="1055"/>
      <c r="IVF90" s="1055"/>
      <c r="IVG90" s="1055"/>
      <c r="IVH90" s="1055"/>
      <c r="IVI90" s="1055"/>
      <c r="IVJ90" s="1055"/>
      <c r="IVK90" s="1055"/>
      <c r="IVL90" s="1055"/>
      <c r="IVM90" s="1055"/>
      <c r="IVN90" s="1055"/>
      <c r="IVO90" s="1055"/>
      <c r="IVP90" s="1055"/>
      <c r="IVQ90" s="1055"/>
      <c r="IVR90" s="1055"/>
      <c r="IVS90" s="1055"/>
      <c r="IVT90" s="1055"/>
      <c r="IVU90" s="1055"/>
      <c r="IVV90" s="1055"/>
      <c r="IVW90" s="1055"/>
      <c r="IVX90" s="1055"/>
      <c r="IVY90" s="1055"/>
      <c r="IVZ90" s="1055"/>
      <c r="IWA90" s="1055"/>
      <c r="IWB90" s="1055"/>
      <c r="IWC90" s="1055"/>
      <c r="IWD90" s="1055"/>
      <c r="IWE90" s="1055"/>
      <c r="IWF90" s="1055"/>
      <c r="IWG90" s="1055"/>
      <c r="IWH90" s="1055"/>
      <c r="IWI90" s="1055"/>
      <c r="IWJ90" s="1055"/>
      <c r="IWK90" s="1055"/>
      <c r="IWL90" s="1055"/>
      <c r="IWM90" s="1055"/>
      <c r="IWN90" s="1055"/>
      <c r="IWO90" s="1055"/>
      <c r="IWP90" s="1055"/>
      <c r="IWQ90" s="1055"/>
      <c r="IWR90" s="1055"/>
      <c r="IWS90" s="1055"/>
      <c r="IWT90" s="1055"/>
      <c r="IWU90" s="1055"/>
      <c r="IWV90" s="1055"/>
      <c r="IWW90" s="1055"/>
      <c r="IWX90" s="1055"/>
      <c r="IWY90" s="1055"/>
      <c r="IWZ90" s="1055"/>
      <c r="IXA90" s="1055"/>
      <c r="IXB90" s="1055"/>
      <c r="IXC90" s="1055"/>
      <c r="IXD90" s="1055"/>
      <c r="IXE90" s="1055"/>
      <c r="IXF90" s="1055"/>
      <c r="IXG90" s="1055"/>
      <c r="IXH90" s="1055"/>
      <c r="IXI90" s="1055"/>
      <c r="IXJ90" s="1055"/>
      <c r="IXK90" s="1055"/>
      <c r="IXL90" s="1055"/>
      <c r="IXM90" s="1055"/>
      <c r="IXN90" s="1055"/>
      <c r="IXO90" s="1055"/>
      <c r="IXP90" s="1055"/>
      <c r="IXQ90" s="1055"/>
      <c r="IXR90" s="1055"/>
      <c r="IXS90" s="1055"/>
      <c r="IXT90" s="1055"/>
      <c r="IXU90" s="1055"/>
      <c r="IXV90" s="1055"/>
      <c r="IXW90" s="1055"/>
      <c r="IXX90" s="1055"/>
      <c r="IXY90" s="1055"/>
      <c r="IXZ90" s="1055"/>
      <c r="IYA90" s="1055"/>
      <c r="IYB90" s="1055"/>
      <c r="IYC90" s="1055"/>
      <c r="IYD90" s="1055"/>
      <c r="IYE90" s="1055"/>
      <c r="IYF90" s="1055"/>
      <c r="IYG90" s="1055"/>
      <c r="IYH90" s="1055"/>
      <c r="IYI90" s="1055"/>
      <c r="IYJ90" s="1055"/>
      <c r="IYK90" s="1055"/>
      <c r="IYL90" s="1055"/>
      <c r="IYM90" s="1055"/>
      <c r="IYN90" s="1055"/>
      <c r="IYO90" s="1055"/>
      <c r="IYP90" s="1055"/>
      <c r="IYQ90" s="1055"/>
      <c r="IYR90" s="1055"/>
      <c r="IYS90" s="1055"/>
      <c r="IYT90" s="1055"/>
      <c r="IYU90" s="1055"/>
      <c r="IYV90" s="1055"/>
      <c r="IYW90" s="1055"/>
      <c r="IYX90" s="1055"/>
      <c r="IYY90" s="1055"/>
      <c r="IYZ90" s="1055"/>
      <c r="IZA90" s="1055"/>
      <c r="IZB90" s="1055"/>
      <c r="IZC90" s="1055"/>
      <c r="IZD90" s="1055"/>
      <c r="IZE90" s="1055"/>
      <c r="IZF90" s="1055"/>
      <c r="IZG90" s="1055"/>
      <c r="IZH90" s="1055"/>
      <c r="IZI90" s="1055"/>
      <c r="IZJ90" s="1055"/>
      <c r="IZK90" s="1055"/>
      <c r="IZL90" s="1055"/>
      <c r="IZM90" s="1055"/>
      <c r="IZN90" s="1055"/>
      <c r="IZO90" s="1055"/>
      <c r="IZP90" s="1055"/>
      <c r="IZQ90" s="1055"/>
      <c r="IZR90" s="1055"/>
      <c r="IZS90" s="1055"/>
      <c r="IZT90" s="1055"/>
      <c r="IZU90" s="1055"/>
      <c r="IZV90" s="1055"/>
      <c r="IZW90" s="1055"/>
      <c r="IZX90" s="1055"/>
      <c r="IZY90" s="1055"/>
      <c r="IZZ90" s="1055"/>
      <c r="JAA90" s="1055"/>
      <c r="JAB90" s="1055"/>
      <c r="JAC90" s="1055"/>
      <c r="JAD90" s="1055"/>
      <c r="JAE90" s="1055"/>
      <c r="JAF90" s="1055"/>
      <c r="JAG90" s="1055"/>
      <c r="JAH90" s="1055"/>
      <c r="JAI90" s="1055"/>
      <c r="JAJ90" s="1055"/>
      <c r="JAK90" s="1055"/>
      <c r="JAL90" s="1055"/>
      <c r="JAM90" s="1055"/>
      <c r="JAN90" s="1055"/>
      <c r="JAO90" s="1055"/>
      <c r="JAP90" s="1055"/>
      <c r="JAQ90" s="1055"/>
      <c r="JAR90" s="1055"/>
      <c r="JAS90" s="1055"/>
      <c r="JAT90" s="1055"/>
      <c r="JAU90" s="1055"/>
      <c r="JAV90" s="1055"/>
      <c r="JAW90" s="1055"/>
      <c r="JAX90" s="1055"/>
      <c r="JAY90" s="1055"/>
      <c r="JAZ90" s="1055"/>
      <c r="JBA90" s="1055"/>
      <c r="JBB90" s="1055"/>
      <c r="JBC90" s="1055"/>
      <c r="JBD90" s="1055"/>
      <c r="JBE90" s="1055"/>
      <c r="JBF90" s="1055"/>
      <c r="JBG90" s="1055"/>
      <c r="JBH90" s="1055"/>
      <c r="JBI90" s="1055"/>
      <c r="JBJ90" s="1055"/>
      <c r="JBK90" s="1055"/>
      <c r="JBL90" s="1055"/>
      <c r="JBM90" s="1055"/>
      <c r="JBN90" s="1055"/>
      <c r="JBO90" s="1055"/>
      <c r="JBP90" s="1055"/>
      <c r="JBQ90" s="1055"/>
      <c r="JBR90" s="1055"/>
      <c r="JBS90" s="1055"/>
      <c r="JBT90" s="1055"/>
      <c r="JBU90" s="1055"/>
      <c r="JBV90" s="1055"/>
      <c r="JBW90" s="1055"/>
      <c r="JBX90" s="1055"/>
      <c r="JBY90" s="1055"/>
      <c r="JBZ90" s="1055"/>
      <c r="JCA90" s="1055"/>
      <c r="JCB90" s="1055"/>
      <c r="JCC90" s="1055"/>
      <c r="JCD90" s="1055"/>
      <c r="JCE90" s="1055"/>
      <c r="JCF90" s="1055"/>
      <c r="JCG90" s="1055"/>
      <c r="JCH90" s="1055"/>
      <c r="JCI90" s="1055"/>
      <c r="JCJ90" s="1055"/>
      <c r="JCK90" s="1055"/>
      <c r="JCL90" s="1055"/>
      <c r="JCM90" s="1055"/>
      <c r="JCN90" s="1055"/>
      <c r="JCO90" s="1055"/>
      <c r="JCP90" s="1055"/>
      <c r="JCQ90" s="1055"/>
      <c r="JCR90" s="1055"/>
      <c r="JCS90" s="1055"/>
      <c r="JCT90" s="1055"/>
      <c r="JCU90" s="1055"/>
      <c r="JCV90" s="1055"/>
      <c r="JCW90" s="1055"/>
      <c r="JCX90" s="1055"/>
      <c r="JCY90" s="1055"/>
      <c r="JCZ90" s="1055"/>
      <c r="JDA90" s="1055"/>
      <c r="JDB90" s="1055"/>
      <c r="JDC90" s="1055"/>
      <c r="JDD90" s="1055"/>
      <c r="JDE90" s="1055"/>
      <c r="JDF90" s="1055"/>
      <c r="JDG90" s="1055"/>
      <c r="JDH90" s="1055"/>
      <c r="JDI90" s="1055"/>
      <c r="JDJ90" s="1055"/>
      <c r="JDK90" s="1055"/>
      <c r="JDL90" s="1055"/>
      <c r="JDM90" s="1055"/>
      <c r="JDN90" s="1055"/>
      <c r="JDO90" s="1055"/>
      <c r="JDP90" s="1055"/>
      <c r="JDQ90" s="1055"/>
      <c r="JDR90" s="1055"/>
      <c r="JDS90" s="1055"/>
      <c r="JDT90" s="1055"/>
      <c r="JDU90" s="1055"/>
      <c r="JDV90" s="1055"/>
      <c r="JDW90" s="1055"/>
      <c r="JDX90" s="1055"/>
      <c r="JDY90" s="1055"/>
      <c r="JDZ90" s="1055"/>
      <c r="JEA90" s="1055"/>
      <c r="JEB90" s="1055"/>
      <c r="JEC90" s="1055"/>
      <c r="JED90" s="1055"/>
      <c r="JEE90" s="1055"/>
      <c r="JEF90" s="1055"/>
      <c r="JEG90" s="1055"/>
      <c r="JEH90" s="1055"/>
      <c r="JEI90" s="1055"/>
      <c r="JEJ90" s="1055"/>
      <c r="JEK90" s="1055"/>
      <c r="JEL90" s="1055"/>
      <c r="JEM90" s="1055"/>
      <c r="JEN90" s="1055"/>
      <c r="JEO90" s="1055"/>
      <c r="JEP90" s="1055"/>
      <c r="JEQ90" s="1055"/>
      <c r="JER90" s="1055"/>
      <c r="JES90" s="1055"/>
      <c r="JET90" s="1055"/>
      <c r="JEU90" s="1055"/>
      <c r="JEV90" s="1055"/>
      <c r="JEW90" s="1055"/>
      <c r="JEX90" s="1055"/>
      <c r="JEY90" s="1055"/>
      <c r="JEZ90" s="1055"/>
      <c r="JFA90" s="1055"/>
      <c r="JFB90" s="1055"/>
      <c r="JFC90" s="1055"/>
      <c r="JFD90" s="1055"/>
      <c r="JFE90" s="1055"/>
      <c r="JFF90" s="1055"/>
      <c r="JFG90" s="1055"/>
      <c r="JFH90" s="1055"/>
      <c r="JFI90" s="1055"/>
      <c r="JFJ90" s="1055"/>
      <c r="JFK90" s="1055"/>
      <c r="JFL90" s="1055"/>
      <c r="JFM90" s="1055"/>
      <c r="JFN90" s="1055"/>
      <c r="JFO90" s="1055"/>
      <c r="JFP90" s="1055"/>
      <c r="JFQ90" s="1055"/>
      <c r="JFR90" s="1055"/>
      <c r="JFS90" s="1055"/>
      <c r="JFT90" s="1055"/>
      <c r="JFU90" s="1055"/>
      <c r="JFV90" s="1055"/>
      <c r="JFW90" s="1055"/>
      <c r="JFX90" s="1055"/>
      <c r="JFY90" s="1055"/>
      <c r="JFZ90" s="1055"/>
      <c r="JGA90" s="1055"/>
      <c r="JGB90" s="1055"/>
      <c r="JGC90" s="1055"/>
      <c r="JGD90" s="1055"/>
      <c r="JGE90" s="1055"/>
      <c r="JGF90" s="1055"/>
      <c r="JGG90" s="1055"/>
      <c r="JGH90" s="1055"/>
      <c r="JGI90" s="1055"/>
      <c r="JGJ90" s="1055"/>
      <c r="JGK90" s="1055"/>
      <c r="JGL90" s="1055"/>
      <c r="JGM90" s="1055"/>
      <c r="JGN90" s="1055"/>
      <c r="JGO90" s="1055"/>
      <c r="JGP90" s="1055"/>
      <c r="JGQ90" s="1055"/>
      <c r="JGR90" s="1055"/>
      <c r="JGS90" s="1055"/>
      <c r="JGT90" s="1055"/>
      <c r="JGU90" s="1055"/>
      <c r="JGV90" s="1055"/>
      <c r="JGW90" s="1055"/>
      <c r="JGX90" s="1055"/>
      <c r="JGY90" s="1055"/>
      <c r="JGZ90" s="1055"/>
      <c r="JHA90" s="1055"/>
      <c r="JHB90" s="1055"/>
      <c r="JHC90" s="1055"/>
      <c r="JHD90" s="1055"/>
      <c r="JHE90" s="1055"/>
      <c r="JHF90" s="1055"/>
      <c r="JHG90" s="1055"/>
      <c r="JHH90" s="1055"/>
      <c r="JHI90" s="1055"/>
      <c r="JHJ90" s="1055"/>
      <c r="JHK90" s="1055"/>
      <c r="JHL90" s="1055"/>
      <c r="JHM90" s="1055"/>
      <c r="JHN90" s="1055"/>
      <c r="JHO90" s="1055"/>
      <c r="JHP90" s="1055"/>
      <c r="JHQ90" s="1055"/>
      <c r="JHR90" s="1055"/>
      <c r="JHS90" s="1055"/>
      <c r="JHT90" s="1055"/>
      <c r="JHU90" s="1055"/>
      <c r="JHV90" s="1055"/>
      <c r="JHW90" s="1055"/>
      <c r="JHX90" s="1055"/>
      <c r="JHY90" s="1055"/>
      <c r="JHZ90" s="1055"/>
      <c r="JIA90" s="1055"/>
      <c r="JIB90" s="1055"/>
      <c r="JIC90" s="1055"/>
      <c r="JID90" s="1055"/>
      <c r="JIE90" s="1055"/>
      <c r="JIF90" s="1055"/>
      <c r="JIG90" s="1055"/>
      <c r="JIH90" s="1055"/>
      <c r="JII90" s="1055"/>
      <c r="JIJ90" s="1055"/>
      <c r="JIK90" s="1055"/>
      <c r="JIL90" s="1055"/>
      <c r="JIM90" s="1055"/>
      <c r="JIN90" s="1055"/>
      <c r="JIO90" s="1055"/>
      <c r="JIP90" s="1055"/>
      <c r="JIQ90" s="1055"/>
      <c r="JIR90" s="1055"/>
      <c r="JIS90" s="1055"/>
      <c r="JIT90" s="1055"/>
      <c r="JIU90" s="1055"/>
      <c r="JIV90" s="1055"/>
      <c r="JIW90" s="1055"/>
      <c r="JIX90" s="1055"/>
      <c r="JIY90" s="1055"/>
      <c r="JIZ90" s="1055"/>
      <c r="JJA90" s="1055"/>
      <c r="JJB90" s="1055"/>
      <c r="JJC90" s="1055"/>
      <c r="JJD90" s="1055"/>
      <c r="JJE90" s="1055"/>
      <c r="JJF90" s="1055"/>
      <c r="JJG90" s="1055"/>
      <c r="JJH90" s="1055"/>
      <c r="JJI90" s="1055"/>
      <c r="JJJ90" s="1055"/>
      <c r="JJK90" s="1055"/>
      <c r="JJL90" s="1055"/>
      <c r="JJM90" s="1055"/>
      <c r="JJN90" s="1055"/>
      <c r="JJO90" s="1055"/>
      <c r="JJP90" s="1055"/>
      <c r="JJQ90" s="1055"/>
      <c r="JJR90" s="1055"/>
      <c r="JJS90" s="1055"/>
      <c r="JJT90" s="1055"/>
      <c r="JJU90" s="1055"/>
      <c r="JJV90" s="1055"/>
      <c r="JJW90" s="1055"/>
      <c r="JJX90" s="1055"/>
      <c r="JJY90" s="1055"/>
      <c r="JJZ90" s="1055"/>
      <c r="JKA90" s="1055"/>
      <c r="JKB90" s="1055"/>
      <c r="JKC90" s="1055"/>
      <c r="JKD90" s="1055"/>
      <c r="JKE90" s="1055"/>
      <c r="JKF90" s="1055"/>
      <c r="JKG90" s="1055"/>
      <c r="JKH90" s="1055"/>
      <c r="JKI90" s="1055"/>
      <c r="JKJ90" s="1055"/>
      <c r="JKK90" s="1055"/>
      <c r="JKL90" s="1055"/>
      <c r="JKM90" s="1055"/>
      <c r="JKN90" s="1055"/>
      <c r="JKO90" s="1055"/>
      <c r="JKP90" s="1055"/>
      <c r="JKQ90" s="1055"/>
      <c r="JKR90" s="1055"/>
      <c r="JKS90" s="1055"/>
      <c r="JKT90" s="1055"/>
      <c r="JKU90" s="1055"/>
      <c r="JKV90" s="1055"/>
      <c r="JKW90" s="1055"/>
      <c r="JKX90" s="1055"/>
      <c r="JKY90" s="1055"/>
      <c r="JKZ90" s="1055"/>
      <c r="JLA90" s="1055"/>
      <c r="JLB90" s="1055"/>
      <c r="JLC90" s="1055"/>
      <c r="JLD90" s="1055"/>
      <c r="JLE90" s="1055"/>
      <c r="JLF90" s="1055"/>
      <c r="JLG90" s="1055"/>
      <c r="JLH90" s="1055"/>
      <c r="JLI90" s="1055"/>
      <c r="JLJ90" s="1055"/>
      <c r="JLK90" s="1055"/>
      <c r="JLL90" s="1055"/>
      <c r="JLM90" s="1055"/>
      <c r="JLN90" s="1055"/>
      <c r="JLO90" s="1055"/>
      <c r="JLP90" s="1055"/>
      <c r="JLQ90" s="1055"/>
      <c r="JLR90" s="1055"/>
      <c r="JLS90" s="1055"/>
      <c r="JLT90" s="1055"/>
      <c r="JLU90" s="1055"/>
      <c r="JLV90" s="1055"/>
      <c r="JLW90" s="1055"/>
      <c r="JLX90" s="1055"/>
      <c r="JLY90" s="1055"/>
      <c r="JLZ90" s="1055"/>
      <c r="JMA90" s="1055"/>
      <c r="JMB90" s="1055"/>
      <c r="JMC90" s="1055"/>
      <c r="JMD90" s="1055"/>
      <c r="JME90" s="1055"/>
      <c r="JMF90" s="1055"/>
      <c r="JMG90" s="1055"/>
      <c r="JMH90" s="1055"/>
      <c r="JMI90" s="1055"/>
      <c r="JMJ90" s="1055"/>
      <c r="JMK90" s="1055"/>
      <c r="JML90" s="1055"/>
      <c r="JMM90" s="1055"/>
      <c r="JMN90" s="1055"/>
      <c r="JMO90" s="1055"/>
      <c r="JMP90" s="1055"/>
      <c r="JMQ90" s="1055"/>
      <c r="JMR90" s="1055"/>
      <c r="JMS90" s="1055"/>
      <c r="JMT90" s="1055"/>
      <c r="JMU90" s="1055"/>
      <c r="JMV90" s="1055"/>
      <c r="JMW90" s="1055"/>
      <c r="JMX90" s="1055"/>
      <c r="JMY90" s="1055"/>
      <c r="JMZ90" s="1055"/>
      <c r="JNA90" s="1055"/>
      <c r="JNB90" s="1055"/>
      <c r="JNC90" s="1055"/>
      <c r="JND90" s="1055"/>
      <c r="JNE90" s="1055"/>
      <c r="JNF90" s="1055"/>
      <c r="JNG90" s="1055"/>
      <c r="JNH90" s="1055"/>
      <c r="JNI90" s="1055"/>
      <c r="JNJ90" s="1055"/>
      <c r="JNK90" s="1055"/>
      <c r="JNL90" s="1055"/>
      <c r="JNM90" s="1055"/>
      <c r="JNN90" s="1055"/>
      <c r="JNO90" s="1055"/>
      <c r="JNP90" s="1055"/>
      <c r="JNQ90" s="1055"/>
      <c r="JNR90" s="1055"/>
      <c r="JNS90" s="1055"/>
      <c r="JNT90" s="1055"/>
      <c r="JNU90" s="1055"/>
      <c r="JNV90" s="1055"/>
      <c r="JNW90" s="1055"/>
      <c r="JNX90" s="1055"/>
      <c r="JNY90" s="1055"/>
      <c r="JNZ90" s="1055"/>
      <c r="JOA90" s="1055"/>
      <c r="JOB90" s="1055"/>
      <c r="JOC90" s="1055"/>
      <c r="JOD90" s="1055"/>
      <c r="JOE90" s="1055"/>
      <c r="JOF90" s="1055"/>
      <c r="JOG90" s="1055"/>
      <c r="JOH90" s="1055"/>
      <c r="JOI90" s="1055"/>
      <c r="JOJ90" s="1055"/>
      <c r="JOK90" s="1055"/>
      <c r="JOL90" s="1055"/>
      <c r="JOM90" s="1055"/>
      <c r="JON90" s="1055"/>
      <c r="JOO90" s="1055"/>
      <c r="JOP90" s="1055"/>
      <c r="JOQ90" s="1055"/>
      <c r="JOR90" s="1055"/>
      <c r="JOS90" s="1055"/>
      <c r="JOT90" s="1055"/>
      <c r="JOU90" s="1055"/>
      <c r="JOV90" s="1055"/>
      <c r="JOW90" s="1055"/>
      <c r="JOX90" s="1055"/>
      <c r="JOY90" s="1055"/>
      <c r="JOZ90" s="1055"/>
      <c r="JPA90" s="1055"/>
      <c r="JPB90" s="1055"/>
      <c r="JPC90" s="1055"/>
      <c r="JPD90" s="1055"/>
      <c r="JPE90" s="1055"/>
      <c r="JPF90" s="1055"/>
      <c r="JPG90" s="1055"/>
      <c r="JPH90" s="1055"/>
      <c r="JPI90" s="1055"/>
      <c r="JPJ90" s="1055"/>
      <c r="JPK90" s="1055"/>
      <c r="JPL90" s="1055"/>
      <c r="JPM90" s="1055"/>
      <c r="JPN90" s="1055"/>
      <c r="JPO90" s="1055"/>
      <c r="JPP90" s="1055"/>
      <c r="JPQ90" s="1055"/>
      <c r="JPR90" s="1055"/>
      <c r="JPS90" s="1055"/>
      <c r="JPT90" s="1055"/>
      <c r="JPU90" s="1055"/>
      <c r="JPV90" s="1055"/>
      <c r="JPW90" s="1055"/>
      <c r="JPX90" s="1055"/>
      <c r="JPY90" s="1055"/>
      <c r="JPZ90" s="1055"/>
      <c r="JQA90" s="1055"/>
      <c r="JQB90" s="1055"/>
      <c r="JQC90" s="1055"/>
      <c r="JQD90" s="1055"/>
      <c r="JQE90" s="1055"/>
      <c r="JQF90" s="1055"/>
      <c r="JQG90" s="1055"/>
      <c r="JQH90" s="1055"/>
      <c r="JQI90" s="1055"/>
      <c r="JQJ90" s="1055"/>
      <c r="JQK90" s="1055"/>
      <c r="JQL90" s="1055"/>
      <c r="JQM90" s="1055"/>
      <c r="JQN90" s="1055"/>
      <c r="JQO90" s="1055"/>
      <c r="JQP90" s="1055"/>
      <c r="JQQ90" s="1055"/>
      <c r="JQR90" s="1055"/>
      <c r="JQS90" s="1055"/>
      <c r="JQT90" s="1055"/>
      <c r="JQU90" s="1055"/>
      <c r="JQV90" s="1055"/>
      <c r="JQW90" s="1055"/>
      <c r="JQX90" s="1055"/>
      <c r="JQY90" s="1055"/>
      <c r="JQZ90" s="1055"/>
      <c r="JRA90" s="1055"/>
      <c r="JRB90" s="1055"/>
      <c r="JRC90" s="1055"/>
      <c r="JRD90" s="1055"/>
      <c r="JRE90" s="1055"/>
      <c r="JRF90" s="1055"/>
      <c r="JRG90" s="1055"/>
      <c r="JRH90" s="1055"/>
      <c r="JRI90" s="1055"/>
      <c r="JRJ90" s="1055"/>
      <c r="JRK90" s="1055"/>
      <c r="JRL90" s="1055"/>
      <c r="JRM90" s="1055"/>
      <c r="JRN90" s="1055"/>
      <c r="JRO90" s="1055"/>
      <c r="JRP90" s="1055"/>
      <c r="JRQ90" s="1055"/>
      <c r="JRR90" s="1055"/>
      <c r="JRS90" s="1055"/>
      <c r="JRT90" s="1055"/>
      <c r="JRU90" s="1055"/>
      <c r="JRV90" s="1055"/>
      <c r="JRW90" s="1055"/>
      <c r="JRX90" s="1055"/>
      <c r="JRY90" s="1055"/>
      <c r="JRZ90" s="1055"/>
      <c r="JSA90" s="1055"/>
      <c r="JSB90" s="1055"/>
      <c r="JSC90" s="1055"/>
      <c r="JSD90" s="1055"/>
      <c r="JSE90" s="1055"/>
      <c r="JSF90" s="1055"/>
      <c r="JSG90" s="1055"/>
      <c r="JSH90" s="1055"/>
      <c r="JSI90" s="1055"/>
      <c r="JSJ90" s="1055"/>
      <c r="JSK90" s="1055"/>
      <c r="JSL90" s="1055"/>
      <c r="JSM90" s="1055"/>
      <c r="JSN90" s="1055"/>
      <c r="JSO90" s="1055"/>
      <c r="JSP90" s="1055"/>
      <c r="JSQ90" s="1055"/>
      <c r="JSR90" s="1055"/>
      <c r="JSS90" s="1055"/>
      <c r="JST90" s="1055"/>
      <c r="JSU90" s="1055"/>
      <c r="JSV90" s="1055"/>
      <c r="JSW90" s="1055"/>
      <c r="JSX90" s="1055"/>
      <c r="JSY90" s="1055"/>
      <c r="JSZ90" s="1055"/>
      <c r="JTA90" s="1055"/>
      <c r="JTB90" s="1055"/>
      <c r="JTC90" s="1055"/>
      <c r="JTD90" s="1055"/>
      <c r="JTE90" s="1055"/>
      <c r="JTF90" s="1055"/>
      <c r="JTG90" s="1055"/>
      <c r="JTH90" s="1055"/>
      <c r="JTI90" s="1055"/>
      <c r="JTJ90" s="1055"/>
      <c r="JTK90" s="1055"/>
      <c r="JTL90" s="1055"/>
      <c r="JTM90" s="1055"/>
      <c r="JTN90" s="1055"/>
      <c r="JTO90" s="1055"/>
      <c r="JTP90" s="1055"/>
      <c r="JTQ90" s="1055"/>
      <c r="JTR90" s="1055"/>
      <c r="JTS90" s="1055"/>
      <c r="JTT90" s="1055"/>
      <c r="JTU90" s="1055"/>
      <c r="JTV90" s="1055"/>
      <c r="JTW90" s="1055"/>
      <c r="JTX90" s="1055"/>
      <c r="JTY90" s="1055"/>
      <c r="JTZ90" s="1055"/>
      <c r="JUA90" s="1055"/>
      <c r="JUB90" s="1055"/>
      <c r="JUC90" s="1055"/>
      <c r="JUD90" s="1055"/>
      <c r="JUE90" s="1055"/>
      <c r="JUF90" s="1055"/>
      <c r="JUG90" s="1055"/>
      <c r="JUH90" s="1055"/>
      <c r="JUI90" s="1055"/>
      <c r="JUJ90" s="1055"/>
      <c r="JUK90" s="1055"/>
      <c r="JUL90" s="1055"/>
      <c r="JUM90" s="1055"/>
      <c r="JUN90" s="1055"/>
      <c r="JUO90" s="1055"/>
      <c r="JUP90" s="1055"/>
      <c r="JUQ90" s="1055"/>
      <c r="JUR90" s="1055"/>
      <c r="JUS90" s="1055"/>
      <c r="JUT90" s="1055"/>
      <c r="JUU90" s="1055"/>
      <c r="JUV90" s="1055"/>
      <c r="JUW90" s="1055"/>
      <c r="JUX90" s="1055"/>
      <c r="JUY90" s="1055"/>
      <c r="JUZ90" s="1055"/>
      <c r="JVA90" s="1055"/>
      <c r="JVB90" s="1055"/>
      <c r="JVC90" s="1055"/>
      <c r="JVD90" s="1055"/>
      <c r="JVE90" s="1055"/>
      <c r="JVF90" s="1055"/>
      <c r="JVG90" s="1055"/>
      <c r="JVH90" s="1055"/>
      <c r="JVI90" s="1055"/>
      <c r="JVJ90" s="1055"/>
      <c r="JVK90" s="1055"/>
      <c r="JVL90" s="1055"/>
      <c r="JVM90" s="1055"/>
      <c r="JVN90" s="1055"/>
      <c r="JVO90" s="1055"/>
      <c r="JVP90" s="1055"/>
      <c r="JVQ90" s="1055"/>
      <c r="JVR90" s="1055"/>
      <c r="JVS90" s="1055"/>
      <c r="JVT90" s="1055"/>
      <c r="JVU90" s="1055"/>
      <c r="JVV90" s="1055"/>
      <c r="JVW90" s="1055"/>
      <c r="JVX90" s="1055"/>
      <c r="JVY90" s="1055"/>
      <c r="JVZ90" s="1055"/>
      <c r="JWA90" s="1055"/>
      <c r="JWB90" s="1055"/>
      <c r="JWC90" s="1055"/>
      <c r="JWD90" s="1055"/>
      <c r="JWE90" s="1055"/>
      <c r="JWF90" s="1055"/>
      <c r="JWG90" s="1055"/>
      <c r="JWH90" s="1055"/>
      <c r="JWI90" s="1055"/>
      <c r="JWJ90" s="1055"/>
      <c r="JWK90" s="1055"/>
      <c r="JWL90" s="1055"/>
      <c r="JWM90" s="1055"/>
      <c r="JWN90" s="1055"/>
      <c r="JWO90" s="1055"/>
      <c r="JWP90" s="1055"/>
      <c r="JWQ90" s="1055"/>
      <c r="JWR90" s="1055"/>
      <c r="JWS90" s="1055"/>
      <c r="JWT90" s="1055"/>
      <c r="JWU90" s="1055"/>
      <c r="JWV90" s="1055"/>
      <c r="JWW90" s="1055"/>
      <c r="JWX90" s="1055"/>
      <c r="JWY90" s="1055"/>
      <c r="JWZ90" s="1055"/>
      <c r="JXA90" s="1055"/>
      <c r="JXB90" s="1055"/>
      <c r="JXC90" s="1055"/>
      <c r="JXD90" s="1055"/>
      <c r="JXE90" s="1055"/>
      <c r="JXF90" s="1055"/>
      <c r="JXG90" s="1055"/>
      <c r="JXH90" s="1055"/>
      <c r="JXI90" s="1055"/>
      <c r="JXJ90" s="1055"/>
      <c r="JXK90" s="1055"/>
      <c r="JXL90" s="1055"/>
      <c r="JXM90" s="1055"/>
      <c r="JXN90" s="1055"/>
      <c r="JXO90" s="1055"/>
      <c r="JXP90" s="1055"/>
      <c r="JXQ90" s="1055"/>
      <c r="JXR90" s="1055"/>
      <c r="JXS90" s="1055"/>
      <c r="JXT90" s="1055"/>
      <c r="JXU90" s="1055"/>
      <c r="JXV90" s="1055"/>
      <c r="JXW90" s="1055"/>
      <c r="JXX90" s="1055"/>
      <c r="JXY90" s="1055"/>
      <c r="JXZ90" s="1055"/>
      <c r="JYA90" s="1055"/>
      <c r="JYB90" s="1055"/>
      <c r="JYC90" s="1055"/>
      <c r="JYD90" s="1055"/>
      <c r="JYE90" s="1055"/>
      <c r="JYF90" s="1055"/>
      <c r="JYG90" s="1055"/>
      <c r="JYH90" s="1055"/>
      <c r="JYI90" s="1055"/>
      <c r="JYJ90" s="1055"/>
      <c r="JYK90" s="1055"/>
      <c r="JYL90" s="1055"/>
      <c r="JYM90" s="1055"/>
      <c r="JYN90" s="1055"/>
      <c r="JYO90" s="1055"/>
      <c r="JYP90" s="1055"/>
      <c r="JYQ90" s="1055"/>
      <c r="JYR90" s="1055"/>
      <c r="JYS90" s="1055"/>
      <c r="JYT90" s="1055"/>
      <c r="JYU90" s="1055"/>
      <c r="JYV90" s="1055"/>
      <c r="JYW90" s="1055"/>
      <c r="JYX90" s="1055"/>
      <c r="JYY90" s="1055"/>
      <c r="JYZ90" s="1055"/>
      <c r="JZA90" s="1055"/>
      <c r="JZB90" s="1055"/>
      <c r="JZC90" s="1055"/>
      <c r="JZD90" s="1055"/>
      <c r="JZE90" s="1055"/>
      <c r="JZF90" s="1055"/>
      <c r="JZG90" s="1055"/>
      <c r="JZH90" s="1055"/>
      <c r="JZI90" s="1055"/>
      <c r="JZJ90" s="1055"/>
      <c r="JZK90" s="1055"/>
      <c r="JZL90" s="1055"/>
      <c r="JZM90" s="1055"/>
      <c r="JZN90" s="1055"/>
      <c r="JZO90" s="1055"/>
      <c r="JZP90" s="1055"/>
      <c r="JZQ90" s="1055"/>
      <c r="JZR90" s="1055"/>
      <c r="JZS90" s="1055"/>
      <c r="JZT90" s="1055"/>
      <c r="JZU90" s="1055"/>
      <c r="JZV90" s="1055"/>
      <c r="JZW90" s="1055"/>
      <c r="JZX90" s="1055"/>
      <c r="JZY90" s="1055"/>
      <c r="JZZ90" s="1055"/>
      <c r="KAA90" s="1055"/>
      <c r="KAB90" s="1055"/>
      <c r="KAC90" s="1055"/>
      <c r="KAD90" s="1055"/>
      <c r="KAE90" s="1055"/>
      <c r="KAF90" s="1055"/>
      <c r="KAG90" s="1055"/>
      <c r="KAH90" s="1055"/>
      <c r="KAI90" s="1055"/>
      <c r="KAJ90" s="1055"/>
      <c r="KAK90" s="1055"/>
      <c r="KAL90" s="1055"/>
      <c r="KAM90" s="1055"/>
      <c r="KAN90" s="1055"/>
      <c r="KAO90" s="1055"/>
      <c r="KAP90" s="1055"/>
      <c r="KAQ90" s="1055"/>
      <c r="KAR90" s="1055"/>
      <c r="KAS90" s="1055"/>
      <c r="KAT90" s="1055"/>
      <c r="KAU90" s="1055"/>
      <c r="KAV90" s="1055"/>
      <c r="KAW90" s="1055"/>
      <c r="KAX90" s="1055"/>
      <c r="KAY90" s="1055"/>
      <c r="KAZ90" s="1055"/>
      <c r="KBA90" s="1055"/>
      <c r="KBB90" s="1055"/>
      <c r="KBC90" s="1055"/>
      <c r="KBD90" s="1055"/>
      <c r="KBE90" s="1055"/>
      <c r="KBF90" s="1055"/>
      <c r="KBG90" s="1055"/>
      <c r="KBH90" s="1055"/>
      <c r="KBI90" s="1055"/>
      <c r="KBJ90" s="1055"/>
      <c r="KBK90" s="1055"/>
      <c r="KBL90" s="1055"/>
      <c r="KBM90" s="1055"/>
      <c r="KBN90" s="1055"/>
      <c r="KBO90" s="1055"/>
      <c r="KBP90" s="1055"/>
      <c r="KBQ90" s="1055"/>
      <c r="KBR90" s="1055"/>
      <c r="KBS90" s="1055"/>
      <c r="KBT90" s="1055"/>
      <c r="KBU90" s="1055"/>
      <c r="KBV90" s="1055"/>
      <c r="KBW90" s="1055"/>
      <c r="KBX90" s="1055"/>
      <c r="KBY90" s="1055"/>
      <c r="KBZ90" s="1055"/>
      <c r="KCA90" s="1055"/>
      <c r="KCB90" s="1055"/>
      <c r="KCC90" s="1055"/>
      <c r="KCD90" s="1055"/>
      <c r="KCE90" s="1055"/>
      <c r="KCF90" s="1055"/>
      <c r="KCG90" s="1055"/>
      <c r="KCH90" s="1055"/>
      <c r="KCI90" s="1055"/>
      <c r="KCJ90" s="1055"/>
      <c r="KCK90" s="1055"/>
      <c r="KCL90" s="1055"/>
      <c r="KCM90" s="1055"/>
      <c r="KCN90" s="1055"/>
      <c r="KCO90" s="1055"/>
      <c r="KCP90" s="1055"/>
      <c r="KCQ90" s="1055"/>
      <c r="KCR90" s="1055"/>
      <c r="KCS90" s="1055"/>
      <c r="KCT90" s="1055"/>
      <c r="KCU90" s="1055"/>
      <c r="KCV90" s="1055"/>
      <c r="KCW90" s="1055"/>
      <c r="KCX90" s="1055"/>
      <c r="KCY90" s="1055"/>
      <c r="KCZ90" s="1055"/>
      <c r="KDA90" s="1055"/>
      <c r="KDB90" s="1055"/>
      <c r="KDC90" s="1055"/>
      <c r="KDD90" s="1055"/>
      <c r="KDE90" s="1055"/>
      <c r="KDF90" s="1055"/>
      <c r="KDG90" s="1055"/>
      <c r="KDH90" s="1055"/>
      <c r="KDI90" s="1055"/>
      <c r="KDJ90" s="1055"/>
      <c r="KDK90" s="1055"/>
      <c r="KDL90" s="1055"/>
      <c r="KDM90" s="1055"/>
      <c r="KDN90" s="1055"/>
      <c r="KDO90" s="1055"/>
      <c r="KDP90" s="1055"/>
      <c r="KDQ90" s="1055"/>
      <c r="KDR90" s="1055"/>
      <c r="KDS90" s="1055"/>
      <c r="KDT90" s="1055"/>
      <c r="KDU90" s="1055"/>
      <c r="KDV90" s="1055"/>
      <c r="KDW90" s="1055"/>
      <c r="KDX90" s="1055"/>
      <c r="KDY90" s="1055"/>
      <c r="KDZ90" s="1055"/>
      <c r="KEA90" s="1055"/>
      <c r="KEB90" s="1055"/>
      <c r="KEC90" s="1055"/>
      <c r="KED90" s="1055"/>
      <c r="KEE90" s="1055"/>
      <c r="KEF90" s="1055"/>
      <c r="KEG90" s="1055"/>
      <c r="KEH90" s="1055"/>
      <c r="KEI90" s="1055"/>
      <c r="KEJ90" s="1055"/>
      <c r="KEK90" s="1055"/>
      <c r="KEL90" s="1055"/>
      <c r="KEM90" s="1055"/>
      <c r="KEN90" s="1055"/>
      <c r="KEO90" s="1055"/>
      <c r="KEP90" s="1055"/>
      <c r="KEQ90" s="1055"/>
      <c r="KER90" s="1055"/>
      <c r="KES90" s="1055"/>
      <c r="KET90" s="1055"/>
      <c r="KEU90" s="1055"/>
      <c r="KEV90" s="1055"/>
      <c r="KEW90" s="1055"/>
      <c r="KEX90" s="1055"/>
      <c r="KEY90" s="1055"/>
      <c r="KEZ90" s="1055"/>
      <c r="KFA90" s="1055"/>
      <c r="KFB90" s="1055"/>
      <c r="KFC90" s="1055"/>
      <c r="KFD90" s="1055"/>
      <c r="KFE90" s="1055"/>
      <c r="KFF90" s="1055"/>
      <c r="KFG90" s="1055"/>
      <c r="KFH90" s="1055"/>
      <c r="KFI90" s="1055"/>
      <c r="KFJ90" s="1055"/>
      <c r="KFK90" s="1055"/>
      <c r="KFL90" s="1055"/>
      <c r="KFM90" s="1055"/>
      <c r="KFN90" s="1055"/>
      <c r="KFO90" s="1055"/>
      <c r="KFP90" s="1055"/>
      <c r="KFQ90" s="1055"/>
      <c r="KFR90" s="1055"/>
      <c r="KFS90" s="1055"/>
      <c r="KFT90" s="1055"/>
      <c r="KFU90" s="1055"/>
      <c r="KFV90" s="1055"/>
      <c r="KFW90" s="1055"/>
      <c r="KFX90" s="1055"/>
      <c r="KFY90" s="1055"/>
      <c r="KFZ90" s="1055"/>
      <c r="KGA90" s="1055"/>
      <c r="KGB90" s="1055"/>
      <c r="KGC90" s="1055"/>
      <c r="KGD90" s="1055"/>
      <c r="KGE90" s="1055"/>
      <c r="KGF90" s="1055"/>
      <c r="KGG90" s="1055"/>
      <c r="KGH90" s="1055"/>
      <c r="KGI90" s="1055"/>
      <c r="KGJ90" s="1055"/>
      <c r="KGK90" s="1055"/>
      <c r="KGL90" s="1055"/>
      <c r="KGM90" s="1055"/>
      <c r="KGN90" s="1055"/>
      <c r="KGO90" s="1055"/>
      <c r="KGP90" s="1055"/>
      <c r="KGQ90" s="1055"/>
      <c r="KGR90" s="1055"/>
      <c r="KGS90" s="1055"/>
      <c r="KGT90" s="1055"/>
      <c r="KGU90" s="1055"/>
      <c r="KGV90" s="1055"/>
      <c r="KGW90" s="1055"/>
      <c r="KGX90" s="1055"/>
      <c r="KGY90" s="1055"/>
      <c r="KGZ90" s="1055"/>
      <c r="KHA90" s="1055"/>
      <c r="KHB90" s="1055"/>
      <c r="KHC90" s="1055"/>
      <c r="KHD90" s="1055"/>
      <c r="KHE90" s="1055"/>
      <c r="KHF90" s="1055"/>
      <c r="KHG90" s="1055"/>
      <c r="KHH90" s="1055"/>
      <c r="KHI90" s="1055"/>
      <c r="KHJ90" s="1055"/>
      <c r="KHK90" s="1055"/>
      <c r="KHL90" s="1055"/>
      <c r="KHM90" s="1055"/>
      <c r="KHN90" s="1055"/>
      <c r="KHO90" s="1055"/>
      <c r="KHP90" s="1055"/>
      <c r="KHQ90" s="1055"/>
      <c r="KHR90" s="1055"/>
      <c r="KHS90" s="1055"/>
      <c r="KHT90" s="1055"/>
      <c r="KHU90" s="1055"/>
      <c r="KHV90" s="1055"/>
      <c r="KHW90" s="1055"/>
      <c r="KHX90" s="1055"/>
      <c r="KHY90" s="1055"/>
      <c r="KHZ90" s="1055"/>
      <c r="KIA90" s="1055"/>
      <c r="KIB90" s="1055"/>
      <c r="KIC90" s="1055"/>
      <c r="KID90" s="1055"/>
      <c r="KIE90" s="1055"/>
      <c r="KIF90" s="1055"/>
      <c r="KIG90" s="1055"/>
      <c r="KIH90" s="1055"/>
      <c r="KII90" s="1055"/>
      <c r="KIJ90" s="1055"/>
      <c r="KIK90" s="1055"/>
      <c r="KIL90" s="1055"/>
      <c r="KIM90" s="1055"/>
      <c r="KIN90" s="1055"/>
      <c r="KIO90" s="1055"/>
      <c r="KIP90" s="1055"/>
      <c r="KIQ90" s="1055"/>
      <c r="KIR90" s="1055"/>
      <c r="KIS90" s="1055"/>
      <c r="KIT90" s="1055"/>
      <c r="KIU90" s="1055"/>
      <c r="KIV90" s="1055"/>
      <c r="KIW90" s="1055"/>
      <c r="KIX90" s="1055"/>
      <c r="KIY90" s="1055"/>
      <c r="KIZ90" s="1055"/>
      <c r="KJA90" s="1055"/>
      <c r="KJB90" s="1055"/>
      <c r="KJC90" s="1055"/>
      <c r="KJD90" s="1055"/>
      <c r="KJE90" s="1055"/>
      <c r="KJF90" s="1055"/>
      <c r="KJG90" s="1055"/>
      <c r="KJH90" s="1055"/>
      <c r="KJI90" s="1055"/>
      <c r="KJJ90" s="1055"/>
      <c r="KJK90" s="1055"/>
      <c r="KJL90" s="1055"/>
      <c r="KJM90" s="1055"/>
      <c r="KJN90" s="1055"/>
      <c r="KJO90" s="1055"/>
      <c r="KJP90" s="1055"/>
      <c r="KJQ90" s="1055"/>
      <c r="KJR90" s="1055"/>
      <c r="KJS90" s="1055"/>
      <c r="KJT90" s="1055"/>
      <c r="KJU90" s="1055"/>
      <c r="KJV90" s="1055"/>
      <c r="KJW90" s="1055"/>
      <c r="KJX90" s="1055"/>
      <c r="KJY90" s="1055"/>
      <c r="KJZ90" s="1055"/>
      <c r="KKA90" s="1055"/>
      <c r="KKB90" s="1055"/>
      <c r="KKC90" s="1055"/>
      <c r="KKD90" s="1055"/>
      <c r="KKE90" s="1055"/>
      <c r="KKF90" s="1055"/>
      <c r="KKG90" s="1055"/>
      <c r="KKH90" s="1055"/>
      <c r="KKI90" s="1055"/>
      <c r="KKJ90" s="1055"/>
      <c r="KKK90" s="1055"/>
      <c r="KKL90" s="1055"/>
      <c r="KKM90" s="1055"/>
      <c r="KKN90" s="1055"/>
      <c r="KKO90" s="1055"/>
      <c r="KKP90" s="1055"/>
      <c r="KKQ90" s="1055"/>
      <c r="KKR90" s="1055"/>
      <c r="KKS90" s="1055"/>
      <c r="KKT90" s="1055"/>
      <c r="KKU90" s="1055"/>
      <c r="KKV90" s="1055"/>
      <c r="KKW90" s="1055"/>
      <c r="KKX90" s="1055"/>
      <c r="KKY90" s="1055"/>
      <c r="KKZ90" s="1055"/>
      <c r="KLA90" s="1055"/>
      <c r="KLB90" s="1055"/>
      <c r="KLC90" s="1055"/>
      <c r="KLD90" s="1055"/>
      <c r="KLE90" s="1055"/>
      <c r="KLF90" s="1055"/>
      <c r="KLG90" s="1055"/>
      <c r="KLH90" s="1055"/>
      <c r="KLI90" s="1055"/>
      <c r="KLJ90" s="1055"/>
      <c r="KLK90" s="1055"/>
      <c r="KLL90" s="1055"/>
      <c r="KLM90" s="1055"/>
      <c r="KLN90" s="1055"/>
      <c r="KLO90" s="1055"/>
      <c r="KLP90" s="1055"/>
      <c r="KLQ90" s="1055"/>
      <c r="KLR90" s="1055"/>
      <c r="KLS90" s="1055"/>
      <c r="KLT90" s="1055"/>
      <c r="KLU90" s="1055"/>
      <c r="KLV90" s="1055"/>
      <c r="KLW90" s="1055"/>
      <c r="KLX90" s="1055"/>
      <c r="KLY90" s="1055"/>
      <c r="KLZ90" s="1055"/>
      <c r="KMA90" s="1055"/>
      <c r="KMB90" s="1055"/>
      <c r="KMC90" s="1055"/>
      <c r="KMD90" s="1055"/>
      <c r="KME90" s="1055"/>
      <c r="KMF90" s="1055"/>
      <c r="KMG90" s="1055"/>
      <c r="KMH90" s="1055"/>
      <c r="KMI90" s="1055"/>
      <c r="KMJ90" s="1055"/>
      <c r="KMK90" s="1055"/>
      <c r="KML90" s="1055"/>
      <c r="KMM90" s="1055"/>
      <c r="KMN90" s="1055"/>
      <c r="KMO90" s="1055"/>
      <c r="KMP90" s="1055"/>
      <c r="KMQ90" s="1055"/>
      <c r="KMR90" s="1055"/>
      <c r="KMS90" s="1055"/>
      <c r="KMT90" s="1055"/>
      <c r="KMU90" s="1055"/>
      <c r="KMV90" s="1055"/>
      <c r="KMW90" s="1055"/>
      <c r="KMX90" s="1055"/>
      <c r="KMY90" s="1055"/>
      <c r="KMZ90" s="1055"/>
      <c r="KNA90" s="1055"/>
      <c r="KNB90" s="1055"/>
      <c r="KNC90" s="1055"/>
      <c r="KND90" s="1055"/>
      <c r="KNE90" s="1055"/>
      <c r="KNF90" s="1055"/>
      <c r="KNG90" s="1055"/>
      <c r="KNH90" s="1055"/>
      <c r="KNI90" s="1055"/>
      <c r="KNJ90" s="1055"/>
      <c r="KNK90" s="1055"/>
      <c r="KNL90" s="1055"/>
      <c r="KNM90" s="1055"/>
      <c r="KNN90" s="1055"/>
      <c r="KNO90" s="1055"/>
      <c r="KNP90" s="1055"/>
      <c r="KNQ90" s="1055"/>
      <c r="KNR90" s="1055"/>
      <c r="KNS90" s="1055"/>
      <c r="KNT90" s="1055"/>
      <c r="KNU90" s="1055"/>
      <c r="KNV90" s="1055"/>
      <c r="KNW90" s="1055"/>
      <c r="KNX90" s="1055"/>
      <c r="KNY90" s="1055"/>
      <c r="KNZ90" s="1055"/>
      <c r="KOA90" s="1055"/>
      <c r="KOB90" s="1055"/>
      <c r="KOC90" s="1055"/>
      <c r="KOD90" s="1055"/>
      <c r="KOE90" s="1055"/>
      <c r="KOF90" s="1055"/>
      <c r="KOG90" s="1055"/>
      <c r="KOH90" s="1055"/>
      <c r="KOI90" s="1055"/>
      <c r="KOJ90" s="1055"/>
      <c r="KOK90" s="1055"/>
      <c r="KOL90" s="1055"/>
      <c r="KOM90" s="1055"/>
      <c r="KON90" s="1055"/>
      <c r="KOO90" s="1055"/>
      <c r="KOP90" s="1055"/>
      <c r="KOQ90" s="1055"/>
      <c r="KOR90" s="1055"/>
      <c r="KOS90" s="1055"/>
      <c r="KOT90" s="1055"/>
      <c r="KOU90" s="1055"/>
      <c r="KOV90" s="1055"/>
      <c r="KOW90" s="1055"/>
      <c r="KOX90" s="1055"/>
      <c r="KOY90" s="1055"/>
      <c r="KOZ90" s="1055"/>
      <c r="KPA90" s="1055"/>
      <c r="KPB90" s="1055"/>
      <c r="KPC90" s="1055"/>
      <c r="KPD90" s="1055"/>
      <c r="KPE90" s="1055"/>
      <c r="KPF90" s="1055"/>
      <c r="KPG90" s="1055"/>
      <c r="KPH90" s="1055"/>
      <c r="KPI90" s="1055"/>
      <c r="KPJ90" s="1055"/>
      <c r="KPK90" s="1055"/>
      <c r="KPL90" s="1055"/>
      <c r="KPM90" s="1055"/>
      <c r="KPN90" s="1055"/>
      <c r="KPO90" s="1055"/>
      <c r="KPP90" s="1055"/>
      <c r="KPQ90" s="1055"/>
      <c r="KPR90" s="1055"/>
      <c r="KPS90" s="1055"/>
      <c r="KPT90" s="1055"/>
      <c r="KPU90" s="1055"/>
      <c r="KPV90" s="1055"/>
      <c r="KPW90" s="1055"/>
      <c r="KPX90" s="1055"/>
      <c r="KPY90" s="1055"/>
      <c r="KPZ90" s="1055"/>
      <c r="KQA90" s="1055"/>
      <c r="KQB90" s="1055"/>
      <c r="KQC90" s="1055"/>
      <c r="KQD90" s="1055"/>
      <c r="KQE90" s="1055"/>
      <c r="KQF90" s="1055"/>
      <c r="KQG90" s="1055"/>
      <c r="KQH90" s="1055"/>
      <c r="KQI90" s="1055"/>
      <c r="KQJ90" s="1055"/>
      <c r="KQK90" s="1055"/>
      <c r="KQL90" s="1055"/>
      <c r="KQM90" s="1055"/>
      <c r="KQN90" s="1055"/>
      <c r="KQO90" s="1055"/>
      <c r="KQP90" s="1055"/>
      <c r="KQQ90" s="1055"/>
      <c r="KQR90" s="1055"/>
      <c r="KQS90" s="1055"/>
      <c r="KQT90" s="1055"/>
      <c r="KQU90" s="1055"/>
      <c r="KQV90" s="1055"/>
      <c r="KQW90" s="1055"/>
      <c r="KQX90" s="1055"/>
      <c r="KQY90" s="1055"/>
      <c r="KQZ90" s="1055"/>
      <c r="KRA90" s="1055"/>
      <c r="KRB90" s="1055"/>
      <c r="KRC90" s="1055"/>
      <c r="KRD90" s="1055"/>
      <c r="KRE90" s="1055"/>
      <c r="KRF90" s="1055"/>
      <c r="KRG90" s="1055"/>
      <c r="KRH90" s="1055"/>
      <c r="KRI90" s="1055"/>
      <c r="KRJ90" s="1055"/>
      <c r="KRK90" s="1055"/>
      <c r="KRL90" s="1055"/>
      <c r="KRM90" s="1055"/>
      <c r="KRN90" s="1055"/>
      <c r="KRO90" s="1055"/>
      <c r="KRP90" s="1055"/>
      <c r="KRQ90" s="1055"/>
      <c r="KRR90" s="1055"/>
      <c r="KRS90" s="1055"/>
      <c r="KRT90" s="1055"/>
      <c r="KRU90" s="1055"/>
      <c r="KRV90" s="1055"/>
      <c r="KRW90" s="1055"/>
      <c r="KRX90" s="1055"/>
      <c r="KRY90" s="1055"/>
      <c r="KRZ90" s="1055"/>
      <c r="KSA90" s="1055"/>
      <c r="KSB90" s="1055"/>
      <c r="KSC90" s="1055"/>
      <c r="KSD90" s="1055"/>
      <c r="KSE90" s="1055"/>
      <c r="KSF90" s="1055"/>
      <c r="KSG90" s="1055"/>
      <c r="KSH90" s="1055"/>
      <c r="KSI90" s="1055"/>
      <c r="KSJ90" s="1055"/>
      <c r="KSK90" s="1055"/>
      <c r="KSL90" s="1055"/>
      <c r="KSM90" s="1055"/>
      <c r="KSN90" s="1055"/>
      <c r="KSO90" s="1055"/>
      <c r="KSP90" s="1055"/>
      <c r="KSQ90" s="1055"/>
      <c r="KSR90" s="1055"/>
      <c r="KSS90" s="1055"/>
      <c r="KST90" s="1055"/>
      <c r="KSU90" s="1055"/>
      <c r="KSV90" s="1055"/>
      <c r="KSW90" s="1055"/>
      <c r="KSX90" s="1055"/>
      <c r="KSY90" s="1055"/>
      <c r="KSZ90" s="1055"/>
      <c r="KTA90" s="1055"/>
      <c r="KTB90" s="1055"/>
      <c r="KTC90" s="1055"/>
      <c r="KTD90" s="1055"/>
      <c r="KTE90" s="1055"/>
      <c r="KTF90" s="1055"/>
      <c r="KTG90" s="1055"/>
      <c r="KTH90" s="1055"/>
      <c r="KTI90" s="1055"/>
      <c r="KTJ90" s="1055"/>
      <c r="KTK90" s="1055"/>
      <c r="KTL90" s="1055"/>
      <c r="KTM90" s="1055"/>
      <c r="KTN90" s="1055"/>
      <c r="KTO90" s="1055"/>
      <c r="KTP90" s="1055"/>
      <c r="KTQ90" s="1055"/>
      <c r="KTR90" s="1055"/>
      <c r="KTS90" s="1055"/>
      <c r="KTT90" s="1055"/>
      <c r="KTU90" s="1055"/>
      <c r="KTV90" s="1055"/>
      <c r="KTW90" s="1055"/>
      <c r="KTX90" s="1055"/>
      <c r="KTY90" s="1055"/>
      <c r="KTZ90" s="1055"/>
      <c r="KUA90" s="1055"/>
      <c r="KUB90" s="1055"/>
      <c r="KUC90" s="1055"/>
      <c r="KUD90" s="1055"/>
      <c r="KUE90" s="1055"/>
      <c r="KUF90" s="1055"/>
      <c r="KUG90" s="1055"/>
      <c r="KUH90" s="1055"/>
      <c r="KUI90" s="1055"/>
      <c r="KUJ90" s="1055"/>
      <c r="KUK90" s="1055"/>
      <c r="KUL90" s="1055"/>
      <c r="KUM90" s="1055"/>
      <c r="KUN90" s="1055"/>
      <c r="KUO90" s="1055"/>
      <c r="KUP90" s="1055"/>
      <c r="KUQ90" s="1055"/>
      <c r="KUR90" s="1055"/>
      <c r="KUS90" s="1055"/>
      <c r="KUT90" s="1055"/>
      <c r="KUU90" s="1055"/>
      <c r="KUV90" s="1055"/>
      <c r="KUW90" s="1055"/>
      <c r="KUX90" s="1055"/>
      <c r="KUY90" s="1055"/>
      <c r="KUZ90" s="1055"/>
      <c r="KVA90" s="1055"/>
      <c r="KVB90" s="1055"/>
      <c r="KVC90" s="1055"/>
      <c r="KVD90" s="1055"/>
      <c r="KVE90" s="1055"/>
      <c r="KVF90" s="1055"/>
      <c r="KVG90" s="1055"/>
      <c r="KVH90" s="1055"/>
      <c r="KVI90" s="1055"/>
      <c r="KVJ90" s="1055"/>
      <c r="KVK90" s="1055"/>
      <c r="KVL90" s="1055"/>
      <c r="KVM90" s="1055"/>
      <c r="KVN90" s="1055"/>
      <c r="KVO90" s="1055"/>
      <c r="KVP90" s="1055"/>
      <c r="KVQ90" s="1055"/>
      <c r="KVR90" s="1055"/>
      <c r="KVS90" s="1055"/>
      <c r="KVT90" s="1055"/>
      <c r="KVU90" s="1055"/>
      <c r="KVV90" s="1055"/>
      <c r="KVW90" s="1055"/>
      <c r="KVX90" s="1055"/>
      <c r="KVY90" s="1055"/>
      <c r="KVZ90" s="1055"/>
      <c r="KWA90" s="1055"/>
      <c r="KWB90" s="1055"/>
      <c r="KWC90" s="1055"/>
      <c r="KWD90" s="1055"/>
      <c r="KWE90" s="1055"/>
      <c r="KWF90" s="1055"/>
      <c r="KWG90" s="1055"/>
      <c r="KWH90" s="1055"/>
      <c r="KWI90" s="1055"/>
      <c r="KWJ90" s="1055"/>
      <c r="KWK90" s="1055"/>
      <c r="KWL90" s="1055"/>
      <c r="KWM90" s="1055"/>
      <c r="KWN90" s="1055"/>
      <c r="KWO90" s="1055"/>
      <c r="KWP90" s="1055"/>
      <c r="KWQ90" s="1055"/>
      <c r="KWR90" s="1055"/>
      <c r="KWS90" s="1055"/>
      <c r="KWT90" s="1055"/>
      <c r="KWU90" s="1055"/>
      <c r="KWV90" s="1055"/>
      <c r="KWW90" s="1055"/>
      <c r="KWX90" s="1055"/>
      <c r="KWY90" s="1055"/>
      <c r="KWZ90" s="1055"/>
      <c r="KXA90" s="1055"/>
      <c r="KXB90" s="1055"/>
      <c r="KXC90" s="1055"/>
      <c r="KXD90" s="1055"/>
      <c r="KXE90" s="1055"/>
      <c r="KXF90" s="1055"/>
      <c r="KXG90" s="1055"/>
      <c r="KXH90" s="1055"/>
      <c r="KXI90" s="1055"/>
      <c r="KXJ90" s="1055"/>
      <c r="KXK90" s="1055"/>
      <c r="KXL90" s="1055"/>
      <c r="KXM90" s="1055"/>
      <c r="KXN90" s="1055"/>
      <c r="KXO90" s="1055"/>
      <c r="KXP90" s="1055"/>
      <c r="KXQ90" s="1055"/>
      <c r="KXR90" s="1055"/>
      <c r="KXS90" s="1055"/>
      <c r="KXT90" s="1055"/>
      <c r="KXU90" s="1055"/>
      <c r="KXV90" s="1055"/>
      <c r="KXW90" s="1055"/>
      <c r="KXX90" s="1055"/>
      <c r="KXY90" s="1055"/>
      <c r="KXZ90" s="1055"/>
      <c r="KYA90" s="1055"/>
      <c r="KYB90" s="1055"/>
      <c r="KYC90" s="1055"/>
      <c r="KYD90" s="1055"/>
      <c r="KYE90" s="1055"/>
      <c r="KYF90" s="1055"/>
      <c r="KYG90" s="1055"/>
      <c r="KYH90" s="1055"/>
      <c r="KYI90" s="1055"/>
      <c r="KYJ90" s="1055"/>
      <c r="KYK90" s="1055"/>
      <c r="KYL90" s="1055"/>
      <c r="KYM90" s="1055"/>
      <c r="KYN90" s="1055"/>
      <c r="KYO90" s="1055"/>
      <c r="KYP90" s="1055"/>
      <c r="KYQ90" s="1055"/>
      <c r="KYR90" s="1055"/>
      <c r="KYS90" s="1055"/>
      <c r="KYT90" s="1055"/>
      <c r="KYU90" s="1055"/>
      <c r="KYV90" s="1055"/>
      <c r="KYW90" s="1055"/>
      <c r="KYX90" s="1055"/>
      <c r="KYY90" s="1055"/>
      <c r="KYZ90" s="1055"/>
      <c r="KZA90" s="1055"/>
      <c r="KZB90" s="1055"/>
      <c r="KZC90" s="1055"/>
      <c r="KZD90" s="1055"/>
      <c r="KZE90" s="1055"/>
      <c r="KZF90" s="1055"/>
      <c r="KZG90" s="1055"/>
      <c r="KZH90" s="1055"/>
      <c r="KZI90" s="1055"/>
      <c r="KZJ90" s="1055"/>
      <c r="KZK90" s="1055"/>
      <c r="KZL90" s="1055"/>
      <c r="KZM90" s="1055"/>
      <c r="KZN90" s="1055"/>
      <c r="KZO90" s="1055"/>
      <c r="KZP90" s="1055"/>
      <c r="KZQ90" s="1055"/>
      <c r="KZR90" s="1055"/>
      <c r="KZS90" s="1055"/>
      <c r="KZT90" s="1055"/>
      <c r="KZU90" s="1055"/>
      <c r="KZV90" s="1055"/>
      <c r="KZW90" s="1055"/>
      <c r="KZX90" s="1055"/>
      <c r="KZY90" s="1055"/>
      <c r="KZZ90" s="1055"/>
      <c r="LAA90" s="1055"/>
      <c r="LAB90" s="1055"/>
      <c r="LAC90" s="1055"/>
      <c r="LAD90" s="1055"/>
      <c r="LAE90" s="1055"/>
      <c r="LAF90" s="1055"/>
      <c r="LAG90" s="1055"/>
      <c r="LAH90" s="1055"/>
      <c r="LAI90" s="1055"/>
      <c r="LAJ90" s="1055"/>
      <c r="LAK90" s="1055"/>
      <c r="LAL90" s="1055"/>
      <c r="LAM90" s="1055"/>
      <c r="LAN90" s="1055"/>
      <c r="LAO90" s="1055"/>
      <c r="LAP90" s="1055"/>
      <c r="LAQ90" s="1055"/>
      <c r="LAR90" s="1055"/>
      <c r="LAS90" s="1055"/>
      <c r="LAT90" s="1055"/>
      <c r="LAU90" s="1055"/>
      <c r="LAV90" s="1055"/>
      <c r="LAW90" s="1055"/>
      <c r="LAX90" s="1055"/>
      <c r="LAY90" s="1055"/>
      <c r="LAZ90" s="1055"/>
      <c r="LBA90" s="1055"/>
      <c r="LBB90" s="1055"/>
      <c r="LBC90" s="1055"/>
      <c r="LBD90" s="1055"/>
      <c r="LBE90" s="1055"/>
      <c r="LBF90" s="1055"/>
      <c r="LBG90" s="1055"/>
      <c r="LBH90" s="1055"/>
      <c r="LBI90" s="1055"/>
      <c r="LBJ90" s="1055"/>
      <c r="LBK90" s="1055"/>
      <c r="LBL90" s="1055"/>
      <c r="LBM90" s="1055"/>
      <c r="LBN90" s="1055"/>
      <c r="LBO90" s="1055"/>
      <c r="LBP90" s="1055"/>
      <c r="LBQ90" s="1055"/>
      <c r="LBR90" s="1055"/>
      <c r="LBS90" s="1055"/>
      <c r="LBT90" s="1055"/>
      <c r="LBU90" s="1055"/>
      <c r="LBV90" s="1055"/>
      <c r="LBW90" s="1055"/>
      <c r="LBX90" s="1055"/>
      <c r="LBY90" s="1055"/>
      <c r="LBZ90" s="1055"/>
      <c r="LCA90" s="1055"/>
      <c r="LCB90" s="1055"/>
      <c r="LCC90" s="1055"/>
      <c r="LCD90" s="1055"/>
      <c r="LCE90" s="1055"/>
      <c r="LCF90" s="1055"/>
      <c r="LCG90" s="1055"/>
      <c r="LCH90" s="1055"/>
      <c r="LCI90" s="1055"/>
      <c r="LCJ90" s="1055"/>
      <c r="LCK90" s="1055"/>
      <c r="LCL90" s="1055"/>
      <c r="LCM90" s="1055"/>
      <c r="LCN90" s="1055"/>
      <c r="LCO90" s="1055"/>
      <c r="LCP90" s="1055"/>
      <c r="LCQ90" s="1055"/>
      <c r="LCR90" s="1055"/>
      <c r="LCS90" s="1055"/>
      <c r="LCT90" s="1055"/>
      <c r="LCU90" s="1055"/>
      <c r="LCV90" s="1055"/>
      <c r="LCW90" s="1055"/>
      <c r="LCX90" s="1055"/>
      <c r="LCY90" s="1055"/>
      <c r="LCZ90" s="1055"/>
      <c r="LDA90" s="1055"/>
      <c r="LDB90" s="1055"/>
      <c r="LDC90" s="1055"/>
      <c r="LDD90" s="1055"/>
      <c r="LDE90" s="1055"/>
      <c r="LDF90" s="1055"/>
      <c r="LDG90" s="1055"/>
      <c r="LDH90" s="1055"/>
      <c r="LDI90" s="1055"/>
      <c r="LDJ90" s="1055"/>
      <c r="LDK90" s="1055"/>
      <c r="LDL90" s="1055"/>
      <c r="LDM90" s="1055"/>
      <c r="LDN90" s="1055"/>
      <c r="LDO90" s="1055"/>
      <c r="LDP90" s="1055"/>
      <c r="LDQ90" s="1055"/>
      <c r="LDR90" s="1055"/>
      <c r="LDS90" s="1055"/>
      <c r="LDT90" s="1055"/>
      <c r="LDU90" s="1055"/>
      <c r="LDV90" s="1055"/>
      <c r="LDW90" s="1055"/>
      <c r="LDX90" s="1055"/>
      <c r="LDY90" s="1055"/>
      <c r="LDZ90" s="1055"/>
      <c r="LEA90" s="1055"/>
      <c r="LEB90" s="1055"/>
      <c r="LEC90" s="1055"/>
      <c r="LED90" s="1055"/>
      <c r="LEE90" s="1055"/>
      <c r="LEF90" s="1055"/>
      <c r="LEG90" s="1055"/>
      <c r="LEH90" s="1055"/>
      <c r="LEI90" s="1055"/>
      <c r="LEJ90" s="1055"/>
      <c r="LEK90" s="1055"/>
      <c r="LEL90" s="1055"/>
      <c r="LEM90" s="1055"/>
      <c r="LEN90" s="1055"/>
      <c r="LEO90" s="1055"/>
      <c r="LEP90" s="1055"/>
      <c r="LEQ90" s="1055"/>
      <c r="LER90" s="1055"/>
      <c r="LES90" s="1055"/>
      <c r="LET90" s="1055"/>
      <c r="LEU90" s="1055"/>
      <c r="LEV90" s="1055"/>
      <c r="LEW90" s="1055"/>
      <c r="LEX90" s="1055"/>
      <c r="LEY90" s="1055"/>
      <c r="LEZ90" s="1055"/>
      <c r="LFA90" s="1055"/>
      <c r="LFB90" s="1055"/>
      <c r="LFC90" s="1055"/>
      <c r="LFD90" s="1055"/>
      <c r="LFE90" s="1055"/>
      <c r="LFF90" s="1055"/>
      <c r="LFG90" s="1055"/>
      <c r="LFH90" s="1055"/>
      <c r="LFI90" s="1055"/>
      <c r="LFJ90" s="1055"/>
      <c r="LFK90" s="1055"/>
      <c r="LFL90" s="1055"/>
      <c r="LFM90" s="1055"/>
      <c r="LFN90" s="1055"/>
      <c r="LFO90" s="1055"/>
      <c r="LFP90" s="1055"/>
      <c r="LFQ90" s="1055"/>
      <c r="LFR90" s="1055"/>
      <c r="LFS90" s="1055"/>
      <c r="LFT90" s="1055"/>
      <c r="LFU90" s="1055"/>
      <c r="LFV90" s="1055"/>
      <c r="LFW90" s="1055"/>
      <c r="LFX90" s="1055"/>
      <c r="LFY90" s="1055"/>
      <c r="LFZ90" s="1055"/>
      <c r="LGA90" s="1055"/>
      <c r="LGB90" s="1055"/>
      <c r="LGC90" s="1055"/>
      <c r="LGD90" s="1055"/>
      <c r="LGE90" s="1055"/>
      <c r="LGF90" s="1055"/>
      <c r="LGG90" s="1055"/>
      <c r="LGH90" s="1055"/>
      <c r="LGI90" s="1055"/>
      <c r="LGJ90" s="1055"/>
      <c r="LGK90" s="1055"/>
      <c r="LGL90" s="1055"/>
      <c r="LGM90" s="1055"/>
      <c r="LGN90" s="1055"/>
      <c r="LGO90" s="1055"/>
      <c r="LGP90" s="1055"/>
      <c r="LGQ90" s="1055"/>
      <c r="LGR90" s="1055"/>
      <c r="LGS90" s="1055"/>
      <c r="LGT90" s="1055"/>
      <c r="LGU90" s="1055"/>
      <c r="LGV90" s="1055"/>
      <c r="LGW90" s="1055"/>
      <c r="LGX90" s="1055"/>
      <c r="LGY90" s="1055"/>
      <c r="LGZ90" s="1055"/>
      <c r="LHA90" s="1055"/>
      <c r="LHB90" s="1055"/>
      <c r="LHC90" s="1055"/>
      <c r="LHD90" s="1055"/>
      <c r="LHE90" s="1055"/>
      <c r="LHF90" s="1055"/>
      <c r="LHG90" s="1055"/>
      <c r="LHH90" s="1055"/>
      <c r="LHI90" s="1055"/>
      <c r="LHJ90" s="1055"/>
      <c r="LHK90" s="1055"/>
      <c r="LHL90" s="1055"/>
      <c r="LHM90" s="1055"/>
      <c r="LHN90" s="1055"/>
      <c r="LHO90" s="1055"/>
      <c r="LHP90" s="1055"/>
      <c r="LHQ90" s="1055"/>
      <c r="LHR90" s="1055"/>
      <c r="LHS90" s="1055"/>
      <c r="LHT90" s="1055"/>
      <c r="LHU90" s="1055"/>
      <c r="LHV90" s="1055"/>
      <c r="LHW90" s="1055"/>
      <c r="LHX90" s="1055"/>
      <c r="LHY90" s="1055"/>
      <c r="LHZ90" s="1055"/>
      <c r="LIA90" s="1055"/>
      <c r="LIB90" s="1055"/>
      <c r="LIC90" s="1055"/>
      <c r="LID90" s="1055"/>
      <c r="LIE90" s="1055"/>
      <c r="LIF90" s="1055"/>
      <c r="LIG90" s="1055"/>
      <c r="LIH90" s="1055"/>
      <c r="LII90" s="1055"/>
      <c r="LIJ90" s="1055"/>
      <c r="LIK90" s="1055"/>
      <c r="LIL90" s="1055"/>
      <c r="LIM90" s="1055"/>
      <c r="LIN90" s="1055"/>
      <c r="LIO90" s="1055"/>
      <c r="LIP90" s="1055"/>
      <c r="LIQ90" s="1055"/>
      <c r="LIR90" s="1055"/>
      <c r="LIS90" s="1055"/>
      <c r="LIT90" s="1055"/>
      <c r="LIU90" s="1055"/>
      <c r="LIV90" s="1055"/>
      <c r="LIW90" s="1055"/>
      <c r="LIX90" s="1055"/>
      <c r="LIY90" s="1055"/>
      <c r="LIZ90" s="1055"/>
      <c r="LJA90" s="1055"/>
      <c r="LJB90" s="1055"/>
      <c r="LJC90" s="1055"/>
      <c r="LJD90" s="1055"/>
      <c r="LJE90" s="1055"/>
      <c r="LJF90" s="1055"/>
      <c r="LJG90" s="1055"/>
      <c r="LJH90" s="1055"/>
      <c r="LJI90" s="1055"/>
      <c r="LJJ90" s="1055"/>
      <c r="LJK90" s="1055"/>
      <c r="LJL90" s="1055"/>
      <c r="LJM90" s="1055"/>
      <c r="LJN90" s="1055"/>
      <c r="LJO90" s="1055"/>
      <c r="LJP90" s="1055"/>
      <c r="LJQ90" s="1055"/>
      <c r="LJR90" s="1055"/>
      <c r="LJS90" s="1055"/>
      <c r="LJT90" s="1055"/>
      <c r="LJU90" s="1055"/>
      <c r="LJV90" s="1055"/>
      <c r="LJW90" s="1055"/>
      <c r="LJX90" s="1055"/>
      <c r="LJY90" s="1055"/>
      <c r="LJZ90" s="1055"/>
      <c r="LKA90" s="1055"/>
      <c r="LKB90" s="1055"/>
      <c r="LKC90" s="1055"/>
      <c r="LKD90" s="1055"/>
      <c r="LKE90" s="1055"/>
      <c r="LKF90" s="1055"/>
      <c r="LKG90" s="1055"/>
      <c r="LKH90" s="1055"/>
      <c r="LKI90" s="1055"/>
      <c r="LKJ90" s="1055"/>
      <c r="LKK90" s="1055"/>
      <c r="LKL90" s="1055"/>
      <c r="LKM90" s="1055"/>
      <c r="LKN90" s="1055"/>
      <c r="LKO90" s="1055"/>
      <c r="LKP90" s="1055"/>
      <c r="LKQ90" s="1055"/>
      <c r="LKR90" s="1055"/>
      <c r="LKS90" s="1055"/>
      <c r="LKT90" s="1055"/>
      <c r="LKU90" s="1055"/>
      <c r="LKV90" s="1055"/>
      <c r="LKW90" s="1055"/>
      <c r="LKX90" s="1055"/>
      <c r="LKY90" s="1055"/>
      <c r="LKZ90" s="1055"/>
      <c r="LLA90" s="1055"/>
      <c r="LLB90" s="1055"/>
      <c r="LLC90" s="1055"/>
      <c r="LLD90" s="1055"/>
      <c r="LLE90" s="1055"/>
      <c r="LLF90" s="1055"/>
      <c r="LLG90" s="1055"/>
      <c r="LLH90" s="1055"/>
      <c r="LLI90" s="1055"/>
      <c r="LLJ90" s="1055"/>
      <c r="LLK90" s="1055"/>
      <c r="LLL90" s="1055"/>
      <c r="LLM90" s="1055"/>
      <c r="LLN90" s="1055"/>
      <c r="LLO90" s="1055"/>
      <c r="LLP90" s="1055"/>
      <c r="LLQ90" s="1055"/>
      <c r="LLR90" s="1055"/>
      <c r="LLS90" s="1055"/>
      <c r="LLT90" s="1055"/>
      <c r="LLU90" s="1055"/>
      <c r="LLV90" s="1055"/>
      <c r="LLW90" s="1055"/>
      <c r="LLX90" s="1055"/>
      <c r="LLY90" s="1055"/>
      <c r="LLZ90" s="1055"/>
      <c r="LMA90" s="1055"/>
      <c r="LMB90" s="1055"/>
      <c r="LMC90" s="1055"/>
      <c r="LMD90" s="1055"/>
      <c r="LME90" s="1055"/>
      <c r="LMF90" s="1055"/>
      <c r="LMG90" s="1055"/>
      <c r="LMH90" s="1055"/>
      <c r="LMI90" s="1055"/>
      <c r="LMJ90" s="1055"/>
      <c r="LMK90" s="1055"/>
      <c r="LML90" s="1055"/>
      <c r="LMM90" s="1055"/>
      <c r="LMN90" s="1055"/>
      <c r="LMO90" s="1055"/>
      <c r="LMP90" s="1055"/>
      <c r="LMQ90" s="1055"/>
      <c r="LMR90" s="1055"/>
      <c r="LMS90" s="1055"/>
      <c r="LMT90" s="1055"/>
      <c r="LMU90" s="1055"/>
      <c r="LMV90" s="1055"/>
      <c r="LMW90" s="1055"/>
      <c r="LMX90" s="1055"/>
      <c r="LMY90" s="1055"/>
      <c r="LMZ90" s="1055"/>
      <c r="LNA90" s="1055"/>
      <c r="LNB90" s="1055"/>
      <c r="LNC90" s="1055"/>
      <c r="LND90" s="1055"/>
      <c r="LNE90" s="1055"/>
      <c r="LNF90" s="1055"/>
      <c r="LNG90" s="1055"/>
      <c r="LNH90" s="1055"/>
      <c r="LNI90" s="1055"/>
      <c r="LNJ90" s="1055"/>
      <c r="LNK90" s="1055"/>
      <c r="LNL90" s="1055"/>
      <c r="LNM90" s="1055"/>
      <c r="LNN90" s="1055"/>
      <c r="LNO90" s="1055"/>
      <c r="LNP90" s="1055"/>
      <c r="LNQ90" s="1055"/>
      <c r="LNR90" s="1055"/>
      <c r="LNS90" s="1055"/>
      <c r="LNT90" s="1055"/>
      <c r="LNU90" s="1055"/>
      <c r="LNV90" s="1055"/>
      <c r="LNW90" s="1055"/>
      <c r="LNX90" s="1055"/>
      <c r="LNY90" s="1055"/>
      <c r="LNZ90" s="1055"/>
      <c r="LOA90" s="1055"/>
      <c r="LOB90" s="1055"/>
      <c r="LOC90" s="1055"/>
      <c r="LOD90" s="1055"/>
      <c r="LOE90" s="1055"/>
      <c r="LOF90" s="1055"/>
      <c r="LOG90" s="1055"/>
      <c r="LOH90" s="1055"/>
      <c r="LOI90" s="1055"/>
      <c r="LOJ90" s="1055"/>
      <c r="LOK90" s="1055"/>
      <c r="LOL90" s="1055"/>
      <c r="LOM90" s="1055"/>
      <c r="LON90" s="1055"/>
      <c r="LOO90" s="1055"/>
      <c r="LOP90" s="1055"/>
      <c r="LOQ90" s="1055"/>
      <c r="LOR90" s="1055"/>
      <c r="LOS90" s="1055"/>
      <c r="LOT90" s="1055"/>
      <c r="LOU90" s="1055"/>
      <c r="LOV90" s="1055"/>
      <c r="LOW90" s="1055"/>
      <c r="LOX90" s="1055"/>
      <c r="LOY90" s="1055"/>
      <c r="LOZ90" s="1055"/>
      <c r="LPA90" s="1055"/>
      <c r="LPB90" s="1055"/>
      <c r="LPC90" s="1055"/>
      <c r="LPD90" s="1055"/>
      <c r="LPE90" s="1055"/>
      <c r="LPF90" s="1055"/>
      <c r="LPG90" s="1055"/>
      <c r="LPH90" s="1055"/>
      <c r="LPI90" s="1055"/>
      <c r="LPJ90" s="1055"/>
      <c r="LPK90" s="1055"/>
      <c r="LPL90" s="1055"/>
      <c r="LPM90" s="1055"/>
      <c r="LPN90" s="1055"/>
      <c r="LPO90" s="1055"/>
      <c r="LPP90" s="1055"/>
      <c r="LPQ90" s="1055"/>
      <c r="LPR90" s="1055"/>
      <c r="LPS90" s="1055"/>
      <c r="LPT90" s="1055"/>
      <c r="LPU90" s="1055"/>
      <c r="LPV90" s="1055"/>
      <c r="LPW90" s="1055"/>
      <c r="LPX90" s="1055"/>
      <c r="LPY90" s="1055"/>
      <c r="LPZ90" s="1055"/>
      <c r="LQA90" s="1055"/>
      <c r="LQB90" s="1055"/>
      <c r="LQC90" s="1055"/>
      <c r="LQD90" s="1055"/>
      <c r="LQE90" s="1055"/>
      <c r="LQF90" s="1055"/>
      <c r="LQG90" s="1055"/>
      <c r="LQH90" s="1055"/>
      <c r="LQI90" s="1055"/>
      <c r="LQJ90" s="1055"/>
      <c r="LQK90" s="1055"/>
      <c r="LQL90" s="1055"/>
      <c r="LQM90" s="1055"/>
      <c r="LQN90" s="1055"/>
      <c r="LQO90" s="1055"/>
      <c r="LQP90" s="1055"/>
      <c r="LQQ90" s="1055"/>
      <c r="LQR90" s="1055"/>
      <c r="LQS90" s="1055"/>
      <c r="LQT90" s="1055"/>
      <c r="LQU90" s="1055"/>
      <c r="LQV90" s="1055"/>
      <c r="LQW90" s="1055"/>
      <c r="LQX90" s="1055"/>
      <c r="LQY90" s="1055"/>
      <c r="LQZ90" s="1055"/>
      <c r="LRA90" s="1055"/>
      <c r="LRB90" s="1055"/>
      <c r="LRC90" s="1055"/>
      <c r="LRD90" s="1055"/>
      <c r="LRE90" s="1055"/>
      <c r="LRF90" s="1055"/>
      <c r="LRG90" s="1055"/>
      <c r="LRH90" s="1055"/>
      <c r="LRI90" s="1055"/>
      <c r="LRJ90" s="1055"/>
      <c r="LRK90" s="1055"/>
      <c r="LRL90" s="1055"/>
      <c r="LRM90" s="1055"/>
      <c r="LRN90" s="1055"/>
      <c r="LRO90" s="1055"/>
      <c r="LRP90" s="1055"/>
      <c r="LRQ90" s="1055"/>
      <c r="LRR90" s="1055"/>
      <c r="LRS90" s="1055"/>
      <c r="LRT90" s="1055"/>
      <c r="LRU90" s="1055"/>
      <c r="LRV90" s="1055"/>
      <c r="LRW90" s="1055"/>
      <c r="LRX90" s="1055"/>
      <c r="LRY90" s="1055"/>
      <c r="LRZ90" s="1055"/>
      <c r="LSA90" s="1055"/>
      <c r="LSB90" s="1055"/>
      <c r="LSC90" s="1055"/>
      <c r="LSD90" s="1055"/>
      <c r="LSE90" s="1055"/>
      <c r="LSF90" s="1055"/>
      <c r="LSG90" s="1055"/>
      <c r="LSH90" s="1055"/>
      <c r="LSI90" s="1055"/>
      <c r="LSJ90" s="1055"/>
      <c r="LSK90" s="1055"/>
      <c r="LSL90" s="1055"/>
      <c r="LSM90" s="1055"/>
      <c r="LSN90" s="1055"/>
      <c r="LSO90" s="1055"/>
      <c r="LSP90" s="1055"/>
      <c r="LSQ90" s="1055"/>
      <c r="LSR90" s="1055"/>
      <c r="LSS90" s="1055"/>
      <c r="LST90" s="1055"/>
      <c r="LSU90" s="1055"/>
      <c r="LSV90" s="1055"/>
      <c r="LSW90" s="1055"/>
      <c r="LSX90" s="1055"/>
      <c r="LSY90" s="1055"/>
      <c r="LSZ90" s="1055"/>
      <c r="LTA90" s="1055"/>
      <c r="LTB90" s="1055"/>
      <c r="LTC90" s="1055"/>
      <c r="LTD90" s="1055"/>
      <c r="LTE90" s="1055"/>
      <c r="LTF90" s="1055"/>
      <c r="LTG90" s="1055"/>
      <c r="LTH90" s="1055"/>
      <c r="LTI90" s="1055"/>
      <c r="LTJ90" s="1055"/>
      <c r="LTK90" s="1055"/>
      <c r="LTL90" s="1055"/>
      <c r="LTM90" s="1055"/>
      <c r="LTN90" s="1055"/>
      <c r="LTO90" s="1055"/>
      <c r="LTP90" s="1055"/>
      <c r="LTQ90" s="1055"/>
      <c r="LTR90" s="1055"/>
      <c r="LTS90" s="1055"/>
      <c r="LTT90" s="1055"/>
      <c r="LTU90" s="1055"/>
      <c r="LTV90" s="1055"/>
      <c r="LTW90" s="1055"/>
      <c r="LTX90" s="1055"/>
      <c r="LTY90" s="1055"/>
      <c r="LTZ90" s="1055"/>
      <c r="LUA90" s="1055"/>
      <c r="LUB90" s="1055"/>
      <c r="LUC90" s="1055"/>
      <c r="LUD90" s="1055"/>
      <c r="LUE90" s="1055"/>
      <c r="LUF90" s="1055"/>
      <c r="LUG90" s="1055"/>
      <c r="LUH90" s="1055"/>
      <c r="LUI90" s="1055"/>
      <c r="LUJ90" s="1055"/>
      <c r="LUK90" s="1055"/>
      <c r="LUL90" s="1055"/>
      <c r="LUM90" s="1055"/>
      <c r="LUN90" s="1055"/>
      <c r="LUO90" s="1055"/>
      <c r="LUP90" s="1055"/>
      <c r="LUQ90" s="1055"/>
      <c r="LUR90" s="1055"/>
      <c r="LUS90" s="1055"/>
      <c r="LUT90" s="1055"/>
      <c r="LUU90" s="1055"/>
      <c r="LUV90" s="1055"/>
      <c r="LUW90" s="1055"/>
      <c r="LUX90" s="1055"/>
      <c r="LUY90" s="1055"/>
      <c r="LUZ90" s="1055"/>
      <c r="LVA90" s="1055"/>
      <c r="LVB90" s="1055"/>
      <c r="LVC90" s="1055"/>
      <c r="LVD90" s="1055"/>
      <c r="LVE90" s="1055"/>
      <c r="LVF90" s="1055"/>
      <c r="LVG90" s="1055"/>
      <c r="LVH90" s="1055"/>
      <c r="LVI90" s="1055"/>
      <c r="LVJ90" s="1055"/>
      <c r="LVK90" s="1055"/>
      <c r="LVL90" s="1055"/>
      <c r="LVM90" s="1055"/>
      <c r="LVN90" s="1055"/>
      <c r="LVO90" s="1055"/>
      <c r="LVP90" s="1055"/>
      <c r="LVQ90" s="1055"/>
      <c r="LVR90" s="1055"/>
      <c r="LVS90" s="1055"/>
      <c r="LVT90" s="1055"/>
      <c r="LVU90" s="1055"/>
      <c r="LVV90" s="1055"/>
      <c r="LVW90" s="1055"/>
      <c r="LVX90" s="1055"/>
      <c r="LVY90" s="1055"/>
      <c r="LVZ90" s="1055"/>
      <c r="LWA90" s="1055"/>
      <c r="LWB90" s="1055"/>
      <c r="LWC90" s="1055"/>
      <c r="LWD90" s="1055"/>
      <c r="LWE90" s="1055"/>
      <c r="LWF90" s="1055"/>
      <c r="LWG90" s="1055"/>
      <c r="LWH90" s="1055"/>
      <c r="LWI90" s="1055"/>
      <c r="LWJ90" s="1055"/>
      <c r="LWK90" s="1055"/>
      <c r="LWL90" s="1055"/>
      <c r="LWM90" s="1055"/>
      <c r="LWN90" s="1055"/>
      <c r="LWO90" s="1055"/>
      <c r="LWP90" s="1055"/>
      <c r="LWQ90" s="1055"/>
      <c r="LWR90" s="1055"/>
      <c r="LWS90" s="1055"/>
      <c r="LWT90" s="1055"/>
      <c r="LWU90" s="1055"/>
      <c r="LWV90" s="1055"/>
      <c r="LWW90" s="1055"/>
      <c r="LWX90" s="1055"/>
      <c r="LWY90" s="1055"/>
      <c r="LWZ90" s="1055"/>
      <c r="LXA90" s="1055"/>
      <c r="LXB90" s="1055"/>
      <c r="LXC90" s="1055"/>
      <c r="LXD90" s="1055"/>
      <c r="LXE90" s="1055"/>
      <c r="LXF90" s="1055"/>
      <c r="LXG90" s="1055"/>
      <c r="LXH90" s="1055"/>
      <c r="LXI90" s="1055"/>
      <c r="LXJ90" s="1055"/>
      <c r="LXK90" s="1055"/>
      <c r="LXL90" s="1055"/>
      <c r="LXM90" s="1055"/>
      <c r="LXN90" s="1055"/>
      <c r="LXO90" s="1055"/>
      <c r="LXP90" s="1055"/>
      <c r="LXQ90" s="1055"/>
      <c r="LXR90" s="1055"/>
      <c r="LXS90" s="1055"/>
      <c r="LXT90" s="1055"/>
      <c r="LXU90" s="1055"/>
      <c r="LXV90" s="1055"/>
      <c r="LXW90" s="1055"/>
      <c r="LXX90" s="1055"/>
      <c r="LXY90" s="1055"/>
      <c r="LXZ90" s="1055"/>
      <c r="LYA90" s="1055"/>
      <c r="LYB90" s="1055"/>
      <c r="LYC90" s="1055"/>
      <c r="LYD90" s="1055"/>
      <c r="LYE90" s="1055"/>
      <c r="LYF90" s="1055"/>
      <c r="LYG90" s="1055"/>
      <c r="LYH90" s="1055"/>
      <c r="LYI90" s="1055"/>
      <c r="LYJ90" s="1055"/>
      <c r="LYK90" s="1055"/>
      <c r="LYL90" s="1055"/>
      <c r="LYM90" s="1055"/>
      <c r="LYN90" s="1055"/>
      <c r="LYO90" s="1055"/>
      <c r="LYP90" s="1055"/>
      <c r="LYQ90" s="1055"/>
      <c r="LYR90" s="1055"/>
      <c r="LYS90" s="1055"/>
      <c r="LYT90" s="1055"/>
      <c r="LYU90" s="1055"/>
      <c r="LYV90" s="1055"/>
      <c r="LYW90" s="1055"/>
      <c r="LYX90" s="1055"/>
      <c r="LYY90" s="1055"/>
      <c r="LYZ90" s="1055"/>
      <c r="LZA90" s="1055"/>
      <c r="LZB90" s="1055"/>
      <c r="LZC90" s="1055"/>
      <c r="LZD90" s="1055"/>
      <c r="LZE90" s="1055"/>
      <c r="LZF90" s="1055"/>
      <c r="LZG90" s="1055"/>
      <c r="LZH90" s="1055"/>
      <c r="LZI90" s="1055"/>
      <c r="LZJ90" s="1055"/>
      <c r="LZK90" s="1055"/>
      <c r="LZL90" s="1055"/>
      <c r="LZM90" s="1055"/>
      <c r="LZN90" s="1055"/>
      <c r="LZO90" s="1055"/>
      <c r="LZP90" s="1055"/>
      <c r="LZQ90" s="1055"/>
      <c r="LZR90" s="1055"/>
      <c r="LZS90" s="1055"/>
      <c r="LZT90" s="1055"/>
      <c r="LZU90" s="1055"/>
      <c r="LZV90" s="1055"/>
      <c r="LZW90" s="1055"/>
      <c r="LZX90" s="1055"/>
      <c r="LZY90" s="1055"/>
      <c r="LZZ90" s="1055"/>
      <c r="MAA90" s="1055"/>
      <c r="MAB90" s="1055"/>
      <c r="MAC90" s="1055"/>
      <c r="MAD90" s="1055"/>
      <c r="MAE90" s="1055"/>
      <c r="MAF90" s="1055"/>
      <c r="MAG90" s="1055"/>
      <c r="MAH90" s="1055"/>
      <c r="MAI90" s="1055"/>
      <c r="MAJ90" s="1055"/>
      <c r="MAK90" s="1055"/>
      <c r="MAL90" s="1055"/>
      <c r="MAM90" s="1055"/>
      <c r="MAN90" s="1055"/>
      <c r="MAO90" s="1055"/>
      <c r="MAP90" s="1055"/>
      <c r="MAQ90" s="1055"/>
      <c r="MAR90" s="1055"/>
      <c r="MAS90" s="1055"/>
      <c r="MAT90" s="1055"/>
      <c r="MAU90" s="1055"/>
      <c r="MAV90" s="1055"/>
      <c r="MAW90" s="1055"/>
      <c r="MAX90" s="1055"/>
      <c r="MAY90" s="1055"/>
      <c r="MAZ90" s="1055"/>
      <c r="MBA90" s="1055"/>
      <c r="MBB90" s="1055"/>
      <c r="MBC90" s="1055"/>
      <c r="MBD90" s="1055"/>
      <c r="MBE90" s="1055"/>
      <c r="MBF90" s="1055"/>
      <c r="MBG90" s="1055"/>
      <c r="MBH90" s="1055"/>
      <c r="MBI90" s="1055"/>
      <c r="MBJ90" s="1055"/>
      <c r="MBK90" s="1055"/>
      <c r="MBL90" s="1055"/>
      <c r="MBM90" s="1055"/>
      <c r="MBN90" s="1055"/>
      <c r="MBO90" s="1055"/>
      <c r="MBP90" s="1055"/>
      <c r="MBQ90" s="1055"/>
      <c r="MBR90" s="1055"/>
      <c r="MBS90" s="1055"/>
      <c r="MBT90" s="1055"/>
      <c r="MBU90" s="1055"/>
      <c r="MBV90" s="1055"/>
      <c r="MBW90" s="1055"/>
      <c r="MBX90" s="1055"/>
      <c r="MBY90" s="1055"/>
      <c r="MBZ90" s="1055"/>
      <c r="MCA90" s="1055"/>
      <c r="MCB90" s="1055"/>
      <c r="MCC90" s="1055"/>
      <c r="MCD90" s="1055"/>
      <c r="MCE90" s="1055"/>
      <c r="MCF90" s="1055"/>
      <c r="MCG90" s="1055"/>
      <c r="MCH90" s="1055"/>
      <c r="MCI90" s="1055"/>
      <c r="MCJ90" s="1055"/>
      <c r="MCK90" s="1055"/>
      <c r="MCL90" s="1055"/>
      <c r="MCM90" s="1055"/>
      <c r="MCN90" s="1055"/>
      <c r="MCO90" s="1055"/>
      <c r="MCP90" s="1055"/>
      <c r="MCQ90" s="1055"/>
      <c r="MCR90" s="1055"/>
      <c r="MCS90" s="1055"/>
      <c r="MCT90" s="1055"/>
      <c r="MCU90" s="1055"/>
      <c r="MCV90" s="1055"/>
      <c r="MCW90" s="1055"/>
      <c r="MCX90" s="1055"/>
      <c r="MCY90" s="1055"/>
      <c r="MCZ90" s="1055"/>
      <c r="MDA90" s="1055"/>
      <c r="MDB90" s="1055"/>
      <c r="MDC90" s="1055"/>
      <c r="MDD90" s="1055"/>
      <c r="MDE90" s="1055"/>
      <c r="MDF90" s="1055"/>
      <c r="MDG90" s="1055"/>
      <c r="MDH90" s="1055"/>
      <c r="MDI90" s="1055"/>
      <c r="MDJ90" s="1055"/>
      <c r="MDK90" s="1055"/>
      <c r="MDL90" s="1055"/>
      <c r="MDM90" s="1055"/>
      <c r="MDN90" s="1055"/>
      <c r="MDO90" s="1055"/>
      <c r="MDP90" s="1055"/>
      <c r="MDQ90" s="1055"/>
      <c r="MDR90" s="1055"/>
      <c r="MDS90" s="1055"/>
      <c r="MDT90" s="1055"/>
      <c r="MDU90" s="1055"/>
      <c r="MDV90" s="1055"/>
      <c r="MDW90" s="1055"/>
      <c r="MDX90" s="1055"/>
      <c r="MDY90" s="1055"/>
      <c r="MDZ90" s="1055"/>
      <c r="MEA90" s="1055"/>
      <c r="MEB90" s="1055"/>
      <c r="MEC90" s="1055"/>
      <c r="MED90" s="1055"/>
      <c r="MEE90" s="1055"/>
      <c r="MEF90" s="1055"/>
      <c r="MEG90" s="1055"/>
      <c r="MEH90" s="1055"/>
      <c r="MEI90" s="1055"/>
      <c r="MEJ90" s="1055"/>
      <c r="MEK90" s="1055"/>
      <c r="MEL90" s="1055"/>
      <c r="MEM90" s="1055"/>
      <c r="MEN90" s="1055"/>
      <c r="MEO90" s="1055"/>
      <c r="MEP90" s="1055"/>
      <c r="MEQ90" s="1055"/>
      <c r="MER90" s="1055"/>
      <c r="MES90" s="1055"/>
      <c r="MET90" s="1055"/>
      <c r="MEU90" s="1055"/>
      <c r="MEV90" s="1055"/>
      <c r="MEW90" s="1055"/>
      <c r="MEX90" s="1055"/>
      <c r="MEY90" s="1055"/>
      <c r="MEZ90" s="1055"/>
      <c r="MFA90" s="1055"/>
      <c r="MFB90" s="1055"/>
      <c r="MFC90" s="1055"/>
      <c r="MFD90" s="1055"/>
      <c r="MFE90" s="1055"/>
      <c r="MFF90" s="1055"/>
      <c r="MFG90" s="1055"/>
      <c r="MFH90" s="1055"/>
      <c r="MFI90" s="1055"/>
      <c r="MFJ90" s="1055"/>
      <c r="MFK90" s="1055"/>
      <c r="MFL90" s="1055"/>
      <c r="MFM90" s="1055"/>
      <c r="MFN90" s="1055"/>
      <c r="MFO90" s="1055"/>
      <c r="MFP90" s="1055"/>
      <c r="MFQ90" s="1055"/>
      <c r="MFR90" s="1055"/>
      <c r="MFS90" s="1055"/>
      <c r="MFT90" s="1055"/>
      <c r="MFU90" s="1055"/>
      <c r="MFV90" s="1055"/>
      <c r="MFW90" s="1055"/>
      <c r="MFX90" s="1055"/>
      <c r="MFY90" s="1055"/>
      <c r="MFZ90" s="1055"/>
      <c r="MGA90" s="1055"/>
      <c r="MGB90" s="1055"/>
      <c r="MGC90" s="1055"/>
      <c r="MGD90" s="1055"/>
      <c r="MGE90" s="1055"/>
      <c r="MGF90" s="1055"/>
      <c r="MGG90" s="1055"/>
      <c r="MGH90" s="1055"/>
      <c r="MGI90" s="1055"/>
      <c r="MGJ90" s="1055"/>
      <c r="MGK90" s="1055"/>
      <c r="MGL90" s="1055"/>
      <c r="MGM90" s="1055"/>
      <c r="MGN90" s="1055"/>
      <c r="MGO90" s="1055"/>
      <c r="MGP90" s="1055"/>
      <c r="MGQ90" s="1055"/>
      <c r="MGR90" s="1055"/>
      <c r="MGS90" s="1055"/>
      <c r="MGT90" s="1055"/>
      <c r="MGU90" s="1055"/>
      <c r="MGV90" s="1055"/>
      <c r="MGW90" s="1055"/>
      <c r="MGX90" s="1055"/>
      <c r="MGY90" s="1055"/>
      <c r="MGZ90" s="1055"/>
      <c r="MHA90" s="1055"/>
      <c r="MHB90" s="1055"/>
      <c r="MHC90" s="1055"/>
      <c r="MHD90" s="1055"/>
      <c r="MHE90" s="1055"/>
      <c r="MHF90" s="1055"/>
      <c r="MHG90" s="1055"/>
      <c r="MHH90" s="1055"/>
      <c r="MHI90" s="1055"/>
      <c r="MHJ90" s="1055"/>
      <c r="MHK90" s="1055"/>
      <c r="MHL90" s="1055"/>
      <c r="MHM90" s="1055"/>
      <c r="MHN90" s="1055"/>
      <c r="MHO90" s="1055"/>
      <c r="MHP90" s="1055"/>
      <c r="MHQ90" s="1055"/>
      <c r="MHR90" s="1055"/>
      <c r="MHS90" s="1055"/>
      <c r="MHT90" s="1055"/>
      <c r="MHU90" s="1055"/>
      <c r="MHV90" s="1055"/>
      <c r="MHW90" s="1055"/>
      <c r="MHX90" s="1055"/>
      <c r="MHY90" s="1055"/>
      <c r="MHZ90" s="1055"/>
      <c r="MIA90" s="1055"/>
      <c r="MIB90" s="1055"/>
      <c r="MIC90" s="1055"/>
      <c r="MID90" s="1055"/>
      <c r="MIE90" s="1055"/>
      <c r="MIF90" s="1055"/>
      <c r="MIG90" s="1055"/>
      <c r="MIH90" s="1055"/>
      <c r="MII90" s="1055"/>
      <c r="MIJ90" s="1055"/>
      <c r="MIK90" s="1055"/>
      <c r="MIL90" s="1055"/>
      <c r="MIM90" s="1055"/>
      <c r="MIN90" s="1055"/>
      <c r="MIO90" s="1055"/>
      <c r="MIP90" s="1055"/>
      <c r="MIQ90" s="1055"/>
      <c r="MIR90" s="1055"/>
      <c r="MIS90" s="1055"/>
      <c r="MIT90" s="1055"/>
      <c r="MIU90" s="1055"/>
      <c r="MIV90" s="1055"/>
      <c r="MIW90" s="1055"/>
      <c r="MIX90" s="1055"/>
      <c r="MIY90" s="1055"/>
      <c r="MIZ90" s="1055"/>
      <c r="MJA90" s="1055"/>
      <c r="MJB90" s="1055"/>
      <c r="MJC90" s="1055"/>
      <c r="MJD90" s="1055"/>
      <c r="MJE90" s="1055"/>
      <c r="MJF90" s="1055"/>
      <c r="MJG90" s="1055"/>
      <c r="MJH90" s="1055"/>
      <c r="MJI90" s="1055"/>
      <c r="MJJ90" s="1055"/>
      <c r="MJK90" s="1055"/>
      <c r="MJL90" s="1055"/>
      <c r="MJM90" s="1055"/>
      <c r="MJN90" s="1055"/>
      <c r="MJO90" s="1055"/>
      <c r="MJP90" s="1055"/>
      <c r="MJQ90" s="1055"/>
      <c r="MJR90" s="1055"/>
      <c r="MJS90" s="1055"/>
      <c r="MJT90" s="1055"/>
      <c r="MJU90" s="1055"/>
      <c r="MJV90" s="1055"/>
      <c r="MJW90" s="1055"/>
      <c r="MJX90" s="1055"/>
      <c r="MJY90" s="1055"/>
      <c r="MJZ90" s="1055"/>
      <c r="MKA90" s="1055"/>
      <c r="MKB90" s="1055"/>
      <c r="MKC90" s="1055"/>
      <c r="MKD90" s="1055"/>
      <c r="MKE90" s="1055"/>
      <c r="MKF90" s="1055"/>
      <c r="MKG90" s="1055"/>
      <c r="MKH90" s="1055"/>
      <c r="MKI90" s="1055"/>
      <c r="MKJ90" s="1055"/>
      <c r="MKK90" s="1055"/>
      <c r="MKL90" s="1055"/>
      <c r="MKM90" s="1055"/>
      <c r="MKN90" s="1055"/>
      <c r="MKO90" s="1055"/>
      <c r="MKP90" s="1055"/>
      <c r="MKQ90" s="1055"/>
      <c r="MKR90" s="1055"/>
      <c r="MKS90" s="1055"/>
      <c r="MKT90" s="1055"/>
      <c r="MKU90" s="1055"/>
      <c r="MKV90" s="1055"/>
      <c r="MKW90" s="1055"/>
      <c r="MKX90" s="1055"/>
      <c r="MKY90" s="1055"/>
      <c r="MKZ90" s="1055"/>
      <c r="MLA90" s="1055"/>
      <c r="MLB90" s="1055"/>
      <c r="MLC90" s="1055"/>
      <c r="MLD90" s="1055"/>
      <c r="MLE90" s="1055"/>
      <c r="MLF90" s="1055"/>
      <c r="MLG90" s="1055"/>
      <c r="MLH90" s="1055"/>
      <c r="MLI90" s="1055"/>
      <c r="MLJ90" s="1055"/>
      <c r="MLK90" s="1055"/>
      <c r="MLL90" s="1055"/>
      <c r="MLM90" s="1055"/>
      <c r="MLN90" s="1055"/>
      <c r="MLO90" s="1055"/>
      <c r="MLP90" s="1055"/>
      <c r="MLQ90" s="1055"/>
      <c r="MLR90" s="1055"/>
      <c r="MLS90" s="1055"/>
      <c r="MLT90" s="1055"/>
      <c r="MLU90" s="1055"/>
      <c r="MLV90" s="1055"/>
      <c r="MLW90" s="1055"/>
      <c r="MLX90" s="1055"/>
      <c r="MLY90" s="1055"/>
      <c r="MLZ90" s="1055"/>
      <c r="MMA90" s="1055"/>
      <c r="MMB90" s="1055"/>
      <c r="MMC90" s="1055"/>
      <c r="MMD90" s="1055"/>
      <c r="MME90" s="1055"/>
      <c r="MMF90" s="1055"/>
      <c r="MMG90" s="1055"/>
      <c r="MMH90" s="1055"/>
      <c r="MMI90" s="1055"/>
      <c r="MMJ90" s="1055"/>
      <c r="MMK90" s="1055"/>
      <c r="MML90" s="1055"/>
      <c r="MMM90" s="1055"/>
      <c r="MMN90" s="1055"/>
      <c r="MMO90" s="1055"/>
      <c r="MMP90" s="1055"/>
      <c r="MMQ90" s="1055"/>
      <c r="MMR90" s="1055"/>
      <c r="MMS90" s="1055"/>
      <c r="MMT90" s="1055"/>
      <c r="MMU90" s="1055"/>
      <c r="MMV90" s="1055"/>
      <c r="MMW90" s="1055"/>
      <c r="MMX90" s="1055"/>
      <c r="MMY90" s="1055"/>
      <c r="MMZ90" s="1055"/>
      <c r="MNA90" s="1055"/>
      <c r="MNB90" s="1055"/>
      <c r="MNC90" s="1055"/>
      <c r="MND90" s="1055"/>
      <c r="MNE90" s="1055"/>
      <c r="MNF90" s="1055"/>
      <c r="MNG90" s="1055"/>
      <c r="MNH90" s="1055"/>
      <c r="MNI90" s="1055"/>
      <c r="MNJ90" s="1055"/>
      <c r="MNK90" s="1055"/>
      <c r="MNL90" s="1055"/>
      <c r="MNM90" s="1055"/>
      <c r="MNN90" s="1055"/>
      <c r="MNO90" s="1055"/>
      <c r="MNP90" s="1055"/>
      <c r="MNQ90" s="1055"/>
      <c r="MNR90" s="1055"/>
      <c r="MNS90" s="1055"/>
      <c r="MNT90" s="1055"/>
      <c r="MNU90" s="1055"/>
      <c r="MNV90" s="1055"/>
      <c r="MNW90" s="1055"/>
      <c r="MNX90" s="1055"/>
      <c r="MNY90" s="1055"/>
      <c r="MNZ90" s="1055"/>
      <c r="MOA90" s="1055"/>
      <c r="MOB90" s="1055"/>
      <c r="MOC90" s="1055"/>
      <c r="MOD90" s="1055"/>
      <c r="MOE90" s="1055"/>
      <c r="MOF90" s="1055"/>
      <c r="MOG90" s="1055"/>
      <c r="MOH90" s="1055"/>
      <c r="MOI90" s="1055"/>
      <c r="MOJ90" s="1055"/>
      <c r="MOK90" s="1055"/>
      <c r="MOL90" s="1055"/>
      <c r="MOM90" s="1055"/>
      <c r="MON90" s="1055"/>
      <c r="MOO90" s="1055"/>
      <c r="MOP90" s="1055"/>
      <c r="MOQ90" s="1055"/>
      <c r="MOR90" s="1055"/>
      <c r="MOS90" s="1055"/>
      <c r="MOT90" s="1055"/>
      <c r="MOU90" s="1055"/>
      <c r="MOV90" s="1055"/>
      <c r="MOW90" s="1055"/>
      <c r="MOX90" s="1055"/>
      <c r="MOY90" s="1055"/>
      <c r="MOZ90" s="1055"/>
      <c r="MPA90" s="1055"/>
      <c r="MPB90" s="1055"/>
      <c r="MPC90" s="1055"/>
      <c r="MPD90" s="1055"/>
      <c r="MPE90" s="1055"/>
      <c r="MPF90" s="1055"/>
      <c r="MPG90" s="1055"/>
      <c r="MPH90" s="1055"/>
      <c r="MPI90" s="1055"/>
      <c r="MPJ90" s="1055"/>
      <c r="MPK90" s="1055"/>
      <c r="MPL90" s="1055"/>
      <c r="MPM90" s="1055"/>
      <c r="MPN90" s="1055"/>
      <c r="MPO90" s="1055"/>
      <c r="MPP90" s="1055"/>
      <c r="MPQ90" s="1055"/>
      <c r="MPR90" s="1055"/>
      <c r="MPS90" s="1055"/>
      <c r="MPT90" s="1055"/>
      <c r="MPU90" s="1055"/>
      <c r="MPV90" s="1055"/>
      <c r="MPW90" s="1055"/>
      <c r="MPX90" s="1055"/>
      <c r="MPY90" s="1055"/>
      <c r="MPZ90" s="1055"/>
      <c r="MQA90" s="1055"/>
      <c r="MQB90" s="1055"/>
      <c r="MQC90" s="1055"/>
      <c r="MQD90" s="1055"/>
      <c r="MQE90" s="1055"/>
      <c r="MQF90" s="1055"/>
      <c r="MQG90" s="1055"/>
      <c r="MQH90" s="1055"/>
      <c r="MQI90" s="1055"/>
      <c r="MQJ90" s="1055"/>
      <c r="MQK90" s="1055"/>
      <c r="MQL90" s="1055"/>
      <c r="MQM90" s="1055"/>
      <c r="MQN90" s="1055"/>
      <c r="MQO90" s="1055"/>
      <c r="MQP90" s="1055"/>
      <c r="MQQ90" s="1055"/>
      <c r="MQR90" s="1055"/>
      <c r="MQS90" s="1055"/>
      <c r="MQT90" s="1055"/>
      <c r="MQU90" s="1055"/>
      <c r="MQV90" s="1055"/>
      <c r="MQW90" s="1055"/>
      <c r="MQX90" s="1055"/>
      <c r="MQY90" s="1055"/>
      <c r="MQZ90" s="1055"/>
      <c r="MRA90" s="1055"/>
      <c r="MRB90" s="1055"/>
      <c r="MRC90" s="1055"/>
      <c r="MRD90" s="1055"/>
      <c r="MRE90" s="1055"/>
      <c r="MRF90" s="1055"/>
      <c r="MRG90" s="1055"/>
      <c r="MRH90" s="1055"/>
      <c r="MRI90" s="1055"/>
      <c r="MRJ90" s="1055"/>
      <c r="MRK90" s="1055"/>
      <c r="MRL90" s="1055"/>
      <c r="MRM90" s="1055"/>
      <c r="MRN90" s="1055"/>
      <c r="MRO90" s="1055"/>
      <c r="MRP90" s="1055"/>
      <c r="MRQ90" s="1055"/>
      <c r="MRR90" s="1055"/>
      <c r="MRS90" s="1055"/>
      <c r="MRT90" s="1055"/>
      <c r="MRU90" s="1055"/>
      <c r="MRV90" s="1055"/>
      <c r="MRW90" s="1055"/>
      <c r="MRX90" s="1055"/>
      <c r="MRY90" s="1055"/>
      <c r="MRZ90" s="1055"/>
      <c r="MSA90" s="1055"/>
      <c r="MSB90" s="1055"/>
      <c r="MSC90" s="1055"/>
      <c r="MSD90" s="1055"/>
      <c r="MSE90" s="1055"/>
      <c r="MSF90" s="1055"/>
      <c r="MSG90" s="1055"/>
      <c r="MSH90" s="1055"/>
      <c r="MSI90" s="1055"/>
      <c r="MSJ90" s="1055"/>
      <c r="MSK90" s="1055"/>
      <c r="MSL90" s="1055"/>
      <c r="MSM90" s="1055"/>
      <c r="MSN90" s="1055"/>
      <c r="MSO90" s="1055"/>
      <c r="MSP90" s="1055"/>
      <c r="MSQ90" s="1055"/>
      <c r="MSR90" s="1055"/>
      <c r="MSS90" s="1055"/>
      <c r="MST90" s="1055"/>
      <c r="MSU90" s="1055"/>
      <c r="MSV90" s="1055"/>
      <c r="MSW90" s="1055"/>
      <c r="MSX90" s="1055"/>
      <c r="MSY90" s="1055"/>
      <c r="MSZ90" s="1055"/>
      <c r="MTA90" s="1055"/>
      <c r="MTB90" s="1055"/>
      <c r="MTC90" s="1055"/>
      <c r="MTD90" s="1055"/>
      <c r="MTE90" s="1055"/>
      <c r="MTF90" s="1055"/>
      <c r="MTG90" s="1055"/>
      <c r="MTH90" s="1055"/>
      <c r="MTI90" s="1055"/>
      <c r="MTJ90" s="1055"/>
      <c r="MTK90" s="1055"/>
      <c r="MTL90" s="1055"/>
      <c r="MTM90" s="1055"/>
      <c r="MTN90" s="1055"/>
      <c r="MTO90" s="1055"/>
      <c r="MTP90" s="1055"/>
      <c r="MTQ90" s="1055"/>
      <c r="MTR90" s="1055"/>
      <c r="MTS90" s="1055"/>
      <c r="MTT90" s="1055"/>
      <c r="MTU90" s="1055"/>
      <c r="MTV90" s="1055"/>
      <c r="MTW90" s="1055"/>
      <c r="MTX90" s="1055"/>
      <c r="MTY90" s="1055"/>
      <c r="MTZ90" s="1055"/>
      <c r="MUA90" s="1055"/>
      <c r="MUB90" s="1055"/>
      <c r="MUC90" s="1055"/>
      <c r="MUD90" s="1055"/>
      <c r="MUE90" s="1055"/>
      <c r="MUF90" s="1055"/>
      <c r="MUG90" s="1055"/>
      <c r="MUH90" s="1055"/>
      <c r="MUI90" s="1055"/>
      <c r="MUJ90" s="1055"/>
      <c r="MUK90" s="1055"/>
      <c r="MUL90" s="1055"/>
      <c r="MUM90" s="1055"/>
      <c r="MUN90" s="1055"/>
      <c r="MUO90" s="1055"/>
      <c r="MUP90" s="1055"/>
      <c r="MUQ90" s="1055"/>
      <c r="MUR90" s="1055"/>
      <c r="MUS90" s="1055"/>
      <c r="MUT90" s="1055"/>
      <c r="MUU90" s="1055"/>
      <c r="MUV90" s="1055"/>
      <c r="MUW90" s="1055"/>
      <c r="MUX90" s="1055"/>
      <c r="MUY90" s="1055"/>
      <c r="MUZ90" s="1055"/>
      <c r="MVA90" s="1055"/>
      <c r="MVB90" s="1055"/>
      <c r="MVC90" s="1055"/>
      <c r="MVD90" s="1055"/>
      <c r="MVE90" s="1055"/>
      <c r="MVF90" s="1055"/>
      <c r="MVG90" s="1055"/>
      <c r="MVH90" s="1055"/>
      <c r="MVI90" s="1055"/>
      <c r="MVJ90" s="1055"/>
      <c r="MVK90" s="1055"/>
      <c r="MVL90" s="1055"/>
      <c r="MVM90" s="1055"/>
      <c r="MVN90" s="1055"/>
      <c r="MVO90" s="1055"/>
      <c r="MVP90" s="1055"/>
      <c r="MVQ90" s="1055"/>
      <c r="MVR90" s="1055"/>
      <c r="MVS90" s="1055"/>
      <c r="MVT90" s="1055"/>
      <c r="MVU90" s="1055"/>
      <c r="MVV90" s="1055"/>
      <c r="MVW90" s="1055"/>
      <c r="MVX90" s="1055"/>
      <c r="MVY90" s="1055"/>
      <c r="MVZ90" s="1055"/>
      <c r="MWA90" s="1055"/>
      <c r="MWB90" s="1055"/>
      <c r="MWC90" s="1055"/>
      <c r="MWD90" s="1055"/>
      <c r="MWE90" s="1055"/>
      <c r="MWF90" s="1055"/>
      <c r="MWG90" s="1055"/>
      <c r="MWH90" s="1055"/>
      <c r="MWI90" s="1055"/>
      <c r="MWJ90" s="1055"/>
      <c r="MWK90" s="1055"/>
      <c r="MWL90" s="1055"/>
      <c r="MWM90" s="1055"/>
      <c r="MWN90" s="1055"/>
      <c r="MWO90" s="1055"/>
      <c r="MWP90" s="1055"/>
      <c r="MWQ90" s="1055"/>
      <c r="MWR90" s="1055"/>
      <c r="MWS90" s="1055"/>
      <c r="MWT90" s="1055"/>
      <c r="MWU90" s="1055"/>
      <c r="MWV90" s="1055"/>
      <c r="MWW90" s="1055"/>
      <c r="MWX90" s="1055"/>
      <c r="MWY90" s="1055"/>
      <c r="MWZ90" s="1055"/>
      <c r="MXA90" s="1055"/>
      <c r="MXB90" s="1055"/>
      <c r="MXC90" s="1055"/>
      <c r="MXD90" s="1055"/>
      <c r="MXE90" s="1055"/>
      <c r="MXF90" s="1055"/>
      <c r="MXG90" s="1055"/>
      <c r="MXH90" s="1055"/>
      <c r="MXI90" s="1055"/>
      <c r="MXJ90" s="1055"/>
      <c r="MXK90" s="1055"/>
      <c r="MXL90" s="1055"/>
      <c r="MXM90" s="1055"/>
      <c r="MXN90" s="1055"/>
      <c r="MXO90" s="1055"/>
      <c r="MXP90" s="1055"/>
      <c r="MXQ90" s="1055"/>
      <c r="MXR90" s="1055"/>
      <c r="MXS90" s="1055"/>
      <c r="MXT90" s="1055"/>
      <c r="MXU90" s="1055"/>
      <c r="MXV90" s="1055"/>
      <c r="MXW90" s="1055"/>
      <c r="MXX90" s="1055"/>
      <c r="MXY90" s="1055"/>
      <c r="MXZ90" s="1055"/>
      <c r="MYA90" s="1055"/>
      <c r="MYB90" s="1055"/>
      <c r="MYC90" s="1055"/>
      <c r="MYD90" s="1055"/>
      <c r="MYE90" s="1055"/>
      <c r="MYF90" s="1055"/>
      <c r="MYG90" s="1055"/>
      <c r="MYH90" s="1055"/>
      <c r="MYI90" s="1055"/>
      <c r="MYJ90" s="1055"/>
      <c r="MYK90" s="1055"/>
      <c r="MYL90" s="1055"/>
      <c r="MYM90" s="1055"/>
      <c r="MYN90" s="1055"/>
      <c r="MYO90" s="1055"/>
      <c r="MYP90" s="1055"/>
      <c r="MYQ90" s="1055"/>
      <c r="MYR90" s="1055"/>
      <c r="MYS90" s="1055"/>
      <c r="MYT90" s="1055"/>
      <c r="MYU90" s="1055"/>
      <c r="MYV90" s="1055"/>
      <c r="MYW90" s="1055"/>
      <c r="MYX90" s="1055"/>
      <c r="MYY90" s="1055"/>
      <c r="MYZ90" s="1055"/>
      <c r="MZA90" s="1055"/>
      <c r="MZB90" s="1055"/>
      <c r="MZC90" s="1055"/>
      <c r="MZD90" s="1055"/>
      <c r="MZE90" s="1055"/>
      <c r="MZF90" s="1055"/>
      <c r="MZG90" s="1055"/>
      <c r="MZH90" s="1055"/>
      <c r="MZI90" s="1055"/>
      <c r="MZJ90" s="1055"/>
      <c r="MZK90" s="1055"/>
      <c r="MZL90" s="1055"/>
      <c r="MZM90" s="1055"/>
      <c r="MZN90" s="1055"/>
      <c r="MZO90" s="1055"/>
      <c r="MZP90" s="1055"/>
      <c r="MZQ90" s="1055"/>
      <c r="MZR90" s="1055"/>
      <c r="MZS90" s="1055"/>
      <c r="MZT90" s="1055"/>
      <c r="MZU90" s="1055"/>
      <c r="MZV90" s="1055"/>
      <c r="MZW90" s="1055"/>
      <c r="MZX90" s="1055"/>
      <c r="MZY90" s="1055"/>
      <c r="MZZ90" s="1055"/>
      <c r="NAA90" s="1055"/>
      <c r="NAB90" s="1055"/>
      <c r="NAC90" s="1055"/>
      <c r="NAD90" s="1055"/>
      <c r="NAE90" s="1055"/>
      <c r="NAF90" s="1055"/>
      <c r="NAG90" s="1055"/>
      <c r="NAH90" s="1055"/>
      <c r="NAI90" s="1055"/>
      <c r="NAJ90" s="1055"/>
      <c r="NAK90" s="1055"/>
      <c r="NAL90" s="1055"/>
      <c r="NAM90" s="1055"/>
      <c r="NAN90" s="1055"/>
      <c r="NAO90" s="1055"/>
      <c r="NAP90" s="1055"/>
      <c r="NAQ90" s="1055"/>
      <c r="NAR90" s="1055"/>
      <c r="NAS90" s="1055"/>
      <c r="NAT90" s="1055"/>
      <c r="NAU90" s="1055"/>
      <c r="NAV90" s="1055"/>
      <c r="NAW90" s="1055"/>
      <c r="NAX90" s="1055"/>
      <c r="NAY90" s="1055"/>
      <c r="NAZ90" s="1055"/>
      <c r="NBA90" s="1055"/>
      <c r="NBB90" s="1055"/>
      <c r="NBC90" s="1055"/>
      <c r="NBD90" s="1055"/>
      <c r="NBE90" s="1055"/>
      <c r="NBF90" s="1055"/>
      <c r="NBG90" s="1055"/>
      <c r="NBH90" s="1055"/>
      <c r="NBI90" s="1055"/>
      <c r="NBJ90" s="1055"/>
      <c r="NBK90" s="1055"/>
      <c r="NBL90" s="1055"/>
      <c r="NBM90" s="1055"/>
      <c r="NBN90" s="1055"/>
      <c r="NBO90" s="1055"/>
      <c r="NBP90" s="1055"/>
      <c r="NBQ90" s="1055"/>
      <c r="NBR90" s="1055"/>
      <c r="NBS90" s="1055"/>
      <c r="NBT90" s="1055"/>
      <c r="NBU90" s="1055"/>
      <c r="NBV90" s="1055"/>
      <c r="NBW90" s="1055"/>
      <c r="NBX90" s="1055"/>
      <c r="NBY90" s="1055"/>
      <c r="NBZ90" s="1055"/>
      <c r="NCA90" s="1055"/>
      <c r="NCB90" s="1055"/>
      <c r="NCC90" s="1055"/>
      <c r="NCD90" s="1055"/>
      <c r="NCE90" s="1055"/>
      <c r="NCF90" s="1055"/>
      <c r="NCG90" s="1055"/>
      <c r="NCH90" s="1055"/>
      <c r="NCI90" s="1055"/>
      <c r="NCJ90" s="1055"/>
      <c r="NCK90" s="1055"/>
      <c r="NCL90" s="1055"/>
      <c r="NCM90" s="1055"/>
      <c r="NCN90" s="1055"/>
      <c r="NCO90" s="1055"/>
      <c r="NCP90" s="1055"/>
      <c r="NCQ90" s="1055"/>
      <c r="NCR90" s="1055"/>
      <c r="NCS90" s="1055"/>
      <c r="NCT90" s="1055"/>
      <c r="NCU90" s="1055"/>
      <c r="NCV90" s="1055"/>
      <c r="NCW90" s="1055"/>
      <c r="NCX90" s="1055"/>
      <c r="NCY90" s="1055"/>
      <c r="NCZ90" s="1055"/>
      <c r="NDA90" s="1055"/>
      <c r="NDB90" s="1055"/>
      <c r="NDC90" s="1055"/>
      <c r="NDD90" s="1055"/>
      <c r="NDE90" s="1055"/>
      <c r="NDF90" s="1055"/>
      <c r="NDG90" s="1055"/>
      <c r="NDH90" s="1055"/>
      <c r="NDI90" s="1055"/>
      <c r="NDJ90" s="1055"/>
      <c r="NDK90" s="1055"/>
      <c r="NDL90" s="1055"/>
      <c r="NDM90" s="1055"/>
      <c r="NDN90" s="1055"/>
      <c r="NDO90" s="1055"/>
      <c r="NDP90" s="1055"/>
      <c r="NDQ90" s="1055"/>
      <c r="NDR90" s="1055"/>
      <c r="NDS90" s="1055"/>
      <c r="NDT90" s="1055"/>
      <c r="NDU90" s="1055"/>
      <c r="NDV90" s="1055"/>
      <c r="NDW90" s="1055"/>
      <c r="NDX90" s="1055"/>
      <c r="NDY90" s="1055"/>
      <c r="NDZ90" s="1055"/>
      <c r="NEA90" s="1055"/>
      <c r="NEB90" s="1055"/>
      <c r="NEC90" s="1055"/>
      <c r="NED90" s="1055"/>
      <c r="NEE90" s="1055"/>
      <c r="NEF90" s="1055"/>
      <c r="NEG90" s="1055"/>
      <c r="NEH90" s="1055"/>
      <c r="NEI90" s="1055"/>
      <c r="NEJ90" s="1055"/>
      <c r="NEK90" s="1055"/>
      <c r="NEL90" s="1055"/>
      <c r="NEM90" s="1055"/>
      <c r="NEN90" s="1055"/>
      <c r="NEO90" s="1055"/>
      <c r="NEP90" s="1055"/>
      <c r="NEQ90" s="1055"/>
      <c r="NER90" s="1055"/>
      <c r="NES90" s="1055"/>
      <c r="NET90" s="1055"/>
      <c r="NEU90" s="1055"/>
      <c r="NEV90" s="1055"/>
      <c r="NEW90" s="1055"/>
      <c r="NEX90" s="1055"/>
      <c r="NEY90" s="1055"/>
      <c r="NEZ90" s="1055"/>
      <c r="NFA90" s="1055"/>
      <c r="NFB90" s="1055"/>
      <c r="NFC90" s="1055"/>
      <c r="NFD90" s="1055"/>
      <c r="NFE90" s="1055"/>
      <c r="NFF90" s="1055"/>
      <c r="NFG90" s="1055"/>
      <c r="NFH90" s="1055"/>
      <c r="NFI90" s="1055"/>
      <c r="NFJ90" s="1055"/>
      <c r="NFK90" s="1055"/>
      <c r="NFL90" s="1055"/>
      <c r="NFM90" s="1055"/>
      <c r="NFN90" s="1055"/>
      <c r="NFO90" s="1055"/>
      <c r="NFP90" s="1055"/>
      <c r="NFQ90" s="1055"/>
      <c r="NFR90" s="1055"/>
      <c r="NFS90" s="1055"/>
      <c r="NFT90" s="1055"/>
      <c r="NFU90" s="1055"/>
      <c r="NFV90" s="1055"/>
      <c r="NFW90" s="1055"/>
      <c r="NFX90" s="1055"/>
      <c r="NFY90" s="1055"/>
      <c r="NFZ90" s="1055"/>
      <c r="NGA90" s="1055"/>
      <c r="NGB90" s="1055"/>
      <c r="NGC90" s="1055"/>
      <c r="NGD90" s="1055"/>
      <c r="NGE90" s="1055"/>
      <c r="NGF90" s="1055"/>
      <c r="NGG90" s="1055"/>
      <c r="NGH90" s="1055"/>
      <c r="NGI90" s="1055"/>
      <c r="NGJ90" s="1055"/>
      <c r="NGK90" s="1055"/>
      <c r="NGL90" s="1055"/>
      <c r="NGM90" s="1055"/>
      <c r="NGN90" s="1055"/>
      <c r="NGO90" s="1055"/>
      <c r="NGP90" s="1055"/>
      <c r="NGQ90" s="1055"/>
      <c r="NGR90" s="1055"/>
      <c r="NGS90" s="1055"/>
      <c r="NGT90" s="1055"/>
      <c r="NGU90" s="1055"/>
      <c r="NGV90" s="1055"/>
      <c r="NGW90" s="1055"/>
      <c r="NGX90" s="1055"/>
      <c r="NGY90" s="1055"/>
      <c r="NGZ90" s="1055"/>
      <c r="NHA90" s="1055"/>
      <c r="NHB90" s="1055"/>
      <c r="NHC90" s="1055"/>
      <c r="NHD90" s="1055"/>
      <c r="NHE90" s="1055"/>
      <c r="NHF90" s="1055"/>
      <c r="NHG90" s="1055"/>
      <c r="NHH90" s="1055"/>
      <c r="NHI90" s="1055"/>
      <c r="NHJ90" s="1055"/>
      <c r="NHK90" s="1055"/>
      <c r="NHL90" s="1055"/>
      <c r="NHM90" s="1055"/>
      <c r="NHN90" s="1055"/>
      <c r="NHO90" s="1055"/>
      <c r="NHP90" s="1055"/>
      <c r="NHQ90" s="1055"/>
      <c r="NHR90" s="1055"/>
      <c r="NHS90" s="1055"/>
      <c r="NHT90" s="1055"/>
      <c r="NHU90" s="1055"/>
      <c r="NHV90" s="1055"/>
      <c r="NHW90" s="1055"/>
      <c r="NHX90" s="1055"/>
      <c r="NHY90" s="1055"/>
      <c r="NHZ90" s="1055"/>
      <c r="NIA90" s="1055"/>
      <c r="NIB90" s="1055"/>
      <c r="NIC90" s="1055"/>
      <c r="NID90" s="1055"/>
      <c r="NIE90" s="1055"/>
      <c r="NIF90" s="1055"/>
      <c r="NIG90" s="1055"/>
      <c r="NIH90" s="1055"/>
      <c r="NII90" s="1055"/>
      <c r="NIJ90" s="1055"/>
      <c r="NIK90" s="1055"/>
      <c r="NIL90" s="1055"/>
      <c r="NIM90" s="1055"/>
      <c r="NIN90" s="1055"/>
      <c r="NIO90" s="1055"/>
      <c r="NIP90" s="1055"/>
      <c r="NIQ90" s="1055"/>
      <c r="NIR90" s="1055"/>
      <c r="NIS90" s="1055"/>
      <c r="NIT90" s="1055"/>
      <c r="NIU90" s="1055"/>
      <c r="NIV90" s="1055"/>
      <c r="NIW90" s="1055"/>
      <c r="NIX90" s="1055"/>
      <c r="NIY90" s="1055"/>
      <c r="NIZ90" s="1055"/>
      <c r="NJA90" s="1055"/>
      <c r="NJB90" s="1055"/>
      <c r="NJC90" s="1055"/>
      <c r="NJD90" s="1055"/>
      <c r="NJE90" s="1055"/>
      <c r="NJF90" s="1055"/>
      <c r="NJG90" s="1055"/>
      <c r="NJH90" s="1055"/>
      <c r="NJI90" s="1055"/>
      <c r="NJJ90" s="1055"/>
      <c r="NJK90" s="1055"/>
      <c r="NJL90" s="1055"/>
      <c r="NJM90" s="1055"/>
      <c r="NJN90" s="1055"/>
      <c r="NJO90" s="1055"/>
      <c r="NJP90" s="1055"/>
      <c r="NJQ90" s="1055"/>
      <c r="NJR90" s="1055"/>
      <c r="NJS90" s="1055"/>
      <c r="NJT90" s="1055"/>
      <c r="NJU90" s="1055"/>
      <c r="NJV90" s="1055"/>
      <c r="NJW90" s="1055"/>
      <c r="NJX90" s="1055"/>
      <c r="NJY90" s="1055"/>
      <c r="NJZ90" s="1055"/>
      <c r="NKA90" s="1055"/>
      <c r="NKB90" s="1055"/>
      <c r="NKC90" s="1055"/>
      <c r="NKD90" s="1055"/>
      <c r="NKE90" s="1055"/>
      <c r="NKF90" s="1055"/>
      <c r="NKG90" s="1055"/>
      <c r="NKH90" s="1055"/>
      <c r="NKI90" s="1055"/>
      <c r="NKJ90" s="1055"/>
      <c r="NKK90" s="1055"/>
      <c r="NKL90" s="1055"/>
      <c r="NKM90" s="1055"/>
      <c r="NKN90" s="1055"/>
      <c r="NKO90" s="1055"/>
      <c r="NKP90" s="1055"/>
      <c r="NKQ90" s="1055"/>
      <c r="NKR90" s="1055"/>
      <c r="NKS90" s="1055"/>
      <c r="NKT90" s="1055"/>
      <c r="NKU90" s="1055"/>
      <c r="NKV90" s="1055"/>
      <c r="NKW90" s="1055"/>
      <c r="NKX90" s="1055"/>
      <c r="NKY90" s="1055"/>
      <c r="NKZ90" s="1055"/>
      <c r="NLA90" s="1055"/>
      <c r="NLB90" s="1055"/>
      <c r="NLC90" s="1055"/>
      <c r="NLD90" s="1055"/>
      <c r="NLE90" s="1055"/>
      <c r="NLF90" s="1055"/>
      <c r="NLG90" s="1055"/>
      <c r="NLH90" s="1055"/>
      <c r="NLI90" s="1055"/>
      <c r="NLJ90" s="1055"/>
      <c r="NLK90" s="1055"/>
      <c r="NLL90" s="1055"/>
      <c r="NLM90" s="1055"/>
      <c r="NLN90" s="1055"/>
      <c r="NLO90" s="1055"/>
      <c r="NLP90" s="1055"/>
      <c r="NLQ90" s="1055"/>
      <c r="NLR90" s="1055"/>
      <c r="NLS90" s="1055"/>
      <c r="NLT90" s="1055"/>
      <c r="NLU90" s="1055"/>
      <c r="NLV90" s="1055"/>
      <c r="NLW90" s="1055"/>
      <c r="NLX90" s="1055"/>
      <c r="NLY90" s="1055"/>
      <c r="NLZ90" s="1055"/>
      <c r="NMA90" s="1055"/>
      <c r="NMB90" s="1055"/>
      <c r="NMC90" s="1055"/>
      <c r="NMD90" s="1055"/>
      <c r="NME90" s="1055"/>
      <c r="NMF90" s="1055"/>
      <c r="NMG90" s="1055"/>
      <c r="NMH90" s="1055"/>
      <c r="NMI90" s="1055"/>
      <c r="NMJ90" s="1055"/>
      <c r="NMK90" s="1055"/>
      <c r="NML90" s="1055"/>
      <c r="NMM90" s="1055"/>
      <c r="NMN90" s="1055"/>
      <c r="NMO90" s="1055"/>
      <c r="NMP90" s="1055"/>
      <c r="NMQ90" s="1055"/>
      <c r="NMR90" s="1055"/>
      <c r="NMS90" s="1055"/>
      <c r="NMT90" s="1055"/>
      <c r="NMU90" s="1055"/>
      <c r="NMV90" s="1055"/>
      <c r="NMW90" s="1055"/>
      <c r="NMX90" s="1055"/>
      <c r="NMY90" s="1055"/>
      <c r="NMZ90" s="1055"/>
      <c r="NNA90" s="1055"/>
      <c r="NNB90" s="1055"/>
      <c r="NNC90" s="1055"/>
      <c r="NND90" s="1055"/>
      <c r="NNE90" s="1055"/>
      <c r="NNF90" s="1055"/>
      <c r="NNG90" s="1055"/>
      <c r="NNH90" s="1055"/>
      <c r="NNI90" s="1055"/>
      <c r="NNJ90" s="1055"/>
      <c r="NNK90" s="1055"/>
      <c r="NNL90" s="1055"/>
      <c r="NNM90" s="1055"/>
      <c r="NNN90" s="1055"/>
      <c r="NNO90" s="1055"/>
      <c r="NNP90" s="1055"/>
      <c r="NNQ90" s="1055"/>
      <c r="NNR90" s="1055"/>
      <c r="NNS90" s="1055"/>
      <c r="NNT90" s="1055"/>
      <c r="NNU90" s="1055"/>
      <c r="NNV90" s="1055"/>
      <c r="NNW90" s="1055"/>
      <c r="NNX90" s="1055"/>
      <c r="NNY90" s="1055"/>
      <c r="NNZ90" s="1055"/>
      <c r="NOA90" s="1055"/>
      <c r="NOB90" s="1055"/>
      <c r="NOC90" s="1055"/>
      <c r="NOD90" s="1055"/>
      <c r="NOE90" s="1055"/>
      <c r="NOF90" s="1055"/>
      <c r="NOG90" s="1055"/>
      <c r="NOH90" s="1055"/>
      <c r="NOI90" s="1055"/>
      <c r="NOJ90" s="1055"/>
      <c r="NOK90" s="1055"/>
      <c r="NOL90" s="1055"/>
      <c r="NOM90" s="1055"/>
      <c r="NON90" s="1055"/>
      <c r="NOO90" s="1055"/>
      <c r="NOP90" s="1055"/>
      <c r="NOQ90" s="1055"/>
      <c r="NOR90" s="1055"/>
      <c r="NOS90" s="1055"/>
      <c r="NOT90" s="1055"/>
      <c r="NOU90" s="1055"/>
      <c r="NOV90" s="1055"/>
      <c r="NOW90" s="1055"/>
      <c r="NOX90" s="1055"/>
      <c r="NOY90" s="1055"/>
      <c r="NOZ90" s="1055"/>
      <c r="NPA90" s="1055"/>
      <c r="NPB90" s="1055"/>
      <c r="NPC90" s="1055"/>
      <c r="NPD90" s="1055"/>
      <c r="NPE90" s="1055"/>
      <c r="NPF90" s="1055"/>
      <c r="NPG90" s="1055"/>
      <c r="NPH90" s="1055"/>
      <c r="NPI90" s="1055"/>
      <c r="NPJ90" s="1055"/>
      <c r="NPK90" s="1055"/>
      <c r="NPL90" s="1055"/>
      <c r="NPM90" s="1055"/>
      <c r="NPN90" s="1055"/>
      <c r="NPO90" s="1055"/>
      <c r="NPP90" s="1055"/>
      <c r="NPQ90" s="1055"/>
      <c r="NPR90" s="1055"/>
      <c r="NPS90" s="1055"/>
      <c r="NPT90" s="1055"/>
      <c r="NPU90" s="1055"/>
      <c r="NPV90" s="1055"/>
      <c r="NPW90" s="1055"/>
      <c r="NPX90" s="1055"/>
      <c r="NPY90" s="1055"/>
      <c r="NPZ90" s="1055"/>
      <c r="NQA90" s="1055"/>
      <c r="NQB90" s="1055"/>
      <c r="NQC90" s="1055"/>
      <c r="NQD90" s="1055"/>
      <c r="NQE90" s="1055"/>
      <c r="NQF90" s="1055"/>
      <c r="NQG90" s="1055"/>
      <c r="NQH90" s="1055"/>
      <c r="NQI90" s="1055"/>
      <c r="NQJ90" s="1055"/>
      <c r="NQK90" s="1055"/>
      <c r="NQL90" s="1055"/>
      <c r="NQM90" s="1055"/>
      <c r="NQN90" s="1055"/>
      <c r="NQO90" s="1055"/>
      <c r="NQP90" s="1055"/>
      <c r="NQQ90" s="1055"/>
      <c r="NQR90" s="1055"/>
      <c r="NQS90" s="1055"/>
      <c r="NQT90" s="1055"/>
      <c r="NQU90" s="1055"/>
      <c r="NQV90" s="1055"/>
      <c r="NQW90" s="1055"/>
      <c r="NQX90" s="1055"/>
      <c r="NQY90" s="1055"/>
      <c r="NQZ90" s="1055"/>
      <c r="NRA90" s="1055"/>
      <c r="NRB90" s="1055"/>
      <c r="NRC90" s="1055"/>
      <c r="NRD90" s="1055"/>
      <c r="NRE90" s="1055"/>
      <c r="NRF90" s="1055"/>
      <c r="NRG90" s="1055"/>
      <c r="NRH90" s="1055"/>
      <c r="NRI90" s="1055"/>
      <c r="NRJ90" s="1055"/>
      <c r="NRK90" s="1055"/>
      <c r="NRL90" s="1055"/>
      <c r="NRM90" s="1055"/>
      <c r="NRN90" s="1055"/>
      <c r="NRO90" s="1055"/>
      <c r="NRP90" s="1055"/>
      <c r="NRQ90" s="1055"/>
      <c r="NRR90" s="1055"/>
      <c r="NRS90" s="1055"/>
      <c r="NRT90" s="1055"/>
      <c r="NRU90" s="1055"/>
      <c r="NRV90" s="1055"/>
      <c r="NRW90" s="1055"/>
      <c r="NRX90" s="1055"/>
      <c r="NRY90" s="1055"/>
      <c r="NRZ90" s="1055"/>
      <c r="NSA90" s="1055"/>
      <c r="NSB90" s="1055"/>
      <c r="NSC90" s="1055"/>
      <c r="NSD90" s="1055"/>
      <c r="NSE90" s="1055"/>
      <c r="NSF90" s="1055"/>
      <c r="NSG90" s="1055"/>
      <c r="NSH90" s="1055"/>
      <c r="NSI90" s="1055"/>
      <c r="NSJ90" s="1055"/>
      <c r="NSK90" s="1055"/>
      <c r="NSL90" s="1055"/>
      <c r="NSM90" s="1055"/>
      <c r="NSN90" s="1055"/>
      <c r="NSO90" s="1055"/>
      <c r="NSP90" s="1055"/>
      <c r="NSQ90" s="1055"/>
      <c r="NSR90" s="1055"/>
      <c r="NSS90" s="1055"/>
      <c r="NST90" s="1055"/>
      <c r="NSU90" s="1055"/>
      <c r="NSV90" s="1055"/>
      <c r="NSW90" s="1055"/>
      <c r="NSX90" s="1055"/>
      <c r="NSY90" s="1055"/>
      <c r="NSZ90" s="1055"/>
      <c r="NTA90" s="1055"/>
      <c r="NTB90" s="1055"/>
      <c r="NTC90" s="1055"/>
      <c r="NTD90" s="1055"/>
      <c r="NTE90" s="1055"/>
      <c r="NTF90" s="1055"/>
      <c r="NTG90" s="1055"/>
      <c r="NTH90" s="1055"/>
      <c r="NTI90" s="1055"/>
      <c r="NTJ90" s="1055"/>
      <c r="NTK90" s="1055"/>
      <c r="NTL90" s="1055"/>
      <c r="NTM90" s="1055"/>
      <c r="NTN90" s="1055"/>
      <c r="NTO90" s="1055"/>
      <c r="NTP90" s="1055"/>
      <c r="NTQ90" s="1055"/>
      <c r="NTR90" s="1055"/>
      <c r="NTS90" s="1055"/>
      <c r="NTT90" s="1055"/>
      <c r="NTU90" s="1055"/>
      <c r="NTV90" s="1055"/>
      <c r="NTW90" s="1055"/>
      <c r="NTX90" s="1055"/>
      <c r="NTY90" s="1055"/>
      <c r="NTZ90" s="1055"/>
      <c r="NUA90" s="1055"/>
      <c r="NUB90" s="1055"/>
      <c r="NUC90" s="1055"/>
      <c r="NUD90" s="1055"/>
      <c r="NUE90" s="1055"/>
      <c r="NUF90" s="1055"/>
      <c r="NUG90" s="1055"/>
      <c r="NUH90" s="1055"/>
      <c r="NUI90" s="1055"/>
      <c r="NUJ90" s="1055"/>
      <c r="NUK90" s="1055"/>
      <c r="NUL90" s="1055"/>
      <c r="NUM90" s="1055"/>
      <c r="NUN90" s="1055"/>
      <c r="NUO90" s="1055"/>
      <c r="NUP90" s="1055"/>
      <c r="NUQ90" s="1055"/>
      <c r="NUR90" s="1055"/>
      <c r="NUS90" s="1055"/>
      <c r="NUT90" s="1055"/>
      <c r="NUU90" s="1055"/>
      <c r="NUV90" s="1055"/>
      <c r="NUW90" s="1055"/>
      <c r="NUX90" s="1055"/>
      <c r="NUY90" s="1055"/>
      <c r="NUZ90" s="1055"/>
      <c r="NVA90" s="1055"/>
      <c r="NVB90" s="1055"/>
      <c r="NVC90" s="1055"/>
      <c r="NVD90" s="1055"/>
      <c r="NVE90" s="1055"/>
      <c r="NVF90" s="1055"/>
      <c r="NVG90" s="1055"/>
      <c r="NVH90" s="1055"/>
      <c r="NVI90" s="1055"/>
      <c r="NVJ90" s="1055"/>
      <c r="NVK90" s="1055"/>
      <c r="NVL90" s="1055"/>
      <c r="NVM90" s="1055"/>
      <c r="NVN90" s="1055"/>
      <c r="NVO90" s="1055"/>
      <c r="NVP90" s="1055"/>
      <c r="NVQ90" s="1055"/>
      <c r="NVR90" s="1055"/>
      <c r="NVS90" s="1055"/>
      <c r="NVT90" s="1055"/>
      <c r="NVU90" s="1055"/>
      <c r="NVV90" s="1055"/>
      <c r="NVW90" s="1055"/>
      <c r="NVX90" s="1055"/>
      <c r="NVY90" s="1055"/>
      <c r="NVZ90" s="1055"/>
      <c r="NWA90" s="1055"/>
      <c r="NWB90" s="1055"/>
      <c r="NWC90" s="1055"/>
      <c r="NWD90" s="1055"/>
      <c r="NWE90" s="1055"/>
      <c r="NWF90" s="1055"/>
      <c r="NWG90" s="1055"/>
      <c r="NWH90" s="1055"/>
      <c r="NWI90" s="1055"/>
      <c r="NWJ90" s="1055"/>
      <c r="NWK90" s="1055"/>
      <c r="NWL90" s="1055"/>
      <c r="NWM90" s="1055"/>
      <c r="NWN90" s="1055"/>
      <c r="NWO90" s="1055"/>
      <c r="NWP90" s="1055"/>
      <c r="NWQ90" s="1055"/>
      <c r="NWR90" s="1055"/>
      <c r="NWS90" s="1055"/>
      <c r="NWT90" s="1055"/>
      <c r="NWU90" s="1055"/>
      <c r="NWV90" s="1055"/>
      <c r="NWW90" s="1055"/>
      <c r="NWX90" s="1055"/>
      <c r="NWY90" s="1055"/>
      <c r="NWZ90" s="1055"/>
      <c r="NXA90" s="1055"/>
      <c r="NXB90" s="1055"/>
      <c r="NXC90" s="1055"/>
      <c r="NXD90" s="1055"/>
      <c r="NXE90" s="1055"/>
      <c r="NXF90" s="1055"/>
      <c r="NXG90" s="1055"/>
      <c r="NXH90" s="1055"/>
      <c r="NXI90" s="1055"/>
      <c r="NXJ90" s="1055"/>
      <c r="NXK90" s="1055"/>
      <c r="NXL90" s="1055"/>
      <c r="NXM90" s="1055"/>
      <c r="NXN90" s="1055"/>
      <c r="NXO90" s="1055"/>
      <c r="NXP90" s="1055"/>
      <c r="NXQ90" s="1055"/>
      <c r="NXR90" s="1055"/>
      <c r="NXS90" s="1055"/>
      <c r="NXT90" s="1055"/>
      <c r="NXU90" s="1055"/>
      <c r="NXV90" s="1055"/>
      <c r="NXW90" s="1055"/>
      <c r="NXX90" s="1055"/>
      <c r="NXY90" s="1055"/>
      <c r="NXZ90" s="1055"/>
      <c r="NYA90" s="1055"/>
      <c r="NYB90" s="1055"/>
      <c r="NYC90" s="1055"/>
      <c r="NYD90" s="1055"/>
      <c r="NYE90" s="1055"/>
      <c r="NYF90" s="1055"/>
      <c r="NYG90" s="1055"/>
      <c r="NYH90" s="1055"/>
      <c r="NYI90" s="1055"/>
      <c r="NYJ90" s="1055"/>
      <c r="NYK90" s="1055"/>
      <c r="NYL90" s="1055"/>
      <c r="NYM90" s="1055"/>
      <c r="NYN90" s="1055"/>
      <c r="NYO90" s="1055"/>
      <c r="NYP90" s="1055"/>
      <c r="NYQ90" s="1055"/>
      <c r="NYR90" s="1055"/>
      <c r="NYS90" s="1055"/>
      <c r="NYT90" s="1055"/>
      <c r="NYU90" s="1055"/>
      <c r="NYV90" s="1055"/>
      <c r="NYW90" s="1055"/>
      <c r="NYX90" s="1055"/>
      <c r="NYY90" s="1055"/>
      <c r="NYZ90" s="1055"/>
      <c r="NZA90" s="1055"/>
      <c r="NZB90" s="1055"/>
      <c r="NZC90" s="1055"/>
      <c r="NZD90" s="1055"/>
      <c r="NZE90" s="1055"/>
      <c r="NZF90" s="1055"/>
      <c r="NZG90" s="1055"/>
      <c r="NZH90" s="1055"/>
      <c r="NZI90" s="1055"/>
      <c r="NZJ90" s="1055"/>
      <c r="NZK90" s="1055"/>
      <c r="NZL90" s="1055"/>
      <c r="NZM90" s="1055"/>
      <c r="NZN90" s="1055"/>
      <c r="NZO90" s="1055"/>
      <c r="NZP90" s="1055"/>
      <c r="NZQ90" s="1055"/>
      <c r="NZR90" s="1055"/>
      <c r="NZS90" s="1055"/>
      <c r="NZT90" s="1055"/>
      <c r="NZU90" s="1055"/>
      <c r="NZV90" s="1055"/>
      <c r="NZW90" s="1055"/>
      <c r="NZX90" s="1055"/>
      <c r="NZY90" s="1055"/>
      <c r="NZZ90" s="1055"/>
      <c r="OAA90" s="1055"/>
      <c r="OAB90" s="1055"/>
      <c r="OAC90" s="1055"/>
      <c r="OAD90" s="1055"/>
      <c r="OAE90" s="1055"/>
      <c r="OAF90" s="1055"/>
      <c r="OAG90" s="1055"/>
      <c r="OAH90" s="1055"/>
      <c r="OAI90" s="1055"/>
      <c r="OAJ90" s="1055"/>
      <c r="OAK90" s="1055"/>
      <c r="OAL90" s="1055"/>
      <c r="OAM90" s="1055"/>
      <c r="OAN90" s="1055"/>
      <c r="OAO90" s="1055"/>
      <c r="OAP90" s="1055"/>
      <c r="OAQ90" s="1055"/>
      <c r="OAR90" s="1055"/>
      <c r="OAS90" s="1055"/>
      <c r="OAT90" s="1055"/>
      <c r="OAU90" s="1055"/>
      <c r="OAV90" s="1055"/>
      <c r="OAW90" s="1055"/>
      <c r="OAX90" s="1055"/>
      <c r="OAY90" s="1055"/>
      <c r="OAZ90" s="1055"/>
      <c r="OBA90" s="1055"/>
      <c r="OBB90" s="1055"/>
      <c r="OBC90" s="1055"/>
      <c r="OBD90" s="1055"/>
      <c r="OBE90" s="1055"/>
      <c r="OBF90" s="1055"/>
      <c r="OBG90" s="1055"/>
      <c r="OBH90" s="1055"/>
      <c r="OBI90" s="1055"/>
      <c r="OBJ90" s="1055"/>
      <c r="OBK90" s="1055"/>
      <c r="OBL90" s="1055"/>
      <c r="OBM90" s="1055"/>
      <c r="OBN90" s="1055"/>
      <c r="OBO90" s="1055"/>
      <c r="OBP90" s="1055"/>
      <c r="OBQ90" s="1055"/>
      <c r="OBR90" s="1055"/>
      <c r="OBS90" s="1055"/>
      <c r="OBT90" s="1055"/>
      <c r="OBU90" s="1055"/>
      <c r="OBV90" s="1055"/>
      <c r="OBW90" s="1055"/>
      <c r="OBX90" s="1055"/>
      <c r="OBY90" s="1055"/>
      <c r="OBZ90" s="1055"/>
      <c r="OCA90" s="1055"/>
      <c r="OCB90" s="1055"/>
      <c r="OCC90" s="1055"/>
      <c r="OCD90" s="1055"/>
      <c r="OCE90" s="1055"/>
      <c r="OCF90" s="1055"/>
      <c r="OCG90" s="1055"/>
      <c r="OCH90" s="1055"/>
      <c r="OCI90" s="1055"/>
      <c r="OCJ90" s="1055"/>
      <c r="OCK90" s="1055"/>
      <c r="OCL90" s="1055"/>
      <c r="OCM90" s="1055"/>
      <c r="OCN90" s="1055"/>
      <c r="OCO90" s="1055"/>
      <c r="OCP90" s="1055"/>
      <c r="OCQ90" s="1055"/>
      <c r="OCR90" s="1055"/>
      <c r="OCS90" s="1055"/>
      <c r="OCT90" s="1055"/>
      <c r="OCU90" s="1055"/>
      <c r="OCV90" s="1055"/>
      <c r="OCW90" s="1055"/>
      <c r="OCX90" s="1055"/>
      <c r="OCY90" s="1055"/>
      <c r="OCZ90" s="1055"/>
      <c r="ODA90" s="1055"/>
      <c r="ODB90" s="1055"/>
      <c r="ODC90" s="1055"/>
      <c r="ODD90" s="1055"/>
      <c r="ODE90" s="1055"/>
      <c r="ODF90" s="1055"/>
      <c r="ODG90" s="1055"/>
      <c r="ODH90" s="1055"/>
      <c r="ODI90" s="1055"/>
      <c r="ODJ90" s="1055"/>
      <c r="ODK90" s="1055"/>
      <c r="ODL90" s="1055"/>
      <c r="ODM90" s="1055"/>
      <c r="ODN90" s="1055"/>
      <c r="ODO90" s="1055"/>
      <c r="ODP90" s="1055"/>
      <c r="ODQ90" s="1055"/>
      <c r="ODR90" s="1055"/>
      <c r="ODS90" s="1055"/>
      <c r="ODT90" s="1055"/>
      <c r="ODU90" s="1055"/>
      <c r="ODV90" s="1055"/>
      <c r="ODW90" s="1055"/>
      <c r="ODX90" s="1055"/>
      <c r="ODY90" s="1055"/>
      <c r="ODZ90" s="1055"/>
      <c r="OEA90" s="1055"/>
      <c r="OEB90" s="1055"/>
      <c r="OEC90" s="1055"/>
      <c r="OED90" s="1055"/>
      <c r="OEE90" s="1055"/>
      <c r="OEF90" s="1055"/>
      <c r="OEG90" s="1055"/>
      <c r="OEH90" s="1055"/>
      <c r="OEI90" s="1055"/>
      <c r="OEJ90" s="1055"/>
      <c r="OEK90" s="1055"/>
      <c r="OEL90" s="1055"/>
      <c r="OEM90" s="1055"/>
      <c r="OEN90" s="1055"/>
      <c r="OEO90" s="1055"/>
      <c r="OEP90" s="1055"/>
      <c r="OEQ90" s="1055"/>
      <c r="OER90" s="1055"/>
      <c r="OES90" s="1055"/>
      <c r="OET90" s="1055"/>
      <c r="OEU90" s="1055"/>
      <c r="OEV90" s="1055"/>
      <c r="OEW90" s="1055"/>
      <c r="OEX90" s="1055"/>
      <c r="OEY90" s="1055"/>
      <c r="OEZ90" s="1055"/>
      <c r="OFA90" s="1055"/>
      <c r="OFB90" s="1055"/>
      <c r="OFC90" s="1055"/>
      <c r="OFD90" s="1055"/>
      <c r="OFE90" s="1055"/>
      <c r="OFF90" s="1055"/>
      <c r="OFG90" s="1055"/>
      <c r="OFH90" s="1055"/>
      <c r="OFI90" s="1055"/>
      <c r="OFJ90" s="1055"/>
      <c r="OFK90" s="1055"/>
      <c r="OFL90" s="1055"/>
      <c r="OFM90" s="1055"/>
      <c r="OFN90" s="1055"/>
      <c r="OFO90" s="1055"/>
      <c r="OFP90" s="1055"/>
      <c r="OFQ90" s="1055"/>
      <c r="OFR90" s="1055"/>
      <c r="OFS90" s="1055"/>
      <c r="OFT90" s="1055"/>
      <c r="OFU90" s="1055"/>
      <c r="OFV90" s="1055"/>
      <c r="OFW90" s="1055"/>
      <c r="OFX90" s="1055"/>
      <c r="OFY90" s="1055"/>
      <c r="OFZ90" s="1055"/>
      <c r="OGA90" s="1055"/>
      <c r="OGB90" s="1055"/>
      <c r="OGC90" s="1055"/>
      <c r="OGD90" s="1055"/>
      <c r="OGE90" s="1055"/>
      <c r="OGF90" s="1055"/>
      <c r="OGG90" s="1055"/>
      <c r="OGH90" s="1055"/>
      <c r="OGI90" s="1055"/>
      <c r="OGJ90" s="1055"/>
      <c r="OGK90" s="1055"/>
      <c r="OGL90" s="1055"/>
      <c r="OGM90" s="1055"/>
      <c r="OGN90" s="1055"/>
      <c r="OGO90" s="1055"/>
      <c r="OGP90" s="1055"/>
      <c r="OGQ90" s="1055"/>
      <c r="OGR90" s="1055"/>
      <c r="OGS90" s="1055"/>
      <c r="OGT90" s="1055"/>
      <c r="OGU90" s="1055"/>
      <c r="OGV90" s="1055"/>
      <c r="OGW90" s="1055"/>
      <c r="OGX90" s="1055"/>
      <c r="OGY90" s="1055"/>
      <c r="OGZ90" s="1055"/>
      <c r="OHA90" s="1055"/>
      <c r="OHB90" s="1055"/>
      <c r="OHC90" s="1055"/>
      <c r="OHD90" s="1055"/>
      <c r="OHE90" s="1055"/>
      <c r="OHF90" s="1055"/>
      <c r="OHG90" s="1055"/>
      <c r="OHH90" s="1055"/>
      <c r="OHI90" s="1055"/>
      <c r="OHJ90" s="1055"/>
      <c r="OHK90" s="1055"/>
      <c r="OHL90" s="1055"/>
      <c r="OHM90" s="1055"/>
      <c r="OHN90" s="1055"/>
      <c r="OHO90" s="1055"/>
      <c r="OHP90" s="1055"/>
      <c r="OHQ90" s="1055"/>
      <c r="OHR90" s="1055"/>
      <c r="OHS90" s="1055"/>
      <c r="OHT90" s="1055"/>
      <c r="OHU90" s="1055"/>
      <c r="OHV90" s="1055"/>
      <c r="OHW90" s="1055"/>
      <c r="OHX90" s="1055"/>
      <c r="OHY90" s="1055"/>
      <c r="OHZ90" s="1055"/>
      <c r="OIA90" s="1055"/>
      <c r="OIB90" s="1055"/>
      <c r="OIC90" s="1055"/>
      <c r="OID90" s="1055"/>
      <c r="OIE90" s="1055"/>
      <c r="OIF90" s="1055"/>
      <c r="OIG90" s="1055"/>
      <c r="OIH90" s="1055"/>
      <c r="OII90" s="1055"/>
      <c r="OIJ90" s="1055"/>
      <c r="OIK90" s="1055"/>
      <c r="OIL90" s="1055"/>
      <c r="OIM90" s="1055"/>
      <c r="OIN90" s="1055"/>
      <c r="OIO90" s="1055"/>
      <c r="OIP90" s="1055"/>
      <c r="OIQ90" s="1055"/>
      <c r="OIR90" s="1055"/>
      <c r="OIS90" s="1055"/>
      <c r="OIT90" s="1055"/>
      <c r="OIU90" s="1055"/>
      <c r="OIV90" s="1055"/>
      <c r="OIW90" s="1055"/>
      <c r="OIX90" s="1055"/>
      <c r="OIY90" s="1055"/>
      <c r="OIZ90" s="1055"/>
      <c r="OJA90" s="1055"/>
      <c r="OJB90" s="1055"/>
      <c r="OJC90" s="1055"/>
      <c r="OJD90" s="1055"/>
      <c r="OJE90" s="1055"/>
      <c r="OJF90" s="1055"/>
      <c r="OJG90" s="1055"/>
      <c r="OJH90" s="1055"/>
      <c r="OJI90" s="1055"/>
      <c r="OJJ90" s="1055"/>
      <c r="OJK90" s="1055"/>
      <c r="OJL90" s="1055"/>
      <c r="OJM90" s="1055"/>
      <c r="OJN90" s="1055"/>
      <c r="OJO90" s="1055"/>
      <c r="OJP90" s="1055"/>
      <c r="OJQ90" s="1055"/>
      <c r="OJR90" s="1055"/>
      <c r="OJS90" s="1055"/>
      <c r="OJT90" s="1055"/>
      <c r="OJU90" s="1055"/>
      <c r="OJV90" s="1055"/>
      <c r="OJW90" s="1055"/>
      <c r="OJX90" s="1055"/>
      <c r="OJY90" s="1055"/>
      <c r="OJZ90" s="1055"/>
      <c r="OKA90" s="1055"/>
      <c r="OKB90" s="1055"/>
      <c r="OKC90" s="1055"/>
      <c r="OKD90" s="1055"/>
      <c r="OKE90" s="1055"/>
      <c r="OKF90" s="1055"/>
      <c r="OKG90" s="1055"/>
      <c r="OKH90" s="1055"/>
      <c r="OKI90" s="1055"/>
      <c r="OKJ90" s="1055"/>
      <c r="OKK90" s="1055"/>
      <c r="OKL90" s="1055"/>
      <c r="OKM90" s="1055"/>
      <c r="OKN90" s="1055"/>
      <c r="OKO90" s="1055"/>
      <c r="OKP90" s="1055"/>
      <c r="OKQ90" s="1055"/>
      <c r="OKR90" s="1055"/>
      <c r="OKS90" s="1055"/>
      <c r="OKT90" s="1055"/>
      <c r="OKU90" s="1055"/>
      <c r="OKV90" s="1055"/>
      <c r="OKW90" s="1055"/>
      <c r="OKX90" s="1055"/>
      <c r="OKY90" s="1055"/>
      <c r="OKZ90" s="1055"/>
      <c r="OLA90" s="1055"/>
      <c r="OLB90" s="1055"/>
      <c r="OLC90" s="1055"/>
      <c r="OLD90" s="1055"/>
      <c r="OLE90" s="1055"/>
      <c r="OLF90" s="1055"/>
      <c r="OLG90" s="1055"/>
      <c r="OLH90" s="1055"/>
      <c r="OLI90" s="1055"/>
      <c r="OLJ90" s="1055"/>
      <c r="OLK90" s="1055"/>
      <c r="OLL90" s="1055"/>
      <c r="OLM90" s="1055"/>
      <c r="OLN90" s="1055"/>
      <c r="OLO90" s="1055"/>
      <c r="OLP90" s="1055"/>
      <c r="OLQ90" s="1055"/>
      <c r="OLR90" s="1055"/>
      <c r="OLS90" s="1055"/>
      <c r="OLT90" s="1055"/>
      <c r="OLU90" s="1055"/>
      <c r="OLV90" s="1055"/>
      <c r="OLW90" s="1055"/>
      <c r="OLX90" s="1055"/>
      <c r="OLY90" s="1055"/>
      <c r="OLZ90" s="1055"/>
      <c r="OMA90" s="1055"/>
      <c r="OMB90" s="1055"/>
      <c r="OMC90" s="1055"/>
      <c r="OMD90" s="1055"/>
      <c r="OME90" s="1055"/>
      <c r="OMF90" s="1055"/>
      <c r="OMG90" s="1055"/>
      <c r="OMH90" s="1055"/>
      <c r="OMI90" s="1055"/>
      <c r="OMJ90" s="1055"/>
      <c r="OMK90" s="1055"/>
      <c r="OML90" s="1055"/>
      <c r="OMM90" s="1055"/>
      <c r="OMN90" s="1055"/>
      <c r="OMO90" s="1055"/>
      <c r="OMP90" s="1055"/>
      <c r="OMQ90" s="1055"/>
      <c r="OMR90" s="1055"/>
      <c r="OMS90" s="1055"/>
      <c r="OMT90" s="1055"/>
      <c r="OMU90" s="1055"/>
      <c r="OMV90" s="1055"/>
      <c r="OMW90" s="1055"/>
      <c r="OMX90" s="1055"/>
      <c r="OMY90" s="1055"/>
      <c r="OMZ90" s="1055"/>
      <c r="ONA90" s="1055"/>
      <c r="ONB90" s="1055"/>
      <c r="ONC90" s="1055"/>
      <c r="OND90" s="1055"/>
      <c r="ONE90" s="1055"/>
      <c r="ONF90" s="1055"/>
      <c r="ONG90" s="1055"/>
      <c r="ONH90" s="1055"/>
      <c r="ONI90" s="1055"/>
      <c r="ONJ90" s="1055"/>
      <c r="ONK90" s="1055"/>
      <c r="ONL90" s="1055"/>
      <c r="ONM90" s="1055"/>
      <c r="ONN90" s="1055"/>
      <c r="ONO90" s="1055"/>
      <c r="ONP90" s="1055"/>
      <c r="ONQ90" s="1055"/>
      <c r="ONR90" s="1055"/>
      <c r="ONS90" s="1055"/>
      <c r="ONT90" s="1055"/>
      <c r="ONU90" s="1055"/>
      <c r="ONV90" s="1055"/>
      <c r="ONW90" s="1055"/>
      <c r="ONX90" s="1055"/>
      <c r="ONY90" s="1055"/>
      <c r="ONZ90" s="1055"/>
      <c r="OOA90" s="1055"/>
      <c r="OOB90" s="1055"/>
      <c r="OOC90" s="1055"/>
      <c r="OOD90" s="1055"/>
      <c r="OOE90" s="1055"/>
      <c r="OOF90" s="1055"/>
      <c r="OOG90" s="1055"/>
      <c r="OOH90" s="1055"/>
      <c r="OOI90" s="1055"/>
      <c r="OOJ90" s="1055"/>
      <c r="OOK90" s="1055"/>
      <c r="OOL90" s="1055"/>
      <c r="OOM90" s="1055"/>
      <c r="OON90" s="1055"/>
      <c r="OOO90" s="1055"/>
      <c r="OOP90" s="1055"/>
      <c r="OOQ90" s="1055"/>
      <c r="OOR90" s="1055"/>
      <c r="OOS90" s="1055"/>
      <c r="OOT90" s="1055"/>
      <c r="OOU90" s="1055"/>
      <c r="OOV90" s="1055"/>
      <c r="OOW90" s="1055"/>
      <c r="OOX90" s="1055"/>
      <c r="OOY90" s="1055"/>
      <c r="OOZ90" s="1055"/>
      <c r="OPA90" s="1055"/>
      <c r="OPB90" s="1055"/>
      <c r="OPC90" s="1055"/>
      <c r="OPD90" s="1055"/>
      <c r="OPE90" s="1055"/>
      <c r="OPF90" s="1055"/>
      <c r="OPG90" s="1055"/>
      <c r="OPH90" s="1055"/>
      <c r="OPI90" s="1055"/>
      <c r="OPJ90" s="1055"/>
      <c r="OPK90" s="1055"/>
      <c r="OPL90" s="1055"/>
      <c r="OPM90" s="1055"/>
      <c r="OPN90" s="1055"/>
      <c r="OPO90" s="1055"/>
      <c r="OPP90" s="1055"/>
      <c r="OPQ90" s="1055"/>
      <c r="OPR90" s="1055"/>
      <c r="OPS90" s="1055"/>
      <c r="OPT90" s="1055"/>
      <c r="OPU90" s="1055"/>
      <c r="OPV90" s="1055"/>
      <c r="OPW90" s="1055"/>
      <c r="OPX90" s="1055"/>
      <c r="OPY90" s="1055"/>
      <c r="OPZ90" s="1055"/>
      <c r="OQA90" s="1055"/>
      <c r="OQB90" s="1055"/>
      <c r="OQC90" s="1055"/>
      <c r="OQD90" s="1055"/>
      <c r="OQE90" s="1055"/>
      <c r="OQF90" s="1055"/>
      <c r="OQG90" s="1055"/>
      <c r="OQH90" s="1055"/>
      <c r="OQI90" s="1055"/>
      <c r="OQJ90" s="1055"/>
      <c r="OQK90" s="1055"/>
      <c r="OQL90" s="1055"/>
      <c r="OQM90" s="1055"/>
      <c r="OQN90" s="1055"/>
      <c r="OQO90" s="1055"/>
      <c r="OQP90" s="1055"/>
      <c r="OQQ90" s="1055"/>
      <c r="OQR90" s="1055"/>
      <c r="OQS90" s="1055"/>
      <c r="OQT90" s="1055"/>
      <c r="OQU90" s="1055"/>
      <c r="OQV90" s="1055"/>
      <c r="OQW90" s="1055"/>
      <c r="OQX90" s="1055"/>
      <c r="OQY90" s="1055"/>
      <c r="OQZ90" s="1055"/>
      <c r="ORA90" s="1055"/>
      <c r="ORB90" s="1055"/>
      <c r="ORC90" s="1055"/>
      <c r="ORD90" s="1055"/>
      <c r="ORE90" s="1055"/>
      <c r="ORF90" s="1055"/>
      <c r="ORG90" s="1055"/>
      <c r="ORH90" s="1055"/>
      <c r="ORI90" s="1055"/>
      <c r="ORJ90" s="1055"/>
      <c r="ORK90" s="1055"/>
      <c r="ORL90" s="1055"/>
      <c r="ORM90" s="1055"/>
      <c r="ORN90" s="1055"/>
      <c r="ORO90" s="1055"/>
      <c r="ORP90" s="1055"/>
      <c r="ORQ90" s="1055"/>
      <c r="ORR90" s="1055"/>
      <c r="ORS90" s="1055"/>
      <c r="ORT90" s="1055"/>
      <c r="ORU90" s="1055"/>
      <c r="ORV90" s="1055"/>
      <c r="ORW90" s="1055"/>
      <c r="ORX90" s="1055"/>
      <c r="ORY90" s="1055"/>
      <c r="ORZ90" s="1055"/>
      <c r="OSA90" s="1055"/>
      <c r="OSB90" s="1055"/>
      <c r="OSC90" s="1055"/>
      <c r="OSD90" s="1055"/>
      <c r="OSE90" s="1055"/>
      <c r="OSF90" s="1055"/>
      <c r="OSG90" s="1055"/>
      <c r="OSH90" s="1055"/>
      <c r="OSI90" s="1055"/>
      <c r="OSJ90" s="1055"/>
      <c r="OSK90" s="1055"/>
      <c r="OSL90" s="1055"/>
      <c r="OSM90" s="1055"/>
      <c r="OSN90" s="1055"/>
      <c r="OSO90" s="1055"/>
      <c r="OSP90" s="1055"/>
      <c r="OSQ90" s="1055"/>
      <c r="OSR90" s="1055"/>
      <c r="OSS90" s="1055"/>
      <c r="OST90" s="1055"/>
      <c r="OSU90" s="1055"/>
      <c r="OSV90" s="1055"/>
      <c r="OSW90" s="1055"/>
      <c r="OSX90" s="1055"/>
      <c r="OSY90" s="1055"/>
      <c r="OSZ90" s="1055"/>
      <c r="OTA90" s="1055"/>
      <c r="OTB90" s="1055"/>
      <c r="OTC90" s="1055"/>
      <c r="OTD90" s="1055"/>
      <c r="OTE90" s="1055"/>
      <c r="OTF90" s="1055"/>
      <c r="OTG90" s="1055"/>
      <c r="OTH90" s="1055"/>
      <c r="OTI90" s="1055"/>
      <c r="OTJ90" s="1055"/>
      <c r="OTK90" s="1055"/>
      <c r="OTL90" s="1055"/>
      <c r="OTM90" s="1055"/>
      <c r="OTN90" s="1055"/>
      <c r="OTO90" s="1055"/>
      <c r="OTP90" s="1055"/>
      <c r="OTQ90" s="1055"/>
      <c r="OTR90" s="1055"/>
      <c r="OTS90" s="1055"/>
      <c r="OTT90" s="1055"/>
      <c r="OTU90" s="1055"/>
      <c r="OTV90" s="1055"/>
      <c r="OTW90" s="1055"/>
      <c r="OTX90" s="1055"/>
      <c r="OTY90" s="1055"/>
      <c r="OTZ90" s="1055"/>
      <c r="OUA90" s="1055"/>
      <c r="OUB90" s="1055"/>
      <c r="OUC90" s="1055"/>
      <c r="OUD90" s="1055"/>
      <c r="OUE90" s="1055"/>
      <c r="OUF90" s="1055"/>
      <c r="OUG90" s="1055"/>
      <c r="OUH90" s="1055"/>
      <c r="OUI90" s="1055"/>
      <c r="OUJ90" s="1055"/>
      <c r="OUK90" s="1055"/>
      <c r="OUL90" s="1055"/>
      <c r="OUM90" s="1055"/>
      <c r="OUN90" s="1055"/>
      <c r="OUO90" s="1055"/>
      <c r="OUP90" s="1055"/>
      <c r="OUQ90" s="1055"/>
      <c r="OUR90" s="1055"/>
      <c r="OUS90" s="1055"/>
      <c r="OUT90" s="1055"/>
      <c r="OUU90" s="1055"/>
      <c r="OUV90" s="1055"/>
      <c r="OUW90" s="1055"/>
      <c r="OUX90" s="1055"/>
      <c r="OUY90" s="1055"/>
      <c r="OUZ90" s="1055"/>
      <c r="OVA90" s="1055"/>
      <c r="OVB90" s="1055"/>
      <c r="OVC90" s="1055"/>
      <c r="OVD90" s="1055"/>
      <c r="OVE90" s="1055"/>
      <c r="OVF90" s="1055"/>
      <c r="OVG90" s="1055"/>
      <c r="OVH90" s="1055"/>
      <c r="OVI90" s="1055"/>
      <c r="OVJ90" s="1055"/>
      <c r="OVK90" s="1055"/>
      <c r="OVL90" s="1055"/>
      <c r="OVM90" s="1055"/>
      <c r="OVN90" s="1055"/>
      <c r="OVO90" s="1055"/>
      <c r="OVP90" s="1055"/>
      <c r="OVQ90" s="1055"/>
      <c r="OVR90" s="1055"/>
      <c r="OVS90" s="1055"/>
      <c r="OVT90" s="1055"/>
      <c r="OVU90" s="1055"/>
      <c r="OVV90" s="1055"/>
      <c r="OVW90" s="1055"/>
      <c r="OVX90" s="1055"/>
      <c r="OVY90" s="1055"/>
      <c r="OVZ90" s="1055"/>
      <c r="OWA90" s="1055"/>
      <c r="OWB90" s="1055"/>
      <c r="OWC90" s="1055"/>
      <c r="OWD90" s="1055"/>
      <c r="OWE90" s="1055"/>
      <c r="OWF90" s="1055"/>
      <c r="OWG90" s="1055"/>
      <c r="OWH90" s="1055"/>
      <c r="OWI90" s="1055"/>
      <c r="OWJ90" s="1055"/>
      <c r="OWK90" s="1055"/>
      <c r="OWL90" s="1055"/>
      <c r="OWM90" s="1055"/>
      <c r="OWN90" s="1055"/>
      <c r="OWO90" s="1055"/>
      <c r="OWP90" s="1055"/>
      <c r="OWQ90" s="1055"/>
      <c r="OWR90" s="1055"/>
      <c r="OWS90" s="1055"/>
      <c r="OWT90" s="1055"/>
      <c r="OWU90" s="1055"/>
      <c r="OWV90" s="1055"/>
      <c r="OWW90" s="1055"/>
      <c r="OWX90" s="1055"/>
      <c r="OWY90" s="1055"/>
      <c r="OWZ90" s="1055"/>
      <c r="OXA90" s="1055"/>
      <c r="OXB90" s="1055"/>
      <c r="OXC90" s="1055"/>
      <c r="OXD90" s="1055"/>
      <c r="OXE90" s="1055"/>
      <c r="OXF90" s="1055"/>
      <c r="OXG90" s="1055"/>
      <c r="OXH90" s="1055"/>
      <c r="OXI90" s="1055"/>
      <c r="OXJ90" s="1055"/>
      <c r="OXK90" s="1055"/>
      <c r="OXL90" s="1055"/>
      <c r="OXM90" s="1055"/>
      <c r="OXN90" s="1055"/>
      <c r="OXO90" s="1055"/>
      <c r="OXP90" s="1055"/>
      <c r="OXQ90" s="1055"/>
      <c r="OXR90" s="1055"/>
      <c r="OXS90" s="1055"/>
      <c r="OXT90" s="1055"/>
      <c r="OXU90" s="1055"/>
      <c r="OXV90" s="1055"/>
      <c r="OXW90" s="1055"/>
      <c r="OXX90" s="1055"/>
      <c r="OXY90" s="1055"/>
      <c r="OXZ90" s="1055"/>
      <c r="OYA90" s="1055"/>
      <c r="OYB90" s="1055"/>
      <c r="OYC90" s="1055"/>
      <c r="OYD90" s="1055"/>
      <c r="OYE90" s="1055"/>
      <c r="OYF90" s="1055"/>
      <c r="OYG90" s="1055"/>
      <c r="OYH90" s="1055"/>
      <c r="OYI90" s="1055"/>
      <c r="OYJ90" s="1055"/>
      <c r="OYK90" s="1055"/>
      <c r="OYL90" s="1055"/>
      <c r="OYM90" s="1055"/>
      <c r="OYN90" s="1055"/>
      <c r="OYO90" s="1055"/>
      <c r="OYP90" s="1055"/>
      <c r="OYQ90" s="1055"/>
      <c r="OYR90" s="1055"/>
      <c r="OYS90" s="1055"/>
      <c r="OYT90" s="1055"/>
      <c r="OYU90" s="1055"/>
      <c r="OYV90" s="1055"/>
      <c r="OYW90" s="1055"/>
      <c r="OYX90" s="1055"/>
      <c r="OYY90" s="1055"/>
      <c r="OYZ90" s="1055"/>
      <c r="OZA90" s="1055"/>
      <c r="OZB90" s="1055"/>
      <c r="OZC90" s="1055"/>
      <c r="OZD90" s="1055"/>
      <c r="OZE90" s="1055"/>
      <c r="OZF90" s="1055"/>
      <c r="OZG90" s="1055"/>
      <c r="OZH90" s="1055"/>
      <c r="OZI90" s="1055"/>
      <c r="OZJ90" s="1055"/>
      <c r="OZK90" s="1055"/>
      <c r="OZL90" s="1055"/>
      <c r="OZM90" s="1055"/>
      <c r="OZN90" s="1055"/>
      <c r="OZO90" s="1055"/>
      <c r="OZP90" s="1055"/>
      <c r="OZQ90" s="1055"/>
      <c r="OZR90" s="1055"/>
      <c r="OZS90" s="1055"/>
      <c r="OZT90" s="1055"/>
      <c r="OZU90" s="1055"/>
      <c r="OZV90" s="1055"/>
      <c r="OZW90" s="1055"/>
      <c r="OZX90" s="1055"/>
      <c r="OZY90" s="1055"/>
      <c r="OZZ90" s="1055"/>
      <c r="PAA90" s="1055"/>
      <c r="PAB90" s="1055"/>
      <c r="PAC90" s="1055"/>
      <c r="PAD90" s="1055"/>
      <c r="PAE90" s="1055"/>
      <c r="PAF90" s="1055"/>
      <c r="PAG90" s="1055"/>
      <c r="PAH90" s="1055"/>
      <c r="PAI90" s="1055"/>
      <c r="PAJ90" s="1055"/>
      <c r="PAK90" s="1055"/>
      <c r="PAL90" s="1055"/>
      <c r="PAM90" s="1055"/>
      <c r="PAN90" s="1055"/>
      <c r="PAO90" s="1055"/>
      <c r="PAP90" s="1055"/>
      <c r="PAQ90" s="1055"/>
      <c r="PAR90" s="1055"/>
      <c r="PAS90" s="1055"/>
      <c r="PAT90" s="1055"/>
      <c r="PAU90" s="1055"/>
      <c r="PAV90" s="1055"/>
      <c r="PAW90" s="1055"/>
      <c r="PAX90" s="1055"/>
      <c r="PAY90" s="1055"/>
      <c r="PAZ90" s="1055"/>
      <c r="PBA90" s="1055"/>
      <c r="PBB90" s="1055"/>
      <c r="PBC90" s="1055"/>
      <c r="PBD90" s="1055"/>
      <c r="PBE90" s="1055"/>
      <c r="PBF90" s="1055"/>
      <c r="PBG90" s="1055"/>
      <c r="PBH90" s="1055"/>
      <c r="PBI90" s="1055"/>
      <c r="PBJ90" s="1055"/>
      <c r="PBK90" s="1055"/>
      <c r="PBL90" s="1055"/>
      <c r="PBM90" s="1055"/>
      <c r="PBN90" s="1055"/>
      <c r="PBO90" s="1055"/>
      <c r="PBP90" s="1055"/>
      <c r="PBQ90" s="1055"/>
      <c r="PBR90" s="1055"/>
      <c r="PBS90" s="1055"/>
      <c r="PBT90" s="1055"/>
      <c r="PBU90" s="1055"/>
      <c r="PBV90" s="1055"/>
      <c r="PBW90" s="1055"/>
      <c r="PBX90" s="1055"/>
      <c r="PBY90" s="1055"/>
      <c r="PBZ90" s="1055"/>
      <c r="PCA90" s="1055"/>
      <c r="PCB90" s="1055"/>
      <c r="PCC90" s="1055"/>
      <c r="PCD90" s="1055"/>
      <c r="PCE90" s="1055"/>
      <c r="PCF90" s="1055"/>
      <c r="PCG90" s="1055"/>
      <c r="PCH90" s="1055"/>
      <c r="PCI90" s="1055"/>
      <c r="PCJ90" s="1055"/>
      <c r="PCK90" s="1055"/>
      <c r="PCL90" s="1055"/>
      <c r="PCM90" s="1055"/>
      <c r="PCN90" s="1055"/>
      <c r="PCO90" s="1055"/>
      <c r="PCP90" s="1055"/>
      <c r="PCQ90" s="1055"/>
      <c r="PCR90" s="1055"/>
      <c r="PCS90" s="1055"/>
      <c r="PCT90" s="1055"/>
      <c r="PCU90" s="1055"/>
      <c r="PCV90" s="1055"/>
      <c r="PCW90" s="1055"/>
      <c r="PCX90" s="1055"/>
      <c r="PCY90" s="1055"/>
      <c r="PCZ90" s="1055"/>
      <c r="PDA90" s="1055"/>
      <c r="PDB90" s="1055"/>
      <c r="PDC90" s="1055"/>
      <c r="PDD90" s="1055"/>
      <c r="PDE90" s="1055"/>
      <c r="PDF90" s="1055"/>
      <c r="PDG90" s="1055"/>
      <c r="PDH90" s="1055"/>
      <c r="PDI90" s="1055"/>
      <c r="PDJ90" s="1055"/>
      <c r="PDK90" s="1055"/>
      <c r="PDL90" s="1055"/>
      <c r="PDM90" s="1055"/>
      <c r="PDN90" s="1055"/>
      <c r="PDO90" s="1055"/>
      <c r="PDP90" s="1055"/>
      <c r="PDQ90" s="1055"/>
      <c r="PDR90" s="1055"/>
      <c r="PDS90" s="1055"/>
      <c r="PDT90" s="1055"/>
      <c r="PDU90" s="1055"/>
      <c r="PDV90" s="1055"/>
      <c r="PDW90" s="1055"/>
      <c r="PDX90" s="1055"/>
      <c r="PDY90" s="1055"/>
      <c r="PDZ90" s="1055"/>
      <c r="PEA90" s="1055"/>
      <c r="PEB90" s="1055"/>
      <c r="PEC90" s="1055"/>
      <c r="PED90" s="1055"/>
      <c r="PEE90" s="1055"/>
      <c r="PEF90" s="1055"/>
      <c r="PEG90" s="1055"/>
      <c r="PEH90" s="1055"/>
      <c r="PEI90" s="1055"/>
      <c r="PEJ90" s="1055"/>
      <c r="PEK90" s="1055"/>
      <c r="PEL90" s="1055"/>
      <c r="PEM90" s="1055"/>
      <c r="PEN90" s="1055"/>
      <c r="PEO90" s="1055"/>
      <c r="PEP90" s="1055"/>
      <c r="PEQ90" s="1055"/>
      <c r="PER90" s="1055"/>
      <c r="PES90" s="1055"/>
      <c r="PET90" s="1055"/>
      <c r="PEU90" s="1055"/>
      <c r="PEV90" s="1055"/>
      <c r="PEW90" s="1055"/>
      <c r="PEX90" s="1055"/>
      <c r="PEY90" s="1055"/>
      <c r="PEZ90" s="1055"/>
      <c r="PFA90" s="1055"/>
      <c r="PFB90" s="1055"/>
      <c r="PFC90" s="1055"/>
      <c r="PFD90" s="1055"/>
      <c r="PFE90" s="1055"/>
      <c r="PFF90" s="1055"/>
      <c r="PFG90" s="1055"/>
      <c r="PFH90" s="1055"/>
      <c r="PFI90" s="1055"/>
      <c r="PFJ90" s="1055"/>
      <c r="PFK90" s="1055"/>
      <c r="PFL90" s="1055"/>
      <c r="PFM90" s="1055"/>
      <c r="PFN90" s="1055"/>
      <c r="PFO90" s="1055"/>
      <c r="PFP90" s="1055"/>
      <c r="PFQ90" s="1055"/>
      <c r="PFR90" s="1055"/>
      <c r="PFS90" s="1055"/>
      <c r="PFT90" s="1055"/>
      <c r="PFU90" s="1055"/>
      <c r="PFV90" s="1055"/>
      <c r="PFW90" s="1055"/>
      <c r="PFX90" s="1055"/>
      <c r="PFY90" s="1055"/>
      <c r="PFZ90" s="1055"/>
      <c r="PGA90" s="1055"/>
      <c r="PGB90" s="1055"/>
      <c r="PGC90" s="1055"/>
      <c r="PGD90" s="1055"/>
      <c r="PGE90" s="1055"/>
      <c r="PGF90" s="1055"/>
      <c r="PGG90" s="1055"/>
      <c r="PGH90" s="1055"/>
      <c r="PGI90" s="1055"/>
      <c r="PGJ90" s="1055"/>
      <c r="PGK90" s="1055"/>
      <c r="PGL90" s="1055"/>
      <c r="PGM90" s="1055"/>
      <c r="PGN90" s="1055"/>
      <c r="PGO90" s="1055"/>
      <c r="PGP90" s="1055"/>
      <c r="PGQ90" s="1055"/>
      <c r="PGR90" s="1055"/>
      <c r="PGS90" s="1055"/>
      <c r="PGT90" s="1055"/>
      <c r="PGU90" s="1055"/>
      <c r="PGV90" s="1055"/>
      <c r="PGW90" s="1055"/>
      <c r="PGX90" s="1055"/>
      <c r="PGY90" s="1055"/>
      <c r="PGZ90" s="1055"/>
      <c r="PHA90" s="1055"/>
      <c r="PHB90" s="1055"/>
      <c r="PHC90" s="1055"/>
      <c r="PHD90" s="1055"/>
      <c r="PHE90" s="1055"/>
      <c r="PHF90" s="1055"/>
      <c r="PHG90" s="1055"/>
      <c r="PHH90" s="1055"/>
      <c r="PHI90" s="1055"/>
      <c r="PHJ90" s="1055"/>
      <c r="PHK90" s="1055"/>
      <c r="PHL90" s="1055"/>
      <c r="PHM90" s="1055"/>
      <c r="PHN90" s="1055"/>
      <c r="PHO90" s="1055"/>
      <c r="PHP90" s="1055"/>
      <c r="PHQ90" s="1055"/>
      <c r="PHR90" s="1055"/>
      <c r="PHS90" s="1055"/>
      <c r="PHT90" s="1055"/>
      <c r="PHU90" s="1055"/>
      <c r="PHV90" s="1055"/>
      <c r="PHW90" s="1055"/>
      <c r="PHX90" s="1055"/>
      <c r="PHY90" s="1055"/>
      <c r="PHZ90" s="1055"/>
      <c r="PIA90" s="1055"/>
      <c r="PIB90" s="1055"/>
      <c r="PIC90" s="1055"/>
      <c r="PID90" s="1055"/>
      <c r="PIE90" s="1055"/>
      <c r="PIF90" s="1055"/>
      <c r="PIG90" s="1055"/>
      <c r="PIH90" s="1055"/>
      <c r="PII90" s="1055"/>
      <c r="PIJ90" s="1055"/>
      <c r="PIK90" s="1055"/>
      <c r="PIL90" s="1055"/>
      <c r="PIM90" s="1055"/>
      <c r="PIN90" s="1055"/>
      <c r="PIO90" s="1055"/>
      <c r="PIP90" s="1055"/>
      <c r="PIQ90" s="1055"/>
      <c r="PIR90" s="1055"/>
      <c r="PIS90" s="1055"/>
      <c r="PIT90" s="1055"/>
      <c r="PIU90" s="1055"/>
      <c r="PIV90" s="1055"/>
      <c r="PIW90" s="1055"/>
      <c r="PIX90" s="1055"/>
      <c r="PIY90" s="1055"/>
      <c r="PIZ90" s="1055"/>
      <c r="PJA90" s="1055"/>
      <c r="PJB90" s="1055"/>
      <c r="PJC90" s="1055"/>
      <c r="PJD90" s="1055"/>
      <c r="PJE90" s="1055"/>
      <c r="PJF90" s="1055"/>
      <c r="PJG90" s="1055"/>
      <c r="PJH90" s="1055"/>
      <c r="PJI90" s="1055"/>
      <c r="PJJ90" s="1055"/>
      <c r="PJK90" s="1055"/>
      <c r="PJL90" s="1055"/>
      <c r="PJM90" s="1055"/>
      <c r="PJN90" s="1055"/>
      <c r="PJO90" s="1055"/>
      <c r="PJP90" s="1055"/>
      <c r="PJQ90" s="1055"/>
      <c r="PJR90" s="1055"/>
      <c r="PJS90" s="1055"/>
      <c r="PJT90" s="1055"/>
      <c r="PJU90" s="1055"/>
      <c r="PJV90" s="1055"/>
      <c r="PJW90" s="1055"/>
      <c r="PJX90" s="1055"/>
      <c r="PJY90" s="1055"/>
      <c r="PJZ90" s="1055"/>
      <c r="PKA90" s="1055"/>
      <c r="PKB90" s="1055"/>
      <c r="PKC90" s="1055"/>
      <c r="PKD90" s="1055"/>
      <c r="PKE90" s="1055"/>
      <c r="PKF90" s="1055"/>
      <c r="PKG90" s="1055"/>
      <c r="PKH90" s="1055"/>
      <c r="PKI90" s="1055"/>
      <c r="PKJ90" s="1055"/>
      <c r="PKK90" s="1055"/>
      <c r="PKL90" s="1055"/>
      <c r="PKM90" s="1055"/>
      <c r="PKN90" s="1055"/>
      <c r="PKO90" s="1055"/>
      <c r="PKP90" s="1055"/>
      <c r="PKQ90" s="1055"/>
      <c r="PKR90" s="1055"/>
      <c r="PKS90" s="1055"/>
      <c r="PKT90" s="1055"/>
      <c r="PKU90" s="1055"/>
      <c r="PKV90" s="1055"/>
      <c r="PKW90" s="1055"/>
      <c r="PKX90" s="1055"/>
      <c r="PKY90" s="1055"/>
      <c r="PKZ90" s="1055"/>
      <c r="PLA90" s="1055"/>
      <c r="PLB90" s="1055"/>
      <c r="PLC90" s="1055"/>
      <c r="PLD90" s="1055"/>
      <c r="PLE90" s="1055"/>
      <c r="PLF90" s="1055"/>
      <c r="PLG90" s="1055"/>
      <c r="PLH90" s="1055"/>
      <c r="PLI90" s="1055"/>
      <c r="PLJ90" s="1055"/>
      <c r="PLK90" s="1055"/>
      <c r="PLL90" s="1055"/>
      <c r="PLM90" s="1055"/>
      <c r="PLN90" s="1055"/>
      <c r="PLO90" s="1055"/>
      <c r="PLP90" s="1055"/>
      <c r="PLQ90" s="1055"/>
      <c r="PLR90" s="1055"/>
      <c r="PLS90" s="1055"/>
      <c r="PLT90" s="1055"/>
      <c r="PLU90" s="1055"/>
      <c r="PLV90" s="1055"/>
      <c r="PLW90" s="1055"/>
      <c r="PLX90" s="1055"/>
      <c r="PLY90" s="1055"/>
      <c r="PLZ90" s="1055"/>
      <c r="PMA90" s="1055"/>
      <c r="PMB90" s="1055"/>
      <c r="PMC90" s="1055"/>
      <c r="PMD90" s="1055"/>
      <c r="PME90" s="1055"/>
      <c r="PMF90" s="1055"/>
      <c r="PMG90" s="1055"/>
      <c r="PMH90" s="1055"/>
      <c r="PMI90" s="1055"/>
      <c r="PMJ90" s="1055"/>
      <c r="PMK90" s="1055"/>
      <c r="PML90" s="1055"/>
      <c r="PMM90" s="1055"/>
      <c r="PMN90" s="1055"/>
      <c r="PMO90" s="1055"/>
      <c r="PMP90" s="1055"/>
      <c r="PMQ90" s="1055"/>
      <c r="PMR90" s="1055"/>
      <c r="PMS90" s="1055"/>
      <c r="PMT90" s="1055"/>
      <c r="PMU90" s="1055"/>
      <c r="PMV90" s="1055"/>
      <c r="PMW90" s="1055"/>
      <c r="PMX90" s="1055"/>
      <c r="PMY90" s="1055"/>
      <c r="PMZ90" s="1055"/>
      <c r="PNA90" s="1055"/>
      <c r="PNB90" s="1055"/>
      <c r="PNC90" s="1055"/>
      <c r="PND90" s="1055"/>
      <c r="PNE90" s="1055"/>
      <c r="PNF90" s="1055"/>
      <c r="PNG90" s="1055"/>
      <c r="PNH90" s="1055"/>
      <c r="PNI90" s="1055"/>
      <c r="PNJ90" s="1055"/>
      <c r="PNK90" s="1055"/>
      <c r="PNL90" s="1055"/>
      <c r="PNM90" s="1055"/>
      <c r="PNN90" s="1055"/>
      <c r="PNO90" s="1055"/>
      <c r="PNP90" s="1055"/>
      <c r="PNQ90" s="1055"/>
      <c r="PNR90" s="1055"/>
      <c r="PNS90" s="1055"/>
      <c r="PNT90" s="1055"/>
      <c r="PNU90" s="1055"/>
      <c r="PNV90" s="1055"/>
      <c r="PNW90" s="1055"/>
      <c r="PNX90" s="1055"/>
      <c r="PNY90" s="1055"/>
      <c r="PNZ90" s="1055"/>
      <c r="POA90" s="1055"/>
      <c r="POB90" s="1055"/>
      <c r="POC90" s="1055"/>
      <c r="POD90" s="1055"/>
      <c r="POE90" s="1055"/>
      <c r="POF90" s="1055"/>
      <c r="POG90" s="1055"/>
      <c r="POH90" s="1055"/>
      <c r="POI90" s="1055"/>
      <c r="POJ90" s="1055"/>
      <c r="POK90" s="1055"/>
      <c r="POL90" s="1055"/>
      <c r="POM90" s="1055"/>
      <c r="PON90" s="1055"/>
      <c r="POO90" s="1055"/>
      <c r="POP90" s="1055"/>
      <c r="POQ90" s="1055"/>
      <c r="POR90" s="1055"/>
      <c r="POS90" s="1055"/>
      <c r="POT90" s="1055"/>
      <c r="POU90" s="1055"/>
      <c r="POV90" s="1055"/>
      <c r="POW90" s="1055"/>
      <c r="POX90" s="1055"/>
      <c r="POY90" s="1055"/>
      <c r="POZ90" s="1055"/>
      <c r="PPA90" s="1055"/>
      <c r="PPB90" s="1055"/>
      <c r="PPC90" s="1055"/>
      <c r="PPD90" s="1055"/>
      <c r="PPE90" s="1055"/>
      <c r="PPF90" s="1055"/>
      <c r="PPG90" s="1055"/>
      <c r="PPH90" s="1055"/>
      <c r="PPI90" s="1055"/>
      <c r="PPJ90" s="1055"/>
      <c r="PPK90" s="1055"/>
      <c r="PPL90" s="1055"/>
      <c r="PPM90" s="1055"/>
      <c r="PPN90" s="1055"/>
      <c r="PPO90" s="1055"/>
      <c r="PPP90" s="1055"/>
      <c r="PPQ90" s="1055"/>
      <c r="PPR90" s="1055"/>
      <c r="PPS90" s="1055"/>
      <c r="PPT90" s="1055"/>
      <c r="PPU90" s="1055"/>
      <c r="PPV90" s="1055"/>
      <c r="PPW90" s="1055"/>
      <c r="PPX90" s="1055"/>
      <c r="PPY90" s="1055"/>
      <c r="PPZ90" s="1055"/>
      <c r="PQA90" s="1055"/>
      <c r="PQB90" s="1055"/>
      <c r="PQC90" s="1055"/>
      <c r="PQD90" s="1055"/>
      <c r="PQE90" s="1055"/>
      <c r="PQF90" s="1055"/>
      <c r="PQG90" s="1055"/>
      <c r="PQH90" s="1055"/>
      <c r="PQI90" s="1055"/>
      <c r="PQJ90" s="1055"/>
      <c r="PQK90" s="1055"/>
      <c r="PQL90" s="1055"/>
      <c r="PQM90" s="1055"/>
      <c r="PQN90" s="1055"/>
      <c r="PQO90" s="1055"/>
      <c r="PQP90" s="1055"/>
      <c r="PQQ90" s="1055"/>
      <c r="PQR90" s="1055"/>
      <c r="PQS90" s="1055"/>
      <c r="PQT90" s="1055"/>
      <c r="PQU90" s="1055"/>
      <c r="PQV90" s="1055"/>
      <c r="PQW90" s="1055"/>
      <c r="PQX90" s="1055"/>
      <c r="PQY90" s="1055"/>
      <c r="PQZ90" s="1055"/>
      <c r="PRA90" s="1055"/>
      <c r="PRB90" s="1055"/>
      <c r="PRC90" s="1055"/>
      <c r="PRD90" s="1055"/>
      <c r="PRE90" s="1055"/>
      <c r="PRF90" s="1055"/>
      <c r="PRG90" s="1055"/>
      <c r="PRH90" s="1055"/>
      <c r="PRI90" s="1055"/>
      <c r="PRJ90" s="1055"/>
      <c r="PRK90" s="1055"/>
      <c r="PRL90" s="1055"/>
      <c r="PRM90" s="1055"/>
      <c r="PRN90" s="1055"/>
      <c r="PRO90" s="1055"/>
      <c r="PRP90" s="1055"/>
      <c r="PRQ90" s="1055"/>
      <c r="PRR90" s="1055"/>
      <c r="PRS90" s="1055"/>
      <c r="PRT90" s="1055"/>
      <c r="PRU90" s="1055"/>
      <c r="PRV90" s="1055"/>
      <c r="PRW90" s="1055"/>
      <c r="PRX90" s="1055"/>
      <c r="PRY90" s="1055"/>
      <c r="PRZ90" s="1055"/>
      <c r="PSA90" s="1055"/>
      <c r="PSB90" s="1055"/>
      <c r="PSC90" s="1055"/>
      <c r="PSD90" s="1055"/>
      <c r="PSE90" s="1055"/>
      <c r="PSF90" s="1055"/>
      <c r="PSG90" s="1055"/>
      <c r="PSH90" s="1055"/>
      <c r="PSI90" s="1055"/>
      <c r="PSJ90" s="1055"/>
      <c r="PSK90" s="1055"/>
      <c r="PSL90" s="1055"/>
      <c r="PSM90" s="1055"/>
      <c r="PSN90" s="1055"/>
      <c r="PSO90" s="1055"/>
      <c r="PSP90" s="1055"/>
      <c r="PSQ90" s="1055"/>
      <c r="PSR90" s="1055"/>
      <c r="PSS90" s="1055"/>
      <c r="PST90" s="1055"/>
      <c r="PSU90" s="1055"/>
      <c r="PSV90" s="1055"/>
      <c r="PSW90" s="1055"/>
      <c r="PSX90" s="1055"/>
      <c r="PSY90" s="1055"/>
      <c r="PSZ90" s="1055"/>
      <c r="PTA90" s="1055"/>
      <c r="PTB90" s="1055"/>
      <c r="PTC90" s="1055"/>
      <c r="PTD90" s="1055"/>
      <c r="PTE90" s="1055"/>
      <c r="PTF90" s="1055"/>
      <c r="PTG90" s="1055"/>
      <c r="PTH90" s="1055"/>
      <c r="PTI90" s="1055"/>
      <c r="PTJ90" s="1055"/>
      <c r="PTK90" s="1055"/>
      <c r="PTL90" s="1055"/>
      <c r="PTM90" s="1055"/>
      <c r="PTN90" s="1055"/>
      <c r="PTO90" s="1055"/>
      <c r="PTP90" s="1055"/>
      <c r="PTQ90" s="1055"/>
      <c r="PTR90" s="1055"/>
      <c r="PTS90" s="1055"/>
      <c r="PTT90" s="1055"/>
      <c r="PTU90" s="1055"/>
      <c r="PTV90" s="1055"/>
      <c r="PTW90" s="1055"/>
      <c r="PTX90" s="1055"/>
      <c r="PTY90" s="1055"/>
      <c r="PTZ90" s="1055"/>
      <c r="PUA90" s="1055"/>
      <c r="PUB90" s="1055"/>
      <c r="PUC90" s="1055"/>
      <c r="PUD90" s="1055"/>
      <c r="PUE90" s="1055"/>
      <c r="PUF90" s="1055"/>
      <c r="PUG90" s="1055"/>
      <c r="PUH90" s="1055"/>
      <c r="PUI90" s="1055"/>
      <c r="PUJ90" s="1055"/>
      <c r="PUK90" s="1055"/>
      <c r="PUL90" s="1055"/>
      <c r="PUM90" s="1055"/>
      <c r="PUN90" s="1055"/>
      <c r="PUO90" s="1055"/>
      <c r="PUP90" s="1055"/>
      <c r="PUQ90" s="1055"/>
      <c r="PUR90" s="1055"/>
      <c r="PUS90" s="1055"/>
      <c r="PUT90" s="1055"/>
      <c r="PUU90" s="1055"/>
      <c r="PUV90" s="1055"/>
      <c r="PUW90" s="1055"/>
      <c r="PUX90" s="1055"/>
      <c r="PUY90" s="1055"/>
      <c r="PUZ90" s="1055"/>
      <c r="PVA90" s="1055"/>
      <c r="PVB90" s="1055"/>
      <c r="PVC90" s="1055"/>
      <c r="PVD90" s="1055"/>
      <c r="PVE90" s="1055"/>
      <c r="PVF90" s="1055"/>
      <c r="PVG90" s="1055"/>
      <c r="PVH90" s="1055"/>
      <c r="PVI90" s="1055"/>
      <c r="PVJ90" s="1055"/>
      <c r="PVK90" s="1055"/>
      <c r="PVL90" s="1055"/>
      <c r="PVM90" s="1055"/>
      <c r="PVN90" s="1055"/>
      <c r="PVO90" s="1055"/>
      <c r="PVP90" s="1055"/>
      <c r="PVQ90" s="1055"/>
      <c r="PVR90" s="1055"/>
      <c r="PVS90" s="1055"/>
      <c r="PVT90" s="1055"/>
      <c r="PVU90" s="1055"/>
      <c r="PVV90" s="1055"/>
      <c r="PVW90" s="1055"/>
      <c r="PVX90" s="1055"/>
      <c r="PVY90" s="1055"/>
      <c r="PVZ90" s="1055"/>
      <c r="PWA90" s="1055"/>
      <c r="PWB90" s="1055"/>
      <c r="PWC90" s="1055"/>
      <c r="PWD90" s="1055"/>
      <c r="PWE90" s="1055"/>
      <c r="PWF90" s="1055"/>
      <c r="PWG90" s="1055"/>
      <c r="PWH90" s="1055"/>
      <c r="PWI90" s="1055"/>
      <c r="PWJ90" s="1055"/>
      <c r="PWK90" s="1055"/>
      <c r="PWL90" s="1055"/>
      <c r="PWM90" s="1055"/>
      <c r="PWN90" s="1055"/>
      <c r="PWO90" s="1055"/>
      <c r="PWP90" s="1055"/>
      <c r="PWQ90" s="1055"/>
      <c r="PWR90" s="1055"/>
      <c r="PWS90" s="1055"/>
      <c r="PWT90" s="1055"/>
      <c r="PWU90" s="1055"/>
      <c r="PWV90" s="1055"/>
      <c r="PWW90" s="1055"/>
      <c r="PWX90" s="1055"/>
      <c r="PWY90" s="1055"/>
      <c r="PWZ90" s="1055"/>
      <c r="PXA90" s="1055"/>
      <c r="PXB90" s="1055"/>
      <c r="PXC90" s="1055"/>
      <c r="PXD90" s="1055"/>
      <c r="PXE90" s="1055"/>
      <c r="PXF90" s="1055"/>
      <c r="PXG90" s="1055"/>
      <c r="PXH90" s="1055"/>
      <c r="PXI90" s="1055"/>
      <c r="PXJ90" s="1055"/>
      <c r="PXK90" s="1055"/>
      <c r="PXL90" s="1055"/>
      <c r="PXM90" s="1055"/>
      <c r="PXN90" s="1055"/>
      <c r="PXO90" s="1055"/>
      <c r="PXP90" s="1055"/>
      <c r="PXQ90" s="1055"/>
      <c r="PXR90" s="1055"/>
      <c r="PXS90" s="1055"/>
      <c r="PXT90" s="1055"/>
      <c r="PXU90" s="1055"/>
      <c r="PXV90" s="1055"/>
      <c r="PXW90" s="1055"/>
      <c r="PXX90" s="1055"/>
      <c r="PXY90" s="1055"/>
      <c r="PXZ90" s="1055"/>
      <c r="PYA90" s="1055"/>
      <c r="PYB90" s="1055"/>
      <c r="PYC90" s="1055"/>
      <c r="PYD90" s="1055"/>
      <c r="PYE90" s="1055"/>
      <c r="PYF90" s="1055"/>
      <c r="PYG90" s="1055"/>
      <c r="PYH90" s="1055"/>
      <c r="PYI90" s="1055"/>
      <c r="PYJ90" s="1055"/>
      <c r="PYK90" s="1055"/>
      <c r="PYL90" s="1055"/>
      <c r="PYM90" s="1055"/>
      <c r="PYN90" s="1055"/>
      <c r="PYO90" s="1055"/>
      <c r="PYP90" s="1055"/>
      <c r="PYQ90" s="1055"/>
      <c r="PYR90" s="1055"/>
      <c r="PYS90" s="1055"/>
      <c r="PYT90" s="1055"/>
      <c r="PYU90" s="1055"/>
      <c r="PYV90" s="1055"/>
      <c r="PYW90" s="1055"/>
      <c r="PYX90" s="1055"/>
      <c r="PYY90" s="1055"/>
      <c r="PYZ90" s="1055"/>
      <c r="PZA90" s="1055"/>
      <c r="PZB90" s="1055"/>
      <c r="PZC90" s="1055"/>
      <c r="PZD90" s="1055"/>
      <c r="PZE90" s="1055"/>
      <c r="PZF90" s="1055"/>
      <c r="PZG90" s="1055"/>
      <c r="PZH90" s="1055"/>
      <c r="PZI90" s="1055"/>
      <c r="PZJ90" s="1055"/>
      <c r="PZK90" s="1055"/>
      <c r="PZL90" s="1055"/>
      <c r="PZM90" s="1055"/>
      <c r="PZN90" s="1055"/>
      <c r="PZO90" s="1055"/>
      <c r="PZP90" s="1055"/>
      <c r="PZQ90" s="1055"/>
      <c r="PZR90" s="1055"/>
      <c r="PZS90" s="1055"/>
      <c r="PZT90" s="1055"/>
      <c r="PZU90" s="1055"/>
      <c r="PZV90" s="1055"/>
      <c r="PZW90" s="1055"/>
      <c r="PZX90" s="1055"/>
      <c r="PZY90" s="1055"/>
      <c r="PZZ90" s="1055"/>
      <c r="QAA90" s="1055"/>
      <c r="QAB90" s="1055"/>
      <c r="QAC90" s="1055"/>
      <c r="QAD90" s="1055"/>
      <c r="QAE90" s="1055"/>
      <c r="QAF90" s="1055"/>
      <c r="QAG90" s="1055"/>
      <c r="QAH90" s="1055"/>
      <c r="QAI90" s="1055"/>
      <c r="QAJ90" s="1055"/>
      <c r="QAK90" s="1055"/>
      <c r="QAL90" s="1055"/>
      <c r="QAM90" s="1055"/>
      <c r="QAN90" s="1055"/>
      <c r="QAO90" s="1055"/>
      <c r="QAP90" s="1055"/>
      <c r="QAQ90" s="1055"/>
      <c r="QAR90" s="1055"/>
      <c r="QAS90" s="1055"/>
      <c r="QAT90" s="1055"/>
      <c r="QAU90" s="1055"/>
      <c r="QAV90" s="1055"/>
      <c r="QAW90" s="1055"/>
      <c r="QAX90" s="1055"/>
      <c r="QAY90" s="1055"/>
      <c r="QAZ90" s="1055"/>
      <c r="QBA90" s="1055"/>
      <c r="QBB90" s="1055"/>
      <c r="QBC90" s="1055"/>
      <c r="QBD90" s="1055"/>
      <c r="QBE90" s="1055"/>
      <c r="QBF90" s="1055"/>
      <c r="QBG90" s="1055"/>
      <c r="QBH90" s="1055"/>
      <c r="QBI90" s="1055"/>
      <c r="QBJ90" s="1055"/>
      <c r="QBK90" s="1055"/>
      <c r="QBL90" s="1055"/>
      <c r="QBM90" s="1055"/>
      <c r="QBN90" s="1055"/>
      <c r="QBO90" s="1055"/>
      <c r="QBP90" s="1055"/>
      <c r="QBQ90" s="1055"/>
      <c r="QBR90" s="1055"/>
      <c r="QBS90" s="1055"/>
      <c r="QBT90" s="1055"/>
      <c r="QBU90" s="1055"/>
      <c r="QBV90" s="1055"/>
      <c r="QBW90" s="1055"/>
      <c r="QBX90" s="1055"/>
      <c r="QBY90" s="1055"/>
      <c r="QBZ90" s="1055"/>
      <c r="QCA90" s="1055"/>
      <c r="QCB90" s="1055"/>
      <c r="QCC90" s="1055"/>
      <c r="QCD90" s="1055"/>
      <c r="QCE90" s="1055"/>
      <c r="QCF90" s="1055"/>
      <c r="QCG90" s="1055"/>
      <c r="QCH90" s="1055"/>
      <c r="QCI90" s="1055"/>
      <c r="QCJ90" s="1055"/>
      <c r="QCK90" s="1055"/>
      <c r="QCL90" s="1055"/>
      <c r="QCM90" s="1055"/>
      <c r="QCN90" s="1055"/>
      <c r="QCO90" s="1055"/>
      <c r="QCP90" s="1055"/>
      <c r="QCQ90" s="1055"/>
      <c r="QCR90" s="1055"/>
      <c r="QCS90" s="1055"/>
      <c r="QCT90" s="1055"/>
      <c r="QCU90" s="1055"/>
      <c r="QCV90" s="1055"/>
      <c r="QCW90" s="1055"/>
      <c r="QCX90" s="1055"/>
      <c r="QCY90" s="1055"/>
      <c r="QCZ90" s="1055"/>
      <c r="QDA90" s="1055"/>
      <c r="QDB90" s="1055"/>
      <c r="QDC90" s="1055"/>
      <c r="QDD90" s="1055"/>
      <c r="QDE90" s="1055"/>
      <c r="QDF90" s="1055"/>
      <c r="QDG90" s="1055"/>
      <c r="QDH90" s="1055"/>
      <c r="QDI90" s="1055"/>
      <c r="QDJ90" s="1055"/>
      <c r="QDK90" s="1055"/>
      <c r="QDL90" s="1055"/>
      <c r="QDM90" s="1055"/>
      <c r="QDN90" s="1055"/>
      <c r="QDO90" s="1055"/>
      <c r="QDP90" s="1055"/>
      <c r="QDQ90" s="1055"/>
      <c r="QDR90" s="1055"/>
      <c r="QDS90" s="1055"/>
      <c r="QDT90" s="1055"/>
      <c r="QDU90" s="1055"/>
      <c r="QDV90" s="1055"/>
      <c r="QDW90" s="1055"/>
      <c r="QDX90" s="1055"/>
      <c r="QDY90" s="1055"/>
      <c r="QDZ90" s="1055"/>
      <c r="QEA90" s="1055"/>
      <c r="QEB90" s="1055"/>
      <c r="QEC90" s="1055"/>
      <c r="QED90" s="1055"/>
      <c r="QEE90" s="1055"/>
      <c r="QEF90" s="1055"/>
      <c r="QEG90" s="1055"/>
      <c r="QEH90" s="1055"/>
      <c r="QEI90" s="1055"/>
      <c r="QEJ90" s="1055"/>
      <c r="QEK90" s="1055"/>
      <c r="QEL90" s="1055"/>
      <c r="QEM90" s="1055"/>
      <c r="QEN90" s="1055"/>
      <c r="QEO90" s="1055"/>
      <c r="QEP90" s="1055"/>
      <c r="QEQ90" s="1055"/>
      <c r="QER90" s="1055"/>
      <c r="QES90" s="1055"/>
      <c r="QET90" s="1055"/>
      <c r="QEU90" s="1055"/>
      <c r="QEV90" s="1055"/>
      <c r="QEW90" s="1055"/>
      <c r="QEX90" s="1055"/>
      <c r="QEY90" s="1055"/>
      <c r="QEZ90" s="1055"/>
      <c r="QFA90" s="1055"/>
      <c r="QFB90" s="1055"/>
      <c r="QFC90" s="1055"/>
      <c r="QFD90" s="1055"/>
      <c r="QFE90" s="1055"/>
      <c r="QFF90" s="1055"/>
      <c r="QFG90" s="1055"/>
      <c r="QFH90" s="1055"/>
      <c r="QFI90" s="1055"/>
      <c r="QFJ90" s="1055"/>
      <c r="QFK90" s="1055"/>
      <c r="QFL90" s="1055"/>
      <c r="QFM90" s="1055"/>
      <c r="QFN90" s="1055"/>
      <c r="QFO90" s="1055"/>
      <c r="QFP90" s="1055"/>
      <c r="QFQ90" s="1055"/>
      <c r="QFR90" s="1055"/>
      <c r="QFS90" s="1055"/>
      <c r="QFT90" s="1055"/>
      <c r="QFU90" s="1055"/>
      <c r="QFV90" s="1055"/>
      <c r="QFW90" s="1055"/>
      <c r="QFX90" s="1055"/>
      <c r="QFY90" s="1055"/>
      <c r="QFZ90" s="1055"/>
      <c r="QGA90" s="1055"/>
      <c r="QGB90" s="1055"/>
      <c r="QGC90" s="1055"/>
      <c r="QGD90" s="1055"/>
      <c r="QGE90" s="1055"/>
      <c r="QGF90" s="1055"/>
      <c r="QGG90" s="1055"/>
      <c r="QGH90" s="1055"/>
      <c r="QGI90" s="1055"/>
      <c r="QGJ90" s="1055"/>
      <c r="QGK90" s="1055"/>
      <c r="QGL90" s="1055"/>
      <c r="QGM90" s="1055"/>
      <c r="QGN90" s="1055"/>
      <c r="QGO90" s="1055"/>
      <c r="QGP90" s="1055"/>
      <c r="QGQ90" s="1055"/>
      <c r="QGR90" s="1055"/>
      <c r="QGS90" s="1055"/>
      <c r="QGT90" s="1055"/>
      <c r="QGU90" s="1055"/>
      <c r="QGV90" s="1055"/>
      <c r="QGW90" s="1055"/>
      <c r="QGX90" s="1055"/>
      <c r="QGY90" s="1055"/>
      <c r="QGZ90" s="1055"/>
      <c r="QHA90" s="1055"/>
      <c r="QHB90" s="1055"/>
      <c r="QHC90" s="1055"/>
      <c r="QHD90" s="1055"/>
      <c r="QHE90" s="1055"/>
      <c r="QHF90" s="1055"/>
      <c r="QHG90" s="1055"/>
      <c r="QHH90" s="1055"/>
      <c r="QHI90" s="1055"/>
      <c r="QHJ90" s="1055"/>
      <c r="QHK90" s="1055"/>
      <c r="QHL90" s="1055"/>
      <c r="QHM90" s="1055"/>
      <c r="QHN90" s="1055"/>
      <c r="QHO90" s="1055"/>
      <c r="QHP90" s="1055"/>
      <c r="QHQ90" s="1055"/>
      <c r="QHR90" s="1055"/>
      <c r="QHS90" s="1055"/>
      <c r="QHT90" s="1055"/>
      <c r="QHU90" s="1055"/>
      <c r="QHV90" s="1055"/>
      <c r="QHW90" s="1055"/>
      <c r="QHX90" s="1055"/>
      <c r="QHY90" s="1055"/>
      <c r="QHZ90" s="1055"/>
      <c r="QIA90" s="1055"/>
      <c r="QIB90" s="1055"/>
      <c r="QIC90" s="1055"/>
      <c r="QID90" s="1055"/>
      <c r="QIE90" s="1055"/>
      <c r="QIF90" s="1055"/>
      <c r="QIG90" s="1055"/>
      <c r="QIH90" s="1055"/>
      <c r="QII90" s="1055"/>
      <c r="QIJ90" s="1055"/>
      <c r="QIK90" s="1055"/>
      <c r="QIL90" s="1055"/>
      <c r="QIM90" s="1055"/>
      <c r="QIN90" s="1055"/>
      <c r="QIO90" s="1055"/>
      <c r="QIP90" s="1055"/>
      <c r="QIQ90" s="1055"/>
      <c r="QIR90" s="1055"/>
      <c r="QIS90" s="1055"/>
      <c r="QIT90" s="1055"/>
      <c r="QIU90" s="1055"/>
      <c r="QIV90" s="1055"/>
      <c r="QIW90" s="1055"/>
      <c r="QIX90" s="1055"/>
      <c r="QIY90" s="1055"/>
      <c r="QIZ90" s="1055"/>
      <c r="QJA90" s="1055"/>
      <c r="QJB90" s="1055"/>
      <c r="QJC90" s="1055"/>
      <c r="QJD90" s="1055"/>
      <c r="QJE90" s="1055"/>
      <c r="QJF90" s="1055"/>
      <c r="QJG90" s="1055"/>
      <c r="QJH90" s="1055"/>
      <c r="QJI90" s="1055"/>
      <c r="QJJ90" s="1055"/>
      <c r="QJK90" s="1055"/>
      <c r="QJL90" s="1055"/>
      <c r="QJM90" s="1055"/>
      <c r="QJN90" s="1055"/>
      <c r="QJO90" s="1055"/>
      <c r="QJP90" s="1055"/>
      <c r="QJQ90" s="1055"/>
      <c r="QJR90" s="1055"/>
      <c r="QJS90" s="1055"/>
      <c r="QJT90" s="1055"/>
      <c r="QJU90" s="1055"/>
      <c r="QJV90" s="1055"/>
      <c r="QJW90" s="1055"/>
      <c r="QJX90" s="1055"/>
      <c r="QJY90" s="1055"/>
      <c r="QJZ90" s="1055"/>
      <c r="QKA90" s="1055"/>
      <c r="QKB90" s="1055"/>
      <c r="QKC90" s="1055"/>
      <c r="QKD90" s="1055"/>
      <c r="QKE90" s="1055"/>
      <c r="QKF90" s="1055"/>
      <c r="QKG90" s="1055"/>
      <c r="QKH90" s="1055"/>
      <c r="QKI90" s="1055"/>
      <c r="QKJ90" s="1055"/>
      <c r="QKK90" s="1055"/>
      <c r="QKL90" s="1055"/>
      <c r="QKM90" s="1055"/>
      <c r="QKN90" s="1055"/>
      <c r="QKO90" s="1055"/>
      <c r="QKP90" s="1055"/>
      <c r="QKQ90" s="1055"/>
      <c r="QKR90" s="1055"/>
      <c r="QKS90" s="1055"/>
      <c r="QKT90" s="1055"/>
      <c r="QKU90" s="1055"/>
      <c r="QKV90" s="1055"/>
      <c r="QKW90" s="1055"/>
      <c r="QKX90" s="1055"/>
      <c r="QKY90" s="1055"/>
      <c r="QKZ90" s="1055"/>
      <c r="QLA90" s="1055"/>
      <c r="QLB90" s="1055"/>
      <c r="QLC90" s="1055"/>
      <c r="QLD90" s="1055"/>
      <c r="QLE90" s="1055"/>
      <c r="QLF90" s="1055"/>
      <c r="QLG90" s="1055"/>
      <c r="QLH90" s="1055"/>
      <c r="QLI90" s="1055"/>
      <c r="QLJ90" s="1055"/>
      <c r="QLK90" s="1055"/>
      <c r="QLL90" s="1055"/>
      <c r="QLM90" s="1055"/>
      <c r="QLN90" s="1055"/>
      <c r="QLO90" s="1055"/>
      <c r="QLP90" s="1055"/>
      <c r="QLQ90" s="1055"/>
      <c r="QLR90" s="1055"/>
      <c r="QLS90" s="1055"/>
      <c r="QLT90" s="1055"/>
      <c r="QLU90" s="1055"/>
      <c r="QLV90" s="1055"/>
      <c r="QLW90" s="1055"/>
      <c r="QLX90" s="1055"/>
      <c r="QLY90" s="1055"/>
      <c r="QLZ90" s="1055"/>
      <c r="QMA90" s="1055"/>
      <c r="QMB90" s="1055"/>
      <c r="QMC90" s="1055"/>
      <c r="QMD90" s="1055"/>
      <c r="QME90" s="1055"/>
      <c r="QMF90" s="1055"/>
      <c r="QMG90" s="1055"/>
      <c r="QMH90" s="1055"/>
      <c r="QMI90" s="1055"/>
      <c r="QMJ90" s="1055"/>
      <c r="QMK90" s="1055"/>
      <c r="QML90" s="1055"/>
      <c r="QMM90" s="1055"/>
      <c r="QMN90" s="1055"/>
      <c r="QMO90" s="1055"/>
      <c r="QMP90" s="1055"/>
      <c r="QMQ90" s="1055"/>
      <c r="QMR90" s="1055"/>
      <c r="QMS90" s="1055"/>
      <c r="QMT90" s="1055"/>
      <c r="QMU90" s="1055"/>
      <c r="QMV90" s="1055"/>
      <c r="QMW90" s="1055"/>
      <c r="QMX90" s="1055"/>
      <c r="QMY90" s="1055"/>
      <c r="QMZ90" s="1055"/>
      <c r="QNA90" s="1055"/>
      <c r="QNB90" s="1055"/>
      <c r="QNC90" s="1055"/>
      <c r="QND90" s="1055"/>
      <c r="QNE90" s="1055"/>
      <c r="QNF90" s="1055"/>
      <c r="QNG90" s="1055"/>
      <c r="QNH90" s="1055"/>
      <c r="QNI90" s="1055"/>
      <c r="QNJ90" s="1055"/>
      <c r="QNK90" s="1055"/>
      <c r="QNL90" s="1055"/>
      <c r="QNM90" s="1055"/>
      <c r="QNN90" s="1055"/>
      <c r="QNO90" s="1055"/>
      <c r="QNP90" s="1055"/>
      <c r="QNQ90" s="1055"/>
      <c r="QNR90" s="1055"/>
      <c r="QNS90" s="1055"/>
      <c r="QNT90" s="1055"/>
      <c r="QNU90" s="1055"/>
      <c r="QNV90" s="1055"/>
      <c r="QNW90" s="1055"/>
      <c r="QNX90" s="1055"/>
      <c r="QNY90" s="1055"/>
      <c r="QNZ90" s="1055"/>
      <c r="QOA90" s="1055"/>
      <c r="QOB90" s="1055"/>
      <c r="QOC90" s="1055"/>
      <c r="QOD90" s="1055"/>
      <c r="QOE90" s="1055"/>
      <c r="QOF90" s="1055"/>
      <c r="QOG90" s="1055"/>
      <c r="QOH90" s="1055"/>
      <c r="QOI90" s="1055"/>
      <c r="QOJ90" s="1055"/>
      <c r="QOK90" s="1055"/>
      <c r="QOL90" s="1055"/>
      <c r="QOM90" s="1055"/>
      <c r="QON90" s="1055"/>
      <c r="QOO90" s="1055"/>
      <c r="QOP90" s="1055"/>
      <c r="QOQ90" s="1055"/>
      <c r="QOR90" s="1055"/>
      <c r="QOS90" s="1055"/>
      <c r="QOT90" s="1055"/>
      <c r="QOU90" s="1055"/>
      <c r="QOV90" s="1055"/>
      <c r="QOW90" s="1055"/>
      <c r="QOX90" s="1055"/>
      <c r="QOY90" s="1055"/>
      <c r="QOZ90" s="1055"/>
      <c r="QPA90" s="1055"/>
      <c r="QPB90" s="1055"/>
      <c r="QPC90" s="1055"/>
      <c r="QPD90" s="1055"/>
      <c r="QPE90" s="1055"/>
      <c r="QPF90" s="1055"/>
      <c r="QPG90" s="1055"/>
      <c r="QPH90" s="1055"/>
      <c r="QPI90" s="1055"/>
      <c r="QPJ90" s="1055"/>
      <c r="QPK90" s="1055"/>
      <c r="QPL90" s="1055"/>
      <c r="QPM90" s="1055"/>
      <c r="QPN90" s="1055"/>
      <c r="QPO90" s="1055"/>
      <c r="QPP90" s="1055"/>
      <c r="QPQ90" s="1055"/>
      <c r="QPR90" s="1055"/>
      <c r="QPS90" s="1055"/>
      <c r="QPT90" s="1055"/>
      <c r="QPU90" s="1055"/>
      <c r="QPV90" s="1055"/>
      <c r="QPW90" s="1055"/>
      <c r="QPX90" s="1055"/>
      <c r="QPY90" s="1055"/>
      <c r="QPZ90" s="1055"/>
      <c r="QQA90" s="1055"/>
      <c r="QQB90" s="1055"/>
      <c r="QQC90" s="1055"/>
      <c r="QQD90" s="1055"/>
      <c r="QQE90" s="1055"/>
      <c r="QQF90" s="1055"/>
      <c r="QQG90" s="1055"/>
      <c r="QQH90" s="1055"/>
      <c r="QQI90" s="1055"/>
      <c r="QQJ90" s="1055"/>
      <c r="QQK90" s="1055"/>
      <c r="QQL90" s="1055"/>
      <c r="QQM90" s="1055"/>
      <c r="QQN90" s="1055"/>
      <c r="QQO90" s="1055"/>
      <c r="QQP90" s="1055"/>
      <c r="QQQ90" s="1055"/>
      <c r="QQR90" s="1055"/>
      <c r="QQS90" s="1055"/>
      <c r="QQT90" s="1055"/>
      <c r="QQU90" s="1055"/>
      <c r="QQV90" s="1055"/>
      <c r="QQW90" s="1055"/>
      <c r="QQX90" s="1055"/>
      <c r="QQY90" s="1055"/>
      <c r="QQZ90" s="1055"/>
      <c r="QRA90" s="1055"/>
      <c r="QRB90" s="1055"/>
      <c r="QRC90" s="1055"/>
      <c r="QRD90" s="1055"/>
      <c r="QRE90" s="1055"/>
      <c r="QRF90" s="1055"/>
      <c r="QRG90" s="1055"/>
      <c r="QRH90" s="1055"/>
      <c r="QRI90" s="1055"/>
      <c r="QRJ90" s="1055"/>
      <c r="QRK90" s="1055"/>
      <c r="QRL90" s="1055"/>
      <c r="QRM90" s="1055"/>
      <c r="QRN90" s="1055"/>
      <c r="QRO90" s="1055"/>
      <c r="QRP90" s="1055"/>
      <c r="QRQ90" s="1055"/>
      <c r="QRR90" s="1055"/>
      <c r="QRS90" s="1055"/>
      <c r="QRT90" s="1055"/>
      <c r="QRU90" s="1055"/>
      <c r="QRV90" s="1055"/>
      <c r="QRW90" s="1055"/>
      <c r="QRX90" s="1055"/>
      <c r="QRY90" s="1055"/>
      <c r="QRZ90" s="1055"/>
      <c r="QSA90" s="1055"/>
      <c r="QSB90" s="1055"/>
      <c r="QSC90" s="1055"/>
      <c r="QSD90" s="1055"/>
      <c r="QSE90" s="1055"/>
      <c r="QSF90" s="1055"/>
      <c r="QSG90" s="1055"/>
      <c r="QSH90" s="1055"/>
      <c r="QSI90" s="1055"/>
      <c r="QSJ90" s="1055"/>
      <c r="QSK90" s="1055"/>
      <c r="QSL90" s="1055"/>
      <c r="QSM90" s="1055"/>
      <c r="QSN90" s="1055"/>
      <c r="QSO90" s="1055"/>
      <c r="QSP90" s="1055"/>
      <c r="QSQ90" s="1055"/>
      <c r="QSR90" s="1055"/>
      <c r="QSS90" s="1055"/>
      <c r="QST90" s="1055"/>
      <c r="QSU90" s="1055"/>
      <c r="QSV90" s="1055"/>
      <c r="QSW90" s="1055"/>
      <c r="QSX90" s="1055"/>
      <c r="QSY90" s="1055"/>
      <c r="QSZ90" s="1055"/>
      <c r="QTA90" s="1055"/>
      <c r="QTB90" s="1055"/>
      <c r="QTC90" s="1055"/>
      <c r="QTD90" s="1055"/>
      <c r="QTE90" s="1055"/>
      <c r="QTF90" s="1055"/>
      <c r="QTG90" s="1055"/>
      <c r="QTH90" s="1055"/>
      <c r="QTI90" s="1055"/>
      <c r="QTJ90" s="1055"/>
      <c r="QTK90" s="1055"/>
      <c r="QTL90" s="1055"/>
      <c r="QTM90" s="1055"/>
      <c r="QTN90" s="1055"/>
      <c r="QTO90" s="1055"/>
      <c r="QTP90" s="1055"/>
      <c r="QTQ90" s="1055"/>
      <c r="QTR90" s="1055"/>
      <c r="QTS90" s="1055"/>
      <c r="QTT90" s="1055"/>
      <c r="QTU90" s="1055"/>
      <c r="QTV90" s="1055"/>
      <c r="QTW90" s="1055"/>
      <c r="QTX90" s="1055"/>
      <c r="QTY90" s="1055"/>
      <c r="QTZ90" s="1055"/>
      <c r="QUA90" s="1055"/>
      <c r="QUB90" s="1055"/>
      <c r="QUC90" s="1055"/>
      <c r="QUD90" s="1055"/>
      <c r="QUE90" s="1055"/>
      <c r="QUF90" s="1055"/>
      <c r="QUG90" s="1055"/>
      <c r="QUH90" s="1055"/>
      <c r="QUI90" s="1055"/>
      <c r="QUJ90" s="1055"/>
      <c r="QUK90" s="1055"/>
      <c r="QUL90" s="1055"/>
      <c r="QUM90" s="1055"/>
      <c r="QUN90" s="1055"/>
      <c r="QUO90" s="1055"/>
      <c r="QUP90" s="1055"/>
      <c r="QUQ90" s="1055"/>
      <c r="QUR90" s="1055"/>
      <c r="QUS90" s="1055"/>
      <c r="QUT90" s="1055"/>
      <c r="QUU90" s="1055"/>
      <c r="QUV90" s="1055"/>
      <c r="QUW90" s="1055"/>
      <c r="QUX90" s="1055"/>
      <c r="QUY90" s="1055"/>
      <c r="QUZ90" s="1055"/>
      <c r="QVA90" s="1055"/>
      <c r="QVB90" s="1055"/>
      <c r="QVC90" s="1055"/>
      <c r="QVD90" s="1055"/>
      <c r="QVE90" s="1055"/>
      <c r="QVF90" s="1055"/>
      <c r="QVG90" s="1055"/>
      <c r="QVH90" s="1055"/>
      <c r="QVI90" s="1055"/>
      <c r="QVJ90" s="1055"/>
      <c r="QVK90" s="1055"/>
      <c r="QVL90" s="1055"/>
      <c r="QVM90" s="1055"/>
      <c r="QVN90" s="1055"/>
      <c r="QVO90" s="1055"/>
      <c r="QVP90" s="1055"/>
      <c r="QVQ90" s="1055"/>
      <c r="QVR90" s="1055"/>
      <c r="QVS90" s="1055"/>
      <c r="QVT90" s="1055"/>
      <c r="QVU90" s="1055"/>
      <c r="QVV90" s="1055"/>
      <c r="QVW90" s="1055"/>
      <c r="QVX90" s="1055"/>
      <c r="QVY90" s="1055"/>
      <c r="QVZ90" s="1055"/>
      <c r="QWA90" s="1055"/>
      <c r="QWB90" s="1055"/>
      <c r="QWC90" s="1055"/>
      <c r="QWD90" s="1055"/>
      <c r="QWE90" s="1055"/>
      <c r="QWF90" s="1055"/>
      <c r="QWG90" s="1055"/>
      <c r="QWH90" s="1055"/>
      <c r="QWI90" s="1055"/>
      <c r="QWJ90" s="1055"/>
      <c r="QWK90" s="1055"/>
      <c r="QWL90" s="1055"/>
      <c r="QWM90" s="1055"/>
      <c r="QWN90" s="1055"/>
      <c r="QWO90" s="1055"/>
      <c r="QWP90" s="1055"/>
      <c r="QWQ90" s="1055"/>
      <c r="QWR90" s="1055"/>
      <c r="QWS90" s="1055"/>
      <c r="QWT90" s="1055"/>
      <c r="QWU90" s="1055"/>
      <c r="QWV90" s="1055"/>
      <c r="QWW90" s="1055"/>
      <c r="QWX90" s="1055"/>
      <c r="QWY90" s="1055"/>
      <c r="QWZ90" s="1055"/>
      <c r="QXA90" s="1055"/>
      <c r="QXB90" s="1055"/>
      <c r="QXC90" s="1055"/>
      <c r="QXD90" s="1055"/>
      <c r="QXE90" s="1055"/>
      <c r="QXF90" s="1055"/>
      <c r="QXG90" s="1055"/>
      <c r="QXH90" s="1055"/>
      <c r="QXI90" s="1055"/>
      <c r="QXJ90" s="1055"/>
      <c r="QXK90" s="1055"/>
      <c r="QXL90" s="1055"/>
      <c r="QXM90" s="1055"/>
      <c r="QXN90" s="1055"/>
      <c r="QXO90" s="1055"/>
      <c r="QXP90" s="1055"/>
      <c r="QXQ90" s="1055"/>
      <c r="QXR90" s="1055"/>
      <c r="QXS90" s="1055"/>
      <c r="QXT90" s="1055"/>
      <c r="QXU90" s="1055"/>
      <c r="QXV90" s="1055"/>
      <c r="QXW90" s="1055"/>
      <c r="QXX90" s="1055"/>
      <c r="QXY90" s="1055"/>
      <c r="QXZ90" s="1055"/>
      <c r="QYA90" s="1055"/>
      <c r="QYB90" s="1055"/>
      <c r="QYC90" s="1055"/>
      <c r="QYD90" s="1055"/>
      <c r="QYE90" s="1055"/>
      <c r="QYF90" s="1055"/>
      <c r="QYG90" s="1055"/>
      <c r="QYH90" s="1055"/>
      <c r="QYI90" s="1055"/>
      <c r="QYJ90" s="1055"/>
      <c r="QYK90" s="1055"/>
      <c r="QYL90" s="1055"/>
      <c r="QYM90" s="1055"/>
      <c r="QYN90" s="1055"/>
      <c r="QYO90" s="1055"/>
      <c r="QYP90" s="1055"/>
      <c r="QYQ90" s="1055"/>
      <c r="QYR90" s="1055"/>
      <c r="QYS90" s="1055"/>
      <c r="QYT90" s="1055"/>
      <c r="QYU90" s="1055"/>
      <c r="QYV90" s="1055"/>
      <c r="QYW90" s="1055"/>
      <c r="QYX90" s="1055"/>
      <c r="QYY90" s="1055"/>
      <c r="QYZ90" s="1055"/>
      <c r="QZA90" s="1055"/>
      <c r="QZB90" s="1055"/>
      <c r="QZC90" s="1055"/>
      <c r="QZD90" s="1055"/>
      <c r="QZE90" s="1055"/>
      <c r="QZF90" s="1055"/>
      <c r="QZG90" s="1055"/>
      <c r="QZH90" s="1055"/>
      <c r="QZI90" s="1055"/>
      <c r="QZJ90" s="1055"/>
      <c r="QZK90" s="1055"/>
      <c r="QZL90" s="1055"/>
      <c r="QZM90" s="1055"/>
      <c r="QZN90" s="1055"/>
      <c r="QZO90" s="1055"/>
      <c r="QZP90" s="1055"/>
      <c r="QZQ90" s="1055"/>
      <c r="QZR90" s="1055"/>
      <c r="QZS90" s="1055"/>
      <c r="QZT90" s="1055"/>
      <c r="QZU90" s="1055"/>
      <c r="QZV90" s="1055"/>
      <c r="QZW90" s="1055"/>
      <c r="QZX90" s="1055"/>
      <c r="QZY90" s="1055"/>
      <c r="QZZ90" s="1055"/>
      <c r="RAA90" s="1055"/>
      <c r="RAB90" s="1055"/>
      <c r="RAC90" s="1055"/>
      <c r="RAD90" s="1055"/>
      <c r="RAE90" s="1055"/>
      <c r="RAF90" s="1055"/>
      <c r="RAG90" s="1055"/>
      <c r="RAH90" s="1055"/>
      <c r="RAI90" s="1055"/>
      <c r="RAJ90" s="1055"/>
      <c r="RAK90" s="1055"/>
      <c r="RAL90" s="1055"/>
      <c r="RAM90" s="1055"/>
      <c r="RAN90" s="1055"/>
      <c r="RAO90" s="1055"/>
      <c r="RAP90" s="1055"/>
      <c r="RAQ90" s="1055"/>
      <c r="RAR90" s="1055"/>
      <c r="RAS90" s="1055"/>
      <c r="RAT90" s="1055"/>
      <c r="RAU90" s="1055"/>
      <c r="RAV90" s="1055"/>
      <c r="RAW90" s="1055"/>
      <c r="RAX90" s="1055"/>
      <c r="RAY90" s="1055"/>
      <c r="RAZ90" s="1055"/>
      <c r="RBA90" s="1055"/>
      <c r="RBB90" s="1055"/>
      <c r="RBC90" s="1055"/>
      <c r="RBD90" s="1055"/>
      <c r="RBE90" s="1055"/>
      <c r="RBF90" s="1055"/>
      <c r="RBG90" s="1055"/>
      <c r="RBH90" s="1055"/>
      <c r="RBI90" s="1055"/>
      <c r="RBJ90" s="1055"/>
      <c r="RBK90" s="1055"/>
      <c r="RBL90" s="1055"/>
      <c r="RBM90" s="1055"/>
      <c r="RBN90" s="1055"/>
      <c r="RBO90" s="1055"/>
      <c r="RBP90" s="1055"/>
      <c r="RBQ90" s="1055"/>
      <c r="RBR90" s="1055"/>
      <c r="RBS90" s="1055"/>
      <c r="RBT90" s="1055"/>
      <c r="RBU90" s="1055"/>
      <c r="RBV90" s="1055"/>
      <c r="RBW90" s="1055"/>
      <c r="RBX90" s="1055"/>
      <c r="RBY90" s="1055"/>
      <c r="RBZ90" s="1055"/>
      <c r="RCA90" s="1055"/>
      <c r="RCB90" s="1055"/>
      <c r="RCC90" s="1055"/>
      <c r="RCD90" s="1055"/>
      <c r="RCE90" s="1055"/>
      <c r="RCF90" s="1055"/>
      <c r="RCG90" s="1055"/>
      <c r="RCH90" s="1055"/>
      <c r="RCI90" s="1055"/>
      <c r="RCJ90" s="1055"/>
      <c r="RCK90" s="1055"/>
      <c r="RCL90" s="1055"/>
      <c r="RCM90" s="1055"/>
      <c r="RCN90" s="1055"/>
      <c r="RCO90" s="1055"/>
      <c r="RCP90" s="1055"/>
      <c r="RCQ90" s="1055"/>
      <c r="RCR90" s="1055"/>
      <c r="RCS90" s="1055"/>
      <c r="RCT90" s="1055"/>
      <c r="RCU90" s="1055"/>
      <c r="RCV90" s="1055"/>
      <c r="RCW90" s="1055"/>
      <c r="RCX90" s="1055"/>
      <c r="RCY90" s="1055"/>
      <c r="RCZ90" s="1055"/>
      <c r="RDA90" s="1055"/>
      <c r="RDB90" s="1055"/>
      <c r="RDC90" s="1055"/>
      <c r="RDD90" s="1055"/>
      <c r="RDE90" s="1055"/>
      <c r="RDF90" s="1055"/>
      <c r="RDG90" s="1055"/>
      <c r="RDH90" s="1055"/>
      <c r="RDI90" s="1055"/>
      <c r="RDJ90" s="1055"/>
      <c r="RDK90" s="1055"/>
      <c r="RDL90" s="1055"/>
      <c r="RDM90" s="1055"/>
      <c r="RDN90" s="1055"/>
      <c r="RDO90" s="1055"/>
      <c r="RDP90" s="1055"/>
      <c r="RDQ90" s="1055"/>
      <c r="RDR90" s="1055"/>
      <c r="RDS90" s="1055"/>
      <c r="RDT90" s="1055"/>
      <c r="RDU90" s="1055"/>
      <c r="RDV90" s="1055"/>
      <c r="RDW90" s="1055"/>
      <c r="RDX90" s="1055"/>
      <c r="RDY90" s="1055"/>
      <c r="RDZ90" s="1055"/>
      <c r="REA90" s="1055"/>
      <c r="REB90" s="1055"/>
      <c r="REC90" s="1055"/>
      <c r="RED90" s="1055"/>
      <c r="REE90" s="1055"/>
      <c r="REF90" s="1055"/>
      <c r="REG90" s="1055"/>
      <c r="REH90" s="1055"/>
      <c r="REI90" s="1055"/>
      <c r="REJ90" s="1055"/>
      <c r="REK90" s="1055"/>
      <c r="REL90" s="1055"/>
      <c r="REM90" s="1055"/>
      <c r="REN90" s="1055"/>
      <c r="REO90" s="1055"/>
      <c r="REP90" s="1055"/>
      <c r="REQ90" s="1055"/>
      <c r="RER90" s="1055"/>
      <c r="RES90" s="1055"/>
      <c r="RET90" s="1055"/>
      <c r="REU90" s="1055"/>
      <c r="REV90" s="1055"/>
      <c r="REW90" s="1055"/>
      <c r="REX90" s="1055"/>
      <c r="REY90" s="1055"/>
      <c r="REZ90" s="1055"/>
      <c r="RFA90" s="1055"/>
      <c r="RFB90" s="1055"/>
      <c r="RFC90" s="1055"/>
      <c r="RFD90" s="1055"/>
      <c r="RFE90" s="1055"/>
      <c r="RFF90" s="1055"/>
      <c r="RFG90" s="1055"/>
      <c r="RFH90" s="1055"/>
      <c r="RFI90" s="1055"/>
      <c r="RFJ90" s="1055"/>
      <c r="RFK90" s="1055"/>
      <c r="RFL90" s="1055"/>
      <c r="RFM90" s="1055"/>
      <c r="RFN90" s="1055"/>
      <c r="RFO90" s="1055"/>
      <c r="RFP90" s="1055"/>
      <c r="RFQ90" s="1055"/>
      <c r="RFR90" s="1055"/>
      <c r="RFS90" s="1055"/>
      <c r="RFT90" s="1055"/>
      <c r="RFU90" s="1055"/>
      <c r="RFV90" s="1055"/>
      <c r="RFW90" s="1055"/>
      <c r="RFX90" s="1055"/>
      <c r="RFY90" s="1055"/>
      <c r="RFZ90" s="1055"/>
      <c r="RGA90" s="1055"/>
      <c r="RGB90" s="1055"/>
      <c r="RGC90" s="1055"/>
      <c r="RGD90" s="1055"/>
      <c r="RGE90" s="1055"/>
      <c r="RGF90" s="1055"/>
      <c r="RGG90" s="1055"/>
      <c r="RGH90" s="1055"/>
      <c r="RGI90" s="1055"/>
      <c r="RGJ90" s="1055"/>
      <c r="RGK90" s="1055"/>
      <c r="RGL90" s="1055"/>
      <c r="RGM90" s="1055"/>
      <c r="RGN90" s="1055"/>
      <c r="RGO90" s="1055"/>
      <c r="RGP90" s="1055"/>
      <c r="RGQ90" s="1055"/>
      <c r="RGR90" s="1055"/>
      <c r="RGS90" s="1055"/>
      <c r="RGT90" s="1055"/>
      <c r="RGU90" s="1055"/>
      <c r="RGV90" s="1055"/>
      <c r="RGW90" s="1055"/>
      <c r="RGX90" s="1055"/>
      <c r="RGY90" s="1055"/>
      <c r="RGZ90" s="1055"/>
      <c r="RHA90" s="1055"/>
      <c r="RHB90" s="1055"/>
      <c r="RHC90" s="1055"/>
      <c r="RHD90" s="1055"/>
      <c r="RHE90" s="1055"/>
      <c r="RHF90" s="1055"/>
      <c r="RHG90" s="1055"/>
      <c r="RHH90" s="1055"/>
      <c r="RHI90" s="1055"/>
      <c r="RHJ90" s="1055"/>
      <c r="RHK90" s="1055"/>
      <c r="RHL90" s="1055"/>
      <c r="RHM90" s="1055"/>
      <c r="RHN90" s="1055"/>
      <c r="RHO90" s="1055"/>
      <c r="RHP90" s="1055"/>
      <c r="RHQ90" s="1055"/>
      <c r="RHR90" s="1055"/>
      <c r="RHS90" s="1055"/>
      <c r="RHT90" s="1055"/>
      <c r="RHU90" s="1055"/>
      <c r="RHV90" s="1055"/>
      <c r="RHW90" s="1055"/>
      <c r="RHX90" s="1055"/>
      <c r="RHY90" s="1055"/>
      <c r="RHZ90" s="1055"/>
      <c r="RIA90" s="1055"/>
      <c r="RIB90" s="1055"/>
      <c r="RIC90" s="1055"/>
      <c r="RID90" s="1055"/>
      <c r="RIE90" s="1055"/>
      <c r="RIF90" s="1055"/>
      <c r="RIG90" s="1055"/>
      <c r="RIH90" s="1055"/>
      <c r="RII90" s="1055"/>
      <c r="RIJ90" s="1055"/>
      <c r="RIK90" s="1055"/>
      <c r="RIL90" s="1055"/>
      <c r="RIM90" s="1055"/>
      <c r="RIN90" s="1055"/>
      <c r="RIO90" s="1055"/>
      <c r="RIP90" s="1055"/>
      <c r="RIQ90" s="1055"/>
      <c r="RIR90" s="1055"/>
      <c r="RIS90" s="1055"/>
      <c r="RIT90" s="1055"/>
      <c r="RIU90" s="1055"/>
      <c r="RIV90" s="1055"/>
      <c r="RIW90" s="1055"/>
      <c r="RIX90" s="1055"/>
      <c r="RIY90" s="1055"/>
      <c r="RIZ90" s="1055"/>
      <c r="RJA90" s="1055"/>
      <c r="RJB90" s="1055"/>
      <c r="RJC90" s="1055"/>
      <c r="RJD90" s="1055"/>
      <c r="RJE90" s="1055"/>
      <c r="RJF90" s="1055"/>
      <c r="RJG90" s="1055"/>
      <c r="RJH90" s="1055"/>
      <c r="RJI90" s="1055"/>
      <c r="RJJ90" s="1055"/>
      <c r="RJK90" s="1055"/>
      <c r="RJL90" s="1055"/>
      <c r="RJM90" s="1055"/>
      <c r="RJN90" s="1055"/>
      <c r="RJO90" s="1055"/>
      <c r="RJP90" s="1055"/>
      <c r="RJQ90" s="1055"/>
      <c r="RJR90" s="1055"/>
      <c r="RJS90" s="1055"/>
      <c r="RJT90" s="1055"/>
      <c r="RJU90" s="1055"/>
      <c r="RJV90" s="1055"/>
      <c r="RJW90" s="1055"/>
      <c r="RJX90" s="1055"/>
      <c r="RJY90" s="1055"/>
      <c r="RJZ90" s="1055"/>
      <c r="RKA90" s="1055"/>
      <c r="RKB90" s="1055"/>
      <c r="RKC90" s="1055"/>
      <c r="RKD90" s="1055"/>
      <c r="RKE90" s="1055"/>
      <c r="RKF90" s="1055"/>
      <c r="RKG90" s="1055"/>
      <c r="RKH90" s="1055"/>
      <c r="RKI90" s="1055"/>
      <c r="RKJ90" s="1055"/>
      <c r="RKK90" s="1055"/>
      <c r="RKL90" s="1055"/>
      <c r="RKM90" s="1055"/>
      <c r="RKN90" s="1055"/>
      <c r="RKO90" s="1055"/>
      <c r="RKP90" s="1055"/>
      <c r="RKQ90" s="1055"/>
      <c r="RKR90" s="1055"/>
      <c r="RKS90" s="1055"/>
      <c r="RKT90" s="1055"/>
      <c r="RKU90" s="1055"/>
      <c r="RKV90" s="1055"/>
      <c r="RKW90" s="1055"/>
      <c r="RKX90" s="1055"/>
      <c r="RKY90" s="1055"/>
      <c r="RKZ90" s="1055"/>
      <c r="RLA90" s="1055"/>
      <c r="RLB90" s="1055"/>
      <c r="RLC90" s="1055"/>
      <c r="RLD90" s="1055"/>
      <c r="RLE90" s="1055"/>
      <c r="RLF90" s="1055"/>
      <c r="RLG90" s="1055"/>
      <c r="RLH90" s="1055"/>
      <c r="RLI90" s="1055"/>
      <c r="RLJ90" s="1055"/>
      <c r="RLK90" s="1055"/>
      <c r="RLL90" s="1055"/>
      <c r="RLM90" s="1055"/>
      <c r="RLN90" s="1055"/>
      <c r="RLO90" s="1055"/>
      <c r="RLP90" s="1055"/>
      <c r="RLQ90" s="1055"/>
      <c r="RLR90" s="1055"/>
      <c r="RLS90" s="1055"/>
      <c r="RLT90" s="1055"/>
      <c r="RLU90" s="1055"/>
      <c r="RLV90" s="1055"/>
      <c r="RLW90" s="1055"/>
      <c r="RLX90" s="1055"/>
      <c r="RLY90" s="1055"/>
      <c r="RLZ90" s="1055"/>
      <c r="RMA90" s="1055"/>
      <c r="RMB90" s="1055"/>
      <c r="RMC90" s="1055"/>
      <c r="RMD90" s="1055"/>
      <c r="RME90" s="1055"/>
      <c r="RMF90" s="1055"/>
      <c r="RMG90" s="1055"/>
      <c r="RMH90" s="1055"/>
      <c r="RMI90" s="1055"/>
      <c r="RMJ90" s="1055"/>
      <c r="RMK90" s="1055"/>
      <c r="RML90" s="1055"/>
      <c r="RMM90" s="1055"/>
      <c r="RMN90" s="1055"/>
      <c r="RMO90" s="1055"/>
      <c r="RMP90" s="1055"/>
      <c r="RMQ90" s="1055"/>
      <c r="RMR90" s="1055"/>
      <c r="RMS90" s="1055"/>
      <c r="RMT90" s="1055"/>
      <c r="RMU90" s="1055"/>
      <c r="RMV90" s="1055"/>
      <c r="RMW90" s="1055"/>
      <c r="RMX90" s="1055"/>
      <c r="RMY90" s="1055"/>
      <c r="RMZ90" s="1055"/>
      <c r="RNA90" s="1055"/>
      <c r="RNB90" s="1055"/>
      <c r="RNC90" s="1055"/>
      <c r="RND90" s="1055"/>
      <c r="RNE90" s="1055"/>
      <c r="RNF90" s="1055"/>
      <c r="RNG90" s="1055"/>
      <c r="RNH90" s="1055"/>
      <c r="RNI90" s="1055"/>
      <c r="RNJ90" s="1055"/>
      <c r="RNK90" s="1055"/>
      <c r="RNL90" s="1055"/>
      <c r="RNM90" s="1055"/>
      <c r="RNN90" s="1055"/>
      <c r="RNO90" s="1055"/>
      <c r="RNP90" s="1055"/>
      <c r="RNQ90" s="1055"/>
      <c r="RNR90" s="1055"/>
      <c r="RNS90" s="1055"/>
      <c r="RNT90" s="1055"/>
      <c r="RNU90" s="1055"/>
      <c r="RNV90" s="1055"/>
      <c r="RNW90" s="1055"/>
      <c r="RNX90" s="1055"/>
      <c r="RNY90" s="1055"/>
      <c r="RNZ90" s="1055"/>
      <c r="ROA90" s="1055"/>
      <c r="ROB90" s="1055"/>
      <c r="ROC90" s="1055"/>
      <c r="ROD90" s="1055"/>
      <c r="ROE90" s="1055"/>
      <c r="ROF90" s="1055"/>
      <c r="ROG90" s="1055"/>
      <c r="ROH90" s="1055"/>
      <c r="ROI90" s="1055"/>
      <c r="ROJ90" s="1055"/>
      <c r="ROK90" s="1055"/>
      <c r="ROL90" s="1055"/>
      <c r="ROM90" s="1055"/>
      <c r="RON90" s="1055"/>
      <c r="ROO90" s="1055"/>
      <c r="ROP90" s="1055"/>
      <c r="ROQ90" s="1055"/>
      <c r="ROR90" s="1055"/>
      <c r="ROS90" s="1055"/>
      <c r="ROT90" s="1055"/>
      <c r="ROU90" s="1055"/>
      <c r="ROV90" s="1055"/>
      <c r="ROW90" s="1055"/>
      <c r="ROX90" s="1055"/>
      <c r="ROY90" s="1055"/>
      <c r="ROZ90" s="1055"/>
      <c r="RPA90" s="1055"/>
      <c r="RPB90" s="1055"/>
      <c r="RPC90" s="1055"/>
      <c r="RPD90" s="1055"/>
      <c r="RPE90" s="1055"/>
      <c r="RPF90" s="1055"/>
      <c r="RPG90" s="1055"/>
      <c r="RPH90" s="1055"/>
      <c r="RPI90" s="1055"/>
      <c r="RPJ90" s="1055"/>
      <c r="RPK90" s="1055"/>
      <c r="RPL90" s="1055"/>
      <c r="RPM90" s="1055"/>
      <c r="RPN90" s="1055"/>
      <c r="RPO90" s="1055"/>
      <c r="RPP90" s="1055"/>
      <c r="RPQ90" s="1055"/>
      <c r="RPR90" s="1055"/>
      <c r="RPS90" s="1055"/>
      <c r="RPT90" s="1055"/>
      <c r="RPU90" s="1055"/>
      <c r="RPV90" s="1055"/>
      <c r="RPW90" s="1055"/>
      <c r="RPX90" s="1055"/>
      <c r="RPY90" s="1055"/>
      <c r="RPZ90" s="1055"/>
      <c r="RQA90" s="1055"/>
      <c r="RQB90" s="1055"/>
      <c r="RQC90" s="1055"/>
      <c r="RQD90" s="1055"/>
      <c r="RQE90" s="1055"/>
      <c r="RQF90" s="1055"/>
      <c r="RQG90" s="1055"/>
      <c r="RQH90" s="1055"/>
      <c r="RQI90" s="1055"/>
      <c r="RQJ90" s="1055"/>
      <c r="RQK90" s="1055"/>
      <c r="RQL90" s="1055"/>
      <c r="RQM90" s="1055"/>
      <c r="RQN90" s="1055"/>
      <c r="RQO90" s="1055"/>
      <c r="RQP90" s="1055"/>
      <c r="RQQ90" s="1055"/>
      <c r="RQR90" s="1055"/>
      <c r="RQS90" s="1055"/>
      <c r="RQT90" s="1055"/>
      <c r="RQU90" s="1055"/>
      <c r="RQV90" s="1055"/>
      <c r="RQW90" s="1055"/>
      <c r="RQX90" s="1055"/>
      <c r="RQY90" s="1055"/>
      <c r="RQZ90" s="1055"/>
      <c r="RRA90" s="1055"/>
      <c r="RRB90" s="1055"/>
      <c r="RRC90" s="1055"/>
      <c r="RRD90" s="1055"/>
      <c r="RRE90" s="1055"/>
      <c r="RRF90" s="1055"/>
      <c r="RRG90" s="1055"/>
      <c r="RRH90" s="1055"/>
      <c r="RRI90" s="1055"/>
      <c r="RRJ90" s="1055"/>
      <c r="RRK90" s="1055"/>
      <c r="RRL90" s="1055"/>
      <c r="RRM90" s="1055"/>
      <c r="RRN90" s="1055"/>
      <c r="RRO90" s="1055"/>
      <c r="RRP90" s="1055"/>
      <c r="RRQ90" s="1055"/>
      <c r="RRR90" s="1055"/>
      <c r="RRS90" s="1055"/>
      <c r="RRT90" s="1055"/>
      <c r="RRU90" s="1055"/>
      <c r="RRV90" s="1055"/>
      <c r="RRW90" s="1055"/>
      <c r="RRX90" s="1055"/>
      <c r="RRY90" s="1055"/>
      <c r="RRZ90" s="1055"/>
      <c r="RSA90" s="1055"/>
      <c r="RSB90" s="1055"/>
      <c r="RSC90" s="1055"/>
      <c r="RSD90" s="1055"/>
      <c r="RSE90" s="1055"/>
      <c r="RSF90" s="1055"/>
      <c r="RSG90" s="1055"/>
      <c r="RSH90" s="1055"/>
      <c r="RSI90" s="1055"/>
      <c r="RSJ90" s="1055"/>
      <c r="RSK90" s="1055"/>
      <c r="RSL90" s="1055"/>
      <c r="RSM90" s="1055"/>
      <c r="RSN90" s="1055"/>
      <c r="RSO90" s="1055"/>
      <c r="RSP90" s="1055"/>
      <c r="RSQ90" s="1055"/>
      <c r="RSR90" s="1055"/>
      <c r="RSS90" s="1055"/>
      <c r="RST90" s="1055"/>
      <c r="RSU90" s="1055"/>
      <c r="RSV90" s="1055"/>
      <c r="RSW90" s="1055"/>
      <c r="RSX90" s="1055"/>
      <c r="RSY90" s="1055"/>
      <c r="RSZ90" s="1055"/>
      <c r="RTA90" s="1055"/>
      <c r="RTB90" s="1055"/>
      <c r="RTC90" s="1055"/>
      <c r="RTD90" s="1055"/>
      <c r="RTE90" s="1055"/>
      <c r="RTF90" s="1055"/>
      <c r="RTG90" s="1055"/>
      <c r="RTH90" s="1055"/>
      <c r="RTI90" s="1055"/>
      <c r="RTJ90" s="1055"/>
      <c r="RTK90" s="1055"/>
      <c r="RTL90" s="1055"/>
      <c r="RTM90" s="1055"/>
      <c r="RTN90" s="1055"/>
      <c r="RTO90" s="1055"/>
      <c r="RTP90" s="1055"/>
      <c r="RTQ90" s="1055"/>
      <c r="RTR90" s="1055"/>
      <c r="RTS90" s="1055"/>
      <c r="RTT90" s="1055"/>
      <c r="RTU90" s="1055"/>
      <c r="RTV90" s="1055"/>
      <c r="RTW90" s="1055"/>
      <c r="RTX90" s="1055"/>
      <c r="RTY90" s="1055"/>
      <c r="RTZ90" s="1055"/>
      <c r="RUA90" s="1055"/>
      <c r="RUB90" s="1055"/>
      <c r="RUC90" s="1055"/>
      <c r="RUD90" s="1055"/>
      <c r="RUE90" s="1055"/>
      <c r="RUF90" s="1055"/>
      <c r="RUG90" s="1055"/>
      <c r="RUH90" s="1055"/>
      <c r="RUI90" s="1055"/>
      <c r="RUJ90" s="1055"/>
      <c r="RUK90" s="1055"/>
      <c r="RUL90" s="1055"/>
      <c r="RUM90" s="1055"/>
      <c r="RUN90" s="1055"/>
      <c r="RUO90" s="1055"/>
      <c r="RUP90" s="1055"/>
      <c r="RUQ90" s="1055"/>
      <c r="RUR90" s="1055"/>
      <c r="RUS90" s="1055"/>
      <c r="RUT90" s="1055"/>
      <c r="RUU90" s="1055"/>
      <c r="RUV90" s="1055"/>
      <c r="RUW90" s="1055"/>
      <c r="RUX90" s="1055"/>
      <c r="RUY90" s="1055"/>
      <c r="RUZ90" s="1055"/>
      <c r="RVA90" s="1055"/>
      <c r="RVB90" s="1055"/>
      <c r="RVC90" s="1055"/>
      <c r="RVD90" s="1055"/>
      <c r="RVE90" s="1055"/>
      <c r="RVF90" s="1055"/>
      <c r="RVG90" s="1055"/>
      <c r="RVH90" s="1055"/>
      <c r="RVI90" s="1055"/>
      <c r="RVJ90" s="1055"/>
      <c r="RVK90" s="1055"/>
      <c r="RVL90" s="1055"/>
      <c r="RVM90" s="1055"/>
      <c r="RVN90" s="1055"/>
      <c r="RVO90" s="1055"/>
      <c r="RVP90" s="1055"/>
      <c r="RVQ90" s="1055"/>
      <c r="RVR90" s="1055"/>
      <c r="RVS90" s="1055"/>
      <c r="RVT90" s="1055"/>
      <c r="RVU90" s="1055"/>
      <c r="RVV90" s="1055"/>
      <c r="RVW90" s="1055"/>
      <c r="RVX90" s="1055"/>
      <c r="RVY90" s="1055"/>
      <c r="RVZ90" s="1055"/>
      <c r="RWA90" s="1055"/>
      <c r="RWB90" s="1055"/>
      <c r="RWC90" s="1055"/>
      <c r="RWD90" s="1055"/>
      <c r="RWE90" s="1055"/>
      <c r="RWF90" s="1055"/>
      <c r="RWG90" s="1055"/>
      <c r="RWH90" s="1055"/>
      <c r="RWI90" s="1055"/>
      <c r="RWJ90" s="1055"/>
      <c r="RWK90" s="1055"/>
      <c r="RWL90" s="1055"/>
      <c r="RWM90" s="1055"/>
      <c r="RWN90" s="1055"/>
      <c r="RWO90" s="1055"/>
      <c r="RWP90" s="1055"/>
      <c r="RWQ90" s="1055"/>
      <c r="RWR90" s="1055"/>
      <c r="RWS90" s="1055"/>
      <c r="RWT90" s="1055"/>
      <c r="RWU90" s="1055"/>
      <c r="RWV90" s="1055"/>
      <c r="RWW90" s="1055"/>
      <c r="RWX90" s="1055"/>
      <c r="RWY90" s="1055"/>
      <c r="RWZ90" s="1055"/>
      <c r="RXA90" s="1055"/>
      <c r="RXB90" s="1055"/>
      <c r="RXC90" s="1055"/>
      <c r="RXD90" s="1055"/>
      <c r="RXE90" s="1055"/>
      <c r="RXF90" s="1055"/>
      <c r="RXG90" s="1055"/>
      <c r="RXH90" s="1055"/>
      <c r="RXI90" s="1055"/>
      <c r="RXJ90" s="1055"/>
      <c r="RXK90" s="1055"/>
      <c r="RXL90" s="1055"/>
      <c r="RXM90" s="1055"/>
      <c r="RXN90" s="1055"/>
      <c r="RXO90" s="1055"/>
      <c r="RXP90" s="1055"/>
      <c r="RXQ90" s="1055"/>
      <c r="RXR90" s="1055"/>
      <c r="RXS90" s="1055"/>
      <c r="RXT90" s="1055"/>
      <c r="RXU90" s="1055"/>
      <c r="RXV90" s="1055"/>
      <c r="RXW90" s="1055"/>
      <c r="RXX90" s="1055"/>
      <c r="RXY90" s="1055"/>
      <c r="RXZ90" s="1055"/>
      <c r="RYA90" s="1055"/>
      <c r="RYB90" s="1055"/>
      <c r="RYC90" s="1055"/>
      <c r="RYD90" s="1055"/>
      <c r="RYE90" s="1055"/>
      <c r="RYF90" s="1055"/>
      <c r="RYG90" s="1055"/>
      <c r="RYH90" s="1055"/>
      <c r="RYI90" s="1055"/>
      <c r="RYJ90" s="1055"/>
      <c r="RYK90" s="1055"/>
      <c r="RYL90" s="1055"/>
      <c r="RYM90" s="1055"/>
      <c r="RYN90" s="1055"/>
      <c r="RYO90" s="1055"/>
      <c r="RYP90" s="1055"/>
      <c r="RYQ90" s="1055"/>
      <c r="RYR90" s="1055"/>
      <c r="RYS90" s="1055"/>
      <c r="RYT90" s="1055"/>
      <c r="RYU90" s="1055"/>
      <c r="RYV90" s="1055"/>
      <c r="RYW90" s="1055"/>
      <c r="RYX90" s="1055"/>
      <c r="RYY90" s="1055"/>
      <c r="RYZ90" s="1055"/>
      <c r="RZA90" s="1055"/>
      <c r="RZB90" s="1055"/>
      <c r="RZC90" s="1055"/>
      <c r="RZD90" s="1055"/>
      <c r="RZE90" s="1055"/>
      <c r="RZF90" s="1055"/>
      <c r="RZG90" s="1055"/>
      <c r="RZH90" s="1055"/>
      <c r="RZI90" s="1055"/>
      <c r="RZJ90" s="1055"/>
      <c r="RZK90" s="1055"/>
      <c r="RZL90" s="1055"/>
      <c r="RZM90" s="1055"/>
      <c r="RZN90" s="1055"/>
      <c r="RZO90" s="1055"/>
      <c r="RZP90" s="1055"/>
      <c r="RZQ90" s="1055"/>
      <c r="RZR90" s="1055"/>
      <c r="RZS90" s="1055"/>
      <c r="RZT90" s="1055"/>
      <c r="RZU90" s="1055"/>
      <c r="RZV90" s="1055"/>
      <c r="RZW90" s="1055"/>
      <c r="RZX90" s="1055"/>
      <c r="RZY90" s="1055"/>
      <c r="RZZ90" s="1055"/>
      <c r="SAA90" s="1055"/>
      <c r="SAB90" s="1055"/>
      <c r="SAC90" s="1055"/>
      <c r="SAD90" s="1055"/>
      <c r="SAE90" s="1055"/>
      <c r="SAF90" s="1055"/>
      <c r="SAG90" s="1055"/>
      <c r="SAH90" s="1055"/>
      <c r="SAI90" s="1055"/>
      <c r="SAJ90" s="1055"/>
      <c r="SAK90" s="1055"/>
      <c r="SAL90" s="1055"/>
      <c r="SAM90" s="1055"/>
      <c r="SAN90" s="1055"/>
      <c r="SAO90" s="1055"/>
      <c r="SAP90" s="1055"/>
      <c r="SAQ90" s="1055"/>
      <c r="SAR90" s="1055"/>
      <c r="SAS90" s="1055"/>
      <c r="SAT90" s="1055"/>
      <c r="SAU90" s="1055"/>
      <c r="SAV90" s="1055"/>
      <c r="SAW90" s="1055"/>
      <c r="SAX90" s="1055"/>
      <c r="SAY90" s="1055"/>
      <c r="SAZ90" s="1055"/>
      <c r="SBA90" s="1055"/>
      <c r="SBB90" s="1055"/>
      <c r="SBC90" s="1055"/>
      <c r="SBD90" s="1055"/>
      <c r="SBE90" s="1055"/>
      <c r="SBF90" s="1055"/>
      <c r="SBG90" s="1055"/>
      <c r="SBH90" s="1055"/>
      <c r="SBI90" s="1055"/>
      <c r="SBJ90" s="1055"/>
      <c r="SBK90" s="1055"/>
      <c r="SBL90" s="1055"/>
      <c r="SBM90" s="1055"/>
      <c r="SBN90" s="1055"/>
      <c r="SBO90" s="1055"/>
      <c r="SBP90" s="1055"/>
      <c r="SBQ90" s="1055"/>
      <c r="SBR90" s="1055"/>
      <c r="SBS90" s="1055"/>
      <c r="SBT90" s="1055"/>
      <c r="SBU90" s="1055"/>
      <c r="SBV90" s="1055"/>
      <c r="SBW90" s="1055"/>
      <c r="SBX90" s="1055"/>
      <c r="SBY90" s="1055"/>
      <c r="SBZ90" s="1055"/>
      <c r="SCA90" s="1055"/>
      <c r="SCB90" s="1055"/>
      <c r="SCC90" s="1055"/>
      <c r="SCD90" s="1055"/>
      <c r="SCE90" s="1055"/>
      <c r="SCF90" s="1055"/>
      <c r="SCG90" s="1055"/>
      <c r="SCH90" s="1055"/>
      <c r="SCI90" s="1055"/>
      <c r="SCJ90" s="1055"/>
      <c r="SCK90" s="1055"/>
      <c r="SCL90" s="1055"/>
      <c r="SCM90" s="1055"/>
      <c r="SCN90" s="1055"/>
      <c r="SCO90" s="1055"/>
      <c r="SCP90" s="1055"/>
      <c r="SCQ90" s="1055"/>
      <c r="SCR90" s="1055"/>
      <c r="SCS90" s="1055"/>
      <c r="SCT90" s="1055"/>
      <c r="SCU90" s="1055"/>
      <c r="SCV90" s="1055"/>
      <c r="SCW90" s="1055"/>
      <c r="SCX90" s="1055"/>
      <c r="SCY90" s="1055"/>
      <c r="SCZ90" s="1055"/>
      <c r="SDA90" s="1055"/>
      <c r="SDB90" s="1055"/>
      <c r="SDC90" s="1055"/>
      <c r="SDD90" s="1055"/>
      <c r="SDE90" s="1055"/>
      <c r="SDF90" s="1055"/>
      <c r="SDG90" s="1055"/>
      <c r="SDH90" s="1055"/>
      <c r="SDI90" s="1055"/>
      <c r="SDJ90" s="1055"/>
      <c r="SDK90" s="1055"/>
      <c r="SDL90" s="1055"/>
      <c r="SDM90" s="1055"/>
      <c r="SDN90" s="1055"/>
      <c r="SDO90" s="1055"/>
      <c r="SDP90" s="1055"/>
      <c r="SDQ90" s="1055"/>
      <c r="SDR90" s="1055"/>
      <c r="SDS90" s="1055"/>
      <c r="SDT90" s="1055"/>
      <c r="SDU90" s="1055"/>
      <c r="SDV90" s="1055"/>
      <c r="SDW90" s="1055"/>
      <c r="SDX90" s="1055"/>
      <c r="SDY90" s="1055"/>
      <c r="SDZ90" s="1055"/>
      <c r="SEA90" s="1055"/>
      <c r="SEB90" s="1055"/>
      <c r="SEC90" s="1055"/>
      <c r="SED90" s="1055"/>
      <c r="SEE90" s="1055"/>
      <c r="SEF90" s="1055"/>
      <c r="SEG90" s="1055"/>
      <c r="SEH90" s="1055"/>
      <c r="SEI90" s="1055"/>
      <c r="SEJ90" s="1055"/>
      <c r="SEK90" s="1055"/>
      <c r="SEL90" s="1055"/>
      <c r="SEM90" s="1055"/>
      <c r="SEN90" s="1055"/>
      <c r="SEO90" s="1055"/>
      <c r="SEP90" s="1055"/>
      <c r="SEQ90" s="1055"/>
      <c r="SER90" s="1055"/>
      <c r="SES90" s="1055"/>
      <c r="SET90" s="1055"/>
      <c r="SEU90" s="1055"/>
      <c r="SEV90" s="1055"/>
      <c r="SEW90" s="1055"/>
      <c r="SEX90" s="1055"/>
      <c r="SEY90" s="1055"/>
      <c r="SEZ90" s="1055"/>
      <c r="SFA90" s="1055"/>
      <c r="SFB90" s="1055"/>
      <c r="SFC90" s="1055"/>
      <c r="SFD90" s="1055"/>
      <c r="SFE90" s="1055"/>
      <c r="SFF90" s="1055"/>
      <c r="SFG90" s="1055"/>
      <c r="SFH90" s="1055"/>
      <c r="SFI90" s="1055"/>
      <c r="SFJ90" s="1055"/>
      <c r="SFK90" s="1055"/>
      <c r="SFL90" s="1055"/>
      <c r="SFM90" s="1055"/>
      <c r="SFN90" s="1055"/>
      <c r="SFO90" s="1055"/>
      <c r="SFP90" s="1055"/>
      <c r="SFQ90" s="1055"/>
      <c r="SFR90" s="1055"/>
      <c r="SFS90" s="1055"/>
      <c r="SFT90" s="1055"/>
      <c r="SFU90" s="1055"/>
      <c r="SFV90" s="1055"/>
      <c r="SFW90" s="1055"/>
      <c r="SFX90" s="1055"/>
      <c r="SFY90" s="1055"/>
      <c r="SFZ90" s="1055"/>
      <c r="SGA90" s="1055"/>
      <c r="SGB90" s="1055"/>
      <c r="SGC90" s="1055"/>
      <c r="SGD90" s="1055"/>
      <c r="SGE90" s="1055"/>
      <c r="SGF90" s="1055"/>
      <c r="SGG90" s="1055"/>
      <c r="SGH90" s="1055"/>
      <c r="SGI90" s="1055"/>
      <c r="SGJ90" s="1055"/>
      <c r="SGK90" s="1055"/>
      <c r="SGL90" s="1055"/>
      <c r="SGM90" s="1055"/>
      <c r="SGN90" s="1055"/>
      <c r="SGO90" s="1055"/>
      <c r="SGP90" s="1055"/>
      <c r="SGQ90" s="1055"/>
      <c r="SGR90" s="1055"/>
      <c r="SGS90" s="1055"/>
      <c r="SGT90" s="1055"/>
      <c r="SGU90" s="1055"/>
      <c r="SGV90" s="1055"/>
      <c r="SGW90" s="1055"/>
      <c r="SGX90" s="1055"/>
      <c r="SGY90" s="1055"/>
      <c r="SGZ90" s="1055"/>
      <c r="SHA90" s="1055"/>
      <c r="SHB90" s="1055"/>
      <c r="SHC90" s="1055"/>
      <c r="SHD90" s="1055"/>
      <c r="SHE90" s="1055"/>
      <c r="SHF90" s="1055"/>
      <c r="SHG90" s="1055"/>
      <c r="SHH90" s="1055"/>
      <c r="SHI90" s="1055"/>
      <c r="SHJ90" s="1055"/>
      <c r="SHK90" s="1055"/>
      <c r="SHL90" s="1055"/>
      <c r="SHM90" s="1055"/>
      <c r="SHN90" s="1055"/>
      <c r="SHO90" s="1055"/>
      <c r="SHP90" s="1055"/>
      <c r="SHQ90" s="1055"/>
      <c r="SHR90" s="1055"/>
      <c r="SHS90" s="1055"/>
      <c r="SHT90" s="1055"/>
      <c r="SHU90" s="1055"/>
      <c r="SHV90" s="1055"/>
      <c r="SHW90" s="1055"/>
      <c r="SHX90" s="1055"/>
      <c r="SHY90" s="1055"/>
      <c r="SHZ90" s="1055"/>
      <c r="SIA90" s="1055"/>
      <c r="SIB90" s="1055"/>
      <c r="SIC90" s="1055"/>
      <c r="SID90" s="1055"/>
      <c r="SIE90" s="1055"/>
      <c r="SIF90" s="1055"/>
      <c r="SIG90" s="1055"/>
      <c r="SIH90" s="1055"/>
      <c r="SII90" s="1055"/>
      <c r="SIJ90" s="1055"/>
      <c r="SIK90" s="1055"/>
      <c r="SIL90" s="1055"/>
      <c r="SIM90" s="1055"/>
      <c r="SIN90" s="1055"/>
      <c r="SIO90" s="1055"/>
      <c r="SIP90" s="1055"/>
      <c r="SIQ90" s="1055"/>
      <c r="SIR90" s="1055"/>
      <c r="SIS90" s="1055"/>
      <c r="SIT90" s="1055"/>
      <c r="SIU90" s="1055"/>
      <c r="SIV90" s="1055"/>
      <c r="SIW90" s="1055"/>
      <c r="SIX90" s="1055"/>
      <c r="SIY90" s="1055"/>
      <c r="SIZ90" s="1055"/>
      <c r="SJA90" s="1055"/>
      <c r="SJB90" s="1055"/>
      <c r="SJC90" s="1055"/>
      <c r="SJD90" s="1055"/>
      <c r="SJE90" s="1055"/>
      <c r="SJF90" s="1055"/>
      <c r="SJG90" s="1055"/>
      <c r="SJH90" s="1055"/>
      <c r="SJI90" s="1055"/>
      <c r="SJJ90" s="1055"/>
      <c r="SJK90" s="1055"/>
      <c r="SJL90" s="1055"/>
      <c r="SJM90" s="1055"/>
      <c r="SJN90" s="1055"/>
      <c r="SJO90" s="1055"/>
      <c r="SJP90" s="1055"/>
      <c r="SJQ90" s="1055"/>
      <c r="SJR90" s="1055"/>
      <c r="SJS90" s="1055"/>
      <c r="SJT90" s="1055"/>
      <c r="SJU90" s="1055"/>
      <c r="SJV90" s="1055"/>
      <c r="SJW90" s="1055"/>
      <c r="SJX90" s="1055"/>
      <c r="SJY90" s="1055"/>
      <c r="SJZ90" s="1055"/>
      <c r="SKA90" s="1055"/>
      <c r="SKB90" s="1055"/>
      <c r="SKC90" s="1055"/>
      <c r="SKD90" s="1055"/>
      <c r="SKE90" s="1055"/>
      <c r="SKF90" s="1055"/>
      <c r="SKG90" s="1055"/>
      <c r="SKH90" s="1055"/>
      <c r="SKI90" s="1055"/>
      <c r="SKJ90" s="1055"/>
      <c r="SKK90" s="1055"/>
      <c r="SKL90" s="1055"/>
      <c r="SKM90" s="1055"/>
      <c r="SKN90" s="1055"/>
      <c r="SKO90" s="1055"/>
      <c r="SKP90" s="1055"/>
      <c r="SKQ90" s="1055"/>
      <c r="SKR90" s="1055"/>
      <c r="SKS90" s="1055"/>
      <c r="SKT90" s="1055"/>
      <c r="SKU90" s="1055"/>
      <c r="SKV90" s="1055"/>
      <c r="SKW90" s="1055"/>
      <c r="SKX90" s="1055"/>
      <c r="SKY90" s="1055"/>
      <c r="SKZ90" s="1055"/>
      <c r="SLA90" s="1055"/>
      <c r="SLB90" s="1055"/>
      <c r="SLC90" s="1055"/>
      <c r="SLD90" s="1055"/>
      <c r="SLE90" s="1055"/>
      <c r="SLF90" s="1055"/>
      <c r="SLG90" s="1055"/>
      <c r="SLH90" s="1055"/>
      <c r="SLI90" s="1055"/>
      <c r="SLJ90" s="1055"/>
      <c r="SLK90" s="1055"/>
      <c r="SLL90" s="1055"/>
      <c r="SLM90" s="1055"/>
      <c r="SLN90" s="1055"/>
      <c r="SLO90" s="1055"/>
      <c r="SLP90" s="1055"/>
      <c r="SLQ90" s="1055"/>
      <c r="SLR90" s="1055"/>
      <c r="SLS90" s="1055"/>
      <c r="SLT90" s="1055"/>
      <c r="SLU90" s="1055"/>
      <c r="SLV90" s="1055"/>
      <c r="SLW90" s="1055"/>
      <c r="SLX90" s="1055"/>
      <c r="SLY90" s="1055"/>
      <c r="SLZ90" s="1055"/>
      <c r="SMA90" s="1055"/>
      <c r="SMB90" s="1055"/>
      <c r="SMC90" s="1055"/>
      <c r="SMD90" s="1055"/>
      <c r="SME90" s="1055"/>
      <c r="SMF90" s="1055"/>
      <c r="SMG90" s="1055"/>
      <c r="SMH90" s="1055"/>
      <c r="SMI90" s="1055"/>
      <c r="SMJ90" s="1055"/>
      <c r="SMK90" s="1055"/>
      <c r="SML90" s="1055"/>
      <c r="SMM90" s="1055"/>
      <c r="SMN90" s="1055"/>
      <c r="SMO90" s="1055"/>
      <c r="SMP90" s="1055"/>
      <c r="SMQ90" s="1055"/>
      <c r="SMR90" s="1055"/>
      <c r="SMS90" s="1055"/>
      <c r="SMT90" s="1055"/>
      <c r="SMU90" s="1055"/>
      <c r="SMV90" s="1055"/>
      <c r="SMW90" s="1055"/>
      <c r="SMX90" s="1055"/>
      <c r="SMY90" s="1055"/>
      <c r="SMZ90" s="1055"/>
      <c r="SNA90" s="1055"/>
      <c r="SNB90" s="1055"/>
      <c r="SNC90" s="1055"/>
      <c r="SND90" s="1055"/>
      <c r="SNE90" s="1055"/>
      <c r="SNF90" s="1055"/>
      <c r="SNG90" s="1055"/>
      <c r="SNH90" s="1055"/>
      <c r="SNI90" s="1055"/>
      <c r="SNJ90" s="1055"/>
      <c r="SNK90" s="1055"/>
      <c r="SNL90" s="1055"/>
      <c r="SNM90" s="1055"/>
      <c r="SNN90" s="1055"/>
      <c r="SNO90" s="1055"/>
      <c r="SNP90" s="1055"/>
      <c r="SNQ90" s="1055"/>
      <c r="SNR90" s="1055"/>
      <c r="SNS90" s="1055"/>
      <c r="SNT90" s="1055"/>
      <c r="SNU90" s="1055"/>
      <c r="SNV90" s="1055"/>
      <c r="SNW90" s="1055"/>
      <c r="SNX90" s="1055"/>
      <c r="SNY90" s="1055"/>
      <c r="SNZ90" s="1055"/>
      <c r="SOA90" s="1055"/>
      <c r="SOB90" s="1055"/>
      <c r="SOC90" s="1055"/>
      <c r="SOD90" s="1055"/>
      <c r="SOE90" s="1055"/>
      <c r="SOF90" s="1055"/>
      <c r="SOG90" s="1055"/>
      <c r="SOH90" s="1055"/>
      <c r="SOI90" s="1055"/>
      <c r="SOJ90" s="1055"/>
      <c r="SOK90" s="1055"/>
      <c r="SOL90" s="1055"/>
      <c r="SOM90" s="1055"/>
      <c r="SON90" s="1055"/>
      <c r="SOO90" s="1055"/>
      <c r="SOP90" s="1055"/>
      <c r="SOQ90" s="1055"/>
      <c r="SOR90" s="1055"/>
      <c r="SOS90" s="1055"/>
      <c r="SOT90" s="1055"/>
      <c r="SOU90" s="1055"/>
      <c r="SOV90" s="1055"/>
      <c r="SOW90" s="1055"/>
      <c r="SOX90" s="1055"/>
      <c r="SOY90" s="1055"/>
      <c r="SOZ90" s="1055"/>
      <c r="SPA90" s="1055"/>
      <c r="SPB90" s="1055"/>
      <c r="SPC90" s="1055"/>
      <c r="SPD90" s="1055"/>
      <c r="SPE90" s="1055"/>
      <c r="SPF90" s="1055"/>
      <c r="SPG90" s="1055"/>
      <c r="SPH90" s="1055"/>
      <c r="SPI90" s="1055"/>
      <c r="SPJ90" s="1055"/>
      <c r="SPK90" s="1055"/>
      <c r="SPL90" s="1055"/>
      <c r="SPM90" s="1055"/>
      <c r="SPN90" s="1055"/>
      <c r="SPO90" s="1055"/>
      <c r="SPP90" s="1055"/>
      <c r="SPQ90" s="1055"/>
      <c r="SPR90" s="1055"/>
      <c r="SPS90" s="1055"/>
      <c r="SPT90" s="1055"/>
      <c r="SPU90" s="1055"/>
      <c r="SPV90" s="1055"/>
      <c r="SPW90" s="1055"/>
      <c r="SPX90" s="1055"/>
      <c r="SPY90" s="1055"/>
      <c r="SPZ90" s="1055"/>
      <c r="SQA90" s="1055"/>
      <c r="SQB90" s="1055"/>
      <c r="SQC90" s="1055"/>
      <c r="SQD90" s="1055"/>
      <c r="SQE90" s="1055"/>
      <c r="SQF90" s="1055"/>
      <c r="SQG90" s="1055"/>
      <c r="SQH90" s="1055"/>
      <c r="SQI90" s="1055"/>
      <c r="SQJ90" s="1055"/>
      <c r="SQK90" s="1055"/>
      <c r="SQL90" s="1055"/>
      <c r="SQM90" s="1055"/>
      <c r="SQN90" s="1055"/>
      <c r="SQO90" s="1055"/>
      <c r="SQP90" s="1055"/>
      <c r="SQQ90" s="1055"/>
      <c r="SQR90" s="1055"/>
      <c r="SQS90" s="1055"/>
      <c r="SQT90" s="1055"/>
      <c r="SQU90" s="1055"/>
      <c r="SQV90" s="1055"/>
      <c r="SQW90" s="1055"/>
      <c r="SQX90" s="1055"/>
      <c r="SQY90" s="1055"/>
      <c r="SQZ90" s="1055"/>
      <c r="SRA90" s="1055"/>
      <c r="SRB90" s="1055"/>
      <c r="SRC90" s="1055"/>
      <c r="SRD90" s="1055"/>
      <c r="SRE90" s="1055"/>
      <c r="SRF90" s="1055"/>
      <c r="SRG90" s="1055"/>
      <c r="SRH90" s="1055"/>
      <c r="SRI90" s="1055"/>
      <c r="SRJ90" s="1055"/>
      <c r="SRK90" s="1055"/>
      <c r="SRL90" s="1055"/>
      <c r="SRM90" s="1055"/>
      <c r="SRN90" s="1055"/>
      <c r="SRO90" s="1055"/>
      <c r="SRP90" s="1055"/>
      <c r="SRQ90" s="1055"/>
      <c r="SRR90" s="1055"/>
      <c r="SRS90" s="1055"/>
      <c r="SRT90" s="1055"/>
      <c r="SRU90" s="1055"/>
      <c r="SRV90" s="1055"/>
      <c r="SRW90" s="1055"/>
      <c r="SRX90" s="1055"/>
      <c r="SRY90" s="1055"/>
      <c r="SRZ90" s="1055"/>
      <c r="SSA90" s="1055"/>
      <c r="SSB90" s="1055"/>
      <c r="SSC90" s="1055"/>
      <c r="SSD90" s="1055"/>
      <c r="SSE90" s="1055"/>
      <c r="SSF90" s="1055"/>
      <c r="SSG90" s="1055"/>
      <c r="SSH90" s="1055"/>
      <c r="SSI90" s="1055"/>
      <c r="SSJ90" s="1055"/>
      <c r="SSK90" s="1055"/>
      <c r="SSL90" s="1055"/>
      <c r="SSM90" s="1055"/>
      <c r="SSN90" s="1055"/>
      <c r="SSO90" s="1055"/>
      <c r="SSP90" s="1055"/>
      <c r="SSQ90" s="1055"/>
      <c r="SSR90" s="1055"/>
      <c r="SSS90" s="1055"/>
      <c r="SST90" s="1055"/>
      <c r="SSU90" s="1055"/>
      <c r="SSV90" s="1055"/>
      <c r="SSW90" s="1055"/>
      <c r="SSX90" s="1055"/>
      <c r="SSY90" s="1055"/>
      <c r="SSZ90" s="1055"/>
      <c r="STA90" s="1055"/>
      <c r="STB90" s="1055"/>
      <c r="STC90" s="1055"/>
      <c r="STD90" s="1055"/>
      <c r="STE90" s="1055"/>
      <c r="STF90" s="1055"/>
      <c r="STG90" s="1055"/>
      <c r="STH90" s="1055"/>
      <c r="STI90" s="1055"/>
      <c r="STJ90" s="1055"/>
      <c r="STK90" s="1055"/>
      <c r="STL90" s="1055"/>
      <c r="STM90" s="1055"/>
      <c r="STN90" s="1055"/>
      <c r="STO90" s="1055"/>
      <c r="STP90" s="1055"/>
      <c r="STQ90" s="1055"/>
      <c r="STR90" s="1055"/>
      <c r="STS90" s="1055"/>
      <c r="STT90" s="1055"/>
      <c r="STU90" s="1055"/>
      <c r="STV90" s="1055"/>
      <c r="STW90" s="1055"/>
      <c r="STX90" s="1055"/>
      <c r="STY90" s="1055"/>
      <c r="STZ90" s="1055"/>
      <c r="SUA90" s="1055"/>
      <c r="SUB90" s="1055"/>
      <c r="SUC90" s="1055"/>
      <c r="SUD90" s="1055"/>
      <c r="SUE90" s="1055"/>
      <c r="SUF90" s="1055"/>
      <c r="SUG90" s="1055"/>
      <c r="SUH90" s="1055"/>
      <c r="SUI90" s="1055"/>
      <c r="SUJ90" s="1055"/>
      <c r="SUK90" s="1055"/>
      <c r="SUL90" s="1055"/>
      <c r="SUM90" s="1055"/>
      <c r="SUN90" s="1055"/>
      <c r="SUO90" s="1055"/>
      <c r="SUP90" s="1055"/>
      <c r="SUQ90" s="1055"/>
      <c r="SUR90" s="1055"/>
      <c r="SUS90" s="1055"/>
      <c r="SUT90" s="1055"/>
      <c r="SUU90" s="1055"/>
      <c r="SUV90" s="1055"/>
      <c r="SUW90" s="1055"/>
      <c r="SUX90" s="1055"/>
      <c r="SUY90" s="1055"/>
      <c r="SUZ90" s="1055"/>
      <c r="SVA90" s="1055"/>
      <c r="SVB90" s="1055"/>
      <c r="SVC90" s="1055"/>
      <c r="SVD90" s="1055"/>
      <c r="SVE90" s="1055"/>
      <c r="SVF90" s="1055"/>
      <c r="SVG90" s="1055"/>
      <c r="SVH90" s="1055"/>
      <c r="SVI90" s="1055"/>
      <c r="SVJ90" s="1055"/>
      <c r="SVK90" s="1055"/>
      <c r="SVL90" s="1055"/>
      <c r="SVM90" s="1055"/>
      <c r="SVN90" s="1055"/>
      <c r="SVO90" s="1055"/>
      <c r="SVP90" s="1055"/>
      <c r="SVQ90" s="1055"/>
      <c r="SVR90" s="1055"/>
      <c r="SVS90" s="1055"/>
      <c r="SVT90" s="1055"/>
      <c r="SVU90" s="1055"/>
      <c r="SVV90" s="1055"/>
      <c r="SVW90" s="1055"/>
      <c r="SVX90" s="1055"/>
      <c r="SVY90" s="1055"/>
      <c r="SVZ90" s="1055"/>
      <c r="SWA90" s="1055"/>
      <c r="SWB90" s="1055"/>
      <c r="SWC90" s="1055"/>
      <c r="SWD90" s="1055"/>
      <c r="SWE90" s="1055"/>
      <c r="SWF90" s="1055"/>
      <c r="SWG90" s="1055"/>
      <c r="SWH90" s="1055"/>
      <c r="SWI90" s="1055"/>
      <c r="SWJ90" s="1055"/>
      <c r="SWK90" s="1055"/>
      <c r="SWL90" s="1055"/>
      <c r="SWM90" s="1055"/>
      <c r="SWN90" s="1055"/>
      <c r="SWO90" s="1055"/>
      <c r="SWP90" s="1055"/>
      <c r="SWQ90" s="1055"/>
      <c r="SWR90" s="1055"/>
      <c r="SWS90" s="1055"/>
      <c r="SWT90" s="1055"/>
      <c r="SWU90" s="1055"/>
      <c r="SWV90" s="1055"/>
      <c r="SWW90" s="1055"/>
      <c r="SWX90" s="1055"/>
      <c r="SWY90" s="1055"/>
      <c r="SWZ90" s="1055"/>
      <c r="SXA90" s="1055"/>
      <c r="SXB90" s="1055"/>
      <c r="SXC90" s="1055"/>
      <c r="SXD90" s="1055"/>
      <c r="SXE90" s="1055"/>
      <c r="SXF90" s="1055"/>
      <c r="SXG90" s="1055"/>
      <c r="SXH90" s="1055"/>
      <c r="SXI90" s="1055"/>
      <c r="SXJ90" s="1055"/>
      <c r="SXK90" s="1055"/>
      <c r="SXL90" s="1055"/>
      <c r="SXM90" s="1055"/>
      <c r="SXN90" s="1055"/>
      <c r="SXO90" s="1055"/>
      <c r="SXP90" s="1055"/>
      <c r="SXQ90" s="1055"/>
      <c r="SXR90" s="1055"/>
      <c r="SXS90" s="1055"/>
      <c r="SXT90" s="1055"/>
      <c r="SXU90" s="1055"/>
      <c r="SXV90" s="1055"/>
      <c r="SXW90" s="1055"/>
      <c r="SXX90" s="1055"/>
      <c r="SXY90" s="1055"/>
      <c r="SXZ90" s="1055"/>
      <c r="SYA90" s="1055"/>
      <c r="SYB90" s="1055"/>
      <c r="SYC90" s="1055"/>
      <c r="SYD90" s="1055"/>
      <c r="SYE90" s="1055"/>
      <c r="SYF90" s="1055"/>
      <c r="SYG90" s="1055"/>
      <c r="SYH90" s="1055"/>
      <c r="SYI90" s="1055"/>
      <c r="SYJ90" s="1055"/>
      <c r="SYK90" s="1055"/>
      <c r="SYL90" s="1055"/>
      <c r="SYM90" s="1055"/>
      <c r="SYN90" s="1055"/>
      <c r="SYO90" s="1055"/>
      <c r="SYP90" s="1055"/>
      <c r="SYQ90" s="1055"/>
      <c r="SYR90" s="1055"/>
      <c r="SYS90" s="1055"/>
      <c r="SYT90" s="1055"/>
      <c r="SYU90" s="1055"/>
      <c r="SYV90" s="1055"/>
      <c r="SYW90" s="1055"/>
      <c r="SYX90" s="1055"/>
      <c r="SYY90" s="1055"/>
      <c r="SYZ90" s="1055"/>
      <c r="SZA90" s="1055"/>
      <c r="SZB90" s="1055"/>
      <c r="SZC90" s="1055"/>
      <c r="SZD90" s="1055"/>
      <c r="SZE90" s="1055"/>
      <c r="SZF90" s="1055"/>
      <c r="SZG90" s="1055"/>
      <c r="SZH90" s="1055"/>
      <c r="SZI90" s="1055"/>
      <c r="SZJ90" s="1055"/>
      <c r="SZK90" s="1055"/>
      <c r="SZL90" s="1055"/>
      <c r="SZM90" s="1055"/>
      <c r="SZN90" s="1055"/>
      <c r="SZO90" s="1055"/>
      <c r="SZP90" s="1055"/>
      <c r="SZQ90" s="1055"/>
      <c r="SZR90" s="1055"/>
      <c r="SZS90" s="1055"/>
      <c r="SZT90" s="1055"/>
      <c r="SZU90" s="1055"/>
      <c r="SZV90" s="1055"/>
      <c r="SZW90" s="1055"/>
      <c r="SZX90" s="1055"/>
      <c r="SZY90" s="1055"/>
      <c r="SZZ90" s="1055"/>
      <c r="TAA90" s="1055"/>
      <c r="TAB90" s="1055"/>
      <c r="TAC90" s="1055"/>
      <c r="TAD90" s="1055"/>
      <c r="TAE90" s="1055"/>
      <c r="TAF90" s="1055"/>
      <c r="TAG90" s="1055"/>
      <c r="TAH90" s="1055"/>
      <c r="TAI90" s="1055"/>
      <c r="TAJ90" s="1055"/>
      <c r="TAK90" s="1055"/>
      <c r="TAL90" s="1055"/>
      <c r="TAM90" s="1055"/>
      <c r="TAN90" s="1055"/>
      <c r="TAO90" s="1055"/>
      <c r="TAP90" s="1055"/>
      <c r="TAQ90" s="1055"/>
      <c r="TAR90" s="1055"/>
      <c r="TAS90" s="1055"/>
      <c r="TAT90" s="1055"/>
      <c r="TAU90" s="1055"/>
      <c r="TAV90" s="1055"/>
      <c r="TAW90" s="1055"/>
      <c r="TAX90" s="1055"/>
      <c r="TAY90" s="1055"/>
      <c r="TAZ90" s="1055"/>
      <c r="TBA90" s="1055"/>
      <c r="TBB90" s="1055"/>
      <c r="TBC90" s="1055"/>
      <c r="TBD90" s="1055"/>
      <c r="TBE90" s="1055"/>
      <c r="TBF90" s="1055"/>
      <c r="TBG90" s="1055"/>
      <c r="TBH90" s="1055"/>
      <c r="TBI90" s="1055"/>
      <c r="TBJ90" s="1055"/>
      <c r="TBK90" s="1055"/>
      <c r="TBL90" s="1055"/>
      <c r="TBM90" s="1055"/>
      <c r="TBN90" s="1055"/>
      <c r="TBO90" s="1055"/>
      <c r="TBP90" s="1055"/>
      <c r="TBQ90" s="1055"/>
      <c r="TBR90" s="1055"/>
      <c r="TBS90" s="1055"/>
      <c r="TBT90" s="1055"/>
      <c r="TBU90" s="1055"/>
      <c r="TBV90" s="1055"/>
      <c r="TBW90" s="1055"/>
      <c r="TBX90" s="1055"/>
      <c r="TBY90" s="1055"/>
      <c r="TBZ90" s="1055"/>
      <c r="TCA90" s="1055"/>
      <c r="TCB90" s="1055"/>
      <c r="TCC90" s="1055"/>
      <c r="TCD90" s="1055"/>
      <c r="TCE90" s="1055"/>
      <c r="TCF90" s="1055"/>
      <c r="TCG90" s="1055"/>
      <c r="TCH90" s="1055"/>
      <c r="TCI90" s="1055"/>
      <c r="TCJ90" s="1055"/>
      <c r="TCK90" s="1055"/>
      <c r="TCL90" s="1055"/>
      <c r="TCM90" s="1055"/>
      <c r="TCN90" s="1055"/>
      <c r="TCO90" s="1055"/>
      <c r="TCP90" s="1055"/>
      <c r="TCQ90" s="1055"/>
      <c r="TCR90" s="1055"/>
      <c r="TCS90" s="1055"/>
      <c r="TCT90" s="1055"/>
      <c r="TCU90" s="1055"/>
      <c r="TCV90" s="1055"/>
      <c r="TCW90" s="1055"/>
      <c r="TCX90" s="1055"/>
      <c r="TCY90" s="1055"/>
      <c r="TCZ90" s="1055"/>
      <c r="TDA90" s="1055"/>
      <c r="TDB90" s="1055"/>
      <c r="TDC90" s="1055"/>
      <c r="TDD90" s="1055"/>
      <c r="TDE90" s="1055"/>
      <c r="TDF90" s="1055"/>
      <c r="TDG90" s="1055"/>
      <c r="TDH90" s="1055"/>
      <c r="TDI90" s="1055"/>
      <c r="TDJ90" s="1055"/>
      <c r="TDK90" s="1055"/>
      <c r="TDL90" s="1055"/>
      <c r="TDM90" s="1055"/>
      <c r="TDN90" s="1055"/>
      <c r="TDO90" s="1055"/>
      <c r="TDP90" s="1055"/>
      <c r="TDQ90" s="1055"/>
      <c r="TDR90" s="1055"/>
      <c r="TDS90" s="1055"/>
      <c r="TDT90" s="1055"/>
      <c r="TDU90" s="1055"/>
      <c r="TDV90" s="1055"/>
      <c r="TDW90" s="1055"/>
      <c r="TDX90" s="1055"/>
      <c r="TDY90" s="1055"/>
      <c r="TDZ90" s="1055"/>
      <c r="TEA90" s="1055"/>
      <c r="TEB90" s="1055"/>
      <c r="TEC90" s="1055"/>
      <c r="TED90" s="1055"/>
      <c r="TEE90" s="1055"/>
      <c r="TEF90" s="1055"/>
      <c r="TEG90" s="1055"/>
      <c r="TEH90" s="1055"/>
      <c r="TEI90" s="1055"/>
      <c r="TEJ90" s="1055"/>
      <c r="TEK90" s="1055"/>
      <c r="TEL90" s="1055"/>
      <c r="TEM90" s="1055"/>
      <c r="TEN90" s="1055"/>
      <c r="TEO90" s="1055"/>
      <c r="TEP90" s="1055"/>
      <c r="TEQ90" s="1055"/>
      <c r="TER90" s="1055"/>
      <c r="TES90" s="1055"/>
      <c r="TET90" s="1055"/>
      <c r="TEU90" s="1055"/>
      <c r="TEV90" s="1055"/>
      <c r="TEW90" s="1055"/>
      <c r="TEX90" s="1055"/>
      <c r="TEY90" s="1055"/>
      <c r="TEZ90" s="1055"/>
      <c r="TFA90" s="1055"/>
      <c r="TFB90" s="1055"/>
      <c r="TFC90" s="1055"/>
      <c r="TFD90" s="1055"/>
      <c r="TFE90" s="1055"/>
      <c r="TFF90" s="1055"/>
      <c r="TFG90" s="1055"/>
      <c r="TFH90" s="1055"/>
      <c r="TFI90" s="1055"/>
      <c r="TFJ90" s="1055"/>
      <c r="TFK90" s="1055"/>
      <c r="TFL90" s="1055"/>
      <c r="TFM90" s="1055"/>
      <c r="TFN90" s="1055"/>
      <c r="TFO90" s="1055"/>
      <c r="TFP90" s="1055"/>
      <c r="TFQ90" s="1055"/>
      <c r="TFR90" s="1055"/>
      <c r="TFS90" s="1055"/>
      <c r="TFT90" s="1055"/>
      <c r="TFU90" s="1055"/>
      <c r="TFV90" s="1055"/>
      <c r="TFW90" s="1055"/>
      <c r="TFX90" s="1055"/>
      <c r="TFY90" s="1055"/>
      <c r="TFZ90" s="1055"/>
      <c r="TGA90" s="1055"/>
      <c r="TGB90" s="1055"/>
      <c r="TGC90" s="1055"/>
      <c r="TGD90" s="1055"/>
      <c r="TGE90" s="1055"/>
      <c r="TGF90" s="1055"/>
      <c r="TGG90" s="1055"/>
      <c r="TGH90" s="1055"/>
      <c r="TGI90" s="1055"/>
      <c r="TGJ90" s="1055"/>
      <c r="TGK90" s="1055"/>
      <c r="TGL90" s="1055"/>
      <c r="TGM90" s="1055"/>
      <c r="TGN90" s="1055"/>
      <c r="TGO90" s="1055"/>
      <c r="TGP90" s="1055"/>
      <c r="TGQ90" s="1055"/>
      <c r="TGR90" s="1055"/>
      <c r="TGS90" s="1055"/>
      <c r="TGT90" s="1055"/>
      <c r="TGU90" s="1055"/>
      <c r="TGV90" s="1055"/>
      <c r="TGW90" s="1055"/>
      <c r="TGX90" s="1055"/>
      <c r="TGY90" s="1055"/>
      <c r="TGZ90" s="1055"/>
      <c r="THA90" s="1055"/>
      <c r="THB90" s="1055"/>
      <c r="THC90" s="1055"/>
      <c r="THD90" s="1055"/>
      <c r="THE90" s="1055"/>
      <c r="THF90" s="1055"/>
      <c r="THG90" s="1055"/>
      <c r="THH90" s="1055"/>
      <c r="THI90" s="1055"/>
      <c r="THJ90" s="1055"/>
      <c r="THK90" s="1055"/>
      <c r="THL90" s="1055"/>
      <c r="THM90" s="1055"/>
      <c r="THN90" s="1055"/>
      <c r="THO90" s="1055"/>
      <c r="THP90" s="1055"/>
      <c r="THQ90" s="1055"/>
      <c r="THR90" s="1055"/>
      <c r="THS90" s="1055"/>
      <c r="THT90" s="1055"/>
      <c r="THU90" s="1055"/>
      <c r="THV90" s="1055"/>
      <c r="THW90" s="1055"/>
      <c r="THX90" s="1055"/>
      <c r="THY90" s="1055"/>
      <c r="THZ90" s="1055"/>
      <c r="TIA90" s="1055"/>
      <c r="TIB90" s="1055"/>
      <c r="TIC90" s="1055"/>
      <c r="TID90" s="1055"/>
      <c r="TIE90" s="1055"/>
      <c r="TIF90" s="1055"/>
      <c r="TIG90" s="1055"/>
      <c r="TIH90" s="1055"/>
      <c r="TII90" s="1055"/>
      <c r="TIJ90" s="1055"/>
      <c r="TIK90" s="1055"/>
      <c r="TIL90" s="1055"/>
      <c r="TIM90" s="1055"/>
      <c r="TIN90" s="1055"/>
      <c r="TIO90" s="1055"/>
      <c r="TIP90" s="1055"/>
      <c r="TIQ90" s="1055"/>
      <c r="TIR90" s="1055"/>
      <c r="TIS90" s="1055"/>
      <c r="TIT90" s="1055"/>
      <c r="TIU90" s="1055"/>
      <c r="TIV90" s="1055"/>
      <c r="TIW90" s="1055"/>
      <c r="TIX90" s="1055"/>
      <c r="TIY90" s="1055"/>
      <c r="TIZ90" s="1055"/>
      <c r="TJA90" s="1055"/>
      <c r="TJB90" s="1055"/>
      <c r="TJC90" s="1055"/>
      <c r="TJD90" s="1055"/>
      <c r="TJE90" s="1055"/>
      <c r="TJF90" s="1055"/>
      <c r="TJG90" s="1055"/>
      <c r="TJH90" s="1055"/>
      <c r="TJI90" s="1055"/>
      <c r="TJJ90" s="1055"/>
      <c r="TJK90" s="1055"/>
      <c r="TJL90" s="1055"/>
      <c r="TJM90" s="1055"/>
      <c r="TJN90" s="1055"/>
      <c r="TJO90" s="1055"/>
      <c r="TJP90" s="1055"/>
      <c r="TJQ90" s="1055"/>
      <c r="TJR90" s="1055"/>
      <c r="TJS90" s="1055"/>
      <c r="TJT90" s="1055"/>
      <c r="TJU90" s="1055"/>
      <c r="TJV90" s="1055"/>
      <c r="TJW90" s="1055"/>
      <c r="TJX90" s="1055"/>
      <c r="TJY90" s="1055"/>
      <c r="TJZ90" s="1055"/>
      <c r="TKA90" s="1055"/>
      <c r="TKB90" s="1055"/>
      <c r="TKC90" s="1055"/>
      <c r="TKD90" s="1055"/>
      <c r="TKE90" s="1055"/>
      <c r="TKF90" s="1055"/>
      <c r="TKG90" s="1055"/>
      <c r="TKH90" s="1055"/>
      <c r="TKI90" s="1055"/>
      <c r="TKJ90" s="1055"/>
      <c r="TKK90" s="1055"/>
      <c r="TKL90" s="1055"/>
      <c r="TKM90" s="1055"/>
      <c r="TKN90" s="1055"/>
      <c r="TKO90" s="1055"/>
      <c r="TKP90" s="1055"/>
      <c r="TKQ90" s="1055"/>
      <c r="TKR90" s="1055"/>
      <c r="TKS90" s="1055"/>
      <c r="TKT90" s="1055"/>
      <c r="TKU90" s="1055"/>
      <c r="TKV90" s="1055"/>
      <c r="TKW90" s="1055"/>
      <c r="TKX90" s="1055"/>
      <c r="TKY90" s="1055"/>
      <c r="TKZ90" s="1055"/>
      <c r="TLA90" s="1055"/>
      <c r="TLB90" s="1055"/>
      <c r="TLC90" s="1055"/>
      <c r="TLD90" s="1055"/>
      <c r="TLE90" s="1055"/>
      <c r="TLF90" s="1055"/>
      <c r="TLG90" s="1055"/>
      <c r="TLH90" s="1055"/>
      <c r="TLI90" s="1055"/>
      <c r="TLJ90" s="1055"/>
      <c r="TLK90" s="1055"/>
      <c r="TLL90" s="1055"/>
      <c r="TLM90" s="1055"/>
      <c r="TLN90" s="1055"/>
      <c r="TLO90" s="1055"/>
      <c r="TLP90" s="1055"/>
      <c r="TLQ90" s="1055"/>
      <c r="TLR90" s="1055"/>
      <c r="TLS90" s="1055"/>
      <c r="TLT90" s="1055"/>
      <c r="TLU90" s="1055"/>
      <c r="TLV90" s="1055"/>
      <c r="TLW90" s="1055"/>
      <c r="TLX90" s="1055"/>
      <c r="TLY90" s="1055"/>
      <c r="TLZ90" s="1055"/>
      <c r="TMA90" s="1055"/>
      <c r="TMB90" s="1055"/>
      <c r="TMC90" s="1055"/>
      <c r="TMD90" s="1055"/>
      <c r="TME90" s="1055"/>
      <c r="TMF90" s="1055"/>
      <c r="TMG90" s="1055"/>
      <c r="TMH90" s="1055"/>
      <c r="TMI90" s="1055"/>
      <c r="TMJ90" s="1055"/>
      <c r="TMK90" s="1055"/>
      <c r="TML90" s="1055"/>
      <c r="TMM90" s="1055"/>
      <c r="TMN90" s="1055"/>
      <c r="TMO90" s="1055"/>
      <c r="TMP90" s="1055"/>
      <c r="TMQ90" s="1055"/>
      <c r="TMR90" s="1055"/>
      <c r="TMS90" s="1055"/>
      <c r="TMT90" s="1055"/>
      <c r="TMU90" s="1055"/>
      <c r="TMV90" s="1055"/>
      <c r="TMW90" s="1055"/>
      <c r="TMX90" s="1055"/>
      <c r="TMY90" s="1055"/>
      <c r="TMZ90" s="1055"/>
      <c r="TNA90" s="1055"/>
      <c r="TNB90" s="1055"/>
      <c r="TNC90" s="1055"/>
      <c r="TND90" s="1055"/>
      <c r="TNE90" s="1055"/>
      <c r="TNF90" s="1055"/>
      <c r="TNG90" s="1055"/>
      <c r="TNH90" s="1055"/>
      <c r="TNI90" s="1055"/>
      <c r="TNJ90" s="1055"/>
      <c r="TNK90" s="1055"/>
      <c r="TNL90" s="1055"/>
      <c r="TNM90" s="1055"/>
      <c r="TNN90" s="1055"/>
      <c r="TNO90" s="1055"/>
      <c r="TNP90" s="1055"/>
      <c r="TNQ90" s="1055"/>
      <c r="TNR90" s="1055"/>
      <c r="TNS90" s="1055"/>
      <c r="TNT90" s="1055"/>
      <c r="TNU90" s="1055"/>
      <c r="TNV90" s="1055"/>
      <c r="TNW90" s="1055"/>
      <c r="TNX90" s="1055"/>
      <c r="TNY90" s="1055"/>
      <c r="TNZ90" s="1055"/>
      <c r="TOA90" s="1055"/>
      <c r="TOB90" s="1055"/>
      <c r="TOC90" s="1055"/>
      <c r="TOD90" s="1055"/>
      <c r="TOE90" s="1055"/>
      <c r="TOF90" s="1055"/>
      <c r="TOG90" s="1055"/>
      <c r="TOH90" s="1055"/>
      <c r="TOI90" s="1055"/>
      <c r="TOJ90" s="1055"/>
      <c r="TOK90" s="1055"/>
      <c r="TOL90" s="1055"/>
      <c r="TOM90" s="1055"/>
      <c r="TON90" s="1055"/>
      <c r="TOO90" s="1055"/>
      <c r="TOP90" s="1055"/>
      <c r="TOQ90" s="1055"/>
      <c r="TOR90" s="1055"/>
      <c r="TOS90" s="1055"/>
      <c r="TOT90" s="1055"/>
      <c r="TOU90" s="1055"/>
      <c r="TOV90" s="1055"/>
      <c r="TOW90" s="1055"/>
      <c r="TOX90" s="1055"/>
      <c r="TOY90" s="1055"/>
      <c r="TOZ90" s="1055"/>
      <c r="TPA90" s="1055"/>
      <c r="TPB90" s="1055"/>
      <c r="TPC90" s="1055"/>
      <c r="TPD90" s="1055"/>
      <c r="TPE90" s="1055"/>
      <c r="TPF90" s="1055"/>
      <c r="TPG90" s="1055"/>
      <c r="TPH90" s="1055"/>
      <c r="TPI90" s="1055"/>
      <c r="TPJ90" s="1055"/>
      <c r="TPK90" s="1055"/>
      <c r="TPL90" s="1055"/>
      <c r="TPM90" s="1055"/>
      <c r="TPN90" s="1055"/>
      <c r="TPO90" s="1055"/>
      <c r="TPP90" s="1055"/>
      <c r="TPQ90" s="1055"/>
      <c r="TPR90" s="1055"/>
      <c r="TPS90" s="1055"/>
      <c r="TPT90" s="1055"/>
      <c r="TPU90" s="1055"/>
      <c r="TPV90" s="1055"/>
      <c r="TPW90" s="1055"/>
      <c r="TPX90" s="1055"/>
      <c r="TPY90" s="1055"/>
      <c r="TPZ90" s="1055"/>
      <c r="TQA90" s="1055"/>
      <c r="TQB90" s="1055"/>
      <c r="TQC90" s="1055"/>
      <c r="TQD90" s="1055"/>
      <c r="TQE90" s="1055"/>
      <c r="TQF90" s="1055"/>
      <c r="TQG90" s="1055"/>
      <c r="TQH90" s="1055"/>
      <c r="TQI90" s="1055"/>
      <c r="TQJ90" s="1055"/>
      <c r="TQK90" s="1055"/>
      <c r="TQL90" s="1055"/>
      <c r="TQM90" s="1055"/>
      <c r="TQN90" s="1055"/>
      <c r="TQO90" s="1055"/>
      <c r="TQP90" s="1055"/>
      <c r="TQQ90" s="1055"/>
      <c r="TQR90" s="1055"/>
      <c r="TQS90" s="1055"/>
      <c r="TQT90" s="1055"/>
      <c r="TQU90" s="1055"/>
      <c r="TQV90" s="1055"/>
      <c r="TQW90" s="1055"/>
      <c r="TQX90" s="1055"/>
      <c r="TQY90" s="1055"/>
      <c r="TQZ90" s="1055"/>
      <c r="TRA90" s="1055"/>
      <c r="TRB90" s="1055"/>
      <c r="TRC90" s="1055"/>
      <c r="TRD90" s="1055"/>
      <c r="TRE90" s="1055"/>
      <c r="TRF90" s="1055"/>
      <c r="TRG90" s="1055"/>
      <c r="TRH90" s="1055"/>
      <c r="TRI90" s="1055"/>
      <c r="TRJ90" s="1055"/>
      <c r="TRK90" s="1055"/>
      <c r="TRL90" s="1055"/>
      <c r="TRM90" s="1055"/>
      <c r="TRN90" s="1055"/>
      <c r="TRO90" s="1055"/>
      <c r="TRP90" s="1055"/>
      <c r="TRQ90" s="1055"/>
      <c r="TRR90" s="1055"/>
      <c r="TRS90" s="1055"/>
      <c r="TRT90" s="1055"/>
      <c r="TRU90" s="1055"/>
      <c r="TRV90" s="1055"/>
      <c r="TRW90" s="1055"/>
      <c r="TRX90" s="1055"/>
      <c r="TRY90" s="1055"/>
      <c r="TRZ90" s="1055"/>
      <c r="TSA90" s="1055"/>
      <c r="TSB90" s="1055"/>
      <c r="TSC90" s="1055"/>
      <c r="TSD90" s="1055"/>
      <c r="TSE90" s="1055"/>
      <c r="TSF90" s="1055"/>
      <c r="TSG90" s="1055"/>
      <c r="TSH90" s="1055"/>
      <c r="TSI90" s="1055"/>
      <c r="TSJ90" s="1055"/>
      <c r="TSK90" s="1055"/>
      <c r="TSL90" s="1055"/>
      <c r="TSM90" s="1055"/>
      <c r="TSN90" s="1055"/>
      <c r="TSO90" s="1055"/>
      <c r="TSP90" s="1055"/>
      <c r="TSQ90" s="1055"/>
      <c r="TSR90" s="1055"/>
      <c r="TSS90" s="1055"/>
      <c r="TST90" s="1055"/>
      <c r="TSU90" s="1055"/>
      <c r="TSV90" s="1055"/>
      <c r="TSW90" s="1055"/>
      <c r="TSX90" s="1055"/>
      <c r="TSY90" s="1055"/>
      <c r="TSZ90" s="1055"/>
      <c r="TTA90" s="1055"/>
      <c r="TTB90" s="1055"/>
      <c r="TTC90" s="1055"/>
      <c r="TTD90" s="1055"/>
      <c r="TTE90" s="1055"/>
      <c r="TTF90" s="1055"/>
      <c r="TTG90" s="1055"/>
      <c r="TTH90" s="1055"/>
      <c r="TTI90" s="1055"/>
      <c r="TTJ90" s="1055"/>
      <c r="TTK90" s="1055"/>
      <c r="TTL90" s="1055"/>
      <c r="TTM90" s="1055"/>
      <c r="TTN90" s="1055"/>
      <c r="TTO90" s="1055"/>
      <c r="TTP90" s="1055"/>
      <c r="TTQ90" s="1055"/>
      <c r="TTR90" s="1055"/>
      <c r="TTS90" s="1055"/>
      <c r="TTT90" s="1055"/>
      <c r="TTU90" s="1055"/>
      <c r="TTV90" s="1055"/>
      <c r="TTW90" s="1055"/>
      <c r="TTX90" s="1055"/>
      <c r="TTY90" s="1055"/>
      <c r="TTZ90" s="1055"/>
      <c r="TUA90" s="1055"/>
      <c r="TUB90" s="1055"/>
      <c r="TUC90" s="1055"/>
      <c r="TUD90" s="1055"/>
      <c r="TUE90" s="1055"/>
      <c r="TUF90" s="1055"/>
      <c r="TUG90" s="1055"/>
      <c r="TUH90" s="1055"/>
      <c r="TUI90" s="1055"/>
      <c r="TUJ90" s="1055"/>
      <c r="TUK90" s="1055"/>
      <c r="TUL90" s="1055"/>
      <c r="TUM90" s="1055"/>
      <c r="TUN90" s="1055"/>
      <c r="TUO90" s="1055"/>
      <c r="TUP90" s="1055"/>
      <c r="TUQ90" s="1055"/>
      <c r="TUR90" s="1055"/>
      <c r="TUS90" s="1055"/>
      <c r="TUT90" s="1055"/>
      <c r="TUU90" s="1055"/>
      <c r="TUV90" s="1055"/>
      <c r="TUW90" s="1055"/>
      <c r="TUX90" s="1055"/>
      <c r="TUY90" s="1055"/>
      <c r="TUZ90" s="1055"/>
      <c r="TVA90" s="1055"/>
      <c r="TVB90" s="1055"/>
      <c r="TVC90" s="1055"/>
      <c r="TVD90" s="1055"/>
      <c r="TVE90" s="1055"/>
      <c r="TVF90" s="1055"/>
      <c r="TVG90" s="1055"/>
      <c r="TVH90" s="1055"/>
      <c r="TVI90" s="1055"/>
      <c r="TVJ90" s="1055"/>
      <c r="TVK90" s="1055"/>
      <c r="TVL90" s="1055"/>
      <c r="TVM90" s="1055"/>
      <c r="TVN90" s="1055"/>
      <c r="TVO90" s="1055"/>
      <c r="TVP90" s="1055"/>
      <c r="TVQ90" s="1055"/>
      <c r="TVR90" s="1055"/>
      <c r="TVS90" s="1055"/>
      <c r="TVT90" s="1055"/>
      <c r="TVU90" s="1055"/>
      <c r="TVV90" s="1055"/>
      <c r="TVW90" s="1055"/>
      <c r="TVX90" s="1055"/>
      <c r="TVY90" s="1055"/>
      <c r="TVZ90" s="1055"/>
      <c r="TWA90" s="1055"/>
      <c r="TWB90" s="1055"/>
      <c r="TWC90" s="1055"/>
      <c r="TWD90" s="1055"/>
      <c r="TWE90" s="1055"/>
      <c r="TWF90" s="1055"/>
      <c r="TWG90" s="1055"/>
      <c r="TWH90" s="1055"/>
      <c r="TWI90" s="1055"/>
      <c r="TWJ90" s="1055"/>
      <c r="TWK90" s="1055"/>
      <c r="TWL90" s="1055"/>
      <c r="TWM90" s="1055"/>
      <c r="TWN90" s="1055"/>
      <c r="TWO90" s="1055"/>
      <c r="TWP90" s="1055"/>
      <c r="TWQ90" s="1055"/>
      <c r="TWR90" s="1055"/>
      <c r="TWS90" s="1055"/>
      <c r="TWT90" s="1055"/>
      <c r="TWU90" s="1055"/>
      <c r="TWV90" s="1055"/>
      <c r="TWW90" s="1055"/>
      <c r="TWX90" s="1055"/>
      <c r="TWY90" s="1055"/>
      <c r="TWZ90" s="1055"/>
      <c r="TXA90" s="1055"/>
      <c r="TXB90" s="1055"/>
      <c r="TXC90" s="1055"/>
      <c r="TXD90" s="1055"/>
      <c r="TXE90" s="1055"/>
      <c r="TXF90" s="1055"/>
      <c r="TXG90" s="1055"/>
      <c r="TXH90" s="1055"/>
      <c r="TXI90" s="1055"/>
      <c r="TXJ90" s="1055"/>
      <c r="TXK90" s="1055"/>
      <c r="TXL90" s="1055"/>
      <c r="TXM90" s="1055"/>
      <c r="TXN90" s="1055"/>
      <c r="TXO90" s="1055"/>
      <c r="TXP90" s="1055"/>
      <c r="TXQ90" s="1055"/>
      <c r="TXR90" s="1055"/>
      <c r="TXS90" s="1055"/>
      <c r="TXT90" s="1055"/>
      <c r="TXU90" s="1055"/>
      <c r="TXV90" s="1055"/>
      <c r="TXW90" s="1055"/>
      <c r="TXX90" s="1055"/>
      <c r="TXY90" s="1055"/>
      <c r="TXZ90" s="1055"/>
      <c r="TYA90" s="1055"/>
      <c r="TYB90" s="1055"/>
      <c r="TYC90" s="1055"/>
      <c r="TYD90" s="1055"/>
      <c r="TYE90" s="1055"/>
      <c r="TYF90" s="1055"/>
      <c r="TYG90" s="1055"/>
      <c r="TYH90" s="1055"/>
      <c r="TYI90" s="1055"/>
      <c r="TYJ90" s="1055"/>
      <c r="TYK90" s="1055"/>
      <c r="TYL90" s="1055"/>
      <c r="TYM90" s="1055"/>
      <c r="TYN90" s="1055"/>
      <c r="TYO90" s="1055"/>
      <c r="TYP90" s="1055"/>
      <c r="TYQ90" s="1055"/>
      <c r="TYR90" s="1055"/>
      <c r="TYS90" s="1055"/>
      <c r="TYT90" s="1055"/>
      <c r="TYU90" s="1055"/>
      <c r="TYV90" s="1055"/>
      <c r="TYW90" s="1055"/>
      <c r="TYX90" s="1055"/>
      <c r="TYY90" s="1055"/>
      <c r="TYZ90" s="1055"/>
      <c r="TZA90" s="1055"/>
      <c r="TZB90" s="1055"/>
      <c r="TZC90" s="1055"/>
      <c r="TZD90" s="1055"/>
      <c r="TZE90" s="1055"/>
      <c r="TZF90" s="1055"/>
      <c r="TZG90" s="1055"/>
      <c r="TZH90" s="1055"/>
      <c r="TZI90" s="1055"/>
      <c r="TZJ90" s="1055"/>
      <c r="TZK90" s="1055"/>
      <c r="TZL90" s="1055"/>
      <c r="TZM90" s="1055"/>
      <c r="TZN90" s="1055"/>
      <c r="TZO90" s="1055"/>
      <c r="TZP90" s="1055"/>
      <c r="TZQ90" s="1055"/>
      <c r="TZR90" s="1055"/>
      <c r="TZS90" s="1055"/>
      <c r="TZT90" s="1055"/>
      <c r="TZU90" s="1055"/>
      <c r="TZV90" s="1055"/>
      <c r="TZW90" s="1055"/>
      <c r="TZX90" s="1055"/>
      <c r="TZY90" s="1055"/>
      <c r="TZZ90" s="1055"/>
      <c r="UAA90" s="1055"/>
      <c r="UAB90" s="1055"/>
      <c r="UAC90" s="1055"/>
      <c r="UAD90" s="1055"/>
      <c r="UAE90" s="1055"/>
      <c r="UAF90" s="1055"/>
      <c r="UAG90" s="1055"/>
      <c r="UAH90" s="1055"/>
      <c r="UAI90" s="1055"/>
      <c r="UAJ90" s="1055"/>
      <c r="UAK90" s="1055"/>
      <c r="UAL90" s="1055"/>
      <c r="UAM90" s="1055"/>
      <c r="UAN90" s="1055"/>
      <c r="UAO90" s="1055"/>
      <c r="UAP90" s="1055"/>
      <c r="UAQ90" s="1055"/>
      <c r="UAR90" s="1055"/>
      <c r="UAS90" s="1055"/>
      <c r="UAT90" s="1055"/>
      <c r="UAU90" s="1055"/>
      <c r="UAV90" s="1055"/>
      <c r="UAW90" s="1055"/>
      <c r="UAX90" s="1055"/>
      <c r="UAY90" s="1055"/>
      <c r="UAZ90" s="1055"/>
      <c r="UBA90" s="1055"/>
      <c r="UBB90" s="1055"/>
      <c r="UBC90" s="1055"/>
      <c r="UBD90" s="1055"/>
      <c r="UBE90" s="1055"/>
      <c r="UBF90" s="1055"/>
      <c r="UBG90" s="1055"/>
      <c r="UBH90" s="1055"/>
      <c r="UBI90" s="1055"/>
      <c r="UBJ90" s="1055"/>
      <c r="UBK90" s="1055"/>
      <c r="UBL90" s="1055"/>
      <c r="UBM90" s="1055"/>
      <c r="UBN90" s="1055"/>
      <c r="UBO90" s="1055"/>
      <c r="UBP90" s="1055"/>
      <c r="UBQ90" s="1055"/>
      <c r="UBR90" s="1055"/>
      <c r="UBS90" s="1055"/>
      <c r="UBT90" s="1055"/>
      <c r="UBU90" s="1055"/>
      <c r="UBV90" s="1055"/>
      <c r="UBW90" s="1055"/>
      <c r="UBX90" s="1055"/>
      <c r="UBY90" s="1055"/>
      <c r="UBZ90" s="1055"/>
      <c r="UCA90" s="1055"/>
      <c r="UCB90" s="1055"/>
      <c r="UCC90" s="1055"/>
      <c r="UCD90" s="1055"/>
      <c r="UCE90" s="1055"/>
      <c r="UCF90" s="1055"/>
      <c r="UCG90" s="1055"/>
      <c r="UCH90" s="1055"/>
      <c r="UCI90" s="1055"/>
      <c r="UCJ90" s="1055"/>
      <c r="UCK90" s="1055"/>
      <c r="UCL90" s="1055"/>
      <c r="UCM90" s="1055"/>
      <c r="UCN90" s="1055"/>
      <c r="UCO90" s="1055"/>
      <c r="UCP90" s="1055"/>
      <c r="UCQ90" s="1055"/>
      <c r="UCR90" s="1055"/>
      <c r="UCS90" s="1055"/>
      <c r="UCT90" s="1055"/>
      <c r="UCU90" s="1055"/>
      <c r="UCV90" s="1055"/>
      <c r="UCW90" s="1055"/>
      <c r="UCX90" s="1055"/>
      <c r="UCY90" s="1055"/>
      <c r="UCZ90" s="1055"/>
      <c r="UDA90" s="1055"/>
      <c r="UDB90" s="1055"/>
      <c r="UDC90" s="1055"/>
      <c r="UDD90" s="1055"/>
      <c r="UDE90" s="1055"/>
      <c r="UDF90" s="1055"/>
      <c r="UDG90" s="1055"/>
      <c r="UDH90" s="1055"/>
      <c r="UDI90" s="1055"/>
      <c r="UDJ90" s="1055"/>
      <c r="UDK90" s="1055"/>
      <c r="UDL90" s="1055"/>
      <c r="UDM90" s="1055"/>
      <c r="UDN90" s="1055"/>
      <c r="UDO90" s="1055"/>
      <c r="UDP90" s="1055"/>
      <c r="UDQ90" s="1055"/>
      <c r="UDR90" s="1055"/>
      <c r="UDS90" s="1055"/>
      <c r="UDT90" s="1055"/>
      <c r="UDU90" s="1055"/>
      <c r="UDV90" s="1055"/>
      <c r="UDW90" s="1055"/>
      <c r="UDX90" s="1055"/>
      <c r="UDY90" s="1055"/>
      <c r="UDZ90" s="1055"/>
      <c r="UEA90" s="1055"/>
      <c r="UEB90" s="1055"/>
      <c r="UEC90" s="1055"/>
      <c r="UED90" s="1055"/>
      <c r="UEE90" s="1055"/>
      <c r="UEF90" s="1055"/>
      <c r="UEG90" s="1055"/>
      <c r="UEH90" s="1055"/>
      <c r="UEI90" s="1055"/>
      <c r="UEJ90" s="1055"/>
      <c r="UEK90" s="1055"/>
      <c r="UEL90" s="1055"/>
      <c r="UEM90" s="1055"/>
      <c r="UEN90" s="1055"/>
      <c r="UEO90" s="1055"/>
      <c r="UEP90" s="1055"/>
      <c r="UEQ90" s="1055"/>
      <c r="UER90" s="1055"/>
      <c r="UES90" s="1055"/>
      <c r="UET90" s="1055"/>
      <c r="UEU90" s="1055"/>
      <c r="UEV90" s="1055"/>
      <c r="UEW90" s="1055"/>
      <c r="UEX90" s="1055"/>
      <c r="UEY90" s="1055"/>
      <c r="UEZ90" s="1055"/>
      <c r="UFA90" s="1055"/>
      <c r="UFB90" s="1055"/>
      <c r="UFC90" s="1055"/>
      <c r="UFD90" s="1055"/>
      <c r="UFE90" s="1055"/>
      <c r="UFF90" s="1055"/>
      <c r="UFG90" s="1055"/>
      <c r="UFH90" s="1055"/>
      <c r="UFI90" s="1055"/>
      <c r="UFJ90" s="1055"/>
      <c r="UFK90" s="1055"/>
      <c r="UFL90" s="1055"/>
      <c r="UFM90" s="1055"/>
      <c r="UFN90" s="1055"/>
      <c r="UFO90" s="1055"/>
      <c r="UFP90" s="1055"/>
      <c r="UFQ90" s="1055"/>
      <c r="UFR90" s="1055"/>
      <c r="UFS90" s="1055"/>
      <c r="UFT90" s="1055"/>
      <c r="UFU90" s="1055"/>
      <c r="UFV90" s="1055"/>
      <c r="UFW90" s="1055"/>
      <c r="UFX90" s="1055"/>
      <c r="UFY90" s="1055"/>
      <c r="UFZ90" s="1055"/>
      <c r="UGA90" s="1055"/>
      <c r="UGB90" s="1055"/>
      <c r="UGC90" s="1055"/>
      <c r="UGD90" s="1055"/>
      <c r="UGE90" s="1055"/>
      <c r="UGF90" s="1055"/>
      <c r="UGG90" s="1055"/>
      <c r="UGH90" s="1055"/>
      <c r="UGI90" s="1055"/>
      <c r="UGJ90" s="1055"/>
      <c r="UGK90" s="1055"/>
      <c r="UGL90" s="1055"/>
      <c r="UGM90" s="1055"/>
      <c r="UGN90" s="1055"/>
      <c r="UGO90" s="1055"/>
      <c r="UGP90" s="1055"/>
      <c r="UGQ90" s="1055"/>
      <c r="UGR90" s="1055"/>
      <c r="UGS90" s="1055"/>
      <c r="UGT90" s="1055"/>
      <c r="UGU90" s="1055"/>
      <c r="UGV90" s="1055"/>
      <c r="UGW90" s="1055"/>
      <c r="UGX90" s="1055"/>
      <c r="UGY90" s="1055"/>
      <c r="UGZ90" s="1055"/>
      <c r="UHA90" s="1055"/>
      <c r="UHB90" s="1055"/>
      <c r="UHC90" s="1055"/>
      <c r="UHD90" s="1055"/>
      <c r="UHE90" s="1055"/>
      <c r="UHF90" s="1055"/>
      <c r="UHG90" s="1055"/>
      <c r="UHH90" s="1055"/>
      <c r="UHI90" s="1055"/>
      <c r="UHJ90" s="1055"/>
      <c r="UHK90" s="1055"/>
      <c r="UHL90" s="1055"/>
      <c r="UHM90" s="1055"/>
      <c r="UHN90" s="1055"/>
      <c r="UHO90" s="1055"/>
      <c r="UHP90" s="1055"/>
      <c r="UHQ90" s="1055"/>
      <c r="UHR90" s="1055"/>
      <c r="UHS90" s="1055"/>
      <c r="UHT90" s="1055"/>
      <c r="UHU90" s="1055"/>
      <c r="UHV90" s="1055"/>
      <c r="UHW90" s="1055"/>
      <c r="UHX90" s="1055"/>
      <c r="UHY90" s="1055"/>
      <c r="UHZ90" s="1055"/>
      <c r="UIA90" s="1055"/>
      <c r="UIB90" s="1055"/>
      <c r="UIC90" s="1055"/>
      <c r="UID90" s="1055"/>
      <c r="UIE90" s="1055"/>
      <c r="UIF90" s="1055"/>
      <c r="UIG90" s="1055"/>
      <c r="UIH90" s="1055"/>
      <c r="UII90" s="1055"/>
      <c r="UIJ90" s="1055"/>
      <c r="UIK90" s="1055"/>
      <c r="UIL90" s="1055"/>
      <c r="UIM90" s="1055"/>
      <c r="UIN90" s="1055"/>
      <c r="UIO90" s="1055"/>
      <c r="UIP90" s="1055"/>
      <c r="UIQ90" s="1055"/>
      <c r="UIR90" s="1055"/>
      <c r="UIS90" s="1055"/>
      <c r="UIT90" s="1055"/>
      <c r="UIU90" s="1055"/>
      <c r="UIV90" s="1055"/>
      <c r="UIW90" s="1055"/>
      <c r="UIX90" s="1055"/>
      <c r="UIY90" s="1055"/>
      <c r="UIZ90" s="1055"/>
      <c r="UJA90" s="1055"/>
      <c r="UJB90" s="1055"/>
      <c r="UJC90" s="1055"/>
      <c r="UJD90" s="1055"/>
      <c r="UJE90" s="1055"/>
      <c r="UJF90" s="1055"/>
      <c r="UJG90" s="1055"/>
      <c r="UJH90" s="1055"/>
      <c r="UJI90" s="1055"/>
      <c r="UJJ90" s="1055"/>
      <c r="UJK90" s="1055"/>
      <c r="UJL90" s="1055"/>
      <c r="UJM90" s="1055"/>
      <c r="UJN90" s="1055"/>
      <c r="UJO90" s="1055"/>
      <c r="UJP90" s="1055"/>
      <c r="UJQ90" s="1055"/>
      <c r="UJR90" s="1055"/>
      <c r="UJS90" s="1055"/>
      <c r="UJT90" s="1055"/>
      <c r="UJU90" s="1055"/>
      <c r="UJV90" s="1055"/>
      <c r="UJW90" s="1055"/>
      <c r="UJX90" s="1055"/>
      <c r="UJY90" s="1055"/>
      <c r="UJZ90" s="1055"/>
      <c r="UKA90" s="1055"/>
      <c r="UKB90" s="1055"/>
      <c r="UKC90" s="1055"/>
      <c r="UKD90" s="1055"/>
      <c r="UKE90" s="1055"/>
      <c r="UKF90" s="1055"/>
      <c r="UKG90" s="1055"/>
      <c r="UKH90" s="1055"/>
      <c r="UKI90" s="1055"/>
      <c r="UKJ90" s="1055"/>
      <c r="UKK90" s="1055"/>
      <c r="UKL90" s="1055"/>
      <c r="UKM90" s="1055"/>
      <c r="UKN90" s="1055"/>
      <c r="UKO90" s="1055"/>
      <c r="UKP90" s="1055"/>
      <c r="UKQ90" s="1055"/>
      <c r="UKR90" s="1055"/>
      <c r="UKS90" s="1055"/>
      <c r="UKT90" s="1055"/>
      <c r="UKU90" s="1055"/>
      <c r="UKV90" s="1055"/>
      <c r="UKW90" s="1055"/>
      <c r="UKX90" s="1055"/>
      <c r="UKY90" s="1055"/>
      <c r="UKZ90" s="1055"/>
      <c r="ULA90" s="1055"/>
      <c r="ULB90" s="1055"/>
      <c r="ULC90" s="1055"/>
      <c r="ULD90" s="1055"/>
      <c r="ULE90" s="1055"/>
      <c r="ULF90" s="1055"/>
      <c r="ULG90" s="1055"/>
      <c r="ULH90" s="1055"/>
      <c r="ULI90" s="1055"/>
      <c r="ULJ90" s="1055"/>
      <c r="ULK90" s="1055"/>
      <c r="ULL90" s="1055"/>
      <c r="ULM90" s="1055"/>
      <c r="ULN90" s="1055"/>
      <c r="ULO90" s="1055"/>
      <c r="ULP90" s="1055"/>
      <c r="ULQ90" s="1055"/>
      <c r="ULR90" s="1055"/>
      <c r="ULS90" s="1055"/>
      <c r="ULT90" s="1055"/>
      <c r="ULU90" s="1055"/>
      <c r="ULV90" s="1055"/>
      <c r="ULW90" s="1055"/>
      <c r="ULX90" s="1055"/>
      <c r="ULY90" s="1055"/>
      <c r="ULZ90" s="1055"/>
      <c r="UMA90" s="1055"/>
      <c r="UMB90" s="1055"/>
      <c r="UMC90" s="1055"/>
      <c r="UMD90" s="1055"/>
      <c r="UME90" s="1055"/>
      <c r="UMF90" s="1055"/>
      <c r="UMG90" s="1055"/>
      <c r="UMH90" s="1055"/>
      <c r="UMI90" s="1055"/>
      <c r="UMJ90" s="1055"/>
      <c r="UMK90" s="1055"/>
      <c r="UML90" s="1055"/>
      <c r="UMM90" s="1055"/>
      <c r="UMN90" s="1055"/>
      <c r="UMO90" s="1055"/>
      <c r="UMP90" s="1055"/>
      <c r="UMQ90" s="1055"/>
      <c r="UMR90" s="1055"/>
      <c r="UMS90" s="1055"/>
      <c r="UMT90" s="1055"/>
      <c r="UMU90" s="1055"/>
      <c r="UMV90" s="1055"/>
      <c r="UMW90" s="1055"/>
      <c r="UMX90" s="1055"/>
      <c r="UMY90" s="1055"/>
      <c r="UMZ90" s="1055"/>
      <c r="UNA90" s="1055"/>
      <c r="UNB90" s="1055"/>
      <c r="UNC90" s="1055"/>
      <c r="UND90" s="1055"/>
      <c r="UNE90" s="1055"/>
      <c r="UNF90" s="1055"/>
      <c r="UNG90" s="1055"/>
      <c r="UNH90" s="1055"/>
      <c r="UNI90" s="1055"/>
      <c r="UNJ90" s="1055"/>
      <c r="UNK90" s="1055"/>
      <c r="UNL90" s="1055"/>
      <c r="UNM90" s="1055"/>
      <c r="UNN90" s="1055"/>
      <c r="UNO90" s="1055"/>
      <c r="UNP90" s="1055"/>
      <c r="UNQ90" s="1055"/>
      <c r="UNR90" s="1055"/>
      <c r="UNS90" s="1055"/>
      <c r="UNT90" s="1055"/>
      <c r="UNU90" s="1055"/>
      <c r="UNV90" s="1055"/>
      <c r="UNW90" s="1055"/>
      <c r="UNX90" s="1055"/>
      <c r="UNY90" s="1055"/>
      <c r="UNZ90" s="1055"/>
      <c r="UOA90" s="1055"/>
      <c r="UOB90" s="1055"/>
      <c r="UOC90" s="1055"/>
      <c r="UOD90" s="1055"/>
      <c r="UOE90" s="1055"/>
      <c r="UOF90" s="1055"/>
      <c r="UOG90" s="1055"/>
      <c r="UOH90" s="1055"/>
      <c r="UOI90" s="1055"/>
      <c r="UOJ90" s="1055"/>
      <c r="UOK90" s="1055"/>
      <c r="UOL90" s="1055"/>
      <c r="UOM90" s="1055"/>
      <c r="UON90" s="1055"/>
      <c r="UOO90" s="1055"/>
      <c r="UOP90" s="1055"/>
      <c r="UOQ90" s="1055"/>
      <c r="UOR90" s="1055"/>
      <c r="UOS90" s="1055"/>
      <c r="UOT90" s="1055"/>
      <c r="UOU90" s="1055"/>
      <c r="UOV90" s="1055"/>
      <c r="UOW90" s="1055"/>
      <c r="UOX90" s="1055"/>
      <c r="UOY90" s="1055"/>
      <c r="UOZ90" s="1055"/>
      <c r="UPA90" s="1055"/>
      <c r="UPB90" s="1055"/>
      <c r="UPC90" s="1055"/>
      <c r="UPD90" s="1055"/>
      <c r="UPE90" s="1055"/>
      <c r="UPF90" s="1055"/>
      <c r="UPG90" s="1055"/>
      <c r="UPH90" s="1055"/>
      <c r="UPI90" s="1055"/>
      <c r="UPJ90" s="1055"/>
      <c r="UPK90" s="1055"/>
      <c r="UPL90" s="1055"/>
      <c r="UPM90" s="1055"/>
      <c r="UPN90" s="1055"/>
      <c r="UPO90" s="1055"/>
      <c r="UPP90" s="1055"/>
      <c r="UPQ90" s="1055"/>
      <c r="UPR90" s="1055"/>
      <c r="UPS90" s="1055"/>
      <c r="UPT90" s="1055"/>
      <c r="UPU90" s="1055"/>
      <c r="UPV90" s="1055"/>
      <c r="UPW90" s="1055"/>
      <c r="UPX90" s="1055"/>
      <c r="UPY90" s="1055"/>
      <c r="UPZ90" s="1055"/>
      <c r="UQA90" s="1055"/>
      <c r="UQB90" s="1055"/>
      <c r="UQC90" s="1055"/>
      <c r="UQD90" s="1055"/>
      <c r="UQE90" s="1055"/>
      <c r="UQF90" s="1055"/>
      <c r="UQG90" s="1055"/>
      <c r="UQH90" s="1055"/>
      <c r="UQI90" s="1055"/>
      <c r="UQJ90" s="1055"/>
      <c r="UQK90" s="1055"/>
      <c r="UQL90" s="1055"/>
      <c r="UQM90" s="1055"/>
      <c r="UQN90" s="1055"/>
      <c r="UQO90" s="1055"/>
      <c r="UQP90" s="1055"/>
      <c r="UQQ90" s="1055"/>
      <c r="UQR90" s="1055"/>
      <c r="UQS90" s="1055"/>
      <c r="UQT90" s="1055"/>
      <c r="UQU90" s="1055"/>
      <c r="UQV90" s="1055"/>
      <c r="UQW90" s="1055"/>
      <c r="UQX90" s="1055"/>
      <c r="UQY90" s="1055"/>
      <c r="UQZ90" s="1055"/>
      <c r="URA90" s="1055"/>
      <c r="URB90" s="1055"/>
      <c r="URC90" s="1055"/>
      <c r="URD90" s="1055"/>
      <c r="URE90" s="1055"/>
      <c r="URF90" s="1055"/>
      <c r="URG90" s="1055"/>
      <c r="URH90" s="1055"/>
      <c r="URI90" s="1055"/>
      <c r="URJ90" s="1055"/>
      <c r="URK90" s="1055"/>
      <c r="URL90" s="1055"/>
      <c r="URM90" s="1055"/>
      <c r="URN90" s="1055"/>
      <c r="URO90" s="1055"/>
      <c r="URP90" s="1055"/>
      <c r="URQ90" s="1055"/>
      <c r="URR90" s="1055"/>
      <c r="URS90" s="1055"/>
      <c r="URT90" s="1055"/>
      <c r="URU90" s="1055"/>
      <c r="URV90" s="1055"/>
      <c r="URW90" s="1055"/>
      <c r="URX90" s="1055"/>
      <c r="URY90" s="1055"/>
      <c r="URZ90" s="1055"/>
      <c r="USA90" s="1055"/>
      <c r="USB90" s="1055"/>
      <c r="USC90" s="1055"/>
      <c r="USD90" s="1055"/>
      <c r="USE90" s="1055"/>
      <c r="USF90" s="1055"/>
      <c r="USG90" s="1055"/>
      <c r="USH90" s="1055"/>
      <c r="USI90" s="1055"/>
      <c r="USJ90" s="1055"/>
      <c r="USK90" s="1055"/>
      <c r="USL90" s="1055"/>
      <c r="USM90" s="1055"/>
      <c r="USN90" s="1055"/>
      <c r="USO90" s="1055"/>
      <c r="USP90" s="1055"/>
      <c r="USQ90" s="1055"/>
      <c r="USR90" s="1055"/>
      <c r="USS90" s="1055"/>
      <c r="UST90" s="1055"/>
      <c r="USU90" s="1055"/>
      <c r="USV90" s="1055"/>
      <c r="USW90" s="1055"/>
      <c r="USX90" s="1055"/>
      <c r="USY90" s="1055"/>
      <c r="USZ90" s="1055"/>
      <c r="UTA90" s="1055"/>
      <c r="UTB90" s="1055"/>
      <c r="UTC90" s="1055"/>
      <c r="UTD90" s="1055"/>
      <c r="UTE90" s="1055"/>
      <c r="UTF90" s="1055"/>
      <c r="UTG90" s="1055"/>
      <c r="UTH90" s="1055"/>
      <c r="UTI90" s="1055"/>
      <c r="UTJ90" s="1055"/>
      <c r="UTK90" s="1055"/>
      <c r="UTL90" s="1055"/>
      <c r="UTM90" s="1055"/>
      <c r="UTN90" s="1055"/>
      <c r="UTO90" s="1055"/>
      <c r="UTP90" s="1055"/>
      <c r="UTQ90" s="1055"/>
      <c r="UTR90" s="1055"/>
      <c r="UTS90" s="1055"/>
      <c r="UTT90" s="1055"/>
      <c r="UTU90" s="1055"/>
      <c r="UTV90" s="1055"/>
      <c r="UTW90" s="1055"/>
      <c r="UTX90" s="1055"/>
      <c r="UTY90" s="1055"/>
      <c r="UTZ90" s="1055"/>
      <c r="UUA90" s="1055"/>
      <c r="UUB90" s="1055"/>
      <c r="UUC90" s="1055"/>
      <c r="UUD90" s="1055"/>
      <c r="UUE90" s="1055"/>
      <c r="UUF90" s="1055"/>
      <c r="UUG90" s="1055"/>
      <c r="UUH90" s="1055"/>
      <c r="UUI90" s="1055"/>
      <c r="UUJ90" s="1055"/>
      <c r="UUK90" s="1055"/>
      <c r="UUL90" s="1055"/>
      <c r="UUM90" s="1055"/>
      <c r="UUN90" s="1055"/>
      <c r="UUO90" s="1055"/>
      <c r="UUP90" s="1055"/>
      <c r="UUQ90" s="1055"/>
      <c r="UUR90" s="1055"/>
      <c r="UUS90" s="1055"/>
      <c r="UUT90" s="1055"/>
      <c r="UUU90" s="1055"/>
      <c r="UUV90" s="1055"/>
      <c r="UUW90" s="1055"/>
      <c r="UUX90" s="1055"/>
      <c r="UUY90" s="1055"/>
      <c r="UUZ90" s="1055"/>
      <c r="UVA90" s="1055"/>
      <c r="UVB90" s="1055"/>
      <c r="UVC90" s="1055"/>
      <c r="UVD90" s="1055"/>
      <c r="UVE90" s="1055"/>
      <c r="UVF90" s="1055"/>
      <c r="UVG90" s="1055"/>
      <c r="UVH90" s="1055"/>
      <c r="UVI90" s="1055"/>
      <c r="UVJ90" s="1055"/>
      <c r="UVK90" s="1055"/>
      <c r="UVL90" s="1055"/>
      <c r="UVM90" s="1055"/>
      <c r="UVN90" s="1055"/>
      <c r="UVO90" s="1055"/>
      <c r="UVP90" s="1055"/>
      <c r="UVQ90" s="1055"/>
      <c r="UVR90" s="1055"/>
      <c r="UVS90" s="1055"/>
      <c r="UVT90" s="1055"/>
      <c r="UVU90" s="1055"/>
      <c r="UVV90" s="1055"/>
      <c r="UVW90" s="1055"/>
      <c r="UVX90" s="1055"/>
      <c r="UVY90" s="1055"/>
      <c r="UVZ90" s="1055"/>
      <c r="UWA90" s="1055"/>
      <c r="UWB90" s="1055"/>
      <c r="UWC90" s="1055"/>
      <c r="UWD90" s="1055"/>
      <c r="UWE90" s="1055"/>
      <c r="UWF90" s="1055"/>
      <c r="UWG90" s="1055"/>
      <c r="UWH90" s="1055"/>
      <c r="UWI90" s="1055"/>
      <c r="UWJ90" s="1055"/>
      <c r="UWK90" s="1055"/>
      <c r="UWL90" s="1055"/>
      <c r="UWM90" s="1055"/>
      <c r="UWN90" s="1055"/>
      <c r="UWO90" s="1055"/>
      <c r="UWP90" s="1055"/>
      <c r="UWQ90" s="1055"/>
      <c r="UWR90" s="1055"/>
      <c r="UWS90" s="1055"/>
      <c r="UWT90" s="1055"/>
      <c r="UWU90" s="1055"/>
      <c r="UWV90" s="1055"/>
      <c r="UWW90" s="1055"/>
      <c r="UWX90" s="1055"/>
      <c r="UWY90" s="1055"/>
      <c r="UWZ90" s="1055"/>
      <c r="UXA90" s="1055"/>
      <c r="UXB90" s="1055"/>
      <c r="UXC90" s="1055"/>
      <c r="UXD90" s="1055"/>
      <c r="UXE90" s="1055"/>
      <c r="UXF90" s="1055"/>
      <c r="UXG90" s="1055"/>
      <c r="UXH90" s="1055"/>
      <c r="UXI90" s="1055"/>
      <c r="UXJ90" s="1055"/>
      <c r="UXK90" s="1055"/>
      <c r="UXL90" s="1055"/>
      <c r="UXM90" s="1055"/>
      <c r="UXN90" s="1055"/>
      <c r="UXO90" s="1055"/>
      <c r="UXP90" s="1055"/>
      <c r="UXQ90" s="1055"/>
      <c r="UXR90" s="1055"/>
      <c r="UXS90" s="1055"/>
      <c r="UXT90" s="1055"/>
      <c r="UXU90" s="1055"/>
      <c r="UXV90" s="1055"/>
      <c r="UXW90" s="1055"/>
      <c r="UXX90" s="1055"/>
      <c r="UXY90" s="1055"/>
      <c r="UXZ90" s="1055"/>
      <c r="UYA90" s="1055"/>
      <c r="UYB90" s="1055"/>
      <c r="UYC90" s="1055"/>
      <c r="UYD90" s="1055"/>
      <c r="UYE90" s="1055"/>
      <c r="UYF90" s="1055"/>
      <c r="UYG90" s="1055"/>
      <c r="UYH90" s="1055"/>
      <c r="UYI90" s="1055"/>
      <c r="UYJ90" s="1055"/>
      <c r="UYK90" s="1055"/>
      <c r="UYL90" s="1055"/>
      <c r="UYM90" s="1055"/>
      <c r="UYN90" s="1055"/>
      <c r="UYO90" s="1055"/>
      <c r="UYP90" s="1055"/>
      <c r="UYQ90" s="1055"/>
      <c r="UYR90" s="1055"/>
      <c r="UYS90" s="1055"/>
      <c r="UYT90" s="1055"/>
      <c r="UYU90" s="1055"/>
      <c r="UYV90" s="1055"/>
      <c r="UYW90" s="1055"/>
      <c r="UYX90" s="1055"/>
      <c r="UYY90" s="1055"/>
      <c r="UYZ90" s="1055"/>
      <c r="UZA90" s="1055"/>
      <c r="UZB90" s="1055"/>
      <c r="UZC90" s="1055"/>
      <c r="UZD90" s="1055"/>
      <c r="UZE90" s="1055"/>
      <c r="UZF90" s="1055"/>
      <c r="UZG90" s="1055"/>
      <c r="UZH90" s="1055"/>
      <c r="UZI90" s="1055"/>
      <c r="UZJ90" s="1055"/>
      <c r="UZK90" s="1055"/>
      <c r="UZL90" s="1055"/>
      <c r="UZM90" s="1055"/>
      <c r="UZN90" s="1055"/>
      <c r="UZO90" s="1055"/>
      <c r="UZP90" s="1055"/>
      <c r="UZQ90" s="1055"/>
      <c r="UZR90" s="1055"/>
      <c r="UZS90" s="1055"/>
      <c r="UZT90" s="1055"/>
      <c r="UZU90" s="1055"/>
      <c r="UZV90" s="1055"/>
      <c r="UZW90" s="1055"/>
      <c r="UZX90" s="1055"/>
      <c r="UZY90" s="1055"/>
      <c r="UZZ90" s="1055"/>
      <c r="VAA90" s="1055"/>
      <c r="VAB90" s="1055"/>
      <c r="VAC90" s="1055"/>
      <c r="VAD90" s="1055"/>
      <c r="VAE90" s="1055"/>
      <c r="VAF90" s="1055"/>
      <c r="VAG90" s="1055"/>
      <c r="VAH90" s="1055"/>
      <c r="VAI90" s="1055"/>
      <c r="VAJ90" s="1055"/>
      <c r="VAK90" s="1055"/>
      <c r="VAL90" s="1055"/>
      <c r="VAM90" s="1055"/>
      <c r="VAN90" s="1055"/>
      <c r="VAO90" s="1055"/>
      <c r="VAP90" s="1055"/>
      <c r="VAQ90" s="1055"/>
      <c r="VAR90" s="1055"/>
      <c r="VAS90" s="1055"/>
      <c r="VAT90" s="1055"/>
      <c r="VAU90" s="1055"/>
      <c r="VAV90" s="1055"/>
      <c r="VAW90" s="1055"/>
      <c r="VAX90" s="1055"/>
      <c r="VAY90" s="1055"/>
      <c r="VAZ90" s="1055"/>
      <c r="VBA90" s="1055"/>
      <c r="VBB90" s="1055"/>
      <c r="VBC90" s="1055"/>
      <c r="VBD90" s="1055"/>
      <c r="VBE90" s="1055"/>
      <c r="VBF90" s="1055"/>
      <c r="VBG90" s="1055"/>
      <c r="VBH90" s="1055"/>
      <c r="VBI90" s="1055"/>
      <c r="VBJ90" s="1055"/>
      <c r="VBK90" s="1055"/>
      <c r="VBL90" s="1055"/>
      <c r="VBM90" s="1055"/>
      <c r="VBN90" s="1055"/>
      <c r="VBO90" s="1055"/>
      <c r="VBP90" s="1055"/>
      <c r="VBQ90" s="1055"/>
      <c r="VBR90" s="1055"/>
      <c r="VBS90" s="1055"/>
      <c r="VBT90" s="1055"/>
      <c r="VBU90" s="1055"/>
      <c r="VBV90" s="1055"/>
      <c r="VBW90" s="1055"/>
      <c r="VBX90" s="1055"/>
      <c r="VBY90" s="1055"/>
      <c r="VBZ90" s="1055"/>
      <c r="VCA90" s="1055"/>
      <c r="VCB90" s="1055"/>
      <c r="VCC90" s="1055"/>
      <c r="VCD90" s="1055"/>
      <c r="VCE90" s="1055"/>
      <c r="VCF90" s="1055"/>
      <c r="VCG90" s="1055"/>
      <c r="VCH90" s="1055"/>
      <c r="VCI90" s="1055"/>
      <c r="VCJ90" s="1055"/>
      <c r="VCK90" s="1055"/>
      <c r="VCL90" s="1055"/>
      <c r="VCM90" s="1055"/>
      <c r="VCN90" s="1055"/>
      <c r="VCO90" s="1055"/>
      <c r="VCP90" s="1055"/>
      <c r="VCQ90" s="1055"/>
      <c r="VCR90" s="1055"/>
      <c r="VCS90" s="1055"/>
      <c r="VCT90" s="1055"/>
      <c r="VCU90" s="1055"/>
      <c r="VCV90" s="1055"/>
      <c r="VCW90" s="1055"/>
      <c r="VCX90" s="1055"/>
      <c r="VCY90" s="1055"/>
      <c r="VCZ90" s="1055"/>
      <c r="VDA90" s="1055"/>
      <c r="VDB90" s="1055"/>
      <c r="VDC90" s="1055"/>
      <c r="VDD90" s="1055"/>
      <c r="VDE90" s="1055"/>
      <c r="VDF90" s="1055"/>
      <c r="VDG90" s="1055"/>
      <c r="VDH90" s="1055"/>
      <c r="VDI90" s="1055"/>
      <c r="VDJ90" s="1055"/>
      <c r="VDK90" s="1055"/>
      <c r="VDL90" s="1055"/>
      <c r="VDM90" s="1055"/>
      <c r="VDN90" s="1055"/>
      <c r="VDO90" s="1055"/>
      <c r="VDP90" s="1055"/>
      <c r="VDQ90" s="1055"/>
      <c r="VDR90" s="1055"/>
      <c r="VDS90" s="1055"/>
      <c r="VDT90" s="1055"/>
      <c r="VDU90" s="1055"/>
      <c r="VDV90" s="1055"/>
      <c r="VDW90" s="1055"/>
      <c r="VDX90" s="1055"/>
      <c r="VDY90" s="1055"/>
      <c r="VDZ90" s="1055"/>
      <c r="VEA90" s="1055"/>
      <c r="VEB90" s="1055"/>
      <c r="VEC90" s="1055"/>
      <c r="VED90" s="1055"/>
      <c r="VEE90" s="1055"/>
      <c r="VEF90" s="1055"/>
      <c r="VEG90" s="1055"/>
      <c r="VEH90" s="1055"/>
      <c r="VEI90" s="1055"/>
      <c r="VEJ90" s="1055"/>
      <c r="VEK90" s="1055"/>
      <c r="VEL90" s="1055"/>
      <c r="VEM90" s="1055"/>
      <c r="VEN90" s="1055"/>
      <c r="VEO90" s="1055"/>
      <c r="VEP90" s="1055"/>
      <c r="VEQ90" s="1055"/>
      <c r="VER90" s="1055"/>
      <c r="VES90" s="1055"/>
      <c r="VET90" s="1055"/>
      <c r="VEU90" s="1055"/>
      <c r="VEV90" s="1055"/>
      <c r="VEW90" s="1055"/>
      <c r="VEX90" s="1055"/>
      <c r="VEY90" s="1055"/>
      <c r="VEZ90" s="1055"/>
      <c r="VFA90" s="1055"/>
      <c r="VFB90" s="1055"/>
      <c r="VFC90" s="1055"/>
      <c r="VFD90" s="1055"/>
      <c r="VFE90" s="1055"/>
      <c r="VFF90" s="1055"/>
      <c r="VFG90" s="1055"/>
      <c r="VFH90" s="1055"/>
      <c r="VFI90" s="1055"/>
      <c r="VFJ90" s="1055"/>
      <c r="VFK90" s="1055"/>
      <c r="VFL90" s="1055"/>
      <c r="VFM90" s="1055"/>
      <c r="VFN90" s="1055"/>
      <c r="VFO90" s="1055"/>
      <c r="VFP90" s="1055"/>
      <c r="VFQ90" s="1055"/>
      <c r="VFR90" s="1055"/>
      <c r="VFS90" s="1055"/>
      <c r="VFT90" s="1055"/>
      <c r="VFU90" s="1055"/>
      <c r="VFV90" s="1055"/>
      <c r="VFW90" s="1055"/>
      <c r="VFX90" s="1055"/>
      <c r="VFY90" s="1055"/>
      <c r="VFZ90" s="1055"/>
      <c r="VGA90" s="1055"/>
      <c r="VGB90" s="1055"/>
      <c r="VGC90" s="1055"/>
      <c r="VGD90" s="1055"/>
      <c r="VGE90" s="1055"/>
      <c r="VGF90" s="1055"/>
      <c r="VGG90" s="1055"/>
      <c r="VGH90" s="1055"/>
      <c r="VGI90" s="1055"/>
      <c r="VGJ90" s="1055"/>
      <c r="VGK90" s="1055"/>
      <c r="VGL90" s="1055"/>
      <c r="VGM90" s="1055"/>
      <c r="VGN90" s="1055"/>
      <c r="VGO90" s="1055"/>
      <c r="VGP90" s="1055"/>
      <c r="VGQ90" s="1055"/>
      <c r="VGR90" s="1055"/>
      <c r="VGS90" s="1055"/>
      <c r="VGT90" s="1055"/>
      <c r="VGU90" s="1055"/>
      <c r="VGV90" s="1055"/>
      <c r="VGW90" s="1055"/>
      <c r="VGX90" s="1055"/>
      <c r="VGY90" s="1055"/>
      <c r="VGZ90" s="1055"/>
      <c r="VHA90" s="1055"/>
      <c r="VHB90" s="1055"/>
      <c r="VHC90" s="1055"/>
      <c r="VHD90" s="1055"/>
      <c r="VHE90" s="1055"/>
      <c r="VHF90" s="1055"/>
      <c r="VHG90" s="1055"/>
      <c r="VHH90" s="1055"/>
      <c r="VHI90" s="1055"/>
      <c r="VHJ90" s="1055"/>
      <c r="VHK90" s="1055"/>
      <c r="VHL90" s="1055"/>
      <c r="VHM90" s="1055"/>
      <c r="VHN90" s="1055"/>
      <c r="VHO90" s="1055"/>
      <c r="VHP90" s="1055"/>
      <c r="VHQ90" s="1055"/>
      <c r="VHR90" s="1055"/>
      <c r="VHS90" s="1055"/>
      <c r="VHT90" s="1055"/>
      <c r="VHU90" s="1055"/>
      <c r="VHV90" s="1055"/>
      <c r="VHW90" s="1055"/>
      <c r="VHX90" s="1055"/>
      <c r="VHY90" s="1055"/>
      <c r="VHZ90" s="1055"/>
      <c r="VIA90" s="1055"/>
      <c r="VIB90" s="1055"/>
      <c r="VIC90" s="1055"/>
      <c r="VID90" s="1055"/>
      <c r="VIE90" s="1055"/>
      <c r="VIF90" s="1055"/>
      <c r="VIG90" s="1055"/>
      <c r="VIH90" s="1055"/>
      <c r="VII90" s="1055"/>
      <c r="VIJ90" s="1055"/>
      <c r="VIK90" s="1055"/>
      <c r="VIL90" s="1055"/>
      <c r="VIM90" s="1055"/>
      <c r="VIN90" s="1055"/>
      <c r="VIO90" s="1055"/>
      <c r="VIP90" s="1055"/>
      <c r="VIQ90" s="1055"/>
      <c r="VIR90" s="1055"/>
      <c r="VIS90" s="1055"/>
      <c r="VIT90" s="1055"/>
      <c r="VIU90" s="1055"/>
      <c r="VIV90" s="1055"/>
      <c r="VIW90" s="1055"/>
      <c r="VIX90" s="1055"/>
      <c r="VIY90" s="1055"/>
      <c r="VIZ90" s="1055"/>
      <c r="VJA90" s="1055"/>
      <c r="VJB90" s="1055"/>
      <c r="VJC90" s="1055"/>
      <c r="VJD90" s="1055"/>
      <c r="VJE90" s="1055"/>
      <c r="VJF90" s="1055"/>
      <c r="VJG90" s="1055"/>
      <c r="VJH90" s="1055"/>
      <c r="VJI90" s="1055"/>
      <c r="VJJ90" s="1055"/>
      <c r="VJK90" s="1055"/>
      <c r="VJL90" s="1055"/>
      <c r="VJM90" s="1055"/>
      <c r="VJN90" s="1055"/>
      <c r="VJO90" s="1055"/>
      <c r="VJP90" s="1055"/>
      <c r="VJQ90" s="1055"/>
      <c r="VJR90" s="1055"/>
      <c r="VJS90" s="1055"/>
      <c r="VJT90" s="1055"/>
      <c r="VJU90" s="1055"/>
      <c r="VJV90" s="1055"/>
      <c r="VJW90" s="1055"/>
      <c r="VJX90" s="1055"/>
      <c r="VJY90" s="1055"/>
      <c r="VJZ90" s="1055"/>
      <c r="VKA90" s="1055"/>
      <c r="VKB90" s="1055"/>
      <c r="VKC90" s="1055"/>
      <c r="VKD90" s="1055"/>
      <c r="VKE90" s="1055"/>
      <c r="VKF90" s="1055"/>
      <c r="VKG90" s="1055"/>
      <c r="VKH90" s="1055"/>
      <c r="VKI90" s="1055"/>
      <c r="VKJ90" s="1055"/>
      <c r="VKK90" s="1055"/>
      <c r="VKL90" s="1055"/>
      <c r="VKM90" s="1055"/>
      <c r="VKN90" s="1055"/>
      <c r="VKO90" s="1055"/>
      <c r="VKP90" s="1055"/>
      <c r="VKQ90" s="1055"/>
      <c r="VKR90" s="1055"/>
      <c r="VKS90" s="1055"/>
      <c r="VKT90" s="1055"/>
      <c r="VKU90" s="1055"/>
      <c r="VKV90" s="1055"/>
      <c r="VKW90" s="1055"/>
      <c r="VKX90" s="1055"/>
      <c r="VKY90" s="1055"/>
      <c r="VKZ90" s="1055"/>
      <c r="VLA90" s="1055"/>
      <c r="VLB90" s="1055"/>
      <c r="VLC90" s="1055"/>
      <c r="VLD90" s="1055"/>
      <c r="VLE90" s="1055"/>
      <c r="VLF90" s="1055"/>
      <c r="VLG90" s="1055"/>
      <c r="VLH90" s="1055"/>
      <c r="VLI90" s="1055"/>
      <c r="VLJ90" s="1055"/>
      <c r="VLK90" s="1055"/>
      <c r="VLL90" s="1055"/>
      <c r="VLM90" s="1055"/>
      <c r="VLN90" s="1055"/>
      <c r="VLO90" s="1055"/>
      <c r="VLP90" s="1055"/>
      <c r="VLQ90" s="1055"/>
      <c r="VLR90" s="1055"/>
      <c r="VLS90" s="1055"/>
      <c r="VLT90" s="1055"/>
      <c r="VLU90" s="1055"/>
      <c r="VLV90" s="1055"/>
      <c r="VLW90" s="1055"/>
      <c r="VLX90" s="1055"/>
      <c r="VLY90" s="1055"/>
      <c r="VLZ90" s="1055"/>
      <c r="VMA90" s="1055"/>
      <c r="VMB90" s="1055"/>
      <c r="VMC90" s="1055"/>
      <c r="VMD90" s="1055"/>
      <c r="VME90" s="1055"/>
      <c r="VMF90" s="1055"/>
      <c r="VMG90" s="1055"/>
      <c r="VMH90" s="1055"/>
      <c r="VMI90" s="1055"/>
      <c r="VMJ90" s="1055"/>
      <c r="VMK90" s="1055"/>
      <c r="VML90" s="1055"/>
      <c r="VMM90" s="1055"/>
      <c r="VMN90" s="1055"/>
      <c r="VMO90" s="1055"/>
      <c r="VMP90" s="1055"/>
      <c r="VMQ90" s="1055"/>
      <c r="VMR90" s="1055"/>
      <c r="VMS90" s="1055"/>
      <c r="VMT90" s="1055"/>
      <c r="VMU90" s="1055"/>
      <c r="VMV90" s="1055"/>
      <c r="VMW90" s="1055"/>
      <c r="VMX90" s="1055"/>
      <c r="VMY90" s="1055"/>
      <c r="VMZ90" s="1055"/>
      <c r="VNA90" s="1055"/>
      <c r="VNB90" s="1055"/>
      <c r="VNC90" s="1055"/>
      <c r="VND90" s="1055"/>
      <c r="VNE90" s="1055"/>
      <c r="VNF90" s="1055"/>
      <c r="VNG90" s="1055"/>
      <c r="VNH90" s="1055"/>
      <c r="VNI90" s="1055"/>
      <c r="VNJ90" s="1055"/>
      <c r="VNK90" s="1055"/>
      <c r="VNL90" s="1055"/>
      <c r="VNM90" s="1055"/>
      <c r="VNN90" s="1055"/>
      <c r="VNO90" s="1055"/>
      <c r="VNP90" s="1055"/>
      <c r="VNQ90" s="1055"/>
      <c r="VNR90" s="1055"/>
      <c r="VNS90" s="1055"/>
      <c r="VNT90" s="1055"/>
      <c r="VNU90" s="1055"/>
      <c r="VNV90" s="1055"/>
      <c r="VNW90" s="1055"/>
      <c r="VNX90" s="1055"/>
      <c r="VNY90" s="1055"/>
      <c r="VNZ90" s="1055"/>
      <c r="VOA90" s="1055"/>
      <c r="VOB90" s="1055"/>
      <c r="VOC90" s="1055"/>
      <c r="VOD90" s="1055"/>
      <c r="VOE90" s="1055"/>
      <c r="VOF90" s="1055"/>
      <c r="VOG90" s="1055"/>
      <c r="VOH90" s="1055"/>
      <c r="VOI90" s="1055"/>
      <c r="VOJ90" s="1055"/>
      <c r="VOK90" s="1055"/>
      <c r="VOL90" s="1055"/>
      <c r="VOM90" s="1055"/>
      <c r="VON90" s="1055"/>
      <c r="VOO90" s="1055"/>
      <c r="VOP90" s="1055"/>
      <c r="VOQ90" s="1055"/>
      <c r="VOR90" s="1055"/>
      <c r="VOS90" s="1055"/>
      <c r="VOT90" s="1055"/>
      <c r="VOU90" s="1055"/>
      <c r="VOV90" s="1055"/>
      <c r="VOW90" s="1055"/>
      <c r="VOX90" s="1055"/>
      <c r="VOY90" s="1055"/>
      <c r="VOZ90" s="1055"/>
      <c r="VPA90" s="1055"/>
      <c r="VPB90" s="1055"/>
      <c r="VPC90" s="1055"/>
      <c r="VPD90" s="1055"/>
      <c r="VPE90" s="1055"/>
      <c r="VPF90" s="1055"/>
      <c r="VPG90" s="1055"/>
      <c r="VPH90" s="1055"/>
      <c r="VPI90" s="1055"/>
      <c r="VPJ90" s="1055"/>
      <c r="VPK90" s="1055"/>
      <c r="VPL90" s="1055"/>
      <c r="VPM90" s="1055"/>
      <c r="VPN90" s="1055"/>
      <c r="VPO90" s="1055"/>
      <c r="VPP90" s="1055"/>
      <c r="VPQ90" s="1055"/>
      <c r="VPR90" s="1055"/>
      <c r="VPS90" s="1055"/>
      <c r="VPT90" s="1055"/>
      <c r="VPU90" s="1055"/>
      <c r="VPV90" s="1055"/>
      <c r="VPW90" s="1055"/>
      <c r="VPX90" s="1055"/>
      <c r="VPY90" s="1055"/>
      <c r="VPZ90" s="1055"/>
      <c r="VQA90" s="1055"/>
      <c r="VQB90" s="1055"/>
      <c r="VQC90" s="1055"/>
      <c r="VQD90" s="1055"/>
      <c r="VQE90" s="1055"/>
      <c r="VQF90" s="1055"/>
      <c r="VQG90" s="1055"/>
      <c r="VQH90" s="1055"/>
      <c r="VQI90" s="1055"/>
      <c r="VQJ90" s="1055"/>
      <c r="VQK90" s="1055"/>
      <c r="VQL90" s="1055"/>
      <c r="VQM90" s="1055"/>
      <c r="VQN90" s="1055"/>
      <c r="VQO90" s="1055"/>
      <c r="VQP90" s="1055"/>
      <c r="VQQ90" s="1055"/>
      <c r="VQR90" s="1055"/>
      <c r="VQS90" s="1055"/>
      <c r="VQT90" s="1055"/>
      <c r="VQU90" s="1055"/>
      <c r="VQV90" s="1055"/>
      <c r="VQW90" s="1055"/>
      <c r="VQX90" s="1055"/>
      <c r="VQY90" s="1055"/>
      <c r="VQZ90" s="1055"/>
      <c r="VRA90" s="1055"/>
      <c r="VRB90" s="1055"/>
      <c r="VRC90" s="1055"/>
      <c r="VRD90" s="1055"/>
      <c r="VRE90" s="1055"/>
      <c r="VRF90" s="1055"/>
      <c r="VRG90" s="1055"/>
      <c r="VRH90" s="1055"/>
      <c r="VRI90" s="1055"/>
      <c r="VRJ90" s="1055"/>
      <c r="VRK90" s="1055"/>
      <c r="VRL90" s="1055"/>
      <c r="VRM90" s="1055"/>
      <c r="VRN90" s="1055"/>
      <c r="VRO90" s="1055"/>
      <c r="VRP90" s="1055"/>
      <c r="VRQ90" s="1055"/>
      <c r="VRR90" s="1055"/>
      <c r="VRS90" s="1055"/>
      <c r="VRT90" s="1055"/>
      <c r="VRU90" s="1055"/>
      <c r="VRV90" s="1055"/>
      <c r="VRW90" s="1055"/>
      <c r="VRX90" s="1055"/>
      <c r="VRY90" s="1055"/>
      <c r="VRZ90" s="1055"/>
      <c r="VSA90" s="1055"/>
      <c r="VSB90" s="1055"/>
      <c r="VSC90" s="1055"/>
      <c r="VSD90" s="1055"/>
      <c r="VSE90" s="1055"/>
      <c r="VSF90" s="1055"/>
      <c r="VSG90" s="1055"/>
      <c r="VSH90" s="1055"/>
      <c r="VSI90" s="1055"/>
      <c r="VSJ90" s="1055"/>
      <c r="VSK90" s="1055"/>
      <c r="VSL90" s="1055"/>
      <c r="VSM90" s="1055"/>
      <c r="VSN90" s="1055"/>
      <c r="VSO90" s="1055"/>
      <c r="VSP90" s="1055"/>
      <c r="VSQ90" s="1055"/>
      <c r="VSR90" s="1055"/>
      <c r="VSS90" s="1055"/>
      <c r="VST90" s="1055"/>
      <c r="VSU90" s="1055"/>
      <c r="VSV90" s="1055"/>
      <c r="VSW90" s="1055"/>
      <c r="VSX90" s="1055"/>
      <c r="VSY90" s="1055"/>
      <c r="VSZ90" s="1055"/>
      <c r="VTA90" s="1055"/>
      <c r="VTB90" s="1055"/>
      <c r="VTC90" s="1055"/>
      <c r="VTD90" s="1055"/>
      <c r="VTE90" s="1055"/>
      <c r="VTF90" s="1055"/>
      <c r="VTG90" s="1055"/>
      <c r="VTH90" s="1055"/>
      <c r="VTI90" s="1055"/>
      <c r="VTJ90" s="1055"/>
      <c r="VTK90" s="1055"/>
      <c r="VTL90" s="1055"/>
      <c r="VTM90" s="1055"/>
      <c r="VTN90" s="1055"/>
      <c r="VTO90" s="1055"/>
      <c r="VTP90" s="1055"/>
      <c r="VTQ90" s="1055"/>
      <c r="VTR90" s="1055"/>
      <c r="VTS90" s="1055"/>
      <c r="VTT90" s="1055"/>
      <c r="VTU90" s="1055"/>
      <c r="VTV90" s="1055"/>
      <c r="VTW90" s="1055"/>
      <c r="VTX90" s="1055"/>
      <c r="VTY90" s="1055"/>
      <c r="VTZ90" s="1055"/>
      <c r="VUA90" s="1055"/>
      <c r="VUB90" s="1055"/>
      <c r="VUC90" s="1055"/>
      <c r="VUD90" s="1055"/>
      <c r="VUE90" s="1055"/>
      <c r="VUF90" s="1055"/>
      <c r="VUG90" s="1055"/>
      <c r="VUH90" s="1055"/>
      <c r="VUI90" s="1055"/>
      <c r="VUJ90" s="1055"/>
      <c r="VUK90" s="1055"/>
      <c r="VUL90" s="1055"/>
      <c r="VUM90" s="1055"/>
      <c r="VUN90" s="1055"/>
      <c r="VUO90" s="1055"/>
      <c r="VUP90" s="1055"/>
      <c r="VUQ90" s="1055"/>
      <c r="VUR90" s="1055"/>
      <c r="VUS90" s="1055"/>
      <c r="VUT90" s="1055"/>
      <c r="VUU90" s="1055"/>
      <c r="VUV90" s="1055"/>
      <c r="VUW90" s="1055"/>
      <c r="VUX90" s="1055"/>
      <c r="VUY90" s="1055"/>
      <c r="VUZ90" s="1055"/>
      <c r="VVA90" s="1055"/>
      <c r="VVB90" s="1055"/>
      <c r="VVC90" s="1055"/>
      <c r="VVD90" s="1055"/>
      <c r="VVE90" s="1055"/>
      <c r="VVF90" s="1055"/>
      <c r="VVG90" s="1055"/>
      <c r="VVH90" s="1055"/>
      <c r="VVI90" s="1055"/>
      <c r="VVJ90" s="1055"/>
      <c r="VVK90" s="1055"/>
      <c r="VVL90" s="1055"/>
      <c r="VVM90" s="1055"/>
      <c r="VVN90" s="1055"/>
      <c r="VVO90" s="1055"/>
      <c r="VVP90" s="1055"/>
      <c r="VVQ90" s="1055"/>
      <c r="VVR90" s="1055"/>
      <c r="VVS90" s="1055"/>
      <c r="VVT90" s="1055"/>
      <c r="VVU90" s="1055"/>
      <c r="VVV90" s="1055"/>
      <c r="VVW90" s="1055"/>
      <c r="VVX90" s="1055"/>
      <c r="VVY90" s="1055"/>
      <c r="VVZ90" s="1055"/>
      <c r="VWA90" s="1055"/>
      <c r="VWB90" s="1055"/>
      <c r="VWC90" s="1055"/>
      <c r="VWD90" s="1055"/>
      <c r="VWE90" s="1055"/>
      <c r="VWF90" s="1055"/>
      <c r="VWG90" s="1055"/>
      <c r="VWH90" s="1055"/>
      <c r="VWI90" s="1055"/>
      <c r="VWJ90" s="1055"/>
      <c r="VWK90" s="1055"/>
      <c r="VWL90" s="1055"/>
      <c r="VWM90" s="1055"/>
      <c r="VWN90" s="1055"/>
      <c r="VWO90" s="1055"/>
      <c r="VWP90" s="1055"/>
      <c r="VWQ90" s="1055"/>
      <c r="VWR90" s="1055"/>
      <c r="VWS90" s="1055"/>
      <c r="VWT90" s="1055"/>
      <c r="VWU90" s="1055"/>
      <c r="VWV90" s="1055"/>
      <c r="VWW90" s="1055"/>
      <c r="VWX90" s="1055"/>
      <c r="VWY90" s="1055"/>
      <c r="VWZ90" s="1055"/>
      <c r="VXA90" s="1055"/>
      <c r="VXB90" s="1055"/>
      <c r="VXC90" s="1055"/>
      <c r="VXD90" s="1055"/>
      <c r="VXE90" s="1055"/>
      <c r="VXF90" s="1055"/>
      <c r="VXG90" s="1055"/>
      <c r="VXH90" s="1055"/>
      <c r="VXI90" s="1055"/>
      <c r="VXJ90" s="1055"/>
      <c r="VXK90" s="1055"/>
      <c r="VXL90" s="1055"/>
      <c r="VXM90" s="1055"/>
      <c r="VXN90" s="1055"/>
      <c r="VXO90" s="1055"/>
      <c r="VXP90" s="1055"/>
      <c r="VXQ90" s="1055"/>
      <c r="VXR90" s="1055"/>
      <c r="VXS90" s="1055"/>
      <c r="VXT90" s="1055"/>
      <c r="VXU90" s="1055"/>
      <c r="VXV90" s="1055"/>
      <c r="VXW90" s="1055"/>
      <c r="VXX90" s="1055"/>
      <c r="VXY90" s="1055"/>
      <c r="VXZ90" s="1055"/>
      <c r="VYA90" s="1055"/>
      <c r="VYB90" s="1055"/>
      <c r="VYC90" s="1055"/>
      <c r="VYD90" s="1055"/>
      <c r="VYE90" s="1055"/>
      <c r="VYF90" s="1055"/>
      <c r="VYG90" s="1055"/>
      <c r="VYH90" s="1055"/>
      <c r="VYI90" s="1055"/>
      <c r="VYJ90" s="1055"/>
      <c r="VYK90" s="1055"/>
      <c r="VYL90" s="1055"/>
      <c r="VYM90" s="1055"/>
      <c r="VYN90" s="1055"/>
      <c r="VYO90" s="1055"/>
      <c r="VYP90" s="1055"/>
      <c r="VYQ90" s="1055"/>
      <c r="VYR90" s="1055"/>
      <c r="VYS90" s="1055"/>
      <c r="VYT90" s="1055"/>
      <c r="VYU90" s="1055"/>
      <c r="VYV90" s="1055"/>
      <c r="VYW90" s="1055"/>
      <c r="VYX90" s="1055"/>
      <c r="VYY90" s="1055"/>
      <c r="VYZ90" s="1055"/>
      <c r="VZA90" s="1055"/>
      <c r="VZB90" s="1055"/>
      <c r="VZC90" s="1055"/>
      <c r="VZD90" s="1055"/>
      <c r="VZE90" s="1055"/>
      <c r="VZF90" s="1055"/>
      <c r="VZG90" s="1055"/>
      <c r="VZH90" s="1055"/>
      <c r="VZI90" s="1055"/>
      <c r="VZJ90" s="1055"/>
      <c r="VZK90" s="1055"/>
      <c r="VZL90" s="1055"/>
      <c r="VZM90" s="1055"/>
      <c r="VZN90" s="1055"/>
      <c r="VZO90" s="1055"/>
      <c r="VZP90" s="1055"/>
      <c r="VZQ90" s="1055"/>
      <c r="VZR90" s="1055"/>
      <c r="VZS90" s="1055"/>
      <c r="VZT90" s="1055"/>
      <c r="VZU90" s="1055"/>
      <c r="VZV90" s="1055"/>
      <c r="VZW90" s="1055"/>
      <c r="VZX90" s="1055"/>
      <c r="VZY90" s="1055"/>
      <c r="VZZ90" s="1055"/>
      <c r="WAA90" s="1055"/>
      <c r="WAB90" s="1055"/>
      <c r="WAC90" s="1055"/>
      <c r="WAD90" s="1055"/>
      <c r="WAE90" s="1055"/>
      <c r="WAF90" s="1055"/>
      <c r="WAG90" s="1055"/>
      <c r="WAH90" s="1055"/>
      <c r="WAI90" s="1055"/>
      <c r="WAJ90" s="1055"/>
      <c r="WAK90" s="1055"/>
      <c r="WAL90" s="1055"/>
      <c r="WAM90" s="1055"/>
      <c r="WAN90" s="1055"/>
      <c r="WAO90" s="1055"/>
      <c r="WAP90" s="1055"/>
      <c r="WAQ90" s="1055"/>
      <c r="WAR90" s="1055"/>
      <c r="WAS90" s="1055"/>
      <c r="WAT90" s="1055"/>
      <c r="WAU90" s="1055"/>
      <c r="WAV90" s="1055"/>
      <c r="WAW90" s="1055"/>
      <c r="WAX90" s="1055"/>
      <c r="WAY90" s="1055"/>
      <c r="WAZ90" s="1055"/>
      <c r="WBA90" s="1055"/>
      <c r="WBB90" s="1055"/>
      <c r="WBC90" s="1055"/>
      <c r="WBD90" s="1055"/>
      <c r="WBE90" s="1055"/>
      <c r="WBF90" s="1055"/>
      <c r="WBG90" s="1055"/>
      <c r="WBH90" s="1055"/>
      <c r="WBI90" s="1055"/>
      <c r="WBJ90" s="1055"/>
      <c r="WBK90" s="1055"/>
      <c r="WBL90" s="1055"/>
      <c r="WBM90" s="1055"/>
      <c r="WBN90" s="1055"/>
      <c r="WBO90" s="1055"/>
      <c r="WBP90" s="1055"/>
      <c r="WBQ90" s="1055"/>
      <c r="WBR90" s="1055"/>
      <c r="WBS90" s="1055"/>
      <c r="WBT90" s="1055"/>
      <c r="WBU90" s="1055"/>
      <c r="WBV90" s="1055"/>
      <c r="WBW90" s="1055"/>
      <c r="WBX90" s="1055"/>
      <c r="WBY90" s="1055"/>
      <c r="WBZ90" s="1055"/>
      <c r="WCA90" s="1055"/>
      <c r="WCB90" s="1055"/>
      <c r="WCC90" s="1055"/>
      <c r="WCD90" s="1055"/>
      <c r="WCE90" s="1055"/>
      <c r="WCF90" s="1055"/>
      <c r="WCG90" s="1055"/>
      <c r="WCH90" s="1055"/>
      <c r="WCI90" s="1055"/>
      <c r="WCJ90" s="1055"/>
      <c r="WCK90" s="1055"/>
      <c r="WCL90" s="1055"/>
      <c r="WCM90" s="1055"/>
      <c r="WCN90" s="1055"/>
      <c r="WCO90" s="1055"/>
      <c r="WCP90" s="1055"/>
      <c r="WCQ90" s="1055"/>
      <c r="WCR90" s="1055"/>
      <c r="WCS90" s="1055"/>
      <c r="WCT90" s="1055"/>
      <c r="WCU90" s="1055"/>
      <c r="WCV90" s="1055"/>
      <c r="WCW90" s="1055"/>
      <c r="WCX90" s="1055"/>
      <c r="WCY90" s="1055"/>
      <c r="WCZ90" s="1055"/>
      <c r="WDA90" s="1055"/>
      <c r="WDB90" s="1055"/>
      <c r="WDC90" s="1055"/>
      <c r="WDD90" s="1055"/>
      <c r="WDE90" s="1055"/>
      <c r="WDF90" s="1055"/>
      <c r="WDG90" s="1055"/>
      <c r="WDH90" s="1055"/>
      <c r="WDI90" s="1055"/>
      <c r="WDJ90" s="1055"/>
      <c r="WDK90" s="1055"/>
      <c r="WDL90" s="1055"/>
      <c r="WDM90" s="1055"/>
      <c r="WDN90" s="1055"/>
      <c r="WDO90" s="1055"/>
      <c r="WDP90" s="1055"/>
      <c r="WDQ90" s="1055"/>
      <c r="WDR90" s="1055"/>
      <c r="WDS90" s="1055"/>
      <c r="WDT90" s="1055"/>
      <c r="WDU90" s="1055"/>
      <c r="WDV90" s="1055"/>
      <c r="WDW90" s="1055"/>
      <c r="WDX90" s="1055"/>
      <c r="WDY90" s="1055"/>
      <c r="WDZ90" s="1055"/>
      <c r="WEA90" s="1055"/>
      <c r="WEB90" s="1055"/>
      <c r="WEC90" s="1055"/>
      <c r="WED90" s="1055"/>
      <c r="WEE90" s="1055"/>
      <c r="WEF90" s="1055"/>
      <c r="WEG90" s="1055"/>
      <c r="WEH90" s="1055"/>
      <c r="WEI90" s="1055"/>
      <c r="WEJ90" s="1055"/>
      <c r="WEK90" s="1055"/>
      <c r="WEL90" s="1055"/>
      <c r="WEM90" s="1055"/>
      <c r="WEN90" s="1055"/>
      <c r="WEO90" s="1055"/>
      <c r="WEP90" s="1055"/>
      <c r="WEQ90" s="1055"/>
      <c r="WER90" s="1055"/>
      <c r="WES90" s="1055"/>
      <c r="WET90" s="1055"/>
      <c r="WEU90" s="1055"/>
      <c r="WEV90" s="1055"/>
      <c r="WEW90" s="1055"/>
      <c r="WEX90" s="1055"/>
      <c r="WEY90" s="1055"/>
      <c r="WEZ90" s="1055"/>
      <c r="WFA90" s="1055"/>
      <c r="WFB90" s="1055"/>
      <c r="WFC90" s="1055"/>
      <c r="WFD90" s="1055"/>
      <c r="WFE90" s="1055"/>
      <c r="WFF90" s="1055"/>
      <c r="WFG90" s="1055"/>
      <c r="WFH90" s="1055"/>
      <c r="WFI90" s="1055"/>
      <c r="WFJ90" s="1055"/>
      <c r="WFK90" s="1055"/>
      <c r="WFL90" s="1055"/>
      <c r="WFM90" s="1055"/>
      <c r="WFN90" s="1055"/>
      <c r="WFO90" s="1055"/>
      <c r="WFP90" s="1055"/>
      <c r="WFQ90" s="1055"/>
      <c r="WFR90" s="1055"/>
      <c r="WFS90" s="1055"/>
      <c r="WFT90" s="1055"/>
      <c r="WFU90" s="1055"/>
      <c r="WFV90" s="1055"/>
      <c r="WFW90" s="1055"/>
      <c r="WFX90" s="1055"/>
      <c r="WFY90" s="1055"/>
      <c r="WFZ90" s="1055"/>
      <c r="WGA90" s="1055"/>
      <c r="WGB90" s="1055"/>
      <c r="WGC90" s="1055"/>
      <c r="WGD90" s="1055"/>
      <c r="WGE90" s="1055"/>
      <c r="WGF90" s="1055"/>
      <c r="WGG90" s="1055"/>
      <c r="WGH90" s="1055"/>
      <c r="WGI90" s="1055"/>
      <c r="WGJ90" s="1055"/>
      <c r="WGK90" s="1055"/>
      <c r="WGL90" s="1055"/>
      <c r="WGM90" s="1055"/>
      <c r="WGN90" s="1055"/>
      <c r="WGO90" s="1055"/>
      <c r="WGP90" s="1055"/>
      <c r="WGQ90" s="1055"/>
      <c r="WGR90" s="1055"/>
      <c r="WGS90" s="1055"/>
      <c r="WGT90" s="1055"/>
      <c r="WGU90" s="1055"/>
      <c r="WGV90" s="1055"/>
      <c r="WGW90" s="1055"/>
      <c r="WGX90" s="1055"/>
      <c r="WGY90" s="1055"/>
      <c r="WGZ90" s="1055"/>
      <c r="WHA90" s="1055"/>
      <c r="WHB90" s="1055"/>
      <c r="WHC90" s="1055"/>
      <c r="WHD90" s="1055"/>
      <c r="WHE90" s="1055"/>
      <c r="WHF90" s="1055"/>
      <c r="WHG90" s="1055"/>
      <c r="WHH90" s="1055"/>
      <c r="WHI90" s="1055"/>
      <c r="WHJ90" s="1055"/>
      <c r="WHK90" s="1055"/>
      <c r="WHL90" s="1055"/>
      <c r="WHM90" s="1055"/>
      <c r="WHN90" s="1055"/>
      <c r="WHO90" s="1055"/>
      <c r="WHP90" s="1055"/>
      <c r="WHQ90" s="1055"/>
      <c r="WHR90" s="1055"/>
      <c r="WHS90" s="1055"/>
      <c r="WHT90" s="1055"/>
      <c r="WHU90" s="1055"/>
      <c r="WHV90" s="1055"/>
      <c r="WHW90" s="1055"/>
      <c r="WHX90" s="1055"/>
      <c r="WHY90" s="1055"/>
      <c r="WHZ90" s="1055"/>
      <c r="WIA90" s="1055"/>
      <c r="WIB90" s="1055"/>
      <c r="WIC90" s="1055"/>
      <c r="WID90" s="1055"/>
      <c r="WIE90" s="1055"/>
      <c r="WIF90" s="1055"/>
      <c r="WIG90" s="1055"/>
      <c r="WIH90" s="1055"/>
      <c r="WII90" s="1055"/>
      <c r="WIJ90" s="1055"/>
      <c r="WIK90" s="1055"/>
      <c r="WIL90" s="1055"/>
      <c r="WIM90" s="1055"/>
      <c r="WIN90" s="1055"/>
      <c r="WIO90" s="1055"/>
      <c r="WIP90" s="1055"/>
      <c r="WIQ90" s="1055"/>
      <c r="WIR90" s="1055"/>
      <c r="WIS90" s="1055"/>
      <c r="WIT90" s="1055"/>
      <c r="WIU90" s="1055"/>
      <c r="WIV90" s="1055"/>
      <c r="WIW90" s="1055"/>
      <c r="WIX90" s="1055"/>
      <c r="WIY90" s="1055"/>
      <c r="WIZ90" s="1055"/>
      <c r="WJA90" s="1055"/>
      <c r="WJB90" s="1055"/>
      <c r="WJC90" s="1055"/>
      <c r="WJD90" s="1055"/>
      <c r="WJE90" s="1055"/>
      <c r="WJF90" s="1055"/>
      <c r="WJG90" s="1055"/>
      <c r="WJH90" s="1055"/>
      <c r="WJI90" s="1055"/>
      <c r="WJJ90" s="1055"/>
      <c r="WJK90" s="1055"/>
      <c r="WJL90" s="1055"/>
      <c r="WJM90" s="1055"/>
      <c r="WJN90" s="1055"/>
      <c r="WJO90" s="1055"/>
      <c r="WJP90" s="1055"/>
      <c r="WJQ90" s="1055"/>
      <c r="WJR90" s="1055"/>
      <c r="WJS90" s="1055"/>
      <c r="WJT90" s="1055"/>
      <c r="WJU90" s="1055"/>
      <c r="WJV90" s="1055"/>
      <c r="WJW90" s="1055"/>
      <c r="WJX90" s="1055"/>
      <c r="WJY90" s="1055"/>
      <c r="WJZ90" s="1055"/>
      <c r="WKA90" s="1055"/>
      <c r="WKB90" s="1055"/>
      <c r="WKC90" s="1055"/>
      <c r="WKD90" s="1055"/>
      <c r="WKE90" s="1055"/>
      <c r="WKF90" s="1055"/>
      <c r="WKG90" s="1055"/>
      <c r="WKH90" s="1055"/>
      <c r="WKI90" s="1055"/>
      <c r="WKJ90" s="1055"/>
      <c r="WKK90" s="1055"/>
      <c r="WKL90" s="1055"/>
      <c r="WKM90" s="1055"/>
      <c r="WKN90" s="1055"/>
      <c r="WKO90" s="1055"/>
      <c r="WKP90" s="1055"/>
      <c r="WKQ90" s="1055"/>
      <c r="WKR90" s="1055"/>
      <c r="WKS90" s="1055"/>
      <c r="WKT90" s="1055"/>
      <c r="WKU90" s="1055"/>
      <c r="WKV90" s="1055"/>
      <c r="WKW90" s="1055"/>
      <c r="WKX90" s="1055"/>
      <c r="WKY90" s="1055"/>
      <c r="WKZ90" s="1055"/>
      <c r="WLA90" s="1055"/>
      <c r="WLB90" s="1055"/>
      <c r="WLC90" s="1055"/>
      <c r="WLD90" s="1055"/>
      <c r="WLE90" s="1055"/>
      <c r="WLF90" s="1055"/>
      <c r="WLG90" s="1055"/>
      <c r="WLH90" s="1055"/>
      <c r="WLI90" s="1055"/>
      <c r="WLJ90" s="1055"/>
      <c r="WLK90" s="1055"/>
      <c r="WLL90" s="1055"/>
      <c r="WLM90" s="1055"/>
      <c r="WLN90" s="1055"/>
      <c r="WLO90" s="1055"/>
      <c r="WLP90" s="1055"/>
      <c r="WLQ90" s="1055"/>
      <c r="WLR90" s="1055"/>
      <c r="WLS90" s="1055"/>
      <c r="WLT90" s="1055"/>
      <c r="WLU90" s="1055"/>
      <c r="WLV90" s="1055"/>
      <c r="WLW90" s="1055"/>
      <c r="WLX90" s="1055"/>
      <c r="WLY90" s="1055"/>
      <c r="WLZ90" s="1055"/>
      <c r="WMA90" s="1055"/>
      <c r="WMB90" s="1055"/>
      <c r="WMC90" s="1055"/>
      <c r="WMD90" s="1055"/>
      <c r="WME90" s="1055"/>
      <c r="WMF90" s="1055"/>
      <c r="WMG90" s="1055"/>
      <c r="WMH90" s="1055"/>
      <c r="WMI90" s="1055"/>
      <c r="WMJ90" s="1055"/>
      <c r="WMK90" s="1055"/>
      <c r="WML90" s="1055"/>
      <c r="WMM90" s="1055"/>
      <c r="WMN90" s="1055"/>
      <c r="WMO90" s="1055"/>
      <c r="WMP90" s="1055"/>
      <c r="WMQ90" s="1055"/>
      <c r="WMR90" s="1055"/>
      <c r="WMS90" s="1055"/>
      <c r="WMT90" s="1055"/>
      <c r="WMU90" s="1055"/>
      <c r="WMV90" s="1055"/>
      <c r="WMW90" s="1055"/>
      <c r="WMX90" s="1055"/>
      <c r="WMY90" s="1055"/>
      <c r="WMZ90" s="1055"/>
      <c r="WNA90" s="1055"/>
      <c r="WNB90" s="1055"/>
      <c r="WNC90" s="1055"/>
      <c r="WND90" s="1055"/>
      <c r="WNE90" s="1055"/>
      <c r="WNF90" s="1055"/>
      <c r="WNG90" s="1055"/>
      <c r="WNH90" s="1055"/>
      <c r="WNI90" s="1055"/>
      <c r="WNJ90" s="1055"/>
      <c r="WNK90" s="1055"/>
      <c r="WNL90" s="1055"/>
      <c r="WNM90" s="1055"/>
      <c r="WNN90" s="1055"/>
      <c r="WNO90" s="1055"/>
      <c r="WNP90" s="1055"/>
      <c r="WNQ90" s="1055"/>
      <c r="WNR90" s="1055"/>
      <c r="WNS90" s="1055"/>
      <c r="WNT90" s="1055"/>
      <c r="WNU90" s="1055"/>
      <c r="WNV90" s="1055"/>
      <c r="WNW90" s="1055"/>
      <c r="WNX90" s="1055"/>
      <c r="WNY90" s="1055"/>
      <c r="WNZ90" s="1055"/>
      <c r="WOA90" s="1055"/>
      <c r="WOB90" s="1055"/>
      <c r="WOC90" s="1055"/>
      <c r="WOD90" s="1055"/>
      <c r="WOE90" s="1055"/>
      <c r="WOF90" s="1055"/>
      <c r="WOG90" s="1055"/>
      <c r="WOH90" s="1055"/>
      <c r="WOI90" s="1055"/>
      <c r="WOJ90" s="1055"/>
      <c r="WOK90" s="1055"/>
      <c r="WOL90" s="1055"/>
      <c r="WOM90" s="1055"/>
      <c r="WON90" s="1055"/>
      <c r="WOO90" s="1055"/>
      <c r="WOP90" s="1055"/>
      <c r="WOQ90" s="1055"/>
      <c r="WOR90" s="1055"/>
      <c r="WOS90" s="1055"/>
      <c r="WOT90" s="1055"/>
      <c r="WOU90" s="1055"/>
      <c r="WOV90" s="1055"/>
      <c r="WOW90" s="1055"/>
      <c r="WOX90" s="1055"/>
      <c r="WOY90" s="1055"/>
      <c r="WOZ90" s="1055"/>
      <c r="WPA90" s="1055"/>
      <c r="WPB90" s="1055"/>
      <c r="WPC90" s="1055"/>
      <c r="WPD90" s="1055"/>
      <c r="WPE90" s="1055"/>
      <c r="WPF90" s="1055"/>
      <c r="WPG90" s="1055"/>
      <c r="WPH90" s="1055"/>
      <c r="WPI90" s="1055"/>
      <c r="WPJ90" s="1055"/>
      <c r="WPK90" s="1055"/>
      <c r="WPL90" s="1055"/>
      <c r="WPM90" s="1055"/>
      <c r="WPN90" s="1055"/>
      <c r="WPO90" s="1055"/>
      <c r="WPP90" s="1055"/>
      <c r="WPQ90" s="1055"/>
      <c r="WPR90" s="1055"/>
      <c r="WPS90" s="1055"/>
      <c r="WPT90" s="1055"/>
      <c r="WPU90" s="1055"/>
      <c r="WPV90" s="1055"/>
      <c r="WPW90" s="1055"/>
      <c r="WPX90" s="1055"/>
      <c r="WPY90" s="1055"/>
      <c r="WPZ90" s="1055"/>
      <c r="WQA90" s="1055"/>
      <c r="WQB90" s="1055"/>
      <c r="WQC90" s="1055"/>
      <c r="WQD90" s="1055"/>
      <c r="WQE90" s="1055"/>
      <c r="WQF90" s="1055"/>
      <c r="WQG90" s="1055"/>
      <c r="WQH90" s="1055"/>
      <c r="WQI90" s="1055"/>
      <c r="WQJ90" s="1055"/>
      <c r="WQK90" s="1055"/>
      <c r="WQL90" s="1055"/>
      <c r="WQM90" s="1055"/>
      <c r="WQN90" s="1055"/>
      <c r="WQO90" s="1055"/>
      <c r="WQP90" s="1055"/>
      <c r="WQQ90" s="1055"/>
      <c r="WQR90" s="1055"/>
      <c r="WQS90" s="1055"/>
      <c r="WQT90" s="1055"/>
      <c r="WQU90" s="1055"/>
      <c r="WQV90" s="1055"/>
      <c r="WQW90" s="1055"/>
      <c r="WQX90" s="1055"/>
      <c r="WQY90" s="1055"/>
      <c r="WQZ90" s="1055"/>
      <c r="WRA90" s="1055"/>
      <c r="WRB90" s="1055"/>
      <c r="WRC90" s="1055"/>
      <c r="WRD90" s="1055"/>
      <c r="WRE90" s="1055"/>
      <c r="WRF90" s="1055"/>
      <c r="WRG90" s="1055"/>
      <c r="WRH90" s="1055"/>
      <c r="WRI90" s="1055"/>
      <c r="WRJ90" s="1055"/>
      <c r="WRK90" s="1055"/>
      <c r="WRL90" s="1055"/>
      <c r="WRM90" s="1055"/>
      <c r="WRN90" s="1055"/>
      <c r="WRO90" s="1055"/>
      <c r="WRP90" s="1055"/>
      <c r="WRQ90" s="1055"/>
      <c r="WRR90" s="1055"/>
      <c r="WRS90" s="1055"/>
      <c r="WRT90" s="1055"/>
      <c r="WRU90" s="1055"/>
      <c r="WRV90" s="1055"/>
      <c r="WRW90" s="1055"/>
      <c r="WRX90" s="1055"/>
      <c r="WRY90" s="1055"/>
      <c r="WRZ90" s="1055"/>
      <c r="WSA90" s="1055"/>
      <c r="WSB90" s="1055"/>
      <c r="WSC90" s="1055"/>
      <c r="WSD90" s="1055"/>
      <c r="WSE90" s="1055"/>
      <c r="WSF90" s="1055"/>
      <c r="WSG90" s="1055"/>
      <c r="WSH90" s="1055"/>
      <c r="WSI90" s="1055"/>
      <c r="WSJ90" s="1055"/>
      <c r="WSK90" s="1055"/>
      <c r="WSL90" s="1055"/>
      <c r="WSM90" s="1055"/>
      <c r="WSN90" s="1055"/>
      <c r="WSO90" s="1055"/>
      <c r="WSP90" s="1055"/>
      <c r="WSQ90" s="1055"/>
      <c r="WSR90" s="1055"/>
      <c r="WSS90" s="1055"/>
      <c r="WST90" s="1055"/>
      <c r="WSU90" s="1055"/>
      <c r="WSV90" s="1055"/>
      <c r="WSW90" s="1055"/>
      <c r="WSX90" s="1055"/>
      <c r="WSY90" s="1055"/>
      <c r="WSZ90" s="1055"/>
      <c r="WTA90" s="1055"/>
      <c r="WTB90" s="1055"/>
      <c r="WTC90" s="1055"/>
      <c r="WTD90" s="1055"/>
      <c r="WTE90" s="1055"/>
      <c r="WTF90" s="1055"/>
      <c r="WTG90" s="1055"/>
      <c r="WTH90" s="1055"/>
      <c r="WTI90" s="1055"/>
      <c r="WTJ90" s="1055"/>
      <c r="WTK90" s="1055"/>
      <c r="WTL90" s="1055"/>
      <c r="WTM90" s="1055"/>
      <c r="WTN90" s="1055"/>
      <c r="WTO90" s="1055"/>
      <c r="WTP90" s="1055"/>
      <c r="WTQ90" s="1055"/>
      <c r="WTR90" s="1055"/>
      <c r="WTS90" s="1055"/>
      <c r="WTT90" s="1055"/>
      <c r="WTU90" s="1055"/>
      <c r="WTV90" s="1055"/>
      <c r="WTW90" s="1055"/>
      <c r="WTX90" s="1055"/>
      <c r="WTY90" s="1055"/>
      <c r="WTZ90" s="1055"/>
      <c r="WUA90" s="1055"/>
      <c r="WUB90" s="1055"/>
      <c r="WUC90" s="1055"/>
      <c r="WUD90" s="1055"/>
      <c r="WUE90" s="1055"/>
      <c r="WUF90" s="1055"/>
      <c r="WUG90" s="1055"/>
      <c r="WUH90" s="1055"/>
      <c r="WUI90" s="1055"/>
      <c r="WUJ90" s="1055"/>
      <c r="WUK90" s="1055"/>
      <c r="WUL90" s="1055"/>
      <c r="WUM90" s="1055"/>
      <c r="WUN90" s="1055"/>
      <c r="WUO90" s="1055"/>
      <c r="WUP90" s="1055"/>
      <c r="WUQ90" s="1055"/>
      <c r="WUR90" s="1055"/>
      <c r="WUS90" s="1055"/>
      <c r="WUT90" s="1055"/>
      <c r="WUU90" s="1055"/>
      <c r="WUV90" s="1055"/>
      <c r="WUW90" s="1055"/>
      <c r="WUX90" s="1055"/>
      <c r="WUY90" s="1055"/>
      <c r="WUZ90" s="1055"/>
      <c r="WVA90" s="1055"/>
      <c r="WVB90" s="1055"/>
      <c r="WVC90" s="1055"/>
      <c r="WVD90" s="1055"/>
      <c r="WVE90" s="1055"/>
      <c r="WVF90" s="1055"/>
      <c r="WVG90" s="1055"/>
      <c r="WVH90" s="1055"/>
      <c r="WVI90" s="1055"/>
      <c r="WVJ90" s="1055"/>
      <c r="WVK90" s="1055"/>
      <c r="WVL90" s="1055"/>
      <c r="WVM90" s="1055"/>
      <c r="WVN90" s="1055"/>
      <c r="WVO90" s="1055"/>
      <c r="WVP90" s="1055"/>
      <c r="WVQ90" s="1055"/>
      <c r="WVR90" s="1055"/>
      <c r="WVS90" s="1055"/>
      <c r="WVT90" s="1055"/>
      <c r="WVU90" s="1055"/>
      <c r="WVV90" s="1055"/>
      <c r="WVW90" s="1055"/>
      <c r="WVX90" s="1055"/>
      <c r="WVY90" s="1055"/>
      <c r="WVZ90" s="1055"/>
      <c r="WWA90" s="1055"/>
      <c r="WWB90" s="1055"/>
      <c r="WWC90" s="1055"/>
      <c r="WWD90" s="1055"/>
      <c r="WWE90" s="1055"/>
      <c r="WWF90" s="1055"/>
      <c r="WWG90" s="1055"/>
      <c r="WWH90" s="1055"/>
      <c r="WWI90" s="1055"/>
      <c r="WWJ90" s="1055"/>
      <c r="WWK90" s="1055"/>
      <c r="WWL90" s="1055"/>
      <c r="WWM90" s="1055"/>
      <c r="WWN90" s="1055"/>
      <c r="WWO90" s="1055"/>
      <c r="WWP90" s="1055"/>
      <c r="WWQ90" s="1055"/>
      <c r="WWR90" s="1055"/>
      <c r="WWS90" s="1055"/>
      <c r="WWT90" s="1055"/>
      <c r="WWU90" s="1055"/>
      <c r="WWV90" s="1055"/>
      <c r="WWW90" s="1055"/>
      <c r="WWX90" s="1055"/>
      <c r="WWY90" s="1055"/>
      <c r="WWZ90" s="1055"/>
      <c r="WXA90" s="1055"/>
      <c r="WXB90" s="1055"/>
      <c r="WXC90" s="1055"/>
      <c r="WXD90" s="1055"/>
      <c r="WXE90" s="1055"/>
      <c r="WXF90" s="1055"/>
      <c r="WXG90" s="1055"/>
      <c r="WXH90" s="1055"/>
      <c r="WXI90" s="1055"/>
      <c r="WXJ90" s="1055"/>
      <c r="WXK90" s="1055"/>
      <c r="WXL90" s="1055"/>
      <c r="WXM90" s="1055"/>
      <c r="WXN90" s="1055"/>
      <c r="WXO90" s="1055"/>
      <c r="WXP90" s="1055"/>
      <c r="WXQ90" s="1055"/>
      <c r="WXR90" s="1055"/>
      <c r="WXS90" s="1055"/>
      <c r="WXT90" s="1055"/>
      <c r="WXU90" s="1055"/>
      <c r="WXV90" s="1055"/>
      <c r="WXW90" s="1055"/>
      <c r="WXX90" s="1055"/>
      <c r="WXY90" s="1055"/>
      <c r="WXZ90" s="1055"/>
      <c r="WYA90" s="1055"/>
      <c r="WYB90" s="1055"/>
      <c r="WYC90" s="1055"/>
      <c r="WYD90" s="1055"/>
      <c r="WYE90" s="1055"/>
      <c r="WYF90" s="1055"/>
      <c r="WYG90" s="1055"/>
      <c r="WYH90" s="1055"/>
      <c r="WYI90" s="1055"/>
      <c r="WYJ90" s="1055"/>
      <c r="WYK90" s="1055"/>
      <c r="WYL90" s="1055"/>
      <c r="WYM90" s="1055"/>
      <c r="WYN90" s="1055"/>
      <c r="WYO90" s="1055"/>
      <c r="WYP90" s="1055"/>
      <c r="WYQ90" s="1055"/>
      <c r="WYR90" s="1055"/>
      <c r="WYS90" s="1055"/>
      <c r="WYT90" s="1055"/>
      <c r="WYU90" s="1055"/>
      <c r="WYV90" s="1055"/>
      <c r="WYW90" s="1055"/>
      <c r="WYX90" s="1055"/>
      <c r="WYY90" s="1055"/>
      <c r="WYZ90" s="1055"/>
      <c r="WZA90" s="1055"/>
      <c r="WZB90" s="1055"/>
      <c r="WZC90" s="1055"/>
      <c r="WZD90" s="1055"/>
      <c r="WZE90" s="1055"/>
      <c r="WZF90" s="1055"/>
      <c r="WZG90" s="1055"/>
      <c r="WZH90" s="1055"/>
      <c r="WZI90" s="1055"/>
      <c r="WZJ90" s="1055"/>
      <c r="WZK90" s="1055"/>
      <c r="WZL90" s="1055"/>
      <c r="WZM90" s="1055"/>
      <c r="WZN90" s="1055"/>
      <c r="WZO90" s="1055"/>
      <c r="WZP90" s="1055"/>
      <c r="WZQ90" s="1055"/>
      <c r="WZR90" s="1055"/>
      <c r="WZS90" s="1055"/>
      <c r="WZT90" s="1055"/>
      <c r="WZU90" s="1055"/>
      <c r="WZV90" s="1055"/>
      <c r="WZW90" s="1055"/>
      <c r="WZX90" s="1055"/>
      <c r="WZY90" s="1055"/>
      <c r="WZZ90" s="1055"/>
      <c r="XAA90" s="1055"/>
      <c r="XAB90" s="1055"/>
      <c r="XAC90" s="1055"/>
      <c r="XAD90" s="1055"/>
      <c r="XAE90" s="1055"/>
      <c r="XAF90" s="1055"/>
      <c r="XAG90" s="1055"/>
      <c r="XAH90" s="1055"/>
      <c r="XAI90" s="1055"/>
      <c r="XAJ90" s="1055"/>
      <c r="XAK90" s="1055"/>
      <c r="XAL90" s="1055"/>
      <c r="XAM90" s="1055"/>
      <c r="XAN90" s="1055"/>
      <c r="XAO90" s="1055"/>
      <c r="XAP90" s="1055"/>
      <c r="XAQ90" s="1055"/>
      <c r="XAR90" s="1055"/>
      <c r="XAS90" s="1055"/>
      <c r="XAT90" s="1055"/>
      <c r="XAU90" s="1055"/>
      <c r="XAV90" s="1055"/>
      <c r="XAW90" s="1055"/>
      <c r="XAX90" s="1055"/>
      <c r="XAY90" s="1055"/>
      <c r="XAZ90" s="1055"/>
      <c r="XBA90" s="1055"/>
      <c r="XBB90" s="1055"/>
      <c r="XBC90" s="1055"/>
      <c r="XBD90" s="1055"/>
      <c r="XBE90" s="1055"/>
      <c r="XBF90" s="1055"/>
      <c r="XBG90" s="1055"/>
      <c r="XBH90" s="1055"/>
      <c r="XBI90" s="1055"/>
      <c r="XBJ90" s="1055"/>
      <c r="XBK90" s="1055"/>
      <c r="XBL90" s="1055"/>
      <c r="XBM90" s="1055"/>
      <c r="XBN90" s="1055"/>
      <c r="XBO90" s="1055"/>
      <c r="XBP90" s="1055"/>
      <c r="XBQ90" s="1055"/>
      <c r="XBR90" s="1055"/>
      <c r="XBS90" s="1055"/>
      <c r="XBT90" s="1055"/>
      <c r="XBU90" s="1055"/>
      <c r="XBV90" s="1055"/>
      <c r="XBW90" s="1055"/>
      <c r="XBX90" s="1055"/>
      <c r="XBY90" s="1055"/>
      <c r="XBZ90" s="1055"/>
      <c r="XCA90" s="1055"/>
      <c r="XCB90" s="1055"/>
      <c r="XCC90" s="1055"/>
      <c r="XCD90" s="1055"/>
      <c r="XCE90" s="1055"/>
      <c r="XCF90" s="1055"/>
      <c r="XCG90" s="1055"/>
      <c r="XCH90" s="1055"/>
      <c r="XCI90" s="1055"/>
      <c r="XCJ90" s="1055"/>
      <c r="XCK90" s="1055"/>
      <c r="XCL90" s="1055"/>
      <c r="XCM90" s="1055"/>
      <c r="XCN90" s="1055"/>
      <c r="XCO90" s="1055"/>
      <c r="XCP90" s="1055"/>
      <c r="XCQ90" s="1055"/>
      <c r="XCR90" s="1055"/>
      <c r="XCS90" s="1055"/>
      <c r="XCT90" s="1055"/>
      <c r="XCU90" s="1055"/>
      <c r="XCV90" s="1055"/>
      <c r="XCW90" s="1055"/>
      <c r="XCX90" s="1055"/>
      <c r="XCY90" s="1055"/>
      <c r="XCZ90" s="1055"/>
      <c r="XDA90" s="1055"/>
      <c r="XDB90" s="1055"/>
      <c r="XDC90" s="1055"/>
      <c r="XDD90" s="1055"/>
      <c r="XDE90" s="1055"/>
      <c r="XDF90" s="1055"/>
      <c r="XDG90" s="1055"/>
      <c r="XDH90" s="1055"/>
      <c r="XDI90" s="1055"/>
      <c r="XDJ90" s="1055"/>
      <c r="XDK90" s="1055"/>
      <c r="XDL90" s="1055"/>
      <c r="XDM90" s="1055"/>
      <c r="XDN90" s="1055"/>
      <c r="XDO90" s="1055"/>
      <c r="XDP90" s="1055"/>
      <c r="XDQ90" s="1055"/>
      <c r="XDR90" s="1055"/>
      <c r="XDS90" s="1055"/>
      <c r="XDT90" s="1055"/>
      <c r="XDU90" s="1055"/>
      <c r="XDV90" s="1055"/>
      <c r="XDW90" s="1055"/>
      <c r="XDX90" s="1055"/>
      <c r="XDY90" s="1055"/>
      <c r="XDZ90" s="1055"/>
      <c r="XEA90" s="1055"/>
      <c r="XEB90" s="1055"/>
      <c r="XEC90" s="1055"/>
      <c r="XED90" s="1055"/>
      <c r="XEE90" s="1055"/>
      <c r="XEF90" s="1055"/>
      <c r="XEG90" s="1055"/>
      <c r="XEH90" s="1055"/>
      <c r="XEI90" s="1055"/>
      <c r="XEJ90" s="1055"/>
      <c r="XEK90" s="1055"/>
      <c r="XEL90" s="1055"/>
      <c r="XEM90" s="1055"/>
      <c r="XEN90" s="1055"/>
      <c r="XEO90" s="1055"/>
      <c r="XEP90" s="1055"/>
      <c r="XEQ90" s="1055"/>
      <c r="XER90" s="1055"/>
      <c r="XES90" s="1055"/>
      <c r="XET90" s="1055"/>
      <c r="XEU90" s="1055"/>
      <c r="XEV90" s="1055"/>
      <c r="XEW90" s="1055"/>
      <c r="XEX90" s="1055"/>
      <c r="XEY90" s="1055"/>
      <c r="XEZ90" s="1055"/>
      <c r="XFA90" s="1055"/>
      <c r="XFB90" s="1055"/>
      <c r="XFC90" s="1055"/>
      <c r="XFD90" s="1055"/>
    </row>
    <row r="91" spans="1:16384" s="1056" customFormat="1" ht="24.95" customHeight="1">
      <c r="A91" s="147">
        <v>7</v>
      </c>
      <c r="B91" s="103" t="s">
        <v>4190</v>
      </c>
      <c r="C91" s="103" t="s">
        <v>4191</v>
      </c>
      <c r="D91" s="103" t="s">
        <v>62</v>
      </c>
      <c r="E91" s="103">
        <v>1</v>
      </c>
      <c r="F91" s="103">
        <v>4.8</v>
      </c>
      <c r="G91" s="103" t="s">
        <v>32</v>
      </c>
      <c r="H91" s="103" t="s">
        <v>41</v>
      </c>
      <c r="I91" s="103" t="s">
        <v>4192</v>
      </c>
      <c r="J91" s="103" t="s">
        <v>4138</v>
      </c>
      <c r="K91" s="103" t="s">
        <v>4139</v>
      </c>
      <c r="L91" s="103">
        <v>29649.56</v>
      </c>
      <c r="M91" s="103">
        <v>8894.8700000000008</v>
      </c>
      <c r="N91" s="103">
        <v>44152</v>
      </c>
      <c r="O91" s="1905"/>
      <c r="P91" s="1055" t="s">
        <v>4141</v>
      </c>
      <c r="Q91" s="1055">
        <v>18535240344</v>
      </c>
      <c r="R91" s="1055" t="s">
        <v>4142</v>
      </c>
      <c r="S91" s="1055" t="s">
        <v>4043</v>
      </c>
      <c r="T91" s="1055"/>
      <c r="U91" s="1055"/>
      <c r="V91" s="1055"/>
      <c r="W91" s="1055"/>
      <c r="X91" s="1055"/>
      <c r="Y91" s="1055"/>
      <c r="Z91" s="1055"/>
      <c r="AA91" s="1055"/>
      <c r="AB91" s="1055"/>
      <c r="AC91" s="1055"/>
      <c r="AD91" s="1055"/>
      <c r="AE91" s="1055"/>
      <c r="AF91" s="1055"/>
      <c r="AG91" s="1055"/>
      <c r="AH91" s="1055"/>
      <c r="AI91" s="1055"/>
      <c r="AJ91" s="1055"/>
      <c r="AK91" s="1055"/>
      <c r="AL91" s="1055"/>
      <c r="AM91" s="1055"/>
      <c r="AN91" s="1055"/>
      <c r="AO91" s="1055"/>
      <c r="AP91" s="1055"/>
      <c r="AQ91" s="1055"/>
      <c r="AR91" s="1055"/>
      <c r="AS91" s="1055"/>
      <c r="AT91" s="1055"/>
      <c r="AU91" s="1055"/>
      <c r="AV91" s="1055"/>
      <c r="AW91" s="1055"/>
      <c r="AX91" s="1055"/>
      <c r="AY91" s="1055"/>
      <c r="AZ91" s="1055"/>
      <c r="BA91" s="1055"/>
      <c r="BB91" s="1055"/>
      <c r="BC91" s="1055"/>
      <c r="BD91" s="1055"/>
      <c r="BE91" s="1055"/>
      <c r="BF91" s="1055"/>
      <c r="BG91" s="1055"/>
      <c r="BH91" s="1055"/>
      <c r="BI91" s="1055"/>
      <c r="BJ91" s="1055"/>
      <c r="BK91" s="1055"/>
      <c r="BL91" s="1055"/>
      <c r="BM91" s="1055"/>
      <c r="BN91" s="1055"/>
      <c r="BO91" s="1055"/>
      <c r="BP91" s="1055"/>
      <c r="BQ91" s="1055"/>
      <c r="BR91" s="1055"/>
      <c r="BS91" s="1055"/>
      <c r="BT91" s="1055"/>
      <c r="BU91" s="1055"/>
      <c r="BV91" s="1055"/>
      <c r="BW91" s="1055"/>
      <c r="BX91" s="1055"/>
      <c r="BY91" s="1055"/>
      <c r="BZ91" s="1055"/>
      <c r="CA91" s="1055"/>
      <c r="CB91" s="1055"/>
      <c r="CC91" s="1055"/>
      <c r="CD91" s="1055"/>
      <c r="CE91" s="1055"/>
      <c r="CF91" s="1055"/>
      <c r="CG91" s="1055"/>
      <c r="CH91" s="1055"/>
      <c r="CI91" s="1055"/>
      <c r="CJ91" s="1055"/>
      <c r="CK91" s="1055"/>
      <c r="CL91" s="1055"/>
      <c r="CM91" s="1055"/>
      <c r="CN91" s="1055"/>
      <c r="CO91" s="1055"/>
      <c r="CP91" s="1055"/>
      <c r="CQ91" s="1055"/>
      <c r="CR91" s="1055"/>
      <c r="CS91" s="1055"/>
      <c r="CT91" s="1055"/>
      <c r="CU91" s="1055"/>
      <c r="CV91" s="1055"/>
      <c r="CW91" s="1055"/>
      <c r="CX91" s="1055"/>
      <c r="CY91" s="1055"/>
      <c r="CZ91" s="1055"/>
      <c r="DA91" s="1055"/>
      <c r="DB91" s="1055"/>
      <c r="DC91" s="1055"/>
      <c r="DD91" s="1055"/>
      <c r="DE91" s="1055"/>
      <c r="DF91" s="1055"/>
      <c r="DG91" s="1055"/>
      <c r="DH91" s="1055"/>
      <c r="DI91" s="1055"/>
      <c r="DJ91" s="1055"/>
      <c r="DK91" s="1055"/>
      <c r="DL91" s="1055"/>
      <c r="DM91" s="1055"/>
      <c r="DN91" s="1055"/>
      <c r="DO91" s="1055"/>
      <c r="DP91" s="1055"/>
      <c r="DQ91" s="1055"/>
      <c r="DR91" s="1055"/>
      <c r="DS91" s="1055"/>
      <c r="DT91" s="1055"/>
      <c r="DU91" s="1055"/>
      <c r="DV91" s="1055"/>
      <c r="DW91" s="1055"/>
      <c r="DX91" s="1055"/>
      <c r="DY91" s="1055"/>
      <c r="DZ91" s="1055"/>
      <c r="EA91" s="1055"/>
      <c r="EB91" s="1055"/>
      <c r="EC91" s="1055"/>
      <c r="ED91" s="1055"/>
      <c r="EE91" s="1055"/>
      <c r="EF91" s="1055"/>
      <c r="EG91" s="1055"/>
      <c r="EH91" s="1055"/>
      <c r="EI91" s="1055"/>
      <c r="EJ91" s="1055"/>
      <c r="EK91" s="1055"/>
      <c r="EL91" s="1055"/>
      <c r="EM91" s="1055"/>
      <c r="EN91" s="1055"/>
      <c r="EO91" s="1055"/>
      <c r="EP91" s="1055"/>
      <c r="EQ91" s="1055"/>
      <c r="ER91" s="1055"/>
      <c r="ES91" s="1055"/>
      <c r="ET91" s="1055"/>
      <c r="EU91" s="1055"/>
      <c r="EV91" s="1055"/>
      <c r="EW91" s="1055"/>
      <c r="EX91" s="1055"/>
      <c r="EY91" s="1055"/>
      <c r="EZ91" s="1055"/>
      <c r="FA91" s="1055"/>
      <c r="FB91" s="1055"/>
      <c r="FC91" s="1055"/>
      <c r="FD91" s="1055"/>
      <c r="FE91" s="1055"/>
      <c r="FF91" s="1055"/>
      <c r="FG91" s="1055"/>
      <c r="FH91" s="1055"/>
      <c r="FI91" s="1055"/>
      <c r="FJ91" s="1055"/>
      <c r="FK91" s="1055"/>
      <c r="FL91" s="1055"/>
      <c r="FM91" s="1055"/>
      <c r="FN91" s="1055"/>
      <c r="FO91" s="1055"/>
      <c r="FP91" s="1055"/>
      <c r="FQ91" s="1055"/>
      <c r="FR91" s="1055"/>
      <c r="FS91" s="1055"/>
      <c r="FT91" s="1055"/>
      <c r="FU91" s="1055"/>
      <c r="FV91" s="1055"/>
      <c r="FW91" s="1055"/>
      <c r="FX91" s="1055"/>
      <c r="FY91" s="1055"/>
      <c r="FZ91" s="1055"/>
      <c r="GA91" s="1055"/>
      <c r="GB91" s="1055"/>
      <c r="GC91" s="1055"/>
      <c r="GD91" s="1055"/>
      <c r="GE91" s="1055"/>
      <c r="GF91" s="1055"/>
      <c r="GG91" s="1055"/>
      <c r="GH91" s="1055"/>
      <c r="GI91" s="1055"/>
      <c r="GJ91" s="1055"/>
      <c r="GK91" s="1055"/>
      <c r="GL91" s="1055"/>
      <c r="GM91" s="1055"/>
      <c r="GN91" s="1055"/>
      <c r="GO91" s="1055"/>
      <c r="GP91" s="1055"/>
      <c r="GQ91" s="1055"/>
      <c r="GR91" s="1055"/>
      <c r="GS91" s="1055"/>
      <c r="GT91" s="1055"/>
      <c r="GU91" s="1055"/>
      <c r="GV91" s="1055"/>
      <c r="GW91" s="1055"/>
      <c r="GX91" s="1055"/>
      <c r="GY91" s="1055"/>
      <c r="GZ91" s="1055"/>
      <c r="HA91" s="1055"/>
      <c r="HB91" s="1055"/>
      <c r="HC91" s="1055"/>
      <c r="HD91" s="1055"/>
      <c r="HE91" s="1055"/>
      <c r="HF91" s="1055"/>
      <c r="HG91" s="1055"/>
      <c r="HH91" s="1055"/>
      <c r="HI91" s="1055"/>
      <c r="HJ91" s="1055"/>
      <c r="HK91" s="1055"/>
      <c r="HL91" s="1055"/>
      <c r="HM91" s="1055"/>
      <c r="HN91" s="1055"/>
      <c r="HO91" s="1055"/>
      <c r="HP91" s="1055"/>
      <c r="HQ91" s="1055"/>
      <c r="HR91" s="1055"/>
      <c r="HS91" s="1055"/>
      <c r="HT91" s="1055"/>
      <c r="HU91" s="1055"/>
      <c r="HV91" s="1055"/>
      <c r="HW91" s="1055"/>
      <c r="HX91" s="1055"/>
      <c r="HY91" s="1055"/>
      <c r="HZ91" s="1055"/>
      <c r="IA91" s="1055"/>
      <c r="IB91" s="1055"/>
      <c r="IC91" s="1055"/>
      <c r="ID91" s="1055"/>
      <c r="IE91" s="1055"/>
      <c r="IF91" s="1055"/>
      <c r="IG91" s="1055"/>
      <c r="IH91" s="1055"/>
      <c r="II91" s="1055"/>
      <c r="IJ91" s="1055"/>
      <c r="IK91" s="1055"/>
      <c r="IL91" s="1055"/>
      <c r="IM91" s="1055"/>
      <c r="IN91" s="1055"/>
      <c r="IO91" s="1055"/>
      <c r="IP91" s="1055"/>
      <c r="IQ91" s="1055"/>
      <c r="IR91" s="1055"/>
      <c r="IS91" s="1055"/>
      <c r="IT91" s="1055"/>
      <c r="IU91" s="1055"/>
      <c r="IV91" s="1055"/>
      <c r="IW91" s="1055"/>
      <c r="IX91" s="1055"/>
      <c r="IY91" s="1055"/>
      <c r="IZ91" s="1055"/>
      <c r="JA91" s="1055"/>
      <c r="JB91" s="1055"/>
      <c r="JC91" s="1055"/>
      <c r="JD91" s="1055"/>
      <c r="JE91" s="1055"/>
      <c r="JF91" s="1055"/>
      <c r="JG91" s="1055"/>
      <c r="JH91" s="1055"/>
      <c r="JI91" s="1055"/>
      <c r="JJ91" s="1055"/>
      <c r="JK91" s="1055"/>
      <c r="JL91" s="1055"/>
      <c r="JM91" s="1055"/>
      <c r="JN91" s="1055"/>
      <c r="JO91" s="1055"/>
      <c r="JP91" s="1055"/>
      <c r="JQ91" s="1055"/>
      <c r="JR91" s="1055"/>
      <c r="JS91" s="1055"/>
      <c r="JT91" s="1055"/>
      <c r="JU91" s="1055"/>
      <c r="JV91" s="1055"/>
      <c r="JW91" s="1055"/>
      <c r="JX91" s="1055"/>
      <c r="JY91" s="1055"/>
      <c r="JZ91" s="1055"/>
      <c r="KA91" s="1055"/>
      <c r="KB91" s="1055"/>
      <c r="KC91" s="1055"/>
      <c r="KD91" s="1055"/>
      <c r="KE91" s="1055"/>
      <c r="KF91" s="1055"/>
      <c r="KG91" s="1055"/>
      <c r="KH91" s="1055"/>
      <c r="KI91" s="1055"/>
      <c r="KJ91" s="1055"/>
      <c r="KK91" s="1055"/>
      <c r="KL91" s="1055"/>
      <c r="KM91" s="1055"/>
      <c r="KN91" s="1055"/>
      <c r="KO91" s="1055"/>
      <c r="KP91" s="1055"/>
      <c r="KQ91" s="1055"/>
      <c r="KR91" s="1055"/>
      <c r="KS91" s="1055"/>
      <c r="KT91" s="1055"/>
      <c r="KU91" s="1055"/>
      <c r="KV91" s="1055"/>
      <c r="KW91" s="1055"/>
      <c r="KX91" s="1055"/>
      <c r="KY91" s="1055"/>
      <c r="KZ91" s="1055"/>
      <c r="LA91" s="1055"/>
      <c r="LB91" s="1055"/>
      <c r="LC91" s="1055"/>
      <c r="LD91" s="1055"/>
      <c r="LE91" s="1055"/>
      <c r="LF91" s="1055"/>
      <c r="LG91" s="1055"/>
      <c r="LH91" s="1055"/>
      <c r="LI91" s="1055"/>
      <c r="LJ91" s="1055"/>
      <c r="LK91" s="1055"/>
      <c r="LL91" s="1055"/>
      <c r="LM91" s="1055"/>
      <c r="LN91" s="1055"/>
      <c r="LO91" s="1055"/>
      <c r="LP91" s="1055"/>
      <c r="LQ91" s="1055"/>
      <c r="LR91" s="1055"/>
      <c r="LS91" s="1055"/>
      <c r="LT91" s="1055"/>
      <c r="LU91" s="1055"/>
      <c r="LV91" s="1055"/>
      <c r="LW91" s="1055"/>
      <c r="LX91" s="1055"/>
      <c r="LY91" s="1055"/>
      <c r="LZ91" s="1055"/>
      <c r="MA91" s="1055"/>
      <c r="MB91" s="1055"/>
      <c r="MC91" s="1055"/>
      <c r="MD91" s="1055"/>
      <c r="ME91" s="1055"/>
      <c r="MF91" s="1055"/>
      <c r="MG91" s="1055"/>
      <c r="MH91" s="1055"/>
      <c r="MI91" s="1055"/>
      <c r="MJ91" s="1055"/>
      <c r="MK91" s="1055"/>
      <c r="ML91" s="1055"/>
      <c r="MM91" s="1055"/>
      <c r="MN91" s="1055"/>
      <c r="MO91" s="1055"/>
      <c r="MP91" s="1055"/>
      <c r="MQ91" s="1055"/>
      <c r="MR91" s="1055"/>
      <c r="MS91" s="1055"/>
      <c r="MT91" s="1055"/>
      <c r="MU91" s="1055"/>
      <c r="MV91" s="1055"/>
      <c r="MW91" s="1055"/>
      <c r="MX91" s="1055"/>
      <c r="MY91" s="1055"/>
      <c r="MZ91" s="1055"/>
      <c r="NA91" s="1055"/>
      <c r="NB91" s="1055"/>
      <c r="NC91" s="1055"/>
      <c r="ND91" s="1055"/>
      <c r="NE91" s="1055"/>
      <c r="NF91" s="1055"/>
      <c r="NG91" s="1055"/>
      <c r="NH91" s="1055"/>
      <c r="NI91" s="1055"/>
      <c r="NJ91" s="1055"/>
      <c r="NK91" s="1055"/>
      <c r="NL91" s="1055"/>
      <c r="NM91" s="1055"/>
      <c r="NN91" s="1055"/>
      <c r="NO91" s="1055"/>
      <c r="NP91" s="1055"/>
      <c r="NQ91" s="1055"/>
      <c r="NR91" s="1055"/>
      <c r="NS91" s="1055"/>
      <c r="NT91" s="1055"/>
      <c r="NU91" s="1055"/>
      <c r="NV91" s="1055"/>
      <c r="NW91" s="1055"/>
      <c r="NX91" s="1055"/>
      <c r="NY91" s="1055"/>
      <c r="NZ91" s="1055"/>
      <c r="OA91" s="1055"/>
      <c r="OB91" s="1055"/>
      <c r="OC91" s="1055"/>
      <c r="OD91" s="1055"/>
      <c r="OE91" s="1055"/>
      <c r="OF91" s="1055"/>
      <c r="OG91" s="1055"/>
      <c r="OH91" s="1055"/>
      <c r="OI91" s="1055"/>
      <c r="OJ91" s="1055"/>
      <c r="OK91" s="1055"/>
      <c r="OL91" s="1055"/>
      <c r="OM91" s="1055"/>
      <c r="ON91" s="1055"/>
      <c r="OO91" s="1055"/>
      <c r="OP91" s="1055"/>
      <c r="OQ91" s="1055"/>
      <c r="OR91" s="1055"/>
      <c r="OS91" s="1055"/>
      <c r="OT91" s="1055"/>
      <c r="OU91" s="1055"/>
      <c r="OV91" s="1055"/>
      <c r="OW91" s="1055"/>
      <c r="OX91" s="1055"/>
      <c r="OY91" s="1055"/>
      <c r="OZ91" s="1055"/>
      <c r="PA91" s="1055"/>
      <c r="PB91" s="1055"/>
      <c r="PC91" s="1055"/>
      <c r="PD91" s="1055"/>
      <c r="PE91" s="1055"/>
      <c r="PF91" s="1055"/>
      <c r="PG91" s="1055"/>
      <c r="PH91" s="1055"/>
      <c r="PI91" s="1055"/>
      <c r="PJ91" s="1055"/>
      <c r="PK91" s="1055"/>
      <c r="PL91" s="1055"/>
      <c r="PM91" s="1055"/>
      <c r="PN91" s="1055"/>
      <c r="PO91" s="1055"/>
      <c r="PP91" s="1055"/>
      <c r="PQ91" s="1055"/>
      <c r="PR91" s="1055"/>
      <c r="PS91" s="1055"/>
      <c r="PT91" s="1055"/>
      <c r="PU91" s="1055"/>
      <c r="PV91" s="1055"/>
      <c r="PW91" s="1055"/>
      <c r="PX91" s="1055"/>
      <c r="PY91" s="1055"/>
      <c r="PZ91" s="1055"/>
      <c r="QA91" s="1055"/>
      <c r="QB91" s="1055"/>
      <c r="QC91" s="1055"/>
      <c r="QD91" s="1055"/>
      <c r="QE91" s="1055"/>
      <c r="QF91" s="1055"/>
      <c r="QG91" s="1055"/>
      <c r="QH91" s="1055"/>
      <c r="QI91" s="1055"/>
      <c r="QJ91" s="1055"/>
      <c r="QK91" s="1055"/>
      <c r="QL91" s="1055"/>
      <c r="QM91" s="1055"/>
      <c r="QN91" s="1055"/>
      <c r="QO91" s="1055"/>
      <c r="QP91" s="1055"/>
      <c r="QQ91" s="1055"/>
      <c r="QR91" s="1055"/>
      <c r="QS91" s="1055"/>
      <c r="QT91" s="1055"/>
      <c r="QU91" s="1055"/>
      <c r="QV91" s="1055"/>
      <c r="QW91" s="1055"/>
      <c r="QX91" s="1055"/>
      <c r="QY91" s="1055"/>
      <c r="QZ91" s="1055"/>
      <c r="RA91" s="1055"/>
      <c r="RB91" s="1055"/>
      <c r="RC91" s="1055"/>
      <c r="RD91" s="1055"/>
      <c r="RE91" s="1055"/>
      <c r="RF91" s="1055"/>
      <c r="RG91" s="1055"/>
      <c r="RH91" s="1055"/>
      <c r="RI91" s="1055"/>
      <c r="RJ91" s="1055"/>
      <c r="RK91" s="1055"/>
      <c r="RL91" s="1055"/>
      <c r="RM91" s="1055"/>
      <c r="RN91" s="1055"/>
      <c r="RO91" s="1055"/>
      <c r="RP91" s="1055"/>
      <c r="RQ91" s="1055"/>
      <c r="RR91" s="1055"/>
      <c r="RS91" s="1055"/>
      <c r="RT91" s="1055"/>
      <c r="RU91" s="1055"/>
      <c r="RV91" s="1055"/>
      <c r="RW91" s="1055"/>
      <c r="RX91" s="1055"/>
      <c r="RY91" s="1055"/>
      <c r="RZ91" s="1055"/>
      <c r="SA91" s="1055"/>
      <c r="SB91" s="1055"/>
      <c r="SC91" s="1055"/>
      <c r="SD91" s="1055"/>
      <c r="SE91" s="1055"/>
      <c r="SF91" s="1055"/>
      <c r="SG91" s="1055"/>
      <c r="SH91" s="1055"/>
      <c r="SI91" s="1055"/>
      <c r="SJ91" s="1055"/>
      <c r="SK91" s="1055"/>
      <c r="SL91" s="1055"/>
      <c r="SM91" s="1055"/>
      <c r="SN91" s="1055"/>
      <c r="SO91" s="1055"/>
      <c r="SP91" s="1055"/>
      <c r="SQ91" s="1055"/>
      <c r="SR91" s="1055"/>
      <c r="SS91" s="1055"/>
      <c r="ST91" s="1055"/>
      <c r="SU91" s="1055"/>
      <c r="SV91" s="1055"/>
      <c r="SW91" s="1055"/>
      <c r="SX91" s="1055"/>
      <c r="SY91" s="1055"/>
      <c r="SZ91" s="1055"/>
      <c r="TA91" s="1055"/>
      <c r="TB91" s="1055"/>
      <c r="TC91" s="1055"/>
      <c r="TD91" s="1055"/>
      <c r="TE91" s="1055"/>
      <c r="TF91" s="1055"/>
      <c r="TG91" s="1055"/>
      <c r="TH91" s="1055"/>
      <c r="TI91" s="1055"/>
      <c r="TJ91" s="1055"/>
      <c r="TK91" s="1055"/>
      <c r="TL91" s="1055"/>
      <c r="TM91" s="1055"/>
      <c r="TN91" s="1055"/>
      <c r="TO91" s="1055"/>
      <c r="TP91" s="1055"/>
      <c r="TQ91" s="1055"/>
      <c r="TR91" s="1055"/>
      <c r="TS91" s="1055"/>
      <c r="TT91" s="1055"/>
      <c r="TU91" s="1055"/>
      <c r="TV91" s="1055"/>
      <c r="TW91" s="1055"/>
      <c r="TX91" s="1055"/>
      <c r="TY91" s="1055"/>
      <c r="TZ91" s="1055"/>
      <c r="UA91" s="1055"/>
      <c r="UB91" s="1055"/>
      <c r="UC91" s="1055"/>
      <c r="UD91" s="1055"/>
      <c r="UE91" s="1055"/>
      <c r="UF91" s="1055"/>
      <c r="UG91" s="1055"/>
      <c r="UH91" s="1055"/>
      <c r="UI91" s="1055"/>
      <c r="UJ91" s="1055"/>
      <c r="UK91" s="1055"/>
      <c r="UL91" s="1055"/>
      <c r="UM91" s="1055"/>
      <c r="UN91" s="1055"/>
      <c r="UO91" s="1055"/>
      <c r="UP91" s="1055"/>
      <c r="UQ91" s="1055"/>
      <c r="UR91" s="1055"/>
      <c r="US91" s="1055"/>
      <c r="UT91" s="1055"/>
      <c r="UU91" s="1055"/>
      <c r="UV91" s="1055"/>
      <c r="UW91" s="1055"/>
      <c r="UX91" s="1055"/>
      <c r="UY91" s="1055"/>
      <c r="UZ91" s="1055"/>
      <c r="VA91" s="1055"/>
      <c r="VB91" s="1055"/>
      <c r="VC91" s="1055"/>
      <c r="VD91" s="1055"/>
      <c r="VE91" s="1055"/>
      <c r="VF91" s="1055"/>
      <c r="VG91" s="1055"/>
      <c r="VH91" s="1055"/>
      <c r="VI91" s="1055"/>
      <c r="VJ91" s="1055"/>
      <c r="VK91" s="1055"/>
      <c r="VL91" s="1055"/>
      <c r="VM91" s="1055"/>
      <c r="VN91" s="1055"/>
      <c r="VO91" s="1055"/>
      <c r="VP91" s="1055"/>
      <c r="VQ91" s="1055"/>
      <c r="VR91" s="1055"/>
      <c r="VS91" s="1055"/>
      <c r="VT91" s="1055"/>
      <c r="VU91" s="1055"/>
      <c r="VV91" s="1055"/>
      <c r="VW91" s="1055"/>
      <c r="VX91" s="1055"/>
      <c r="VY91" s="1055"/>
      <c r="VZ91" s="1055"/>
      <c r="WA91" s="1055"/>
      <c r="WB91" s="1055"/>
      <c r="WC91" s="1055"/>
      <c r="WD91" s="1055"/>
      <c r="WE91" s="1055"/>
      <c r="WF91" s="1055"/>
      <c r="WG91" s="1055"/>
      <c r="WH91" s="1055"/>
      <c r="WI91" s="1055"/>
      <c r="WJ91" s="1055"/>
      <c r="WK91" s="1055"/>
      <c r="WL91" s="1055"/>
      <c r="WM91" s="1055"/>
      <c r="WN91" s="1055"/>
      <c r="WO91" s="1055"/>
      <c r="WP91" s="1055"/>
      <c r="WQ91" s="1055"/>
      <c r="WR91" s="1055"/>
      <c r="WS91" s="1055"/>
      <c r="WT91" s="1055"/>
      <c r="WU91" s="1055"/>
      <c r="WV91" s="1055"/>
      <c r="WW91" s="1055"/>
      <c r="WX91" s="1055"/>
      <c r="WY91" s="1055"/>
      <c r="WZ91" s="1055"/>
      <c r="XA91" s="1055"/>
      <c r="XB91" s="1055"/>
      <c r="XC91" s="1055"/>
      <c r="XD91" s="1055"/>
      <c r="XE91" s="1055"/>
      <c r="XF91" s="1055"/>
      <c r="XG91" s="1055"/>
      <c r="XH91" s="1055"/>
      <c r="XI91" s="1055"/>
      <c r="XJ91" s="1055"/>
      <c r="XK91" s="1055"/>
      <c r="XL91" s="1055"/>
      <c r="XM91" s="1055"/>
      <c r="XN91" s="1055"/>
      <c r="XO91" s="1055"/>
      <c r="XP91" s="1055"/>
      <c r="XQ91" s="1055"/>
      <c r="XR91" s="1055"/>
      <c r="XS91" s="1055"/>
      <c r="XT91" s="1055"/>
      <c r="XU91" s="1055"/>
      <c r="XV91" s="1055"/>
      <c r="XW91" s="1055"/>
      <c r="XX91" s="1055"/>
      <c r="XY91" s="1055"/>
      <c r="XZ91" s="1055"/>
      <c r="YA91" s="1055"/>
      <c r="YB91" s="1055"/>
      <c r="YC91" s="1055"/>
      <c r="YD91" s="1055"/>
      <c r="YE91" s="1055"/>
      <c r="YF91" s="1055"/>
      <c r="YG91" s="1055"/>
      <c r="YH91" s="1055"/>
      <c r="YI91" s="1055"/>
      <c r="YJ91" s="1055"/>
      <c r="YK91" s="1055"/>
      <c r="YL91" s="1055"/>
      <c r="YM91" s="1055"/>
      <c r="YN91" s="1055"/>
      <c r="YO91" s="1055"/>
      <c r="YP91" s="1055"/>
      <c r="YQ91" s="1055"/>
      <c r="YR91" s="1055"/>
      <c r="YS91" s="1055"/>
      <c r="YT91" s="1055"/>
      <c r="YU91" s="1055"/>
      <c r="YV91" s="1055"/>
      <c r="YW91" s="1055"/>
      <c r="YX91" s="1055"/>
      <c r="YY91" s="1055"/>
      <c r="YZ91" s="1055"/>
      <c r="ZA91" s="1055"/>
      <c r="ZB91" s="1055"/>
      <c r="ZC91" s="1055"/>
      <c r="ZD91" s="1055"/>
      <c r="ZE91" s="1055"/>
      <c r="ZF91" s="1055"/>
      <c r="ZG91" s="1055"/>
      <c r="ZH91" s="1055"/>
      <c r="ZI91" s="1055"/>
      <c r="ZJ91" s="1055"/>
      <c r="ZK91" s="1055"/>
      <c r="ZL91" s="1055"/>
      <c r="ZM91" s="1055"/>
      <c r="ZN91" s="1055"/>
      <c r="ZO91" s="1055"/>
      <c r="ZP91" s="1055"/>
      <c r="ZQ91" s="1055"/>
      <c r="ZR91" s="1055"/>
      <c r="ZS91" s="1055"/>
      <c r="ZT91" s="1055"/>
      <c r="ZU91" s="1055"/>
      <c r="ZV91" s="1055"/>
      <c r="ZW91" s="1055"/>
      <c r="ZX91" s="1055"/>
      <c r="ZY91" s="1055"/>
      <c r="ZZ91" s="1055"/>
      <c r="AAA91" s="1055"/>
      <c r="AAB91" s="1055"/>
      <c r="AAC91" s="1055"/>
      <c r="AAD91" s="1055"/>
      <c r="AAE91" s="1055"/>
      <c r="AAF91" s="1055"/>
      <c r="AAG91" s="1055"/>
      <c r="AAH91" s="1055"/>
      <c r="AAI91" s="1055"/>
      <c r="AAJ91" s="1055"/>
      <c r="AAK91" s="1055"/>
      <c r="AAL91" s="1055"/>
      <c r="AAM91" s="1055"/>
      <c r="AAN91" s="1055"/>
      <c r="AAO91" s="1055"/>
      <c r="AAP91" s="1055"/>
      <c r="AAQ91" s="1055"/>
      <c r="AAR91" s="1055"/>
      <c r="AAS91" s="1055"/>
      <c r="AAT91" s="1055"/>
      <c r="AAU91" s="1055"/>
      <c r="AAV91" s="1055"/>
      <c r="AAW91" s="1055"/>
      <c r="AAX91" s="1055"/>
      <c r="AAY91" s="1055"/>
      <c r="AAZ91" s="1055"/>
      <c r="ABA91" s="1055"/>
      <c r="ABB91" s="1055"/>
      <c r="ABC91" s="1055"/>
      <c r="ABD91" s="1055"/>
      <c r="ABE91" s="1055"/>
      <c r="ABF91" s="1055"/>
      <c r="ABG91" s="1055"/>
      <c r="ABH91" s="1055"/>
      <c r="ABI91" s="1055"/>
      <c r="ABJ91" s="1055"/>
      <c r="ABK91" s="1055"/>
      <c r="ABL91" s="1055"/>
      <c r="ABM91" s="1055"/>
      <c r="ABN91" s="1055"/>
      <c r="ABO91" s="1055"/>
      <c r="ABP91" s="1055"/>
      <c r="ABQ91" s="1055"/>
      <c r="ABR91" s="1055"/>
      <c r="ABS91" s="1055"/>
      <c r="ABT91" s="1055"/>
      <c r="ABU91" s="1055"/>
      <c r="ABV91" s="1055"/>
      <c r="ABW91" s="1055"/>
      <c r="ABX91" s="1055"/>
      <c r="ABY91" s="1055"/>
      <c r="ABZ91" s="1055"/>
      <c r="ACA91" s="1055"/>
      <c r="ACB91" s="1055"/>
      <c r="ACC91" s="1055"/>
      <c r="ACD91" s="1055"/>
      <c r="ACE91" s="1055"/>
      <c r="ACF91" s="1055"/>
      <c r="ACG91" s="1055"/>
      <c r="ACH91" s="1055"/>
      <c r="ACI91" s="1055"/>
      <c r="ACJ91" s="1055"/>
      <c r="ACK91" s="1055"/>
      <c r="ACL91" s="1055"/>
      <c r="ACM91" s="1055"/>
      <c r="ACN91" s="1055"/>
      <c r="ACO91" s="1055"/>
      <c r="ACP91" s="1055"/>
      <c r="ACQ91" s="1055"/>
      <c r="ACR91" s="1055"/>
      <c r="ACS91" s="1055"/>
      <c r="ACT91" s="1055"/>
      <c r="ACU91" s="1055"/>
      <c r="ACV91" s="1055"/>
      <c r="ACW91" s="1055"/>
      <c r="ACX91" s="1055"/>
      <c r="ACY91" s="1055"/>
      <c r="ACZ91" s="1055"/>
      <c r="ADA91" s="1055"/>
      <c r="ADB91" s="1055"/>
      <c r="ADC91" s="1055"/>
      <c r="ADD91" s="1055"/>
      <c r="ADE91" s="1055"/>
      <c r="ADF91" s="1055"/>
      <c r="ADG91" s="1055"/>
      <c r="ADH91" s="1055"/>
      <c r="ADI91" s="1055"/>
      <c r="ADJ91" s="1055"/>
      <c r="ADK91" s="1055"/>
      <c r="ADL91" s="1055"/>
      <c r="ADM91" s="1055"/>
      <c r="ADN91" s="1055"/>
      <c r="ADO91" s="1055"/>
      <c r="ADP91" s="1055"/>
      <c r="ADQ91" s="1055"/>
      <c r="ADR91" s="1055"/>
      <c r="ADS91" s="1055"/>
      <c r="ADT91" s="1055"/>
      <c r="ADU91" s="1055"/>
      <c r="ADV91" s="1055"/>
      <c r="ADW91" s="1055"/>
      <c r="ADX91" s="1055"/>
      <c r="ADY91" s="1055"/>
      <c r="ADZ91" s="1055"/>
      <c r="AEA91" s="1055"/>
      <c r="AEB91" s="1055"/>
      <c r="AEC91" s="1055"/>
      <c r="AED91" s="1055"/>
      <c r="AEE91" s="1055"/>
      <c r="AEF91" s="1055"/>
      <c r="AEG91" s="1055"/>
      <c r="AEH91" s="1055"/>
      <c r="AEI91" s="1055"/>
      <c r="AEJ91" s="1055"/>
      <c r="AEK91" s="1055"/>
      <c r="AEL91" s="1055"/>
      <c r="AEM91" s="1055"/>
      <c r="AEN91" s="1055"/>
      <c r="AEO91" s="1055"/>
      <c r="AEP91" s="1055"/>
      <c r="AEQ91" s="1055"/>
      <c r="AER91" s="1055"/>
      <c r="AES91" s="1055"/>
      <c r="AET91" s="1055"/>
      <c r="AEU91" s="1055"/>
      <c r="AEV91" s="1055"/>
      <c r="AEW91" s="1055"/>
      <c r="AEX91" s="1055"/>
      <c r="AEY91" s="1055"/>
      <c r="AEZ91" s="1055"/>
      <c r="AFA91" s="1055"/>
      <c r="AFB91" s="1055"/>
      <c r="AFC91" s="1055"/>
      <c r="AFD91" s="1055"/>
      <c r="AFE91" s="1055"/>
      <c r="AFF91" s="1055"/>
      <c r="AFG91" s="1055"/>
      <c r="AFH91" s="1055"/>
      <c r="AFI91" s="1055"/>
      <c r="AFJ91" s="1055"/>
      <c r="AFK91" s="1055"/>
      <c r="AFL91" s="1055"/>
      <c r="AFM91" s="1055"/>
      <c r="AFN91" s="1055"/>
      <c r="AFO91" s="1055"/>
      <c r="AFP91" s="1055"/>
      <c r="AFQ91" s="1055"/>
      <c r="AFR91" s="1055"/>
      <c r="AFS91" s="1055"/>
      <c r="AFT91" s="1055"/>
      <c r="AFU91" s="1055"/>
      <c r="AFV91" s="1055"/>
      <c r="AFW91" s="1055"/>
      <c r="AFX91" s="1055"/>
      <c r="AFY91" s="1055"/>
      <c r="AFZ91" s="1055"/>
      <c r="AGA91" s="1055"/>
      <c r="AGB91" s="1055"/>
      <c r="AGC91" s="1055"/>
      <c r="AGD91" s="1055"/>
      <c r="AGE91" s="1055"/>
      <c r="AGF91" s="1055"/>
      <c r="AGG91" s="1055"/>
      <c r="AGH91" s="1055"/>
      <c r="AGI91" s="1055"/>
      <c r="AGJ91" s="1055"/>
      <c r="AGK91" s="1055"/>
      <c r="AGL91" s="1055"/>
      <c r="AGM91" s="1055"/>
      <c r="AGN91" s="1055"/>
      <c r="AGO91" s="1055"/>
      <c r="AGP91" s="1055"/>
      <c r="AGQ91" s="1055"/>
      <c r="AGR91" s="1055"/>
      <c r="AGS91" s="1055"/>
      <c r="AGT91" s="1055"/>
      <c r="AGU91" s="1055"/>
      <c r="AGV91" s="1055"/>
      <c r="AGW91" s="1055"/>
      <c r="AGX91" s="1055"/>
      <c r="AGY91" s="1055"/>
      <c r="AGZ91" s="1055"/>
      <c r="AHA91" s="1055"/>
      <c r="AHB91" s="1055"/>
      <c r="AHC91" s="1055"/>
      <c r="AHD91" s="1055"/>
      <c r="AHE91" s="1055"/>
      <c r="AHF91" s="1055"/>
      <c r="AHG91" s="1055"/>
      <c r="AHH91" s="1055"/>
      <c r="AHI91" s="1055"/>
      <c r="AHJ91" s="1055"/>
      <c r="AHK91" s="1055"/>
      <c r="AHL91" s="1055"/>
      <c r="AHM91" s="1055"/>
      <c r="AHN91" s="1055"/>
      <c r="AHO91" s="1055"/>
      <c r="AHP91" s="1055"/>
      <c r="AHQ91" s="1055"/>
      <c r="AHR91" s="1055"/>
      <c r="AHS91" s="1055"/>
      <c r="AHT91" s="1055"/>
      <c r="AHU91" s="1055"/>
      <c r="AHV91" s="1055"/>
      <c r="AHW91" s="1055"/>
      <c r="AHX91" s="1055"/>
      <c r="AHY91" s="1055"/>
      <c r="AHZ91" s="1055"/>
      <c r="AIA91" s="1055"/>
      <c r="AIB91" s="1055"/>
      <c r="AIC91" s="1055"/>
      <c r="AID91" s="1055"/>
      <c r="AIE91" s="1055"/>
      <c r="AIF91" s="1055"/>
      <c r="AIG91" s="1055"/>
      <c r="AIH91" s="1055"/>
      <c r="AII91" s="1055"/>
      <c r="AIJ91" s="1055"/>
      <c r="AIK91" s="1055"/>
      <c r="AIL91" s="1055"/>
      <c r="AIM91" s="1055"/>
      <c r="AIN91" s="1055"/>
      <c r="AIO91" s="1055"/>
      <c r="AIP91" s="1055"/>
      <c r="AIQ91" s="1055"/>
      <c r="AIR91" s="1055"/>
      <c r="AIS91" s="1055"/>
      <c r="AIT91" s="1055"/>
      <c r="AIU91" s="1055"/>
      <c r="AIV91" s="1055"/>
      <c r="AIW91" s="1055"/>
      <c r="AIX91" s="1055"/>
      <c r="AIY91" s="1055"/>
      <c r="AIZ91" s="1055"/>
      <c r="AJA91" s="1055"/>
      <c r="AJB91" s="1055"/>
      <c r="AJC91" s="1055"/>
      <c r="AJD91" s="1055"/>
      <c r="AJE91" s="1055"/>
      <c r="AJF91" s="1055"/>
      <c r="AJG91" s="1055"/>
      <c r="AJH91" s="1055"/>
      <c r="AJI91" s="1055"/>
      <c r="AJJ91" s="1055"/>
      <c r="AJK91" s="1055"/>
      <c r="AJL91" s="1055"/>
      <c r="AJM91" s="1055"/>
      <c r="AJN91" s="1055"/>
      <c r="AJO91" s="1055"/>
      <c r="AJP91" s="1055"/>
      <c r="AJQ91" s="1055"/>
      <c r="AJR91" s="1055"/>
      <c r="AJS91" s="1055"/>
      <c r="AJT91" s="1055"/>
      <c r="AJU91" s="1055"/>
      <c r="AJV91" s="1055"/>
      <c r="AJW91" s="1055"/>
      <c r="AJX91" s="1055"/>
      <c r="AJY91" s="1055"/>
      <c r="AJZ91" s="1055"/>
      <c r="AKA91" s="1055"/>
      <c r="AKB91" s="1055"/>
      <c r="AKC91" s="1055"/>
      <c r="AKD91" s="1055"/>
      <c r="AKE91" s="1055"/>
      <c r="AKF91" s="1055"/>
      <c r="AKG91" s="1055"/>
      <c r="AKH91" s="1055"/>
      <c r="AKI91" s="1055"/>
      <c r="AKJ91" s="1055"/>
      <c r="AKK91" s="1055"/>
      <c r="AKL91" s="1055"/>
      <c r="AKM91" s="1055"/>
      <c r="AKN91" s="1055"/>
      <c r="AKO91" s="1055"/>
      <c r="AKP91" s="1055"/>
      <c r="AKQ91" s="1055"/>
      <c r="AKR91" s="1055"/>
      <c r="AKS91" s="1055"/>
      <c r="AKT91" s="1055"/>
      <c r="AKU91" s="1055"/>
      <c r="AKV91" s="1055"/>
      <c r="AKW91" s="1055"/>
      <c r="AKX91" s="1055"/>
      <c r="AKY91" s="1055"/>
      <c r="AKZ91" s="1055"/>
      <c r="ALA91" s="1055"/>
      <c r="ALB91" s="1055"/>
      <c r="ALC91" s="1055"/>
      <c r="ALD91" s="1055"/>
      <c r="ALE91" s="1055"/>
      <c r="ALF91" s="1055"/>
      <c r="ALG91" s="1055"/>
      <c r="ALH91" s="1055"/>
      <c r="ALI91" s="1055"/>
      <c r="ALJ91" s="1055"/>
      <c r="ALK91" s="1055"/>
      <c r="ALL91" s="1055"/>
      <c r="ALM91" s="1055"/>
      <c r="ALN91" s="1055"/>
      <c r="ALO91" s="1055"/>
      <c r="ALP91" s="1055"/>
      <c r="ALQ91" s="1055"/>
      <c r="ALR91" s="1055"/>
      <c r="ALS91" s="1055"/>
      <c r="ALT91" s="1055"/>
      <c r="ALU91" s="1055"/>
      <c r="ALV91" s="1055"/>
      <c r="ALW91" s="1055"/>
      <c r="ALX91" s="1055"/>
      <c r="ALY91" s="1055"/>
      <c r="ALZ91" s="1055"/>
      <c r="AMA91" s="1055"/>
      <c r="AMB91" s="1055"/>
      <c r="AMC91" s="1055"/>
      <c r="AMD91" s="1055"/>
      <c r="AME91" s="1055"/>
      <c r="AMF91" s="1055"/>
      <c r="AMG91" s="1055"/>
      <c r="AMH91" s="1055"/>
      <c r="AMI91" s="1055"/>
      <c r="AMJ91" s="1055"/>
      <c r="AMK91" s="1055"/>
      <c r="AML91" s="1055"/>
      <c r="AMM91" s="1055"/>
      <c r="AMN91" s="1055"/>
      <c r="AMO91" s="1055"/>
      <c r="AMP91" s="1055"/>
      <c r="AMQ91" s="1055"/>
      <c r="AMR91" s="1055"/>
      <c r="AMS91" s="1055"/>
      <c r="AMT91" s="1055"/>
      <c r="AMU91" s="1055"/>
      <c r="AMV91" s="1055"/>
      <c r="AMW91" s="1055"/>
      <c r="AMX91" s="1055"/>
      <c r="AMY91" s="1055"/>
      <c r="AMZ91" s="1055"/>
      <c r="ANA91" s="1055"/>
      <c r="ANB91" s="1055"/>
      <c r="ANC91" s="1055"/>
      <c r="AND91" s="1055"/>
      <c r="ANE91" s="1055"/>
      <c r="ANF91" s="1055"/>
      <c r="ANG91" s="1055"/>
      <c r="ANH91" s="1055"/>
      <c r="ANI91" s="1055"/>
      <c r="ANJ91" s="1055"/>
      <c r="ANK91" s="1055"/>
      <c r="ANL91" s="1055"/>
      <c r="ANM91" s="1055"/>
      <c r="ANN91" s="1055"/>
      <c r="ANO91" s="1055"/>
      <c r="ANP91" s="1055"/>
      <c r="ANQ91" s="1055"/>
      <c r="ANR91" s="1055"/>
      <c r="ANS91" s="1055"/>
      <c r="ANT91" s="1055"/>
      <c r="ANU91" s="1055"/>
      <c r="ANV91" s="1055"/>
      <c r="ANW91" s="1055"/>
      <c r="ANX91" s="1055"/>
      <c r="ANY91" s="1055"/>
      <c r="ANZ91" s="1055"/>
      <c r="AOA91" s="1055"/>
      <c r="AOB91" s="1055"/>
      <c r="AOC91" s="1055"/>
      <c r="AOD91" s="1055"/>
      <c r="AOE91" s="1055"/>
      <c r="AOF91" s="1055"/>
      <c r="AOG91" s="1055"/>
      <c r="AOH91" s="1055"/>
      <c r="AOI91" s="1055"/>
      <c r="AOJ91" s="1055"/>
      <c r="AOK91" s="1055"/>
      <c r="AOL91" s="1055"/>
      <c r="AOM91" s="1055"/>
      <c r="AON91" s="1055"/>
      <c r="AOO91" s="1055"/>
      <c r="AOP91" s="1055"/>
      <c r="AOQ91" s="1055"/>
      <c r="AOR91" s="1055"/>
      <c r="AOS91" s="1055"/>
      <c r="AOT91" s="1055"/>
      <c r="AOU91" s="1055"/>
      <c r="AOV91" s="1055"/>
      <c r="AOW91" s="1055"/>
      <c r="AOX91" s="1055"/>
      <c r="AOY91" s="1055"/>
      <c r="AOZ91" s="1055"/>
      <c r="APA91" s="1055"/>
      <c r="APB91" s="1055"/>
      <c r="APC91" s="1055"/>
      <c r="APD91" s="1055"/>
      <c r="APE91" s="1055"/>
      <c r="APF91" s="1055"/>
      <c r="APG91" s="1055"/>
      <c r="APH91" s="1055"/>
      <c r="API91" s="1055"/>
      <c r="APJ91" s="1055"/>
      <c r="APK91" s="1055"/>
      <c r="APL91" s="1055"/>
      <c r="APM91" s="1055"/>
      <c r="APN91" s="1055"/>
      <c r="APO91" s="1055"/>
      <c r="APP91" s="1055"/>
      <c r="APQ91" s="1055"/>
      <c r="APR91" s="1055"/>
      <c r="APS91" s="1055"/>
      <c r="APT91" s="1055"/>
      <c r="APU91" s="1055"/>
      <c r="APV91" s="1055"/>
      <c r="APW91" s="1055"/>
      <c r="APX91" s="1055"/>
      <c r="APY91" s="1055"/>
      <c r="APZ91" s="1055"/>
      <c r="AQA91" s="1055"/>
      <c r="AQB91" s="1055"/>
      <c r="AQC91" s="1055"/>
      <c r="AQD91" s="1055"/>
      <c r="AQE91" s="1055"/>
      <c r="AQF91" s="1055"/>
      <c r="AQG91" s="1055"/>
      <c r="AQH91" s="1055"/>
      <c r="AQI91" s="1055"/>
      <c r="AQJ91" s="1055"/>
      <c r="AQK91" s="1055"/>
      <c r="AQL91" s="1055"/>
      <c r="AQM91" s="1055"/>
      <c r="AQN91" s="1055"/>
      <c r="AQO91" s="1055"/>
      <c r="AQP91" s="1055"/>
      <c r="AQQ91" s="1055"/>
      <c r="AQR91" s="1055"/>
      <c r="AQS91" s="1055"/>
      <c r="AQT91" s="1055"/>
      <c r="AQU91" s="1055"/>
      <c r="AQV91" s="1055"/>
      <c r="AQW91" s="1055"/>
      <c r="AQX91" s="1055"/>
      <c r="AQY91" s="1055"/>
      <c r="AQZ91" s="1055"/>
      <c r="ARA91" s="1055"/>
      <c r="ARB91" s="1055"/>
      <c r="ARC91" s="1055"/>
      <c r="ARD91" s="1055"/>
      <c r="ARE91" s="1055"/>
      <c r="ARF91" s="1055"/>
      <c r="ARG91" s="1055"/>
      <c r="ARH91" s="1055"/>
      <c r="ARI91" s="1055"/>
      <c r="ARJ91" s="1055"/>
      <c r="ARK91" s="1055"/>
      <c r="ARL91" s="1055"/>
      <c r="ARM91" s="1055"/>
      <c r="ARN91" s="1055"/>
      <c r="ARO91" s="1055"/>
      <c r="ARP91" s="1055"/>
      <c r="ARQ91" s="1055"/>
      <c r="ARR91" s="1055"/>
      <c r="ARS91" s="1055"/>
      <c r="ART91" s="1055"/>
      <c r="ARU91" s="1055"/>
      <c r="ARV91" s="1055"/>
      <c r="ARW91" s="1055"/>
      <c r="ARX91" s="1055"/>
      <c r="ARY91" s="1055"/>
      <c r="ARZ91" s="1055"/>
      <c r="ASA91" s="1055"/>
      <c r="ASB91" s="1055"/>
      <c r="ASC91" s="1055"/>
      <c r="ASD91" s="1055"/>
      <c r="ASE91" s="1055"/>
      <c r="ASF91" s="1055"/>
      <c r="ASG91" s="1055"/>
      <c r="ASH91" s="1055"/>
      <c r="ASI91" s="1055"/>
      <c r="ASJ91" s="1055"/>
      <c r="ASK91" s="1055"/>
      <c r="ASL91" s="1055"/>
      <c r="ASM91" s="1055"/>
      <c r="ASN91" s="1055"/>
      <c r="ASO91" s="1055"/>
      <c r="ASP91" s="1055"/>
      <c r="ASQ91" s="1055"/>
      <c r="ASR91" s="1055"/>
      <c r="ASS91" s="1055"/>
      <c r="AST91" s="1055"/>
      <c r="ASU91" s="1055"/>
      <c r="ASV91" s="1055"/>
      <c r="ASW91" s="1055"/>
      <c r="ASX91" s="1055"/>
      <c r="ASY91" s="1055"/>
      <c r="ASZ91" s="1055"/>
      <c r="ATA91" s="1055"/>
      <c r="ATB91" s="1055"/>
      <c r="ATC91" s="1055"/>
      <c r="ATD91" s="1055"/>
      <c r="ATE91" s="1055"/>
      <c r="ATF91" s="1055"/>
      <c r="ATG91" s="1055"/>
      <c r="ATH91" s="1055"/>
      <c r="ATI91" s="1055"/>
      <c r="ATJ91" s="1055"/>
      <c r="ATK91" s="1055"/>
      <c r="ATL91" s="1055"/>
      <c r="ATM91" s="1055"/>
      <c r="ATN91" s="1055"/>
      <c r="ATO91" s="1055"/>
      <c r="ATP91" s="1055"/>
      <c r="ATQ91" s="1055"/>
      <c r="ATR91" s="1055"/>
      <c r="ATS91" s="1055"/>
      <c r="ATT91" s="1055"/>
      <c r="ATU91" s="1055"/>
      <c r="ATV91" s="1055"/>
      <c r="ATW91" s="1055"/>
      <c r="ATX91" s="1055"/>
      <c r="ATY91" s="1055"/>
      <c r="ATZ91" s="1055"/>
      <c r="AUA91" s="1055"/>
      <c r="AUB91" s="1055"/>
      <c r="AUC91" s="1055"/>
      <c r="AUD91" s="1055"/>
      <c r="AUE91" s="1055"/>
      <c r="AUF91" s="1055"/>
      <c r="AUG91" s="1055"/>
      <c r="AUH91" s="1055"/>
      <c r="AUI91" s="1055"/>
      <c r="AUJ91" s="1055"/>
      <c r="AUK91" s="1055"/>
      <c r="AUL91" s="1055"/>
      <c r="AUM91" s="1055"/>
      <c r="AUN91" s="1055"/>
      <c r="AUO91" s="1055"/>
      <c r="AUP91" s="1055"/>
      <c r="AUQ91" s="1055"/>
      <c r="AUR91" s="1055"/>
      <c r="AUS91" s="1055"/>
      <c r="AUT91" s="1055"/>
      <c r="AUU91" s="1055"/>
      <c r="AUV91" s="1055"/>
      <c r="AUW91" s="1055"/>
      <c r="AUX91" s="1055"/>
      <c r="AUY91" s="1055"/>
      <c r="AUZ91" s="1055"/>
      <c r="AVA91" s="1055"/>
      <c r="AVB91" s="1055"/>
      <c r="AVC91" s="1055"/>
      <c r="AVD91" s="1055"/>
      <c r="AVE91" s="1055"/>
      <c r="AVF91" s="1055"/>
      <c r="AVG91" s="1055"/>
      <c r="AVH91" s="1055"/>
      <c r="AVI91" s="1055"/>
      <c r="AVJ91" s="1055"/>
      <c r="AVK91" s="1055"/>
      <c r="AVL91" s="1055"/>
      <c r="AVM91" s="1055"/>
      <c r="AVN91" s="1055"/>
      <c r="AVO91" s="1055"/>
      <c r="AVP91" s="1055"/>
      <c r="AVQ91" s="1055"/>
      <c r="AVR91" s="1055"/>
      <c r="AVS91" s="1055"/>
      <c r="AVT91" s="1055"/>
      <c r="AVU91" s="1055"/>
      <c r="AVV91" s="1055"/>
      <c r="AVW91" s="1055"/>
      <c r="AVX91" s="1055"/>
      <c r="AVY91" s="1055"/>
      <c r="AVZ91" s="1055"/>
      <c r="AWA91" s="1055"/>
      <c r="AWB91" s="1055"/>
      <c r="AWC91" s="1055"/>
      <c r="AWD91" s="1055"/>
      <c r="AWE91" s="1055"/>
      <c r="AWF91" s="1055"/>
      <c r="AWG91" s="1055"/>
      <c r="AWH91" s="1055"/>
      <c r="AWI91" s="1055"/>
      <c r="AWJ91" s="1055"/>
      <c r="AWK91" s="1055"/>
      <c r="AWL91" s="1055"/>
      <c r="AWM91" s="1055"/>
      <c r="AWN91" s="1055"/>
      <c r="AWO91" s="1055"/>
      <c r="AWP91" s="1055"/>
      <c r="AWQ91" s="1055"/>
      <c r="AWR91" s="1055"/>
      <c r="AWS91" s="1055"/>
      <c r="AWT91" s="1055"/>
      <c r="AWU91" s="1055"/>
      <c r="AWV91" s="1055"/>
      <c r="AWW91" s="1055"/>
      <c r="AWX91" s="1055"/>
      <c r="AWY91" s="1055"/>
      <c r="AWZ91" s="1055"/>
      <c r="AXA91" s="1055"/>
      <c r="AXB91" s="1055"/>
      <c r="AXC91" s="1055"/>
      <c r="AXD91" s="1055"/>
      <c r="AXE91" s="1055"/>
      <c r="AXF91" s="1055"/>
      <c r="AXG91" s="1055"/>
      <c r="AXH91" s="1055"/>
      <c r="AXI91" s="1055"/>
      <c r="AXJ91" s="1055"/>
      <c r="AXK91" s="1055"/>
      <c r="AXL91" s="1055"/>
      <c r="AXM91" s="1055"/>
      <c r="AXN91" s="1055"/>
      <c r="AXO91" s="1055"/>
      <c r="AXP91" s="1055"/>
      <c r="AXQ91" s="1055"/>
      <c r="AXR91" s="1055"/>
      <c r="AXS91" s="1055"/>
      <c r="AXT91" s="1055"/>
      <c r="AXU91" s="1055"/>
      <c r="AXV91" s="1055"/>
      <c r="AXW91" s="1055"/>
      <c r="AXX91" s="1055"/>
      <c r="AXY91" s="1055"/>
      <c r="AXZ91" s="1055"/>
      <c r="AYA91" s="1055"/>
      <c r="AYB91" s="1055"/>
      <c r="AYC91" s="1055"/>
      <c r="AYD91" s="1055"/>
      <c r="AYE91" s="1055"/>
      <c r="AYF91" s="1055"/>
      <c r="AYG91" s="1055"/>
      <c r="AYH91" s="1055"/>
      <c r="AYI91" s="1055"/>
      <c r="AYJ91" s="1055"/>
      <c r="AYK91" s="1055"/>
      <c r="AYL91" s="1055"/>
      <c r="AYM91" s="1055"/>
      <c r="AYN91" s="1055"/>
      <c r="AYO91" s="1055"/>
      <c r="AYP91" s="1055"/>
      <c r="AYQ91" s="1055"/>
      <c r="AYR91" s="1055"/>
      <c r="AYS91" s="1055"/>
      <c r="AYT91" s="1055"/>
      <c r="AYU91" s="1055"/>
      <c r="AYV91" s="1055"/>
      <c r="AYW91" s="1055"/>
      <c r="AYX91" s="1055"/>
      <c r="AYY91" s="1055"/>
      <c r="AYZ91" s="1055"/>
      <c r="AZA91" s="1055"/>
      <c r="AZB91" s="1055"/>
      <c r="AZC91" s="1055"/>
      <c r="AZD91" s="1055"/>
      <c r="AZE91" s="1055"/>
      <c r="AZF91" s="1055"/>
      <c r="AZG91" s="1055"/>
      <c r="AZH91" s="1055"/>
      <c r="AZI91" s="1055"/>
      <c r="AZJ91" s="1055"/>
      <c r="AZK91" s="1055"/>
      <c r="AZL91" s="1055"/>
      <c r="AZM91" s="1055"/>
      <c r="AZN91" s="1055"/>
      <c r="AZO91" s="1055"/>
      <c r="AZP91" s="1055"/>
      <c r="AZQ91" s="1055"/>
      <c r="AZR91" s="1055"/>
      <c r="AZS91" s="1055"/>
      <c r="AZT91" s="1055"/>
      <c r="AZU91" s="1055"/>
      <c r="AZV91" s="1055"/>
      <c r="AZW91" s="1055"/>
      <c r="AZX91" s="1055"/>
      <c r="AZY91" s="1055"/>
      <c r="AZZ91" s="1055"/>
      <c r="BAA91" s="1055"/>
      <c r="BAB91" s="1055"/>
      <c r="BAC91" s="1055"/>
      <c r="BAD91" s="1055"/>
      <c r="BAE91" s="1055"/>
      <c r="BAF91" s="1055"/>
      <c r="BAG91" s="1055"/>
      <c r="BAH91" s="1055"/>
      <c r="BAI91" s="1055"/>
      <c r="BAJ91" s="1055"/>
      <c r="BAK91" s="1055"/>
      <c r="BAL91" s="1055"/>
      <c r="BAM91" s="1055"/>
      <c r="BAN91" s="1055"/>
      <c r="BAO91" s="1055"/>
      <c r="BAP91" s="1055"/>
      <c r="BAQ91" s="1055"/>
      <c r="BAR91" s="1055"/>
      <c r="BAS91" s="1055"/>
      <c r="BAT91" s="1055"/>
      <c r="BAU91" s="1055"/>
      <c r="BAV91" s="1055"/>
      <c r="BAW91" s="1055"/>
      <c r="BAX91" s="1055"/>
      <c r="BAY91" s="1055"/>
      <c r="BAZ91" s="1055"/>
      <c r="BBA91" s="1055"/>
      <c r="BBB91" s="1055"/>
      <c r="BBC91" s="1055"/>
      <c r="BBD91" s="1055"/>
      <c r="BBE91" s="1055"/>
      <c r="BBF91" s="1055"/>
      <c r="BBG91" s="1055"/>
      <c r="BBH91" s="1055"/>
      <c r="BBI91" s="1055"/>
      <c r="BBJ91" s="1055"/>
      <c r="BBK91" s="1055"/>
      <c r="BBL91" s="1055"/>
      <c r="BBM91" s="1055"/>
      <c r="BBN91" s="1055"/>
      <c r="BBO91" s="1055"/>
      <c r="BBP91" s="1055"/>
      <c r="BBQ91" s="1055"/>
      <c r="BBR91" s="1055"/>
      <c r="BBS91" s="1055"/>
      <c r="BBT91" s="1055"/>
      <c r="BBU91" s="1055"/>
      <c r="BBV91" s="1055"/>
      <c r="BBW91" s="1055"/>
      <c r="BBX91" s="1055"/>
      <c r="BBY91" s="1055"/>
      <c r="BBZ91" s="1055"/>
      <c r="BCA91" s="1055"/>
      <c r="BCB91" s="1055"/>
      <c r="BCC91" s="1055"/>
      <c r="BCD91" s="1055"/>
      <c r="BCE91" s="1055"/>
      <c r="BCF91" s="1055"/>
      <c r="BCG91" s="1055"/>
      <c r="BCH91" s="1055"/>
      <c r="BCI91" s="1055"/>
      <c r="BCJ91" s="1055"/>
      <c r="BCK91" s="1055"/>
      <c r="BCL91" s="1055"/>
      <c r="BCM91" s="1055"/>
      <c r="BCN91" s="1055"/>
      <c r="BCO91" s="1055"/>
      <c r="BCP91" s="1055"/>
      <c r="BCQ91" s="1055"/>
      <c r="BCR91" s="1055"/>
      <c r="BCS91" s="1055"/>
      <c r="BCT91" s="1055"/>
      <c r="BCU91" s="1055"/>
      <c r="BCV91" s="1055"/>
      <c r="BCW91" s="1055"/>
      <c r="BCX91" s="1055"/>
      <c r="BCY91" s="1055"/>
      <c r="BCZ91" s="1055"/>
      <c r="BDA91" s="1055"/>
      <c r="BDB91" s="1055"/>
      <c r="BDC91" s="1055"/>
      <c r="BDD91" s="1055"/>
      <c r="BDE91" s="1055"/>
      <c r="BDF91" s="1055"/>
      <c r="BDG91" s="1055"/>
      <c r="BDH91" s="1055"/>
      <c r="BDI91" s="1055"/>
      <c r="BDJ91" s="1055"/>
      <c r="BDK91" s="1055"/>
      <c r="BDL91" s="1055"/>
      <c r="BDM91" s="1055"/>
      <c r="BDN91" s="1055"/>
      <c r="BDO91" s="1055"/>
      <c r="BDP91" s="1055"/>
      <c r="BDQ91" s="1055"/>
      <c r="BDR91" s="1055"/>
      <c r="BDS91" s="1055"/>
      <c r="BDT91" s="1055"/>
      <c r="BDU91" s="1055"/>
      <c r="BDV91" s="1055"/>
      <c r="BDW91" s="1055"/>
      <c r="BDX91" s="1055"/>
      <c r="BDY91" s="1055"/>
      <c r="BDZ91" s="1055"/>
      <c r="BEA91" s="1055"/>
      <c r="BEB91" s="1055"/>
      <c r="BEC91" s="1055"/>
      <c r="BED91" s="1055"/>
      <c r="BEE91" s="1055"/>
      <c r="BEF91" s="1055"/>
      <c r="BEG91" s="1055"/>
      <c r="BEH91" s="1055"/>
      <c r="BEI91" s="1055"/>
      <c r="BEJ91" s="1055"/>
      <c r="BEK91" s="1055"/>
      <c r="BEL91" s="1055"/>
      <c r="BEM91" s="1055"/>
      <c r="BEN91" s="1055"/>
      <c r="BEO91" s="1055"/>
      <c r="BEP91" s="1055"/>
      <c r="BEQ91" s="1055"/>
      <c r="BER91" s="1055"/>
      <c r="BES91" s="1055"/>
      <c r="BET91" s="1055"/>
      <c r="BEU91" s="1055"/>
      <c r="BEV91" s="1055"/>
      <c r="BEW91" s="1055"/>
      <c r="BEX91" s="1055"/>
      <c r="BEY91" s="1055"/>
      <c r="BEZ91" s="1055"/>
      <c r="BFA91" s="1055"/>
      <c r="BFB91" s="1055"/>
      <c r="BFC91" s="1055"/>
      <c r="BFD91" s="1055"/>
      <c r="BFE91" s="1055"/>
      <c r="BFF91" s="1055"/>
      <c r="BFG91" s="1055"/>
      <c r="BFH91" s="1055"/>
      <c r="BFI91" s="1055"/>
      <c r="BFJ91" s="1055"/>
      <c r="BFK91" s="1055"/>
      <c r="BFL91" s="1055"/>
      <c r="BFM91" s="1055"/>
      <c r="BFN91" s="1055"/>
      <c r="BFO91" s="1055"/>
      <c r="BFP91" s="1055"/>
      <c r="BFQ91" s="1055"/>
      <c r="BFR91" s="1055"/>
      <c r="BFS91" s="1055"/>
      <c r="BFT91" s="1055"/>
      <c r="BFU91" s="1055"/>
      <c r="BFV91" s="1055"/>
      <c r="BFW91" s="1055"/>
      <c r="BFX91" s="1055"/>
      <c r="BFY91" s="1055"/>
      <c r="BFZ91" s="1055"/>
      <c r="BGA91" s="1055"/>
      <c r="BGB91" s="1055"/>
      <c r="BGC91" s="1055"/>
      <c r="BGD91" s="1055"/>
      <c r="BGE91" s="1055"/>
      <c r="BGF91" s="1055"/>
      <c r="BGG91" s="1055"/>
      <c r="BGH91" s="1055"/>
      <c r="BGI91" s="1055"/>
      <c r="BGJ91" s="1055"/>
      <c r="BGK91" s="1055"/>
      <c r="BGL91" s="1055"/>
      <c r="BGM91" s="1055"/>
      <c r="BGN91" s="1055"/>
      <c r="BGO91" s="1055"/>
      <c r="BGP91" s="1055"/>
      <c r="BGQ91" s="1055"/>
      <c r="BGR91" s="1055"/>
      <c r="BGS91" s="1055"/>
      <c r="BGT91" s="1055"/>
      <c r="BGU91" s="1055"/>
      <c r="BGV91" s="1055"/>
      <c r="BGW91" s="1055"/>
      <c r="BGX91" s="1055"/>
      <c r="BGY91" s="1055"/>
      <c r="BGZ91" s="1055"/>
      <c r="BHA91" s="1055"/>
      <c r="BHB91" s="1055"/>
      <c r="BHC91" s="1055"/>
      <c r="BHD91" s="1055"/>
      <c r="BHE91" s="1055"/>
      <c r="BHF91" s="1055"/>
      <c r="BHG91" s="1055"/>
      <c r="BHH91" s="1055"/>
      <c r="BHI91" s="1055"/>
      <c r="BHJ91" s="1055"/>
      <c r="BHK91" s="1055"/>
      <c r="BHL91" s="1055"/>
      <c r="BHM91" s="1055"/>
      <c r="BHN91" s="1055"/>
      <c r="BHO91" s="1055"/>
      <c r="BHP91" s="1055"/>
      <c r="BHQ91" s="1055"/>
      <c r="BHR91" s="1055"/>
      <c r="BHS91" s="1055"/>
      <c r="BHT91" s="1055"/>
      <c r="BHU91" s="1055"/>
      <c r="BHV91" s="1055"/>
      <c r="BHW91" s="1055"/>
      <c r="BHX91" s="1055"/>
      <c r="BHY91" s="1055"/>
      <c r="BHZ91" s="1055"/>
      <c r="BIA91" s="1055"/>
      <c r="BIB91" s="1055"/>
      <c r="BIC91" s="1055"/>
      <c r="BID91" s="1055"/>
      <c r="BIE91" s="1055"/>
      <c r="BIF91" s="1055"/>
      <c r="BIG91" s="1055"/>
      <c r="BIH91" s="1055"/>
      <c r="BII91" s="1055"/>
      <c r="BIJ91" s="1055"/>
      <c r="BIK91" s="1055"/>
      <c r="BIL91" s="1055"/>
      <c r="BIM91" s="1055"/>
      <c r="BIN91" s="1055"/>
      <c r="BIO91" s="1055"/>
      <c r="BIP91" s="1055"/>
      <c r="BIQ91" s="1055"/>
      <c r="BIR91" s="1055"/>
      <c r="BIS91" s="1055"/>
      <c r="BIT91" s="1055"/>
      <c r="BIU91" s="1055"/>
      <c r="BIV91" s="1055"/>
      <c r="BIW91" s="1055"/>
      <c r="BIX91" s="1055"/>
      <c r="BIY91" s="1055"/>
      <c r="BIZ91" s="1055"/>
      <c r="BJA91" s="1055"/>
      <c r="BJB91" s="1055"/>
      <c r="BJC91" s="1055"/>
      <c r="BJD91" s="1055"/>
      <c r="BJE91" s="1055"/>
      <c r="BJF91" s="1055"/>
      <c r="BJG91" s="1055"/>
      <c r="BJH91" s="1055"/>
      <c r="BJI91" s="1055"/>
      <c r="BJJ91" s="1055"/>
      <c r="BJK91" s="1055"/>
      <c r="BJL91" s="1055"/>
      <c r="BJM91" s="1055"/>
      <c r="BJN91" s="1055"/>
      <c r="BJO91" s="1055"/>
      <c r="BJP91" s="1055"/>
      <c r="BJQ91" s="1055"/>
      <c r="BJR91" s="1055"/>
      <c r="BJS91" s="1055"/>
      <c r="BJT91" s="1055"/>
      <c r="BJU91" s="1055"/>
      <c r="BJV91" s="1055"/>
      <c r="BJW91" s="1055"/>
      <c r="BJX91" s="1055"/>
      <c r="BJY91" s="1055"/>
      <c r="BJZ91" s="1055"/>
      <c r="BKA91" s="1055"/>
      <c r="BKB91" s="1055"/>
      <c r="BKC91" s="1055"/>
      <c r="BKD91" s="1055"/>
      <c r="BKE91" s="1055"/>
      <c r="BKF91" s="1055"/>
      <c r="BKG91" s="1055"/>
      <c r="BKH91" s="1055"/>
      <c r="BKI91" s="1055"/>
      <c r="BKJ91" s="1055"/>
      <c r="BKK91" s="1055"/>
      <c r="BKL91" s="1055"/>
      <c r="BKM91" s="1055"/>
      <c r="BKN91" s="1055"/>
      <c r="BKO91" s="1055"/>
      <c r="BKP91" s="1055"/>
      <c r="BKQ91" s="1055"/>
      <c r="BKR91" s="1055"/>
      <c r="BKS91" s="1055"/>
      <c r="BKT91" s="1055"/>
      <c r="BKU91" s="1055"/>
      <c r="BKV91" s="1055"/>
      <c r="BKW91" s="1055"/>
      <c r="BKX91" s="1055"/>
      <c r="BKY91" s="1055"/>
      <c r="BKZ91" s="1055"/>
      <c r="BLA91" s="1055"/>
      <c r="BLB91" s="1055"/>
      <c r="BLC91" s="1055"/>
      <c r="BLD91" s="1055"/>
      <c r="BLE91" s="1055"/>
      <c r="BLF91" s="1055"/>
      <c r="BLG91" s="1055"/>
      <c r="BLH91" s="1055"/>
      <c r="BLI91" s="1055"/>
      <c r="BLJ91" s="1055"/>
      <c r="BLK91" s="1055"/>
      <c r="BLL91" s="1055"/>
      <c r="BLM91" s="1055"/>
      <c r="BLN91" s="1055"/>
      <c r="BLO91" s="1055"/>
      <c r="BLP91" s="1055"/>
      <c r="BLQ91" s="1055"/>
      <c r="BLR91" s="1055"/>
      <c r="BLS91" s="1055"/>
      <c r="BLT91" s="1055"/>
      <c r="BLU91" s="1055"/>
      <c r="BLV91" s="1055"/>
      <c r="BLW91" s="1055"/>
      <c r="BLX91" s="1055"/>
      <c r="BLY91" s="1055"/>
      <c r="BLZ91" s="1055"/>
      <c r="BMA91" s="1055"/>
      <c r="BMB91" s="1055"/>
      <c r="BMC91" s="1055"/>
      <c r="BMD91" s="1055"/>
      <c r="BME91" s="1055"/>
      <c r="BMF91" s="1055"/>
      <c r="BMG91" s="1055"/>
      <c r="BMH91" s="1055"/>
      <c r="BMI91" s="1055"/>
      <c r="BMJ91" s="1055"/>
      <c r="BMK91" s="1055"/>
      <c r="BML91" s="1055"/>
      <c r="BMM91" s="1055"/>
      <c r="BMN91" s="1055"/>
      <c r="BMO91" s="1055"/>
      <c r="BMP91" s="1055"/>
      <c r="BMQ91" s="1055"/>
      <c r="BMR91" s="1055"/>
      <c r="BMS91" s="1055"/>
      <c r="BMT91" s="1055"/>
      <c r="BMU91" s="1055"/>
      <c r="BMV91" s="1055"/>
      <c r="BMW91" s="1055"/>
      <c r="BMX91" s="1055"/>
      <c r="BMY91" s="1055"/>
      <c r="BMZ91" s="1055"/>
      <c r="BNA91" s="1055"/>
      <c r="BNB91" s="1055"/>
      <c r="BNC91" s="1055"/>
      <c r="BND91" s="1055"/>
      <c r="BNE91" s="1055"/>
      <c r="BNF91" s="1055"/>
      <c r="BNG91" s="1055"/>
      <c r="BNH91" s="1055"/>
      <c r="BNI91" s="1055"/>
      <c r="BNJ91" s="1055"/>
      <c r="BNK91" s="1055"/>
      <c r="BNL91" s="1055"/>
      <c r="BNM91" s="1055"/>
      <c r="BNN91" s="1055"/>
      <c r="BNO91" s="1055"/>
      <c r="BNP91" s="1055"/>
      <c r="BNQ91" s="1055"/>
      <c r="BNR91" s="1055"/>
      <c r="BNS91" s="1055"/>
      <c r="BNT91" s="1055"/>
      <c r="BNU91" s="1055"/>
      <c r="BNV91" s="1055"/>
      <c r="BNW91" s="1055"/>
      <c r="BNX91" s="1055"/>
      <c r="BNY91" s="1055"/>
      <c r="BNZ91" s="1055"/>
      <c r="BOA91" s="1055"/>
      <c r="BOB91" s="1055"/>
      <c r="BOC91" s="1055"/>
      <c r="BOD91" s="1055"/>
      <c r="BOE91" s="1055"/>
      <c r="BOF91" s="1055"/>
      <c r="BOG91" s="1055"/>
      <c r="BOH91" s="1055"/>
      <c r="BOI91" s="1055"/>
      <c r="BOJ91" s="1055"/>
      <c r="BOK91" s="1055"/>
      <c r="BOL91" s="1055"/>
      <c r="BOM91" s="1055"/>
      <c r="BON91" s="1055"/>
      <c r="BOO91" s="1055"/>
      <c r="BOP91" s="1055"/>
      <c r="BOQ91" s="1055"/>
      <c r="BOR91" s="1055"/>
      <c r="BOS91" s="1055"/>
      <c r="BOT91" s="1055"/>
      <c r="BOU91" s="1055"/>
      <c r="BOV91" s="1055"/>
      <c r="BOW91" s="1055"/>
      <c r="BOX91" s="1055"/>
      <c r="BOY91" s="1055"/>
      <c r="BOZ91" s="1055"/>
      <c r="BPA91" s="1055"/>
      <c r="BPB91" s="1055"/>
      <c r="BPC91" s="1055"/>
      <c r="BPD91" s="1055"/>
      <c r="BPE91" s="1055"/>
      <c r="BPF91" s="1055"/>
      <c r="BPG91" s="1055"/>
      <c r="BPH91" s="1055"/>
      <c r="BPI91" s="1055"/>
      <c r="BPJ91" s="1055"/>
      <c r="BPK91" s="1055"/>
      <c r="BPL91" s="1055"/>
      <c r="BPM91" s="1055"/>
      <c r="BPN91" s="1055"/>
      <c r="BPO91" s="1055"/>
      <c r="BPP91" s="1055"/>
      <c r="BPQ91" s="1055"/>
      <c r="BPR91" s="1055"/>
      <c r="BPS91" s="1055"/>
      <c r="BPT91" s="1055"/>
      <c r="BPU91" s="1055"/>
      <c r="BPV91" s="1055"/>
      <c r="BPW91" s="1055"/>
      <c r="BPX91" s="1055"/>
      <c r="BPY91" s="1055"/>
      <c r="BPZ91" s="1055"/>
      <c r="BQA91" s="1055"/>
      <c r="BQB91" s="1055"/>
      <c r="BQC91" s="1055"/>
      <c r="BQD91" s="1055"/>
      <c r="BQE91" s="1055"/>
      <c r="BQF91" s="1055"/>
      <c r="BQG91" s="1055"/>
      <c r="BQH91" s="1055"/>
      <c r="BQI91" s="1055"/>
      <c r="BQJ91" s="1055"/>
      <c r="BQK91" s="1055"/>
      <c r="BQL91" s="1055"/>
      <c r="BQM91" s="1055"/>
      <c r="BQN91" s="1055"/>
      <c r="BQO91" s="1055"/>
      <c r="BQP91" s="1055"/>
      <c r="BQQ91" s="1055"/>
      <c r="BQR91" s="1055"/>
      <c r="BQS91" s="1055"/>
      <c r="BQT91" s="1055"/>
      <c r="BQU91" s="1055"/>
      <c r="BQV91" s="1055"/>
      <c r="BQW91" s="1055"/>
      <c r="BQX91" s="1055"/>
      <c r="BQY91" s="1055"/>
      <c r="BQZ91" s="1055"/>
      <c r="BRA91" s="1055"/>
      <c r="BRB91" s="1055"/>
      <c r="BRC91" s="1055"/>
      <c r="BRD91" s="1055"/>
      <c r="BRE91" s="1055"/>
      <c r="BRF91" s="1055"/>
      <c r="BRG91" s="1055"/>
      <c r="BRH91" s="1055"/>
      <c r="BRI91" s="1055"/>
      <c r="BRJ91" s="1055"/>
      <c r="BRK91" s="1055"/>
      <c r="BRL91" s="1055"/>
      <c r="BRM91" s="1055"/>
      <c r="BRN91" s="1055"/>
      <c r="BRO91" s="1055"/>
      <c r="BRP91" s="1055"/>
      <c r="BRQ91" s="1055"/>
      <c r="BRR91" s="1055"/>
      <c r="BRS91" s="1055"/>
      <c r="BRT91" s="1055"/>
      <c r="BRU91" s="1055"/>
      <c r="BRV91" s="1055"/>
      <c r="BRW91" s="1055"/>
      <c r="BRX91" s="1055"/>
      <c r="BRY91" s="1055"/>
      <c r="BRZ91" s="1055"/>
      <c r="BSA91" s="1055"/>
      <c r="BSB91" s="1055"/>
      <c r="BSC91" s="1055"/>
      <c r="BSD91" s="1055"/>
      <c r="BSE91" s="1055"/>
      <c r="BSF91" s="1055"/>
      <c r="BSG91" s="1055"/>
      <c r="BSH91" s="1055"/>
      <c r="BSI91" s="1055"/>
      <c r="BSJ91" s="1055"/>
      <c r="BSK91" s="1055"/>
      <c r="BSL91" s="1055"/>
      <c r="BSM91" s="1055"/>
      <c r="BSN91" s="1055"/>
      <c r="BSO91" s="1055"/>
      <c r="BSP91" s="1055"/>
      <c r="BSQ91" s="1055"/>
      <c r="BSR91" s="1055"/>
      <c r="BSS91" s="1055"/>
      <c r="BST91" s="1055"/>
      <c r="BSU91" s="1055"/>
      <c r="BSV91" s="1055"/>
      <c r="BSW91" s="1055"/>
      <c r="BSX91" s="1055"/>
      <c r="BSY91" s="1055"/>
      <c r="BSZ91" s="1055"/>
      <c r="BTA91" s="1055"/>
      <c r="BTB91" s="1055"/>
      <c r="BTC91" s="1055"/>
      <c r="BTD91" s="1055"/>
      <c r="BTE91" s="1055"/>
      <c r="BTF91" s="1055"/>
      <c r="BTG91" s="1055"/>
      <c r="BTH91" s="1055"/>
      <c r="BTI91" s="1055"/>
      <c r="BTJ91" s="1055"/>
      <c r="BTK91" s="1055"/>
      <c r="BTL91" s="1055"/>
      <c r="BTM91" s="1055"/>
      <c r="BTN91" s="1055"/>
      <c r="BTO91" s="1055"/>
      <c r="BTP91" s="1055"/>
      <c r="BTQ91" s="1055"/>
      <c r="BTR91" s="1055"/>
      <c r="BTS91" s="1055"/>
      <c r="BTT91" s="1055"/>
      <c r="BTU91" s="1055"/>
      <c r="BTV91" s="1055"/>
      <c r="BTW91" s="1055"/>
      <c r="BTX91" s="1055"/>
      <c r="BTY91" s="1055"/>
      <c r="BTZ91" s="1055"/>
      <c r="BUA91" s="1055"/>
      <c r="BUB91" s="1055"/>
      <c r="BUC91" s="1055"/>
      <c r="BUD91" s="1055"/>
      <c r="BUE91" s="1055"/>
      <c r="BUF91" s="1055"/>
      <c r="BUG91" s="1055"/>
      <c r="BUH91" s="1055"/>
      <c r="BUI91" s="1055"/>
      <c r="BUJ91" s="1055"/>
      <c r="BUK91" s="1055"/>
      <c r="BUL91" s="1055"/>
      <c r="BUM91" s="1055"/>
      <c r="BUN91" s="1055"/>
      <c r="BUO91" s="1055"/>
      <c r="BUP91" s="1055"/>
      <c r="BUQ91" s="1055"/>
      <c r="BUR91" s="1055"/>
      <c r="BUS91" s="1055"/>
      <c r="BUT91" s="1055"/>
      <c r="BUU91" s="1055"/>
      <c r="BUV91" s="1055"/>
      <c r="BUW91" s="1055"/>
      <c r="BUX91" s="1055"/>
      <c r="BUY91" s="1055"/>
      <c r="BUZ91" s="1055"/>
      <c r="BVA91" s="1055"/>
      <c r="BVB91" s="1055"/>
      <c r="BVC91" s="1055"/>
      <c r="BVD91" s="1055"/>
      <c r="BVE91" s="1055"/>
      <c r="BVF91" s="1055"/>
      <c r="BVG91" s="1055"/>
      <c r="BVH91" s="1055"/>
      <c r="BVI91" s="1055"/>
      <c r="BVJ91" s="1055"/>
      <c r="BVK91" s="1055"/>
      <c r="BVL91" s="1055"/>
      <c r="BVM91" s="1055"/>
      <c r="BVN91" s="1055"/>
      <c r="BVO91" s="1055"/>
      <c r="BVP91" s="1055"/>
      <c r="BVQ91" s="1055"/>
      <c r="BVR91" s="1055"/>
      <c r="BVS91" s="1055"/>
      <c r="BVT91" s="1055"/>
      <c r="BVU91" s="1055"/>
      <c r="BVV91" s="1055"/>
      <c r="BVW91" s="1055"/>
      <c r="BVX91" s="1055"/>
      <c r="BVY91" s="1055"/>
      <c r="BVZ91" s="1055"/>
      <c r="BWA91" s="1055"/>
      <c r="BWB91" s="1055"/>
      <c r="BWC91" s="1055"/>
      <c r="BWD91" s="1055"/>
      <c r="BWE91" s="1055"/>
      <c r="BWF91" s="1055"/>
      <c r="BWG91" s="1055"/>
      <c r="BWH91" s="1055"/>
      <c r="BWI91" s="1055"/>
      <c r="BWJ91" s="1055"/>
      <c r="BWK91" s="1055"/>
      <c r="BWL91" s="1055"/>
      <c r="BWM91" s="1055"/>
      <c r="BWN91" s="1055"/>
      <c r="BWO91" s="1055"/>
      <c r="BWP91" s="1055"/>
      <c r="BWQ91" s="1055"/>
      <c r="BWR91" s="1055"/>
      <c r="BWS91" s="1055"/>
      <c r="BWT91" s="1055"/>
      <c r="BWU91" s="1055"/>
      <c r="BWV91" s="1055"/>
      <c r="BWW91" s="1055"/>
      <c r="BWX91" s="1055"/>
      <c r="BWY91" s="1055"/>
      <c r="BWZ91" s="1055"/>
      <c r="BXA91" s="1055"/>
      <c r="BXB91" s="1055"/>
      <c r="BXC91" s="1055"/>
      <c r="BXD91" s="1055"/>
      <c r="BXE91" s="1055"/>
      <c r="BXF91" s="1055"/>
      <c r="BXG91" s="1055"/>
      <c r="BXH91" s="1055"/>
      <c r="BXI91" s="1055"/>
      <c r="BXJ91" s="1055"/>
      <c r="BXK91" s="1055"/>
      <c r="BXL91" s="1055"/>
      <c r="BXM91" s="1055"/>
      <c r="BXN91" s="1055"/>
      <c r="BXO91" s="1055"/>
      <c r="BXP91" s="1055"/>
      <c r="BXQ91" s="1055"/>
      <c r="BXR91" s="1055"/>
      <c r="BXS91" s="1055"/>
      <c r="BXT91" s="1055"/>
      <c r="BXU91" s="1055"/>
      <c r="BXV91" s="1055"/>
      <c r="BXW91" s="1055"/>
      <c r="BXX91" s="1055"/>
      <c r="BXY91" s="1055"/>
      <c r="BXZ91" s="1055"/>
      <c r="BYA91" s="1055"/>
      <c r="BYB91" s="1055"/>
      <c r="BYC91" s="1055"/>
      <c r="BYD91" s="1055"/>
      <c r="BYE91" s="1055"/>
      <c r="BYF91" s="1055"/>
      <c r="BYG91" s="1055"/>
      <c r="BYH91" s="1055"/>
      <c r="BYI91" s="1055"/>
      <c r="BYJ91" s="1055"/>
      <c r="BYK91" s="1055"/>
      <c r="BYL91" s="1055"/>
      <c r="BYM91" s="1055"/>
      <c r="BYN91" s="1055"/>
      <c r="BYO91" s="1055"/>
      <c r="BYP91" s="1055"/>
      <c r="BYQ91" s="1055"/>
      <c r="BYR91" s="1055"/>
      <c r="BYS91" s="1055"/>
      <c r="BYT91" s="1055"/>
      <c r="BYU91" s="1055"/>
      <c r="BYV91" s="1055"/>
      <c r="BYW91" s="1055"/>
      <c r="BYX91" s="1055"/>
      <c r="BYY91" s="1055"/>
      <c r="BYZ91" s="1055"/>
      <c r="BZA91" s="1055"/>
      <c r="BZB91" s="1055"/>
      <c r="BZC91" s="1055"/>
      <c r="BZD91" s="1055"/>
      <c r="BZE91" s="1055"/>
      <c r="BZF91" s="1055"/>
      <c r="BZG91" s="1055"/>
      <c r="BZH91" s="1055"/>
      <c r="BZI91" s="1055"/>
      <c r="BZJ91" s="1055"/>
      <c r="BZK91" s="1055"/>
      <c r="BZL91" s="1055"/>
      <c r="BZM91" s="1055"/>
      <c r="BZN91" s="1055"/>
      <c r="BZO91" s="1055"/>
      <c r="BZP91" s="1055"/>
      <c r="BZQ91" s="1055"/>
      <c r="BZR91" s="1055"/>
      <c r="BZS91" s="1055"/>
      <c r="BZT91" s="1055"/>
      <c r="BZU91" s="1055"/>
      <c r="BZV91" s="1055"/>
      <c r="BZW91" s="1055"/>
      <c r="BZX91" s="1055"/>
      <c r="BZY91" s="1055"/>
      <c r="BZZ91" s="1055"/>
      <c r="CAA91" s="1055"/>
      <c r="CAB91" s="1055"/>
      <c r="CAC91" s="1055"/>
      <c r="CAD91" s="1055"/>
      <c r="CAE91" s="1055"/>
      <c r="CAF91" s="1055"/>
      <c r="CAG91" s="1055"/>
      <c r="CAH91" s="1055"/>
      <c r="CAI91" s="1055"/>
      <c r="CAJ91" s="1055"/>
      <c r="CAK91" s="1055"/>
      <c r="CAL91" s="1055"/>
      <c r="CAM91" s="1055"/>
      <c r="CAN91" s="1055"/>
      <c r="CAO91" s="1055"/>
      <c r="CAP91" s="1055"/>
      <c r="CAQ91" s="1055"/>
      <c r="CAR91" s="1055"/>
      <c r="CAS91" s="1055"/>
      <c r="CAT91" s="1055"/>
      <c r="CAU91" s="1055"/>
      <c r="CAV91" s="1055"/>
      <c r="CAW91" s="1055"/>
      <c r="CAX91" s="1055"/>
      <c r="CAY91" s="1055"/>
      <c r="CAZ91" s="1055"/>
      <c r="CBA91" s="1055"/>
      <c r="CBB91" s="1055"/>
      <c r="CBC91" s="1055"/>
      <c r="CBD91" s="1055"/>
      <c r="CBE91" s="1055"/>
      <c r="CBF91" s="1055"/>
      <c r="CBG91" s="1055"/>
      <c r="CBH91" s="1055"/>
      <c r="CBI91" s="1055"/>
      <c r="CBJ91" s="1055"/>
      <c r="CBK91" s="1055"/>
      <c r="CBL91" s="1055"/>
      <c r="CBM91" s="1055"/>
      <c r="CBN91" s="1055"/>
      <c r="CBO91" s="1055"/>
      <c r="CBP91" s="1055"/>
      <c r="CBQ91" s="1055"/>
      <c r="CBR91" s="1055"/>
      <c r="CBS91" s="1055"/>
      <c r="CBT91" s="1055"/>
      <c r="CBU91" s="1055"/>
      <c r="CBV91" s="1055"/>
      <c r="CBW91" s="1055"/>
      <c r="CBX91" s="1055"/>
      <c r="CBY91" s="1055"/>
      <c r="CBZ91" s="1055"/>
      <c r="CCA91" s="1055"/>
      <c r="CCB91" s="1055"/>
      <c r="CCC91" s="1055"/>
      <c r="CCD91" s="1055"/>
      <c r="CCE91" s="1055"/>
      <c r="CCF91" s="1055"/>
      <c r="CCG91" s="1055"/>
      <c r="CCH91" s="1055"/>
      <c r="CCI91" s="1055"/>
      <c r="CCJ91" s="1055"/>
      <c r="CCK91" s="1055"/>
      <c r="CCL91" s="1055"/>
      <c r="CCM91" s="1055"/>
      <c r="CCN91" s="1055"/>
      <c r="CCO91" s="1055"/>
      <c r="CCP91" s="1055"/>
      <c r="CCQ91" s="1055"/>
      <c r="CCR91" s="1055"/>
      <c r="CCS91" s="1055"/>
      <c r="CCT91" s="1055"/>
      <c r="CCU91" s="1055"/>
      <c r="CCV91" s="1055"/>
      <c r="CCW91" s="1055"/>
      <c r="CCX91" s="1055"/>
      <c r="CCY91" s="1055"/>
      <c r="CCZ91" s="1055"/>
      <c r="CDA91" s="1055"/>
      <c r="CDB91" s="1055"/>
      <c r="CDC91" s="1055"/>
      <c r="CDD91" s="1055"/>
      <c r="CDE91" s="1055"/>
      <c r="CDF91" s="1055"/>
      <c r="CDG91" s="1055"/>
      <c r="CDH91" s="1055"/>
      <c r="CDI91" s="1055"/>
      <c r="CDJ91" s="1055"/>
      <c r="CDK91" s="1055"/>
      <c r="CDL91" s="1055"/>
      <c r="CDM91" s="1055"/>
      <c r="CDN91" s="1055"/>
      <c r="CDO91" s="1055"/>
      <c r="CDP91" s="1055"/>
      <c r="CDQ91" s="1055"/>
      <c r="CDR91" s="1055"/>
      <c r="CDS91" s="1055"/>
      <c r="CDT91" s="1055"/>
      <c r="CDU91" s="1055"/>
      <c r="CDV91" s="1055"/>
      <c r="CDW91" s="1055"/>
      <c r="CDX91" s="1055"/>
      <c r="CDY91" s="1055"/>
      <c r="CDZ91" s="1055"/>
      <c r="CEA91" s="1055"/>
      <c r="CEB91" s="1055"/>
      <c r="CEC91" s="1055"/>
      <c r="CED91" s="1055"/>
      <c r="CEE91" s="1055"/>
      <c r="CEF91" s="1055"/>
      <c r="CEG91" s="1055"/>
      <c r="CEH91" s="1055"/>
      <c r="CEI91" s="1055"/>
      <c r="CEJ91" s="1055"/>
      <c r="CEK91" s="1055"/>
      <c r="CEL91" s="1055"/>
      <c r="CEM91" s="1055"/>
      <c r="CEN91" s="1055"/>
      <c r="CEO91" s="1055"/>
      <c r="CEP91" s="1055"/>
      <c r="CEQ91" s="1055"/>
      <c r="CER91" s="1055"/>
      <c r="CES91" s="1055"/>
      <c r="CET91" s="1055"/>
      <c r="CEU91" s="1055"/>
      <c r="CEV91" s="1055"/>
      <c r="CEW91" s="1055"/>
      <c r="CEX91" s="1055"/>
      <c r="CEY91" s="1055"/>
      <c r="CEZ91" s="1055"/>
      <c r="CFA91" s="1055"/>
      <c r="CFB91" s="1055"/>
      <c r="CFC91" s="1055"/>
      <c r="CFD91" s="1055"/>
      <c r="CFE91" s="1055"/>
      <c r="CFF91" s="1055"/>
      <c r="CFG91" s="1055"/>
      <c r="CFH91" s="1055"/>
      <c r="CFI91" s="1055"/>
      <c r="CFJ91" s="1055"/>
      <c r="CFK91" s="1055"/>
      <c r="CFL91" s="1055"/>
      <c r="CFM91" s="1055"/>
      <c r="CFN91" s="1055"/>
      <c r="CFO91" s="1055"/>
      <c r="CFP91" s="1055"/>
      <c r="CFQ91" s="1055"/>
      <c r="CFR91" s="1055"/>
      <c r="CFS91" s="1055"/>
      <c r="CFT91" s="1055"/>
      <c r="CFU91" s="1055"/>
      <c r="CFV91" s="1055"/>
      <c r="CFW91" s="1055"/>
      <c r="CFX91" s="1055"/>
      <c r="CFY91" s="1055"/>
      <c r="CFZ91" s="1055"/>
      <c r="CGA91" s="1055"/>
      <c r="CGB91" s="1055"/>
      <c r="CGC91" s="1055"/>
      <c r="CGD91" s="1055"/>
      <c r="CGE91" s="1055"/>
      <c r="CGF91" s="1055"/>
      <c r="CGG91" s="1055"/>
      <c r="CGH91" s="1055"/>
      <c r="CGI91" s="1055"/>
      <c r="CGJ91" s="1055"/>
      <c r="CGK91" s="1055"/>
      <c r="CGL91" s="1055"/>
      <c r="CGM91" s="1055"/>
      <c r="CGN91" s="1055"/>
      <c r="CGO91" s="1055"/>
      <c r="CGP91" s="1055"/>
      <c r="CGQ91" s="1055"/>
      <c r="CGR91" s="1055"/>
      <c r="CGS91" s="1055"/>
      <c r="CGT91" s="1055"/>
      <c r="CGU91" s="1055"/>
      <c r="CGV91" s="1055"/>
      <c r="CGW91" s="1055"/>
      <c r="CGX91" s="1055"/>
      <c r="CGY91" s="1055"/>
      <c r="CGZ91" s="1055"/>
      <c r="CHA91" s="1055"/>
      <c r="CHB91" s="1055"/>
      <c r="CHC91" s="1055"/>
      <c r="CHD91" s="1055"/>
      <c r="CHE91" s="1055"/>
      <c r="CHF91" s="1055"/>
      <c r="CHG91" s="1055"/>
      <c r="CHH91" s="1055"/>
      <c r="CHI91" s="1055"/>
      <c r="CHJ91" s="1055"/>
      <c r="CHK91" s="1055"/>
      <c r="CHL91" s="1055"/>
      <c r="CHM91" s="1055"/>
      <c r="CHN91" s="1055"/>
      <c r="CHO91" s="1055"/>
      <c r="CHP91" s="1055"/>
      <c r="CHQ91" s="1055"/>
      <c r="CHR91" s="1055"/>
      <c r="CHS91" s="1055"/>
      <c r="CHT91" s="1055"/>
      <c r="CHU91" s="1055"/>
      <c r="CHV91" s="1055"/>
      <c r="CHW91" s="1055"/>
      <c r="CHX91" s="1055"/>
      <c r="CHY91" s="1055"/>
      <c r="CHZ91" s="1055"/>
      <c r="CIA91" s="1055"/>
      <c r="CIB91" s="1055"/>
      <c r="CIC91" s="1055"/>
      <c r="CID91" s="1055"/>
      <c r="CIE91" s="1055"/>
      <c r="CIF91" s="1055"/>
      <c r="CIG91" s="1055"/>
      <c r="CIH91" s="1055"/>
      <c r="CII91" s="1055"/>
      <c r="CIJ91" s="1055"/>
      <c r="CIK91" s="1055"/>
      <c r="CIL91" s="1055"/>
      <c r="CIM91" s="1055"/>
      <c r="CIN91" s="1055"/>
      <c r="CIO91" s="1055"/>
      <c r="CIP91" s="1055"/>
      <c r="CIQ91" s="1055"/>
      <c r="CIR91" s="1055"/>
      <c r="CIS91" s="1055"/>
      <c r="CIT91" s="1055"/>
      <c r="CIU91" s="1055"/>
      <c r="CIV91" s="1055"/>
      <c r="CIW91" s="1055"/>
      <c r="CIX91" s="1055"/>
      <c r="CIY91" s="1055"/>
      <c r="CIZ91" s="1055"/>
      <c r="CJA91" s="1055"/>
      <c r="CJB91" s="1055"/>
      <c r="CJC91" s="1055"/>
      <c r="CJD91" s="1055"/>
      <c r="CJE91" s="1055"/>
      <c r="CJF91" s="1055"/>
      <c r="CJG91" s="1055"/>
      <c r="CJH91" s="1055"/>
      <c r="CJI91" s="1055"/>
      <c r="CJJ91" s="1055"/>
      <c r="CJK91" s="1055"/>
      <c r="CJL91" s="1055"/>
      <c r="CJM91" s="1055"/>
      <c r="CJN91" s="1055"/>
      <c r="CJO91" s="1055"/>
      <c r="CJP91" s="1055"/>
      <c r="CJQ91" s="1055"/>
      <c r="CJR91" s="1055"/>
      <c r="CJS91" s="1055"/>
      <c r="CJT91" s="1055"/>
      <c r="CJU91" s="1055"/>
      <c r="CJV91" s="1055"/>
      <c r="CJW91" s="1055"/>
      <c r="CJX91" s="1055"/>
      <c r="CJY91" s="1055"/>
      <c r="CJZ91" s="1055"/>
      <c r="CKA91" s="1055"/>
      <c r="CKB91" s="1055"/>
      <c r="CKC91" s="1055"/>
      <c r="CKD91" s="1055"/>
      <c r="CKE91" s="1055"/>
      <c r="CKF91" s="1055"/>
      <c r="CKG91" s="1055"/>
      <c r="CKH91" s="1055"/>
      <c r="CKI91" s="1055"/>
      <c r="CKJ91" s="1055"/>
      <c r="CKK91" s="1055"/>
      <c r="CKL91" s="1055"/>
      <c r="CKM91" s="1055"/>
      <c r="CKN91" s="1055"/>
      <c r="CKO91" s="1055"/>
      <c r="CKP91" s="1055"/>
      <c r="CKQ91" s="1055"/>
      <c r="CKR91" s="1055"/>
      <c r="CKS91" s="1055"/>
      <c r="CKT91" s="1055"/>
      <c r="CKU91" s="1055"/>
      <c r="CKV91" s="1055"/>
      <c r="CKW91" s="1055"/>
      <c r="CKX91" s="1055"/>
      <c r="CKY91" s="1055"/>
      <c r="CKZ91" s="1055"/>
      <c r="CLA91" s="1055"/>
      <c r="CLB91" s="1055"/>
      <c r="CLC91" s="1055"/>
      <c r="CLD91" s="1055"/>
      <c r="CLE91" s="1055"/>
      <c r="CLF91" s="1055"/>
      <c r="CLG91" s="1055"/>
      <c r="CLH91" s="1055"/>
      <c r="CLI91" s="1055"/>
      <c r="CLJ91" s="1055"/>
      <c r="CLK91" s="1055"/>
      <c r="CLL91" s="1055"/>
      <c r="CLM91" s="1055"/>
      <c r="CLN91" s="1055"/>
      <c r="CLO91" s="1055"/>
      <c r="CLP91" s="1055"/>
      <c r="CLQ91" s="1055"/>
      <c r="CLR91" s="1055"/>
      <c r="CLS91" s="1055"/>
      <c r="CLT91" s="1055"/>
      <c r="CLU91" s="1055"/>
      <c r="CLV91" s="1055"/>
      <c r="CLW91" s="1055"/>
      <c r="CLX91" s="1055"/>
      <c r="CLY91" s="1055"/>
      <c r="CLZ91" s="1055"/>
      <c r="CMA91" s="1055"/>
      <c r="CMB91" s="1055"/>
      <c r="CMC91" s="1055"/>
      <c r="CMD91" s="1055"/>
      <c r="CME91" s="1055"/>
      <c r="CMF91" s="1055"/>
      <c r="CMG91" s="1055"/>
      <c r="CMH91" s="1055"/>
      <c r="CMI91" s="1055"/>
      <c r="CMJ91" s="1055"/>
      <c r="CMK91" s="1055"/>
      <c r="CML91" s="1055"/>
      <c r="CMM91" s="1055"/>
      <c r="CMN91" s="1055"/>
      <c r="CMO91" s="1055"/>
      <c r="CMP91" s="1055"/>
      <c r="CMQ91" s="1055"/>
      <c r="CMR91" s="1055"/>
      <c r="CMS91" s="1055"/>
      <c r="CMT91" s="1055"/>
      <c r="CMU91" s="1055"/>
      <c r="CMV91" s="1055"/>
      <c r="CMW91" s="1055"/>
      <c r="CMX91" s="1055"/>
      <c r="CMY91" s="1055"/>
      <c r="CMZ91" s="1055"/>
      <c r="CNA91" s="1055"/>
      <c r="CNB91" s="1055"/>
      <c r="CNC91" s="1055"/>
      <c r="CND91" s="1055"/>
      <c r="CNE91" s="1055"/>
      <c r="CNF91" s="1055"/>
      <c r="CNG91" s="1055"/>
      <c r="CNH91" s="1055"/>
      <c r="CNI91" s="1055"/>
      <c r="CNJ91" s="1055"/>
      <c r="CNK91" s="1055"/>
      <c r="CNL91" s="1055"/>
      <c r="CNM91" s="1055"/>
      <c r="CNN91" s="1055"/>
      <c r="CNO91" s="1055"/>
      <c r="CNP91" s="1055"/>
      <c r="CNQ91" s="1055"/>
      <c r="CNR91" s="1055"/>
      <c r="CNS91" s="1055"/>
      <c r="CNT91" s="1055"/>
      <c r="CNU91" s="1055"/>
      <c r="CNV91" s="1055"/>
      <c r="CNW91" s="1055"/>
      <c r="CNX91" s="1055"/>
      <c r="CNY91" s="1055"/>
      <c r="CNZ91" s="1055"/>
      <c r="COA91" s="1055"/>
      <c r="COB91" s="1055"/>
      <c r="COC91" s="1055"/>
      <c r="COD91" s="1055"/>
      <c r="COE91" s="1055"/>
      <c r="COF91" s="1055"/>
      <c r="COG91" s="1055"/>
      <c r="COH91" s="1055"/>
      <c r="COI91" s="1055"/>
      <c r="COJ91" s="1055"/>
      <c r="COK91" s="1055"/>
      <c r="COL91" s="1055"/>
      <c r="COM91" s="1055"/>
      <c r="CON91" s="1055"/>
      <c r="COO91" s="1055"/>
      <c r="COP91" s="1055"/>
      <c r="COQ91" s="1055"/>
      <c r="COR91" s="1055"/>
      <c r="COS91" s="1055"/>
      <c r="COT91" s="1055"/>
      <c r="COU91" s="1055"/>
      <c r="COV91" s="1055"/>
      <c r="COW91" s="1055"/>
      <c r="COX91" s="1055"/>
      <c r="COY91" s="1055"/>
      <c r="COZ91" s="1055"/>
      <c r="CPA91" s="1055"/>
      <c r="CPB91" s="1055"/>
      <c r="CPC91" s="1055"/>
      <c r="CPD91" s="1055"/>
      <c r="CPE91" s="1055"/>
      <c r="CPF91" s="1055"/>
      <c r="CPG91" s="1055"/>
      <c r="CPH91" s="1055"/>
      <c r="CPI91" s="1055"/>
      <c r="CPJ91" s="1055"/>
      <c r="CPK91" s="1055"/>
      <c r="CPL91" s="1055"/>
      <c r="CPM91" s="1055"/>
      <c r="CPN91" s="1055"/>
      <c r="CPO91" s="1055"/>
      <c r="CPP91" s="1055"/>
      <c r="CPQ91" s="1055"/>
      <c r="CPR91" s="1055"/>
      <c r="CPS91" s="1055"/>
      <c r="CPT91" s="1055"/>
      <c r="CPU91" s="1055"/>
      <c r="CPV91" s="1055"/>
      <c r="CPW91" s="1055"/>
      <c r="CPX91" s="1055"/>
      <c r="CPY91" s="1055"/>
      <c r="CPZ91" s="1055"/>
      <c r="CQA91" s="1055"/>
      <c r="CQB91" s="1055"/>
      <c r="CQC91" s="1055"/>
      <c r="CQD91" s="1055"/>
      <c r="CQE91" s="1055"/>
      <c r="CQF91" s="1055"/>
      <c r="CQG91" s="1055"/>
      <c r="CQH91" s="1055"/>
      <c r="CQI91" s="1055"/>
      <c r="CQJ91" s="1055"/>
      <c r="CQK91" s="1055"/>
      <c r="CQL91" s="1055"/>
      <c r="CQM91" s="1055"/>
      <c r="CQN91" s="1055"/>
      <c r="CQO91" s="1055"/>
      <c r="CQP91" s="1055"/>
      <c r="CQQ91" s="1055"/>
      <c r="CQR91" s="1055"/>
      <c r="CQS91" s="1055"/>
      <c r="CQT91" s="1055"/>
      <c r="CQU91" s="1055"/>
      <c r="CQV91" s="1055"/>
      <c r="CQW91" s="1055"/>
      <c r="CQX91" s="1055"/>
      <c r="CQY91" s="1055"/>
      <c r="CQZ91" s="1055"/>
      <c r="CRA91" s="1055"/>
      <c r="CRB91" s="1055"/>
      <c r="CRC91" s="1055"/>
      <c r="CRD91" s="1055"/>
      <c r="CRE91" s="1055"/>
      <c r="CRF91" s="1055"/>
      <c r="CRG91" s="1055"/>
      <c r="CRH91" s="1055"/>
      <c r="CRI91" s="1055"/>
      <c r="CRJ91" s="1055"/>
      <c r="CRK91" s="1055"/>
      <c r="CRL91" s="1055"/>
      <c r="CRM91" s="1055"/>
      <c r="CRN91" s="1055"/>
      <c r="CRO91" s="1055"/>
      <c r="CRP91" s="1055"/>
      <c r="CRQ91" s="1055"/>
      <c r="CRR91" s="1055"/>
      <c r="CRS91" s="1055"/>
      <c r="CRT91" s="1055"/>
      <c r="CRU91" s="1055"/>
      <c r="CRV91" s="1055"/>
      <c r="CRW91" s="1055"/>
      <c r="CRX91" s="1055"/>
      <c r="CRY91" s="1055"/>
      <c r="CRZ91" s="1055"/>
      <c r="CSA91" s="1055"/>
      <c r="CSB91" s="1055"/>
      <c r="CSC91" s="1055"/>
      <c r="CSD91" s="1055"/>
      <c r="CSE91" s="1055"/>
      <c r="CSF91" s="1055"/>
      <c r="CSG91" s="1055"/>
      <c r="CSH91" s="1055"/>
      <c r="CSI91" s="1055"/>
      <c r="CSJ91" s="1055"/>
      <c r="CSK91" s="1055"/>
      <c r="CSL91" s="1055"/>
      <c r="CSM91" s="1055"/>
      <c r="CSN91" s="1055"/>
      <c r="CSO91" s="1055"/>
      <c r="CSP91" s="1055"/>
      <c r="CSQ91" s="1055"/>
      <c r="CSR91" s="1055"/>
      <c r="CSS91" s="1055"/>
      <c r="CST91" s="1055"/>
      <c r="CSU91" s="1055"/>
      <c r="CSV91" s="1055"/>
      <c r="CSW91" s="1055"/>
      <c r="CSX91" s="1055"/>
      <c r="CSY91" s="1055"/>
      <c r="CSZ91" s="1055"/>
      <c r="CTA91" s="1055"/>
      <c r="CTB91" s="1055"/>
      <c r="CTC91" s="1055"/>
      <c r="CTD91" s="1055"/>
      <c r="CTE91" s="1055"/>
      <c r="CTF91" s="1055"/>
      <c r="CTG91" s="1055"/>
      <c r="CTH91" s="1055"/>
      <c r="CTI91" s="1055"/>
      <c r="CTJ91" s="1055"/>
      <c r="CTK91" s="1055"/>
      <c r="CTL91" s="1055"/>
      <c r="CTM91" s="1055"/>
      <c r="CTN91" s="1055"/>
      <c r="CTO91" s="1055"/>
      <c r="CTP91" s="1055"/>
      <c r="CTQ91" s="1055"/>
      <c r="CTR91" s="1055"/>
      <c r="CTS91" s="1055"/>
      <c r="CTT91" s="1055"/>
      <c r="CTU91" s="1055"/>
      <c r="CTV91" s="1055"/>
      <c r="CTW91" s="1055"/>
      <c r="CTX91" s="1055"/>
      <c r="CTY91" s="1055"/>
      <c r="CTZ91" s="1055"/>
      <c r="CUA91" s="1055"/>
      <c r="CUB91" s="1055"/>
      <c r="CUC91" s="1055"/>
      <c r="CUD91" s="1055"/>
      <c r="CUE91" s="1055"/>
      <c r="CUF91" s="1055"/>
      <c r="CUG91" s="1055"/>
      <c r="CUH91" s="1055"/>
      <c r="CUI91" s="1055"/>
      <c r="CUJ91" s="1055"/>
      <c r="CUK91" s="1055"/>
      <c r="CUL91" s="1055"/>
      <c r="CUM91" s="1055"/>
      <c r="CUN91" s="1055"/>
      <c r="CUO91" s="1055"/>
      <c r="CUP91" s="1055"/>
      <c r="CUQ91" s="1055"/>
      <c r="CUR91" s="1055"/>
      <c r="CUS91" s="1055"/>
      <c r="CUT91" s="1055"/>
      <c r="CUU91" s="1055"/>
      <c r="CUV91" s="1055"/>
      <c r="CUW91" s="1055"/>
      <c r="CUX91" s="1055"/>
      <c r="CUY91" s="1055"/>
      <c r="CUZ91" s="1055"/>
      <c r="CVA91" s="1055"/>
      <c r="CVB91" s="1055"/>
      <c r="CVC91" s="1055"/>
      <c r="CVD91" s="1055"/>
      <c r="CVE91" s="1055"/>
      <c r="CVF91" s="1055"/>
      <c r="CVG91" s="1055"/>
      <c r="CVH91" s="1055"/>
      <c r="CVI91" s="1055"/>
      <c r="CVJ91" s="1055"/>
      <c r="CVK91" s="1055"/>
      <c r="CVL91" s="1055"/>
      <c r="CVM91" s="1055"/>
      <c r="CVN91" s="1055"/>
      <c r="CVO91" s="1055"/>
      <c r="CVP91" s="1055"/>
      <c r="CVQ91" s="1055"/>
      <c r="CVR91" s="1055"/>
      <c r="CVS91" s="1055"/>
      <c r="CVT91" s="1055"/>
      <c r="CVU91" s="1055"/>
      <c r="CVV91" s="1055"/>
      <c r="CVW91" s="1055"/>
      <c r="CVX91" s="1055"/>
      <c r="CVY91" s="1055"/>
      <c r="CVZ91" s="1055"/>
      <c r="CWA91" s="1055"/>
      <c r="CWB91" s="1055"/>
      <c r="CWC91" s="1055"/>
      <c r="CWD91" s="1055"/>
      <c r="CWE91" s="1055"/>
      <c r="CWF91" s="1055"/>
      <c r="CWG91" s="1055"/>
      <c r="CWH91" s="1055"/>
      <c r="CWI91" s="1055"/>
      <c r="CWJ91" s="1055"/>
      <c r="CWK91" s="1055"/>
      <c r="CWL91" s="1055"/>
      <c r="CWM91" s="1055"/>
      <c r="CWN91" s="1055"/>
      <c r="CWO91" s="1055"/>
      <c r="CWP91" s="1055"/>
      <c r="CWQ91" s="1055"/>
      <c r="CWR91" s="1055"/>
      <c r="CWS91" s="1055"/>
      <c r="CWT91" s="1055"/>
      <c r="CWU91" s="1055"/>
      <c r="CWV91" s="1055"/>
      <c r="CWW91" s="1055"/>
      <c r="CWX91" s="1055"/>
      <c r="CWY91" s="1055"/>
      <c r="CWZ91" s="1055"/>
      <c r="CXA91" s="1055"/>
      <c r="CXB91" s="1055"/>
      <c r="CXC91" s="1055"/>
      <c r="CXD91" s="1055"/>
      <c r="CXE91" s="1055"/>
      <c r="CXF91" s="1055"/>
      <c r="CXG91" s="1055"/>
      <c r="CXH91" s="1055"/>
      <c r="CXI91" s="1055"/>
      <c r="CXJ91" s="1055"/>
      <c r="CXK91" s="1055"/>
      <c r="CXL91" s="1055"/>
      <c r="CXM91" s="1055"/>
      <c r="CXN91" s="1055"/>
      <c r="CXO91" s="1055"/>
      <c r="CXP91" s="1055"/>
      <c r="CXQ91" s="1055"/>
      <c r="CXR91" s="1055"/>
      <c r="CXS91" s="1055"/>
      <c r="CXT91" s="1055"/>
      <c r="CXU91" s="1055"/>
      <c r="CXV91" s="1055"/>
      <c r="CXW91" s="1055"/>
      <c r="CXX91" s="1055"/>
      <c r="CXY91" s="1055"/>
      <c r="CXZ91" s="1055"/>
      <c r="CYA91" s="1055"/>
      <c r="CYB91" s="1055"/>
      <c r="CYC91" s="1055"/>
      <c r="CYD91" s="1055"/>
      <c r="CYE91" s="1055"/>
      <c r="CYF91" s="1055"/>
      <c r="CYG91" s="1055"/>
      <c r="CYH91" s="1055"/>
      <c r="CYI91" s="1055"/>
      <c r="CYJ91" s="1055"/>
      <c r="CYK91" s="1055"/>
      <c r="CYL91" s="1055"/>
      <c r="CYM91" s="1055"/>
      <c r="CYN91" s="1055"/>
      <c r="CYO91" s="1055"/>
      <c r="CYP91" s="1055"/>
      <c r="CYQ91" s="1055"/>
      <c r="CYR91" s="1055"/>
      <c r="CYS91" s="1055"/>
      <c r="CYT91" s="1055"/>
      <c r="CYU91" s="1055"/>
      <c r="CYV91" s="1055"/>
      <c r="CYW91" s="1055"/>
      <c r="CYX91" s="1055"/>
      <c r="CYY91" s="1055"/>
      <c r="CYZ91" s="1055"/>
      <c r="CZA91" s="1055"/>
      <c r="CZB91" s="1055"/>
      <c r="CZC91" s="1055"/>
      <c r="CZD91" s="1055"/>
      <c r="CZE91" s="1055"/>
      <c r="CZF91" s="1055"/>
      <c r="CZG91" s="1055"/>
      <c r="CZH91" s="1055"/>
      <c r="CZI91" s="1055"/>
      <c r="CZJ91" s="1055"/>
      <c r="CZK91" s="1055"/>
      <c r="CZL91" s="1055"/>
      <c r="CZM91" s="1055"/>
      <c r="CZN91" s="1055"/>
      <c r="CZO91" s="1055"/>
      <c r="CZP91" s="1055"/>
      <c r="CZQ91" s="1055"/>
      <c r="CZR91" s="1055"/>
      <c r="CZS91" s="1055"/>
      <c r="CZT91" s="1055"/>
      <c r="CZU91" s="1055"/>
      <c r="CZV91" s="1055"/>
      <c r="CZW91" s="1055"/>
      <c r="CZX91" s="1055"/>
      <c r="CZY91" s="1055"/>
      <c r="CZZ91" s="1055"/>
      <c r="DAA91" s="1055"/>
      <c r="DAB91" s="1055"/>
      <c r="DAC91" s="1055"/>
      <c r="DAD91" s="1055"/>
      <c r="DAE91" s="1055"/>
      <c r="DAF91" s="1055"/>
      <c r="DAG91" s="1055"/>
      <c r="DAH91" s="1055"/>
      <c r="DAI91" s="1055"/>
      <c r="DAJ91" s="1055"/>
      <c r="DAK91" s="1055"/>
      <c r="DAL91" s="1055"/>
      <c r="DAM91" s="1055"/>
      <c r="DAN91" s="1055"/>
      <c r="DAO91" s="1055"/>
      <c r="DAP91" s="1055"/>
      <c r="DAQ91" s="1055"/>
      <c r="DAR91" s="1055"/>
      <c r="DAS91" s="1055"/>
      <c r="DAT91" s="1055"/>
      <c r="DAU91" s="1055"/>
      <c r="DAV91" s="1055"/>
      <c r="DAW91" s="1055"/>
      <c r="DAX91" s="1055"/>
      <c r="DAY91" s="1055"/>
      <c r="DAZ91" s="1055"/>
      <c r="DBA91" s="1055"/>
      <c r="DBB91" s="1055"/>
      <c r="DBC91" s="1055"/>
      <c r="DBD91" s="1055"/>
      <c r="DBE91" s="1055"/>
      <c r="DBF91" s="1055"/>
      <c r="DBG91" s="1055"/>
      <c r="DBH91" s="1055"/>
      <c r="DBI91" s="1055"/>
      <c r="DBJ91" s="1055"/>
      <c r="DBK91" s="1055"/>
      <c r="DBL91" s="1055"/>
      <c r="DBM91" s="1055"/>
      <c r="DBN91" s="1055"/>
      <c r="DBO91" s="1055"/>
      <c r="DBP91" s="1055"/>
      <c r="DBQ91" s="1055"/>
      <c r="DBR91" s="1055"/>
      <c r="DBS91" s="1055"/>
      <c r="DBT91" s="1055"/>
      <c r="DBU91" s="1055"/>
      <c r="DBV91" s="1055"/>
      <c r="DBW91" s="1055"/>
      <c r="DBX91" s="1055"/>
      <c r="DBY91" s="1055"/>
      <c r="DBZ91" s="1055"/>
      <c r="DCA91" s="1055"/>
      <c r="DCB91" s="1055"/>
      <c r="DCC91" s="1055"/>
      <c r="DCD91" s="1055"/>
      <c r="DCE91" s="1055"/>
      <c r="DCF91" s="1055"/>
      <c r="DCG91" s="1055"/>
      <c r="DCH91" s="1055"/>
      <c r="DCI91" s="1055"/>
      <c r="DCJ91" s="1055"/>
      <c r="DCK91" s="1055"/>
      <c r="DCL91" s="1055"/>
      <c r="DCM91" s="1055"/>
      <c r="DCN91" s="1055"/>
      <c r="DCO91" s="1055"/>
      <c r="DCP91" s="1055"/>
      <c r="DCQ91" s="1055"/>
      <c r="DCR91" s="1055"/>
      <c r="DCS91" s="1055"/>
      <c r="DCT91" s="1055"/>
      <c r="DCU91" s="1055"/>
      <c r="DCV91" s="1055"/>
      <c r="DCW91" s="1055"/>
      <c r="DCX91" s="1055"/>
      <c r="DCY91" s="1055"/>
      <c r="DCZ91" s="1055"/>
      <c r="DDA91" s="1055"/>
      <c r="DDB91" s="1055"/>
      <c r="DDC91" s="1055"/>
      <c r="DDD91" s="1055"/>
      <c r="DDE91" s="1055"/>
      <c r="DDF91" s="1055"/>
      <c r="DDG91" s="1055"/>
      <c r="DDH91" s="1055"/>
      <c r="DDI91" s="1055"/>
      <c r="DDJ91" s="1055"/>
      <c r="DDK91" s="1055"/>
      <c r="DDL91" s="1055"/>
      <c r="DDM91" s="1055"/>
      <c r="DDN91" s="1055"/>
      <c r="DDO91" s="1055"/>
      <c r="DDP91" s="1055"/>
      <c r="DDQ91" s="1055"/>
      <c r="DDR91" s="1055"/>
      <c r="DDS91" s="1055"/>
      <c r="DDT91" s="1055"/>
      <c r="DDU91" s="1055"/>
      <c r="DDV91" s="1055"/>
      <c r="DDW91" s="1055"/>
      <c r="DDX91" s="1055"/>
      <c r="DDY91" s="1055"/>
      <c r="DDZ91" s="1055"/>
      <c r="DEA91" s="1055"/>
      <c r="DEB91" s="1055"/>
      <c r="DEC91" s="1055"/>
      <c r="DED91" s="1055"/>
      <c r="DEE91" s="1055"/>
      <c r="DEF91" s="1055"/>
      <c r="DEG91" s="1055"/>
      <c r="DEH91" s="1055"/>
      <c r="DEI91" s="1055"/>
      <c r="DEJ91" s="1055"/>
      <c r="DEK91" s="1055"/>
      <c r="DEL91" s="1055"/>
      <c r="DEM91" s="1055"/>
      <c r="DEN91" s="1055"/>
      <c r="DEO91" s="1055"/>
      <c r="DEP91" s="1055"/>
      <c r="DEQ91" s="1055"/>
      <c r="DER91" s="1055"/>
      <c r="DES91" s="1055"/>
      <c r="DET91" s="1055"/>
      <c r="DEU91" s="1055"/>
      <c r="DEV91" s="1055"/>
      <c r="DEW91" s="1055"/>
      <c r="DEX91" s="1055"/>
      <c r="DEY91" s="1055"/>
      <c r="DEZ91" s="1055"/>
      <c r="DFA91" s="1055"/>
      <c r="DFB91" s="1055"/>
      <c r="DFC91" s="1055"/>
      <c r="DFD91" s="1055"/>
      <c r="DFE91" s="1055"/>
      <c r="DFF91" s="1055"/>
      <c r="DFG91" s="1055"/>
      <c r="DFH91" s="1055"/>
      <c r="DFI91" s="1055"/>
      <c r="DFJ91" s="1055"/>
      <c r="DFK91" s="1055"/>
      <c r="DFL91" s="1055"/>
      <c r="DFM91" s="1055"/>
      <c r="DFN91" s="1055"/>
      <c r="DFO91" s="1055"/>
      <c r="DFP91" s="1055"/>
      <c r="DFQ91" s="1055"/>
      <c r="DFR91" s="1055"/>
      <c r="DFS91" s="1055"/>
      <c r="DFT91" s="1055"/>
      <c r="DFU91" s="1055"/>
      <c r="DFV91" s="1055"/>
      <c r="DFW91" s="1055"/>
      <c r="DFX91" s="1055"/>
      <c r="DFY91" s="1055"/>
      <c r="DFZ91" s="1055"/>
      <c r="DGA91" s="1055"/>
      <c r="DGB91" s="1055"/>
      <c r="DGC91" s="1055"/>
      <c r="DGD91" s="1055"/>
      <c r="DGE91" s="1055"/>
      <c r="DGF91" s="1055"/>
      <c r="DGG91" s="1055"/>
      <c r="DGH91" s="1055"/>
      <c r="DGI91" s="1055"/>
      <c r="DGJ91" s="1055"/>
      <c r="DGK91" s="1055"/>
      <c r="DGL91" s="1055"/>
      <c r="DGM91" s="1055"/>
      <c r="DGN91" s="1055"/>
      <c r="DGO91" s="1055"/>
      <c r="DGP91" s="1055"/>
      <c r="DGQ91" s="1055"/>
      <c r="DGR91" s="1055"/>
      <c r="DGS91" s="1055"/>
      <c r="DGT91" s="1055"/>
      <c r="DGU91" s="1055"/>
      <c r="DGV91" s="1055"/>
      <c r="DGW91" s="1055"/>
      <c r="DGX91" s="1055"/>
      <c r="DGY91" s="1055"/>
      <c r="DGZ91" s="1055"/>
      <c r="DHA91" s="1055"/>
      <c r="DHB91" s="1055"/>
      <c r="DHC91" s="1055"/>
      <c r="DHD91" s="1055"/>
      <c r="DHE91" s="1055"/>
      <c r="DHF91" s="1055"/>
      <c r="DHG91" s="1055"/>
      <c r="DHH91" s="1055"/>
      <c r="DHI91" s="1055"/>
      <c r="DHJ91" s="1055"/>
      <c r="DHK91" s="1055"/>
      <c r="DHL91" s="1055"/>
      <c r="DHM91" s="1055"/>
      <c r="DHN91" s="1055"/>
      <c r="DHO91" s="1055"/>
      <c r="DHP91" s="1055"/>
      <c r="DHQ91" s="1055"/>
      <c r="DHR91" s="1055"/>
      <c r="DHS91" s="1055"/>
      <c r="DHT91" s="1055"/>
      <c r="DHU91" s="1055"/>
      <c r="DHV91" s="1055"/>
      <c r="DHW91" s="1055"/>
      <c r="DHX91" s="1055"/>
      <c r="DHY91" s="1055"/>
      <c r="DHZ91" s="1055"/>
      <c r="DIA91" s="1055"/>
      <c r="DIB91" s="1055"/>
      <c r="DIC91" s="1055"/>
      <c r="DID91" s="1055"/>
      <c r="DIE91" s="1055"/>
      <c r="DIF91" s="1055"/>
      <c r="DIG91" s="1055"/>
      <c r="DIH91" s="1055"/>
      <c r="DII91" s="1055"/>
      <c r="DIJ91" s="1055"/>
      <c r="DIK91" s="1055"/>
      <c r="DIL91" s="1055"/>
      <c r="DIM91" s="1055"/>
      <c r="DIN91" s="1055"/>
      <c r="DIO91" s="1055"/>
      <c r="DIP91" s="1055"/>
      <c r="DIQ91" s="1055"/>
      <c r="DIR91" s="1055"/>
      <c r="DIS91" s="1055"/>
      <c r="DIT91" s="1055"/>
      <c r="DIU91" s="1055"/>
      <c r="DIV91" s="1055"/>
      <c r="DIW91" s="1055"/>
      <c r="DIX91" s="1055"/>
      <c r="DIY91" s="1055"/>
      <c r="DIZ91" s="1055"/>
      <c r="DJA91" s="1055"/>
      <c r="DJB91" s="1055"/>
      <c r="DJC91" s="1055"/>
      <c r="DJD91" s="1055"/>
      <c r="DJE91" s="1055"/>
      <c r="DJF91" s="1055"/>
      <c r="DJG91" s="1055"/>
      <c r="DJH91" s="1055"/>
      <c r="DJI91" s="1055"/>
      <c r="DJJ91" s="1055"/>
      <c r="DJK91" s="1055"/>
      <c r="DJL91" s="1055"/>
      <c r="DJM91" s="1055"/>
      <c r="DJN91" s="1055"/>
      <c r="DJO91" s="1055"/>
      <c r="DJP91" s="1055"/>
      <c r="DJQ91" s="1055"/>
      <c r="DJR91" s="1055"/>
      <c r="DJS91" s="1055"/>
      <c r="DJT91" s="1055"/>
      <c r="DJU91" s="1055"/>
      <c r="DJV91" s="1055"/>
      <c r="DJW91" s="1055"/>
      <c r="DJX91" s="1055"/>
      <c r="DJY91" s="1055"/>
      <c r="DJZ91" s="1055"/>
      <c r="DKA91" s="1055"/>
      <c r="DKB91" s="1055"/>
      <c r="DKC91" s="1055"/>
      <c r="DKD91" s="1055"/>
      <c r="DKE91" s="1055"/>
      <c r="DKF91" s="1055"/>
      <c r="DKG91" s="1055"/>
      <c r="DKH91" s="1055"/>
      <c r="DKI91" s="1055"/>
      <c r="DKJ91" s="1055"/>
      <c r="DKK91" s="1055"/>
      <c r="DKL91" s="1055"/>
      <c r="DKM91" s="1055"/>
      <c r="DKN91" s="1055"/>
      <c r="DKO91" s="1055"/>
      <c r="DKP91" s="1055"/>
      <c r="DKQ91" s="1055"/>
      <c r="DKR91" s="1055"/>
      <c r="DKS91" s="1055"/>
      <c r="DKT91" s="1055"/>
      <c r="DKU91" s="1055"/>
      <c r="DKV91" s="1055"/>
      <c r="DKW91" s="1055"/>
      <c r="DKX91" s="1055"/>
      <c r="DKY91" s="1055"/>
      <c r="DKZ91" s="1055"/>
      <c r="DLA91" s="1055"/>
      <c r="DLB91" s="1055"/>
      <c r="DLC91" s="1055"/>
      <c r="DLD91" s="1055"/>
      <c r="DLE91" s="1055"/>
      <c r="DLF91" s="1055"/>
      <c r="DLG91" s="1055"/>
      <c r="DLH91" s="1055"/>
      <c r="DLI91" s="1055"/>
      <c r="DLJ91" s="1055"/>
      <c r="DLK91" s="1055"/>
      <c r="DLL91" s="1055"/>
      <c r="DLM91" s="1055"/>
      <c r="DLN91" s="1055"/>
      <c r="DLO91" s="1055"/>
      <c r="DLP91" s="1055"/>
      <c r="DLQ91" s="1055"/>
      <c r="DLR91" s="1055"/>
      <c r="DLS91" s="1055"/>
      <c r="DLT91" s="1055"/>
      <c r="DLU91" s="1055"/>
      <c r="DLV91" s="1055"/>
      <c r="DLW91" s="1055"/>
      <c r="DLX91" s="1055"/>
      <c r="DLY91" s="1055"/>
      <c r="DLZ91" s="1055"/>
      <c r="DMA91" s="1055"/>
      <c r="DMB91" s="1055"/>
      <c r="DMC91" s="1055"/>
      <c r="DMD91" s="1055"/>
      <c r="DME91" s="1055"/>
      <c r="DMF91" s="1055"/>
      <c r="DMG91" s="1055"/>
      <c r="DMH91" s="1055"/>
      <c r="DMI91" s="1055"/>
      <c r="DMJ91" s="1055"/>
      <c r="DMK91" s="1055"/>
      <c r="DML91" s="1055"/>
      <c r="DMM91" s="1055"/>
      <c r="DMN91" s="1055"/>
      <c r="DMO91" s="1055"/>
      <c r="DMP91" s="1055"/>
      <c r="DMQ91" s="1055"/>
      <c r="DMR91" s="1055"/>
      <c r="DMS91" s="1055"/>
      <c r="DMT91" s="1055"/>
      <c r="DMU91" s="1055"/>
      <c r="DMV91" s="1055"/>
      <c r="DMW91" s="1055"/>
      <c r="DMX91" s="1055"/>
      <c r="DMY91" s="1055"/>
      <c r="DMZ91" s="1055"/>
      <c r="DNA91" s="1055"/>
      <c r="DNB91" s="1055"/>
      <c r="DNC91" s="1055"/>
      <c r="DND91" s="1055"/>
      <c r="DNE91" s="1055"/>
      <c r="DNF91" s="1055"/>
      <c r="DNG91" s="1055"/>
      <c r="DNH91" s="1055"/>
      <c r="DNI91" s="1055"/>
      <c r="DNJ91" s="1055"/>
      <c r="DNK91" s="1055"/>
      <c r="DNL91" s="1055"/>
      <c r="DNM91" s="1055"/>
      <c r="DNN91" s="1055"/>
      <c r="DNO91" s="1055"/>
      <c r="DNP91" s="1055"/>
      <c r="DNQ91" s="1055"/>
      <c r="DNR91" s="1055"/>
      <c r="DNS91" s="1055"/>
      <c r="DNT91" s="1055"/>
      <c r="DNU91" s="1055"/>
      <c r="DNV91" s="1055"/>
      <c r="DNW91" s="1055"/>
      <c r="DNX91" s="1055"/>
      <c r="DNY91" s="1055"/>
      <c r="DNZ91" s="1055"/>
      <c r="DOA91" s="1055"/>
      <c r="DOB91" s="1055"/>
      <c r="DOC91" s="1055"/>
      <c r="DOD91" s="1055"/>
      <c r="DOE91" s="1055"/>
      <c r="DOF91" s="1055"/>
      <c r="DOG91" s="1055"/>
      <c r="DOH91" s="1055"/>
      <c r="DOI91" s="1055"/>
      <c r="DOJ91" s="1055"/>
      <c r="DOK91" s="1055"/>
      <c r="DOL91" s="1055"/>
      <c r="DOM91" s="1055"/>
      <c r="DON91" s="1055"/>
      <c r="DOO91" s="1055"/>
      <c r="DOP91" s="1055"/>
      <c r="DOQ91" s="1055"/>
      <c r="DOR91" s="1055"/>
      <c r="DOS91" s="1055"/>
      <c r="DOT91" s="1055"/>
      <c r="DOU91" s="1055"/>
      <c r="DOV91" s="1055"/>
      <c r="DOW91" s="1055"/>
      <c r="DOX91" s="1055"/>
      <c r="DOY91" s="1055"/>
      <c r="DOZ91" s="1055"/>
      <c r="DPA91" s="1055"/>
      <c r="DPB91" s="1055"/>
      <c r="DPC91" s="1055"/>
      <c r="DPD91" s="1055"/>
      <c r="DPE91" s="1055"/>
      <c r="DPF91" s="1055"/>
      <c r="DPG91" s="1055"/>
      <c r="DPH91" s="1055"/>
      <c r="DPI91" s="1055"/>
      <c r="DPJ91" s="1055"/>
      <c r="DPK91" s="1055"/>
      <c r="DPL91" s="1055"/>
      <c r="DPM91" s="1055"/>
      <c r="DPN91" s="1055"/>
      <c r="DPO91" s="1055"/>
      <c r="DPP91" s="1055"/>
      <c r="DPQ91" s="1055"/>
      <c r="DPR91" s="1055"/>
      <c r="DPS91" s="1055"/>
      <c r="DPT91" s="1055"/>
      <c r="DPU91" s="1055"/>
      <c r="DPV91" s="1055"/>
      <c r="DPW91" s="1055"/>
      <c r="DPX91" s="1055"/>
      <c r="DPY91" s="1055"/>
      <c r="DPZ91" s="1055"/>
      <c r="DQA91" s="1055"/>
      <c r="DQB91" s="1055"/>
      <c r="DQC91" s="1055"/>
      <c r="DQD91" s="1055"/>
      <c r="DQE91" s="1055"/>
      <c r="DQF91" s="1055"/>
      <c r="DQG91" s="1055"/>
      <c r="DQH91" s="1055"/>
      <c r="DQI91" s="1055"/>
      <c r="DQJ91" s="1055"/>
      <c r="DQK91" s="1055"/>
      <c r="DQL91" s="1055"/>
      <c r="DQM91" s="1055"/>
      <c r="DQN91" s="1055"/>
      <c r="DQO91" s="1055"/>
      <c r="DQP91" s="1055"/>
      <c r="DQQ91" s="1055"/>
      <c r="DQR91" s="1055"/>
      <c r="DQS91" s="1055"/>
      <c r="DQT91" s="1055"/>
      <c r="DQU91" s="1055"/>
      <c r="DQV91" s="1055"/>
      <c r="DQW91" s="1055"/>
      <c r="DQX91" s="1055"/>
      <c r="DQY91" s="1055"/>
      <c r="DQZ91" s="1055"/>
      <c r="DRA91" s="1055"/>
      <c r="DRB91" s="1055"/>
      <c r="DRC91" s="1055"/>
      <c r="DRD91" s="1055"/>
      <c r="DRE91" s="1055"/>
      <c r="DRF91" s="1055"/>
      <c r="DRG91" s="1055"/>
      <c r="DRH91" s="1055"/>
      <c r="DRI91" s="1055"/>
      <c r="DRJ91" s="1055"/>
      <c r="DRK91" s="1055"/>
      <c r="DRL91" s="1055"/>
      <c r="DRM91" s="1055"/>
      <c r="DRN91" s="1055"/>
      <c r="DRO91" s="1055"/>
      <c r="DRP91" s="1055"/>
      <c r="DRQ91" s="1055"/>
      <c r="DRR91" s="1055"/>
      <c r="DRS91" s="1055"/>
      <c r="DRT91" s="1055"/>
      <c r="DRU91" s="1055"/>
      <c r="DRV91" s="1055"/>
      <c r="DRW91" s="1055"/>
      <c r="DRX91" s="1055"/>
      <c r="DRY91" s="1055"/>
      <c r="DRZ91" s="1055"/>
      <c r="DSA91" s="1055"/>
      <c r="DSB91" s="1055"/>
      <c r="DSC91" s="1055"/>
      <c r="DSD91" s="1055"/>
      <c r="DSE91" s="1055"/>
      <c r="DSF91" s="1055"/>
      <c r="DSG91" s="1055"/>
      <c r="DSH91" s="1055"/>
      <c r="DSI91" s="1055"/>
      <c r="DSJ91" s="1055"/>
      <c r="DSK91" s="1055"/>
      <c r="DSL91" s="1055"/>
      <c r="DSM91" s="1055"/>
      <c r="DSN91" s="1055"/>
      <c r="DSO91" s="1055"/>
      <c r="DSP91" s="1055"/>
      <c r="DSQ91" s="1055"/>
      <c r="DSR91" s="1055"/>
      <c r="DSS91" s="1055"/>
      <c r="DST91" s="1055"/>
      <c r="DSU91" s="1055"/>
      <c r="DSV91" s="1055"/>
      <c r="DSW91" s="1055"/>
      <c r="DSX91" s="1055"/>
      <c r="DSY91" s="1055"/>
      <c r="DSZ91" s="1055"/>
      <c r="DTA91" s="1055"/>
      <c r="DTB91" s="1055"/>
      <c r="DTC91" s="1055"/>
      <c r="DTD91" s="1055"/>
      <c r="DTE91" s="1055"/>
      <c r="DTF91" s="1055"/>
      <c r="DTG91" s="1055"/>
      <c r="DTH91" s="1055"/>
      <c r="DTI91" s="1055"/>
      <c r="DTJ91" s="1055"/>
      <c r="DTK91" s="1055"/>
      <c r="DTL91" s="1055"/>
      <c r="DTM91" s="1055"/>
      <c r="DTN91" s="1055"/>
      <c r="DTO91" s="1055"/>
      <c r="DTP91" s="1055"/>
      <c r="DTQ91" s="1055"/>
      <c r="DTR91" s="1055"/>
      <c r="DTS91" s="1055"/>
      <c r="DTT91" s="1055"/>
      <c r="DTU91" s="1055"/>
      <c r="DTV91" s="1055"/>
      <c r="DTW91" s="1055"/>
      <c r="DTX91" s="1055"/>
      <c r="DTY91" s="1055"/>
      <c r="DTZ91" s="1055"/>
      <c r="DUA91" s="1055"/>
      <c r="DUB91" s="1055"/>
      <c r="DUC91" s="1055"/>
      <c r="DUD91" s="1055"/>
      <c r="DUE91" s="1055"/>
      <c r="DUF91" s="1055"/>
      <c r="DUG91" s="1055"/>
      <c r="DUH91" s="1055"/>
      <c r="DUI91" s="1055"/>
      <c r="DUJ91" s="1055"/>
      <c r="DUK91" s="1055"/>
      <c r="DUL91" s="1055"/>
      <c r="DUM91" s="1055"/>
      <c r="DUN91" s="1055"/>
      <c r="DUO91" s="1055"/>
      <c r="DUP91" s="1055"/>
      <c r="DUQ91" s="1055"/>
      <c r="DUR91" s="1055"/>
      <c r="DUS91" s="1055"/>
      <c r="DUT91" s="1055"/>
      <c r="DUU91" s="1055"/>
      <c r="DUV91" s="1055"/>
      <c r="DUW91" s="1055"/>
      <c r="DUX91" s="1055"/>
      <c r="DUY91" s="1055"/>
      <c r="DUZ91" s="1055"/>
      <c r="DVA91" s="1055"/>
      <c r="DVB91" s="1055"/>
      <c r="DVC91" s="1055"/>
      <c r="DVD91" s="1055"/>
      <c r="DVE91" s="1055"/>
      <c r="DVF91" s="1055"/>
      <c r="DVG91" s="1055"/>
      <c r="DVH91" s="1055"/>
      <c r="DVI91" s="1055"/>
      <c r="DVJ91" s="1055"/>
      <c r="DVK91" s="1055"/>
      <c r="DVL91" s="1055"/>
      <c r="DVM91" s="1055"/>
      <c r="DVN91" s="1055"/>
      <c r="DVO91" s="1055"/>
      <c r="DVP91" s="1055"/>
      <c r="DVQ91" s="1055"/>
      <c r="DVR91" s="1055"/>
      <c r="DVS91" s="1055"/>
      <c r="DVT91" s="1055"/>
      <c r="DVU91" s="1055"/>
      <c r="DVV91" s="1055"/>
      <c r="DVW91" s="1055"/>
      <c r="DVX91" s="1055"/>
      <c r="DVY91" s="1055"/>
      <c r="DVZ91" s="1055"/>
      <c r="DWA91" s="1055"/>
      <c r="DWB91" s="1055"/>
      <c r="DWC91" s="1055"/>
      <c r="DWD91" s="1055"/>
      <c r="DWE91" s="1055"/>
      <c r="DWF91" s="1055"/>
      <c r="DWG91" s="1055"/>
      <c r="DWH91" s="1055"/>
      <c r="DWI91" s="1055"/>
      <c r="DWJ91" s="1055"/>
      <c r="DWK91" s="1055"/>
      <c r="DWL91" s="1055"/>
      <c r="DWM91" s="1055"/>
      <c r="DWN91" s="1055"/>
      <c r="DWO91" s="1055"/>
      <c r="DWP91" s="1055"/>
      <c r="DWQ91" s="1055"/>
      <c r="DWR91" s="1055"/>
      <c r="DWS91" s="1055"/>
      <c r="DWT91" s="1055"/>
      <c r="DWU91" s="1055"/>
      <c r="DWV91" s="1055"/>
      <c r="DWW91" s="1055"/>
      <c r="DWX91" s="1055"/>
      <c r="DWY91" s="1055"/>
      <c r="DWZ91" s="1055"/>
      <c r="DXA91" s="1055"/>
      <c r="DXB91" s="1055"/>
      <c r="DXC91" s="1055"/>
      <c r="DXD91" s="1055"/>
      <c r="DXE91" s="1055"/>
      <c r="DXF91" s="1055"/>
      <c r="DXG91" s="1055"/>
      <c r="DXH91" s="1055"/>
      <c r="DXI91" s="1055"/>
      <c r="DXJ91" s="1055"/>
      <c r="DXK91" s="1055"/>
      <c r="DXL91" s="1055"/>
      <c r="DXM91" s="1055"/>
      <c r="DXN91" s="1055"/>
      <c r="DXO91" s="1055"/>
      <c r="DXP91" s="1055"/>
      <c r="DXQ91" s="1055"/>
      <c r="DXR91" s="1055"/>
      <c r="DXS91" s="1055"/>
      <c r="DXT91" s="1055"/>
      <c r="DXU91" s="1055"/>
      <c r="DXV91" s="1055"/>
      <c r="DXW91" s="1055"/>
      <c r="DXX91" s="1055"/>
      <c r="DXY91" s="1055"/>
      <c r="DXZ91" s="1055"/>
      <c r="DYA91" s="1055"/>
      <c r="DYB91" s="1055"/>
      <c r="DYC91" s="1055"/>
      <c r="DYD91" s="1055"/>
      <c r="DYE91" s="1055"/>
      <c r="DYF91" s="1055"/>
      <c r="DYG91" s="1055"/>
      <c r="DYH91" s="1055"/>
      <c r="DYI91" s="1055"/>
      <c r="DYJ91" s="1055"/>
      <c r="DYK91" s="1055"/>
      <c r="DYL91" s="1055"/>
      <c r="DYM91" s="1055"/>
      <c r="DYN91" s="1055"/>
      <c r="DYO91" s="1055"/>
      <c r="DYP91" s="1055"/>
      <c r="DYQ91" s="1055"/>
      <c r="DYR91" s="1055"/>
      <c r="DYS91" s="1055"/>
      <c r="DYT91" s="1055"/>
      <c r="DYU91" s="1055"/>
      <c r="DYV91" s="1055"/>
      <c r="DYW91" s="1055"/>
      <c r="DYX91" s="1055"/>
      <c r="DYY91" s="1055"/>
      <c r="DYZ91" s="1055"/>
      <c r="DZA91" s="1055"/>
      <c r="DZB91" s="1055"/>
      <c r="DZC91" s="1055"/>
      <c r="DZD91" s="1055"/>
      <c r="DZE91" s="1055"/>
      <c r="DZF91" s="1055"/>
      <c r="DZG91" s="1055"/>
      <c r="DZH91" s="1055"/>
      <c r="DZI91" s="1055"/>
      <c r="DZJ91" s="1055"/>
      <c r="DZK91" s="1055"/>
      <c r="DZL91" s="1055"/>
      <c r="DZM91" s="1055"/>
      <c r="DZN91" s="1055"/>
      <c r="DZO91" s="1055"/>
      <c r="DZP91" s="1055"/>
      <c r="DZQ91" s="1055"/>
      <c r="DZR91" s="1055"/>
      <c r="DZS91" s="1055"/>
      <c r="DZT91" s="1055"/>
      <c r="DZU91" s="1055"/>
      <c r="DZV91" s="1055"/>
      <c r="DZW91" s="1055"/>
      <c r="DZX91" s="1055"/>
      <c r="DZY91" s="1055"/>
      <c r="DZZ91" s="1055"/>
      <c r="EAA91" s="1055"/>
      <c r="EAB91" s="1055"/>
      <c r="EAC91" s="1055"/>
      <c r="EAD91" s="1055"/>
      <c r="EAE91" s="1055"/>
      <c r="EAF91" s="1055"/>
      <c r="EAG91" s="1055"/>
      <c r="EAH91" s="1055"/>
      <c r="EAI91" s="1055"/>
      <c r="EAJ91" s="1055"/>
      <c r="EAK91" s="1055"/>
      <c r="EAL91" s="1055"/>
      <c r="EAM91" s="1055"/>
      <c r="EAN91" s="1055"/>
      <c r="EAO91" s="1055"/>
      <c r="EAP91" s="1055"/>
      <c r="EAQ91" s="1055"/>
      <c r="EAR91" s="1055"/>
      <c r="EAS91" s="1055"/>
      <c r="EAT91" s="1055"/>
      <c r="EAU91" s="1055"/>
      <c r="EAV91" s="1055"/>
      <c r="EAW91" s="1055"/>
      <c r="EAX91" s="1055"/>
      <c r="EAY91" s="1055"/>
      <c r="EAZ91" s="1055"/>
      <c r="EBA91" s="1055"/>
      <c r="EBB91" s="1055"/>
      <c r="EBC91" s="1055"/>
      <c r="EBD91" s="1055"/>
      <c r="EBE91" s="1055"/>
      <c r="EBF91" s="1055"/>
      <c r="EBG91" s="1055"/>
      <c r="EBH91" s="1055"/>
      <c r="EBI91" s="1055"/>
      <c r="EBJ91" s="1055"/>
      <c r="EBK91" s="1055"/>
      <c r="EBL91" s="1055"/>
      <c r="EBM91" s="1055"/>
      <c r="EBN91" s="1055"/>
      <c r="EBO91" s="1055"/>
      <c r="EBP91" s="1055"/>
      <c r="EBQ91" s="1055"/>
      <c r="EBR91" s="1055"/>
      <c r="EBS91" s="1055"/>
      <c r="EBT91" s="1055"/>
      <c r="EBU91" s="1055"/>
      <c r="EBV91" s="1055"/>
      <c r="EBW91" s="1055"/>
      <c r="EBX91" s="1055"/>
      <c r="EBY91" s="1055"/>
      <c r="EBZ91" s="1055"/>
      <c r="ECA91" s="1055"/>
      <c r="ECB91" s="1055"/>
      <c r="ECC91" s="1055"/>
      <c r="ECD91" s="1055"/>
      <c r="ECE91" s="1055"/>
      <c r="ECF91" s="1055"/>
      <c r="ECG91" s="1055"/>
      <c r="ECH91" s="1055"/>
      <c r="ECI91" s="1055"/>
      <c r="ECJ91" s="1055"/>
      <c r="ECK91" s="1055"/>
      <c r="ECL91" s="1055"/>
      <c r="ECM91" s="1055"/>
      <c r="ECN91" s="1055"/>
      <c r="ECO91" s="1055"/>
      <c r="ECP91" s="1055"/>
      <c r="ECQ91" s="1055"/>
      <c r="ECR91" s="1055"/>
      <c r="ECS91" s="1055"/>
      <c r="ECT91" s="1055"/>
      <c r="ECU91" s="1055"/>
      <c r="ECV91" s="1055"/>
      <c r="ECW91" s="1055"/>
      <c r="ECX91" s="1055"/>
      <c r="ECY91" s="1055"/>
      <c r="ECZ91" s="1055"/>
      <c r="EDA91" s="1055"/>
      <c r="EDB91" s="1055"/>
      <c r="EDC91" s="1055"/>
      <c r="EDD91" s="1055"/>
      <c r="EDE91" s="1055"/>
      <c r="EDF91" s="1055"/>
      <c r="EDG91" s="1055"/>
      <c r="EDH91" s="1055"/>
      <c r="EDI91" s="1055"/>
      <c r="EDJ91" s="1055"/>
      <c r="EDK91" s="1055"/>
      <c r="EDL91" s="1055"/>
      <c r="EDM91" s="1055"/>
      <c r="EDN91" s="1055"/>
      <c r="EDO91" s="1055"/>
      <c r="EDP91" s="1055"/>
      <c r="EDQ91" s="1055"/>
      <c r="EDR91" s="1055"/>
      <c r="EDS91" s="1055"/>
      <c r="EDT91" s="1055"/>
      <c r="EDU91" s="1055"/>
      <c r="EDV91" s="1055"/>
      <c r="EDW91" s="1055"/>
      <c r="EDX91" s="1055"/>
      <c r="EDY91" s="1055"/>
      <c r="EDZ91" s="1055"/>
      <c r="EEA91" s="1055"/>
      <c r="EEB91" s="1055"/>
      <c r="EEC91" s="1055"/>
      <c r="EED91" s="1055"/>
      <c r="EEE91" s="1055"/>
      <c r="EEF91" s="1055"/>
      <c r="EEG91" s="1055"/>
      <c r="EEH91" s="1055"/>
      <c r="EEI91" s="1055"/>
      <c r="EEJ91" s="1055"/>
      <c r="EEK91" s="1055"/>
      <c r="EEL91" s="1055"/>
      <c r="EEM91" s="1055"/>
      <c r="EEN91" s="1055"/>
      <c r="EEO91" s="1055"/>
      <c r="EEP91" s="1055"/>
      <c r="EEQ91" s="1055"/>
      <c r="EER91" s="1055"/>
      <c r="EES91" s="1055"/>
      <c r="EET91" s="1055"/>
      <c r="EEU91" s="1055"/>
      <c r="EEV91" s="1055"/>
      <c r="EEW91" s="1055"/>
      <c r="EEX91" s="1055"/>
      <c r="EEY91" s="1055"/>
      <c r="EEZ91" s="1055"/>
      <c r="EFA91" s="1055"/>
      <c r="EFB91" s="1055"/>
      <c r="EFC91" s="1055"/>
      <c r="EFD91" s="1055"/>
      <c r="EFE91" s="1055"/>
      <c r="EFF91" s="1055"/>
      <c r="EFG91" s="1055"/>
      <c r="EFH91" s="1055"/>
      <c r="EFI91" s="1055"/>
      <c r="EFJ91" s="1055"/>
      <c r="EFK91" s="1055"/>
      <c r="EFL91" s="1055"/>
      <c r="EFM91" s="1055"/>
      <c r="EFN91" s="1055"/>
      <c r="EFO91" s="1055"/>
      <c r="EFP91" s="1055"/>
      <c r="EFQ91" s="1055"/>
      <c r="EFR91" s="1055"/>
      <c r="EFS91" s="1055"/>
      <c r="EFT91" s="1055"/>
      <c r="EFU91" s="1055"/>
      <c r="EFV91" s="1055"/>
      <c r="EFW91" s="1055"/>
      <c r="EFX91" s="1055"/>
      <c r="EFY91" s="1055"/>
      <c r="EFZ91" s="1055"/>
      <c r="EGA91" s="1055"/>
      <c r="EGB91" s="1055"/>
      <c r="EGC91" s="1055"/>
      <c r="EGD91" s="1055"/>
      <c r="EGE91" s="1055"/>
      <c r="EGF91" s="1055"/>
      <c r="EGG91" s="1055"/>
      <c r="EGH91" s="1055"/>
      <c r="EGI91" s="1055"/>
      <c r="EGJ91" s="1055"/>
      <c r="EGK91" s="1055"/>
      <c r="EGL91" s="1055"/>
      <c r="EGM91" s="1055"/>
      <c r="EGN91" s="1055"/>
      <c r="EGO91" s="1055"/>
      <c r="EGP91" s="1055"/>
      <c r="EGQ91" s="1055"/>
      <c r="EGR91" s="1055"/>
      <c r="EGS91" s="1055"/>
      <c r="EGT91" s="1055"/>
      <c r="EGU91" s="1055"/>
      <c r="EGV91" s="1055"/>
      <c r="EGW91" s="1055"/>
      <c r="EGX91" s="1055"/>
      <c r="EGY91" s="1055"/>
      <c r="EGZ91" s="1055"/>
      <c r="EHA91" s="1055"/>
      <c r="EHB91" s="1055"/>
      <c r="EHC91" s="1055"/>
      <c r="EHD91" s="1055"/>
      <c r="EHE91" s="1055"/>
      <c r="EHF91" s="1055"/>
      <c r="EHG91" s="1055"/>
      <c r="EHH91" s="1055"/>
      <c r="EHI91" s="1055"/>
      <c r="EHJ91" s="1055"/>
      <c r="EHK91" s="1055"/>
      <c r="EHL91" s="1055"/>
      <c r="EHM91" s="1055"/>
      <c r="EHN91" s="1055"/>
      <c r="EHO91" s="1055"/>
      <c r="EHP91" s="1055"/>
      <c r="EHQ91" s="1055"/>
      <c r="EHR91" s="1055"/>
      <c r="EHS91" s="1055"/>
      <c r="EHT91" s="1055"/>
      <c r="EHU91" s="1055"/>
      <c r="EHV91" s="1055"/>
      <c r="EHW91" s="1055"/>
      <c r="EHX91" s="1055"/>
      <c r="EHY91" s="1055"/>
      <c r="EHZ91" s="1055"/>
      <c r="EIA91" s="1055"/>
      <c r="EIB91" s="1055"/>
      <c r="EIC91" s="1055"/>
      <c r="EID91" s="1055"/>
      <c r="EIE91" s="1055"/>
      <c r="EIF91" s="1055"/>
      <c r="EIG91" s="1055"/>
      <c r="EIH91" s="1055"/>
      <c r="EII91" s="1055"/>
      <c r="EIJ91" s="1055"/>
      <c r="EIK91" s="1055"/>
      <c r="EIL91" s="1055"/>
      <c r="EIM91" s="1055"/>
      <c r="EIN91" s="1055"/>
      <c r="EIO91" s="1055"/>
      <c r="EIP91" s="1055"/>
      <c r="EIQ91" s="1055"/>
      <c r="EIR91" s="1055"/>
      <c r="EIS91" s="1055"/>
      <c r="EIT91" s="1055"/>
      <c r="EIU91" s="1055"/>
      <c r="EIV91" s="1055"/>
      <c r="EIW91" s="1055"/>
      <c r="EIX91" s="1055"/>
      <c r="EIY91" s="1055"/>
      <c r="EIZ91" s="1055"/>
      <c r="EJA91" s="1055"/>
      <c r="EJB91" s="1055"/>
      <c r="EJC91" s="1055"/>
      <c r="EJD91" s="1055"/>
      <c r="EJE91" s="1055"/>
      <c r="EJF91" s="1055"/>
      <c r="EJG91" s="1055"/>
      <c r="EJH91" s="1055"/>
      <c r="EJI91" s="1055"/>
      <c r="EJJ91" s="1055"/>
      <c r="EJK91" s="1055"/>
      <c r="EJL91" s="1055"/>
      <c r="EJM91" s="1055"/>
      <c r="EJN91" s="1055"/>
      <c r="EJO91" s="1055"/>
      <c r="EJP91" s="1055"/>
      <c r="EJQ91" s="1055"/>
      <c r="EJR91" s="1055"/>
      <c r="EJS91" s="1055"/>
      <c r="EJT91" s="1055"/>
      <c r="EJU91" s="1055"/>
      <c r="EJV91" s="1055"/>
      <c r="EJW91" s="1055"/>
      <c r="EJX91" s="1055"/>
      <c r="EJY91" s="1055"/>
      <c r="EJZ91" s="1055"/>
      <c r="EKA91" s="1055"/>
      <c r="EKB91" s="1055"/>
      <c r="EKC91" s="1055"/>
      <c r="EKD91" s="1055"/>
      <c r="EKE91" s="1055"/>
      <c r="EKF91" s="1055"/>
      <c r="EKG91" s="1055"/>
      <c r="EKH91" s="1055"/>
      <c r="EKI91" s="1055"/>
      <c r="EKJ91" s="1055"/>
      <c r="EKK91" s="1055"/>
      <c r="EKL91" s="1055"/>
      <c r="EKM91" s="1055"/>
      <c r="EKN91" s="1055"/>
      <c r="EKO91" s="1055"/>
      <c r="EKP91" s="1055"/>
      <c r="EKQ91" s="1055"/>
      <c r="EKR91" s="1055"/>
      <c r="EKS91" s="1055"/>
      <c r="EKT91" s="1055"/>
      <c r="EKU91" s="1055"/>
      <c r="EKV91" s="1055"/>
      <c r="EKW91" s="1055"/>
      <c r="EKX91" s="1055"/>
      <c r="EKY91" s="1055"/>
      <c r="EKZ91" s="1055"/>
      <c r="ELA91" s="1055"/>
      <c r="ELB91" s="1055"/>
      <c r="ELC91" s="1055"/>
      <c r="ELD91" s="1055"/>
      <c r="ELE91" s="1055"/>
      <c r="ELF91" s="1055"/>
      <c r="ELG91" s="1055"/>
      <c r="ELH91" s="1055"/>
      <c r="ELI91" s="1055"/>
      <c r="ELJ91" s="1055"/>
      <c r="ELK91" s="1055"/>
      <c r="ELL91" s="1055"/>
      <c r="ELM91" s="1055"/>
      <c r="ELN91" s="1055"/>
      <c r="ELO91" s="1055"/>
      <c r="ELP91" s="1055"/>
      <c r="ELQ91" s="1055"/>
      <c r="ELR91" s="1055"/>
      <c r="ELS91" s="1055"/>
      <c r="ELT91" s="1055"/>
      <c r="ELU91" s="1055"/>
      <c r="ELV91" s="1055"/>
      <c r="ELW91" s="1055"/>
      <c r="ELX91" s="1055"/>
      <c r="ELY91" s="1055"/>
      <c r="ELZ91" s="1055"/>
      <c r="EMA91" s="1055"/>
      <c r="EMB91" s="1055"/>
      <c r="EMC91" s="1055"/>
      <c r="EMD91" s="1055"/>
      <c r="EME91" s="1055"/>
      <c r="EMF91" s="1055"/>
      <c r="EMG91" s="1055"/>
      <c r="EMH91" s="1055"/>
      <c r="EMI91" s="1055"/>
      <c r="EMJ91" s="1055"/>
      <c r="EMK91" s="1055"/>
      <c r="EML91" s="1055"/>
      <c r="EMM91" s="1055"/>
      <c r="EMN91" s="1055"/>
      <c r="EMO91" s="1055"/>
      <c r="EMP91" s="1055"/>
      <c r="EMQ91" s="1055"/>
      <c r="EMR91" s="1055"/>
      <c r="EMS91" s="1055"/>
      <c r="EMT91" s="1055"/>
      <c r="EMU91" s="1055"/>
      <c r="EMV91" s="1055"/>
      <c r="EMW91" s="1055"/>
      <c r="EMX91" s="1055"/>
      <c r="EMY91" s="1055"/>
      <c r="EMZ91" s="1055"/>
      <c r="ENA91" s="1055"/>
      <c r="ENB91" s="1055"/>
      <c r="ENC91" s="1055"/>
      <c r="END91" s="1055"/>
      <c r="ENE91" s="1055"/>
      <c r="ENF91" s="1055"/>
      <c r="ENG91" s="1055"/>
      <c r="ENH91" s="1055"/>
      <c r="ENI91" s="1055"/>
      <c r="ENJ91" s="1055"/>
      <c r="ENK91" s="1055"/>
      <c r="ENL91" s="1055"/>
      <c r="ENM91" s="1055"/>
      <c r="ENN91" s="1055"/>
      <c r="ENO91" s="1055"/>
      <c r="ENP91" s="1055"/>
      <c r="ENQ91" s="1055"/>
      <c r="ENR91" s="1055"/>
      <c r="ENS91" s="1055"/>
      <c r="ENT91" s="1055"/>
      <c r="ENU91" s="1055"/>
      <c r="ENV91" s="1055"/>
      <c r="ENW91" s="1055"/>
      <c r="ENX91" s="1055"/>
      <c r="ENY91" s="1055"/>
      <c r="ENZ91" s="1055"/>
      <c r="EOA91" s="1055"/>
      <c r="EOB91" s="1055"/>
      <c r="EOC91" s="1055"/>
      <c r="EOD91" s="1055"/>
      <c r="EOE91" s="1055"/>
      <c r="EOF91" s="1055"/>
      <c r="EOG91" s="1055"/>
      <c r="EOH91" s="1055"/>
      <c r="EOI91" s="1055"/>
      <c r="EOJ91" s="1055"/>
      <c r="EOK91" s="1055"/>
      <c r="EOL91" s="1055"/>
      <c r="EOM91" s="1055"/>
      <c r="EON91" s="1055"/>
      <c r="EOO91" s="1055"/>
      <c r="EOP91" s="1055"/>
      <c r="EOQ91" s="1055"/>
      <c r="EOR91" s="1055"/>
      <c r="EOS91" s="1055"/>
      <c r="EOT91" s="1055"/>
      <c r="EOU91" s="1055"/>
      <c r="EOV91" s="1055"/>
      <c r="EOW91" s="1055"/>
      <c r="EOX91" s="1055"/>
      <c r="EOY91" s="1055"/>
      <c r="EOZ91" s="1055"/>
      <c r="EPA91" s="1055"/>
      <c r="EPB91" s="1055"/>
      <c r="EPC91" s="1055"/>
      <c r="EPD91" s="1055"/>
      <c r="EPE91" s="1055"/>
      <c r="EPF91" s="1055"/>
      <c r="EPG91" s="1055"/>
      <c r="EPH91" s="1055"/>
      <c r="EPI91" s="1055"/>
      <c r="EPJ91" s="1055"/>
      <c r="EPK91" s="1055"/>
      <c r="EPL91" s="1055"/>
      <c r="EPM91" s="1055"/>
      <c r="EPN91" s="1055"/>
      <c r="EPO91" s="1055"/>
      <c r="EPP91" s="1055"/>
      <c r="EPQ91" s="1055"/>
      <c r="EPR91" s="1055"/>
      <c r="EPS91" s="1055"/>
      <c r="EPT91" s="1055"/>
      <c r="EPU91" s="1055"/>
      <c r="EPV91" s="1055"/>
      <c r="EPW91" s="1055"/>
      <c r="EPX91" s="1055"/>
      <c r="EPY91" s="1055"/>
      <c r="EPZ91" s="1055"/>
      <c r="EQA91" s="1055"/>
      <c r="EQB91" s="1055"/>
      <c r="EQC91" s="1055"/>
      <c r="EQD91" s="1055"/>
      <c r="EQE91" s="1055"/>
      <c r="EQF91" s="1055"/>
      <c r="EQG91" s="1055"/>
      <c r="EQH91" s="1055"/>
      <c r="EQI91" s="1055"/>
      <c r="EQJ91" s="1055"/>
      <c r="EQK91" s="1055"/>
      <c r="EQL91" s="1055"/>
      <c r="EQM91" s="1055"/>
      <c r="EQN91" s="1055"/>
      <c r="EQO91" s="1055"/>
      <c r="EQP91" s="1055"/>
      <c r="EQQ91" s="1055"/>
      <c r="EQR91" s="1055"/>
      <c r="EQS91" s="1055"/>
      <c r="EQT91" s="1055"/>
      <c r="EQU91" s="1055"/>
      <c r="EQV91" s="1055"/>
      <c r="EQW91" s="1055"/>
      <c r="EQX91" s="1055"/>
      <c r="EQY91" s="1055"/>
      <c r="EQZ91" s="1055"/>
      <c r="ERA91" s="1055"/>
      <c r="ERB91" s="1055"/>
      <c r="ERC91" s="1055"/>
      <c r="ERD91" s="1055"/>
      <c r="ERE91" s="1055"/>
      <c r="ERF91" s="1055"/>
      <c r="ERG91" s="1055"/>
      <c r="ERH91" s="1055"/>
      <c r="ERI91" s="1055"/>
      <c r="ERJ91" s="1055"/>
      <c r="ERK91" s="1055"/>
      <c r="ERL91" s="1055"/>
      <c r="ERM91" s="1055"/>
      <c r="ERN91" s="1055"/>
      <c r="ERO91" s="1055"/>
      <c r="ERP91" s="1055"/>
      <c r="ERQ91" s="1055"/>
      <c r="ERR91" s="1055"/>
      <c r="ERS91" s="1055"/>
      <c r="ERT91" s="1055"/>
      <c r="ERU91" s="1055"/>
      <c r="ERV91" s="1055"/>
      <c r="ERW91" s="1055"/>
      <c r="ERX91" s="1055"/>
      <c r="ERY91" s="1055"/>
      <c r="ERZ91" s="1055"/>
      <c r="ESA91" s="1055"/>
      <c r="ESB91" s="1055"/>
      <c r="ESC91" s="1055"/>
      <c r="ESD91" s="1055"/>
      <c r="ESE91" s="1055"/>
      <c r="ESF91" s="1055"/>
      <c r="ESG91" s="1055"/>
      <c r="ESH91" s="1055"/>
      <c r="ESI91" s="1055"/>
      <c r="ESJ91" s="1055"/>
      <c r="ESK91" s="1055"/>
      <c r="ESL91" s="1055"/>
      <c r="ESM91" s="1055"/>
      <c r="ESN91" s="1055"/>
      <c r="ESO91" s="1055"/>
      <c r="ESP91" s="1055"/>
      <c r="ESQ91" s="1055"/>
      <c r="ESR91" s="1055"/>
      <c r="ESS91" s="1055"/>
      <c r="EST91" s="1055"/>
      <c r="ESU91" s="1055"/>
      <c r="ESV91" s="1055"/>
      <c r="ESW91" s="1055"/>
      <c r="ESX91" s="1055"/>
      <c r="ESY91" s="1055"/>
      <c r="ESZ91" s="1055"/>
      <c r="ETA91" s="1055"/>
      <c r="ETB91" s="1055"/>
      <c r="ETC91" s="1055"/>
      <c r="ETD91" s="1055"/>
      <c r="ETE91" s="1055"/>
      <c r="ETF91" s="1055"/>
      <c r="ETG91" s="1055"/>
      <c r="ETH91" s="1055"/>
      <c r="ETI91" s="1055"/>
      <c r="ETJ91" s="1055"/>
      <c r="ETK91" s="1055"/>
      <c r="ETL91" s="1055"/>
      <c r="ETM91" s="1055"/>
      <c r="ETN91" s="1055"/>
      <c r="ETO91" s="1055"/>
      <c r="ETP91" s="1055"/>
      <c r="ETQ91" s="1055"/>
      <c r="ETR91" s="1055"/>
      <c r="ETS91" s="1055"/>
      <c r="ETT91" s="1055"/>
      <c r="ETU91" s="1055"/>
      <c r="ETV91" s="1055"/>
      <c r="ETW91" s="1055"/>
      <c r="ETX91" s="1055"/>
      <c r="ETY91" s="1055"/>
      <c r="ETZ91" s="1055"/>
      <c r="EUA91" s="1055"/>
      <c r="EUB91" s="1055"/>
      <c r="EUC91" s="1055"/>
      <c r="EUD91" s="1055"/>
      <c r="EUE91" s="1055"/>
      <c r="EUF91" s="1055"/>
      <c r="EUG91" s="1055"/>
      <c r="EUH91" s="1055"/>
      <c r="EUI91" s="1055"/>
      <c r="EUJ91" s="1055"/>
      <c r="EUK91" s="1055"/>
      <c r="EUL91" s="1055"/>
      <c r="EUM91" s="1055"/>
      <c r="EUN91" s="1055"/>
      <c r="EUO91" s="1055"/>
      <c r="EUP91" s="1055"/>
      <c r="EUQ91" s="1055"/>
      <c r="EUR91" s="1055"/>
      <c r="EUS91" s="1055"/>
      <c r="EUT91" s="1055"/>
      <c r="EUU91" s="1055"/>
      <c r="EUV91" s="1055"/>
      <c r="EUW91" s="1055"/>
      <c r="EUX91" s="1055"/>
      <c r="EUY91" s="1055"/>
      <c r="EUZ91" s="1055"/>
      <c r="EVA91" s="1055"/>
      <c r="EVB91" s="1055"/>
      <c r="EVC91" s="1055"/>
      <c r="EVD91" s="1055"/>
      <c r="EVE91" s="1055"/>
      <c r="EVF91" s="1055"/>
      <c r="EVG91" s="1055"/>
      <c r="EVH91" s="1055"/>
      <c r="EVI91" s="1055"/>
      <c r="EVJ91" s="1055"/>
      <c r="EVK91" s="1055"/>
      <c r="EVL91" s="1055"/>
      <c r="EVM91" s="1055"/>
      <c r="EVN91" s="1055"/>
      <c r="EVO91" s="1055"/>
      <c r="EVP91" s="1055"/>
      <c r="EVQ91" s="1055"/>
      <c r="EVR91" s="1055"/>
      <c r="EVS91" s="1055"/>
      <c r="EVT91" s="1055"/>
      <c r="EVU91" s="1055"/>
      <c r="EVV91" s="1055"/>
      <c r="EVW91" s="1055"/>
      <c r="EVX91" s="1055"/>
      <c r="EVY91" s="1055"/>
      <c r="EVZ91" s="1055"/>
      <c r="EWA91" s="1055"/>
      <c r="EWB91" s="1055"/>
      <c r="EWC91" s="1055"/>
      <c r="EWD91" s="1055"/>
      <c r="EWE91" s="1055"/>
      <c r="EWF91" s="1055"/>
      <c r="EWG91" s="1055"/>
      <c r="EWH91" s="1055"/>
      <c r="EWI91" s="1055"/>
      <c r="EWJ91" s="1055"/>
      <c r="EWK91" s="1055"/>
      <c r="EWL91" s="1055"/>
      <c r="EWM91" s="1055"/>
      <c r="EWN91" s="1055"/>
      <c r="EWO91" s="1055"/>
      <c r="EWP91" s="1055"/>
      <c r="EWQ91" s="1055"/>
      <c r="EWR91" s="1055"/>
      <c r="EWS91" s="1055"/>
      <c r="EWT91" s="1055"/>
      <c r="EWU91" s="1055"/>
      <c r="EWV91" s="1055"/>
      <c r="EWW91" s="1055"/>
      <c r="EWX91" s="1055"/>
      <c r="EWY91" s="1055"/>
      <c r="EWZ91" s="1055"/>
      <c r="EXA91" s="1055"/>
      <c r="EXB91" s="1055"/>
      <c r="EXC91" s="1055"/>
      <c r="EXD91" s="1055"/>
      <c r="EXE91" s="1055"/>
      <c r="EXF91" s="1055"/>
      <c r="EXG91" s="1055"/>
      <c r="EXH91" s="1055"/>
      <c r="EXI91" s="1055"/>
      <c r="EXJ91" s="1055"/>
      <c r="EXK91" s="1055"/>
      <c r="EXL91" s="1055"/>
      <c r="EXM91" s="1055"/>
      <c r="EXN91" s="1055"/>
      <c r="EXO91" s="1055"/>
      <c r="EXP91" s="1055"/>
      <c r="EXQ91" s="1055"/>
      <c r="EXR91" s="1055"/>
      <c r="EXS91" s="1055"/>
      <c r="EXT91" s="1055"/>
      <c r="EXU91" s="1055"/>
      <c r="EXV91" s="1055"/>
      <c r="EXW91" s="1055"/>
      <c r="EXX91" s="1055"/>
      <c r="EXY91" s="1055"/>
      <c r="EXZ91" s="1055"/>
      <c r="EYA91" s="1055"/>
      <c r="EYB91" s="1055"/>
      <c r="EYC91" s="1055"/>
      <c r="EYD91" s="1055"/>
      <c r="EYE91" s="1055"/>
      <c r="EYF91" s="1055"/>
      <c r="EYG91" s="1055"/>
      <c r="EYH91" s="1055"/>
      <c r="EYI91" s="1055"/>
      <c r="EYJ91" s="1055"/>
      <c r="EYK91" s="1055"/>
      <c r="EYL91" s="1055"/>
      <c r="EYM91" s="1055"/>
      <c r="EYN91" s="1055"/>
      <c r="EYO91" s="1055"/>
      <c r="EYP91" s="1055"/>
      <c r="EYQ91" s="1055"/>
      <c r="EYR91" s="1055"/>
      <c r="EYS91" s="1055"/>
      <c r="EYT91" s="1055"/>
      <c r="EYU91" s="1055"/>
      <c r="EYV91" s="1055"/>
      <c r="EYW91" s="1055"/>
      <c r="EYX91" s="1055"/>
      <c r="EYY91" s="1055"/>
      <c r="EYZ91" s="1055"/>
      <c r="EZA91" s="1055"/>
      <c r="EZB91" s="1055"/>
      <c r="EZC91" s="1055"/>
      <c r="EZD91" s="1055"/>
      <c r="EZE91" s="1055"/>
      <c r="EZF91" s="1055"/>
      <c r="EZG91" s="1055"/>
      <c r="EZH91" s="1055"/>
      <c r="EZI91" s="1055"/>
      <c r="EZJ91" s="1055"/>
      <c r="EZK91" s="1055"/>
      <c r="EZL91" s="1055"/>
      <c r="EZM91" s="1055"/>
      <c r="EZN91" s="1055"/>
      <c r="EZO91" s="1055"/>
      <c r="EZP91" s="1055"/>
      <c r="EZQ91" s="1055"/>
      <c r="EZR91" s="1055"/>
      <c r="EZS91" s="1055"/>
      <c r="EZT91" s="1055"/>
      <c r="EZU91" s="1055"/>
      <c r="EZV91" s="1055"/>
      <c r="EZW91" s="1055"/>
      <c r="EZX91" s="1055"/>
      <c r="EZY91" s="1055"/>
      <c r="EZZ91" s="1055"/>
      <c r="FAA91" s="1055"/>
      <c r="FAB91" s="1055"/>
      <c r="FAC91" s="1055"/>
      <c r="FAD91" s="1055"/>
      <c r="FAE91" s="1055"/>
      <c r="FAF91" s="1055"/>
      <c r="FAG91" s="1055"/>
      <c r="FAH91" s="1055"/>
      <c r="FAI91" s="1055"/>
      <c r="FAJ91" s="1055"/>
      <c r="FAK91" s="1055"/>
      <c r="FAL91" s="1055"/>
      <c r="FAM91" s="1055"/>
      <c r="FAN91" s="1055"/>
      <c r="FAO91" s="1055"/>
      <c r="FAP91" s="1055"/>
      <c r="FAQ91" s="1055"/>
      <c r="FAR91" s="1055"/>
      <c r="FAS91" s="1055"/>
      <c r="FAT91" s="1055"/>
      <c r="FAU91" s="1055"/>
      <c r="FAV91" s="1055"/>
      <c r="FAW91" s="1055"/>
      <c r="FAX91" s="1055"/>
      <c r="FAY91" s="1055"/>
      <c r="FAZ91" s="1055"/>
      <c r="FBA91" s="1055"/>
      <c r="FBB91" s="1055"/>
      <c r="FBC91" s="1055"/>
      <c r="FBD91" s="1055"/>
      <c r="FBE91" s="1055"/>
      <c r="FBF91" s="1055"/>
      <c r="FBG91" s="1055"/>
      <c r="FBH91" s="1055"/>
      <c r="FBI91" s="1055"/>
      <c r="FBJ91" s="1055"/>
      <c r="FBK91" s="1055"/>
      <c r="FBL91" s="1055"/>
      <c r="FBM91" s="1055"/>
      <c r="FBN91" s="1055"/>
      <c r="FBO91" s="1055"/>
      <c r="FBP91" s="1055"/>
      <c r="FBQ91" s="1055"/>
      <c r="FBR91" s="1055"/>
      <c r="FBS91" s="1055"/>
      <c r="FBT91" s="1055"/>
      <c r="FBU91" s="1055"/>
      <c r="FBV91" s="1055"/>
      <c r="FBW91" s="1055"/>
      <c r="FBX91" s="1055"/>
      <c r="FBY91" s="1055"/>
      <c r="FBZ91" s="1055"/>
      <c r="FCA91" s="1055"/>
      <c r="FCB91" s="1055"/>
      <c r="FCC91" s="1055"/>
      <c r="FCD91" s="1055"/>
      <c r="FCE91" s="1055"/>
      <c r="FCF91" s="1055"/>
      <c r="FCG91" s="1055"/>
      <c r="FCH91" s="1055"/>
      <c r="FCI91" s="1055"/>
      <c r="FCJ91" s="1055"/>
      <c r="FCK91" s="1055"/>
      <c r="FCL91" s="1055"/>
      <c r="FCM91" s="1055"/>
      <c r="FCN91" s="1055"/>
      <c r="FCO91" s="1055"/>
      <c r="FCP91" s="1055"/>
      <c r="FCQ91" s="1055"/>
      <c r="FCR91" s="1055"/>
      <c r="FCS91" s="1055"/>
      <c r="FCT91" s="1055"/>
      <c r="FCU91" s="1055"/>
      <c r="FCV91" s="1055"/>
      <c r="FCW91" s="1055"/>
      <c r="FCX91" s="1055"/>
      <c r="FCY91" s="1055"/>
      <c r="FCZ91" s="1055"/>
      <c r="FDA91" s="1055"/>
      <c r="FDB91" s="1055"/>
      <c r="FDC91" s="1055"/>
      <c r="FDD91" s="1055"/>
      <c r="FDE91" s="1055"/>
      <c r="FDF91" s="1055"/>
      <c r="FDG91" s="1055"/>
      <c r="FDH91" s="1055"/>
      <c r="FDI91" s="1055"/>
      <c r="FDJ91" s="1055"/>
      <c r="FDK91" s="1055"/>
      <c r="FDL91" s="1055"/>
      <c r="FDM91" s="1055"/>
      <c r="FDN91" s="1055"/>
      <c r="FDO91" s="1055"/>
      <c r="FDP91" s="1055"/>
      <c r="FDQ91" s="1055"/>
      <c r="FDR91" s="1055"/>
      <c r="FDS91" s="1055"/>
      <c r="FDT91" s="1055"/>
      <c r="FDU91" s="1055"/>
      <c r="FDV91" s="1055"/>
      <c r="FDW91" s="1055"/>
      <c r="FDX91" s="1055"/>
      <c r="FDY91" s="1055"/>
      <c r="FDZ91" s="1055"/>
      <c r="FEA91" s="1055"/>
      <c r="FEB91" s="1055"/>
      <c r="FEC91" s="1055"/>
      <c r="FED91" s="1055"/>
      <c r="FEE91" s="1055"/>
      <c r="FEF91" s="1055"/>
      <c r="FEG91" s="1055"/>
      <c r="FEH91" s="1055"/>
      <c r="FEI91" s="1055"/>
      <c r="FEJ91" s="1055"/>
      <c r="FEK91" s="1055"/>
      <c r="FEL91" s="1055"/>
      <c r="FEM91" s="1055"/>
      <c r="FEN91" s="1055"/>
      <c r="FEO91" s="1055"/>
      <c r="FEP91" s="1055"/>
      <c r="FEQ91" s="1055"/>
      <c r="FER91" s="1055"/>
      <c r="FES91" s="1055"/>
      <c r="FET91" s="1055"/>
      <c r="FEU91" s="1055"/>
      <c r="FEV91" s="1055"/>
      <c r="FEW91" s="1055"/>
      <c r="FEX91" s="1055"/>
      <c r="FEY91" s="1055"/>
      <c r="FEZ91" s="1055"/>
      <c r="FFA91" s="1055"/>
      <c r="FFB91" s="1055"/>
      <c r="FFC91" s="1055"/>
      <c r="FFD91" s="1055"/>
      <c r="FFE91" s="1055"/>
      <c r="FFF91" s="1055"/>
      <c r="FFG91" s="1055"/>
      <c r="FFH91" s="1055"/>
      <c r="FFI91" s="1055"/>
      <c r="FFJ91" s="1055"/>
      <c r="FFK91" s="1055"/>
      <c r="FFL91" s="1055"/>
      <c r="FFM91" s="1055"/>
      <c r="FFN91" s="1055"/>
      <c r="FFO91" s="1055"/>
      <c r="FFP91" s="1055"/>
      <c r="FFQ91" s="1055"/>
      <c r="FFR91" s="1055"/>
      <c r="FFS91" s="1055"/>
      <c r="FFT91" s="1055"/>
      <c r="FFU91" s="1055"/>
      <c r="FFV91" s="1055"/>
      <c r="FFW91" s="1055"/>
      <c r="FFX91" s="1055"/>
      <c r="FFY91" s="1055"/>
      <c r="FFZ91" s="1055"/>
      <c r="FGA91" s="1055"/>
      <c r="FGB91" s="1055"/>
      <c r="FGC91" s="1055"/>
      <c r="FGD91" s="1055"/>
      <c r="FGE91" s="1055"/>
      <c r="FGF91" s="1055"/>
      <c r="FGG91" s="1055"/>
      <c r="FGH91" s="1055"/>
      <c r="FGI91" s="1055"/>
      <c r="FGJ91" s="1055"/>
      <c r="FGK91" s="1055"/>
      <c r="FGL91" s="1055"/>
      <c r="FGM91" s="1055"/>
      <c r="FGN91" s="1055"/>
      <c r="FGO91" s="1055"/>
      <c r="FGP91" s="1055"/>
      <c r="FGQ91" s="1055"/>
      <c r="FGR91" s="1055"/>
      <c r="FGS91" s="1055"/>
      <c r="FGT91" s="1055"/>
      <c r="FGU91" s="1055"/>
      <c r="FGV91" s="1055"/>
      <c r="FGW91" s="1055"/>
      <c r="FGX91" s="1055"/>
      <c r="FGY91" s="1055"/>
      <c r="FGZ91" s="1055"/>
      <c r="FHA91" s="1055"/>
      <c r="FHB91" s="1055"/>
      <c r="FHC91" s="1055"/>
      <c r="FHD91" s="1055"/>
      <c r="FHE91" s="1055"/>
      <c r="FHF91" s="1055"/>
      <c r="FHG91" s="1055"/>
      <c r="FHH91" s="1055"/>
      <c r="FHI91" s="1055"/>
      <c r="FHJ91" s="1055"/>
      <c r="FHK91" s="1055"/>
      <c r="FHL91" s="1055"/>
      <c r="FHM91" s="1055"/>
      <c r="FHN91" s="1055"/>
      <c r="FHO91" s="1055"/>
      <c r="FHP91" s="1055"/>
      <c r="FHQ91" s="1055"/>
      <c r="FHR91" s="1055"/>
      <c r="FHS91" s="1055"/>
      <c r="FHT91" s="1055"/>
      <c r="FHU91" s="1055"/>
      <c r="FHV91" s="1055"/>
      <c r="FHW91" s="1055"/>
      <c r="FHX91" s="1055"/>
      <c r="FHY91" s="1055"/>
      <c r="FHZ91" s="1055"/>
      <c r="FIA91" s="1055"/>
      <c r="FIB91" s="1055"/>
      <c r="FIC91" s="1055"/>
      <c r="FID91" s="1055"/>
      <c r="FIE91" s="1055"/>
      <c r="FIF91" s="1055"/>
      <c r="FIG91" s="1055"/>
      <c r="FIH91" s="1055"/>
      <c r="FII91" s="1055"/>
      <c r="FIJ91" s="1055"/>
      <c r="FIK91" s="1055"/>
      <c r="FIL91" s="1055"/>
      <c r="FIM91" s="1055"/>
      <c r="FIN91" s="1055"/>
      <c r="FIO91" s="1055"/>
      <c r="FIP91" s="1055"/>
      <c r="FIQ91" s="1055"/>
      <c r="FIR91" s="1055"/>
      <c r="FIS91" s="1055"/>
      <c r="FIT91" s="1055"/>
      <c r="FIU91" s="1055"/>
      <c r="FIV91" s="1055"/>
      <c r="FIW91" s="1055"/>
      <c r="FIX91" s="1055"/>
      <c r="FIY91" s="1055"/>
      <c r="FIZ91" s="1055"/>
      <c r="FJA91" s="1055"/>
      <c r="FJB91" s="1055"/>
      <c r="FJC91" s="1055"/>
      <c r="FJD91" s="1055"/>
      <c r="FJE91" s="1055"/>
      <c r="FJF91" s="1055"/>
      <c r="FJG91" s="1055"/>
      <c r="FJH91" s="1055"/>
      <c r="FJI91" s="1055"/>
      <c r="FJJ91" s="1055"/>
      <c r="FJK91" s="1055"/>
      <c r="FJL91" s="1055"/>
      <c r="FJM91" s="1055"/>
      <c r="FJN91" s="1055"/>
      <c r="FJO91" s="1055"/>
      <c r="FJP91" s="1055"/>
      <c r="FJQ91" s="1055"/>
      <c r="FJR91" s="1055"/>
      <c r="FJS91" s="1055"/>
      <c r="FJT91" s="1055"/>
      <c r="FJU91" s="1055"/>
      <c r="FJV91" s="1055"/>
      <c r="FJW91" s="1055"/>
      <c r="FJX91" s="1055"/>
      <c r="FJY91" s="1055"/>
      <c r="FJZ91" s="1055"/>
      <c r="FKA91" s="1055"/>
      <c r="FKB91" s="1055"/>
      <c r="FKC91" s="1055"/>
      <c r="FKD91" s="1055"/>
      <c r="FKE91" s="1055"/>
      <c r="FKF91" s="1055"/>
      <c r="FKG91" s="1055"/>
      <c r="FKH91" s="1055"/>
      <c r="FKI91" s="1055"/>
      <c r="FKJ91" s="1055"/>
      <c r="FKK91" s="1055"/>
      <c r="FKL91" s="1055"/>
      <c r="FKM91" s="1055"/>
      <c r="FKN91" s="1055"/>
      <c r="FKO91" s="1055"/>
      <c r="FKP91" s="1055"/>
      <c r="FKQ91" s="1055"/>
      <c r="FKR91" s="1055"/>
      <c r="FKS91" s="1055"/>
      <c r="FKT91" s="1055"/>
      <c r="FKU91" s="1055"/>
      <c r="FKV91" s="1055"/>
      <c r="FKW91" s="1055"/>
      <c r="FKX91" s="1055"/>
      <c r="FKY91" s="1055"/>
      <c r="FKZ91" s="1055"/>
      <c r="FLA91" s="1055"/>
      <c r="FLB91" s="1055"/>
      <c r="FLC91" s="1055"/>
      <c r="FLD91" s="1055"/>
      <c r="FLE91" s="1055"/>
      <c r="FLF91" s="1055"/>
      <c r="FLG91" s="1055"/>
      <c r="FLH91" s="1055"/>
      <c r="FLI91" s="1055"/>
      <c r="FLJ91" s="1055"/>
      <c r="FLK91" s="1055"/>
      <c r="FLL91" s="1055"/>
      <c r="FLM91" s="1055"/>
      <c r="FLN91" s="1055"/>
      <c r="FLO91" s="1055"/>
      <c r="FLP91" s="1055"/>
      <c r="FLQ91" s="1055"/>
      <c r="FLR91" s="1055"/>
      <c r="FLS91" s="1055"/>
      <c r="FLT91" s="1055"/>
      <c r="FLU91" s="1055"/>
      <c r="FLV91" s="1055"/>
      <c r="FLW91" s="1055"/>
      <c r="FLX91" s="1055"/>
      <c r="FLY91" s="1055"/>
      <c r="FLZ91" s="1055"/>
      <c r="FMA91" s="1055"/>
      <c r="FMB91" s="1055"/>
      <c r="FMC91" s="1055"/>
      <c r="FMD91" s="1055"/>
      <c r="FME91" s="1055"/>
      <c r="FMF91" s="1055"/>
      <c r="FMG91" s="1055"/>
      <c r="FMH91" s="1055"/>
      <c r="FMI91" s="1055"/>
      <c r="FMJ91" s="1055"/>
      <c r="FMK91" s="1055"/>
      <c r="FML91" s="1055"/>
      <c r="FMM91" s="1055"/>
      <c r="FMN91" s="1055"/>
      <c r="FMO91" s="1055"/>
      <c r="FMP91" s="1055"/>
      <c r="FMQ91" s="1055"/>
      <c r="FMR91" s="1055"/>
      <c r="FMS91" s="1055"/>
      <c r="FMT91" s="1055"/>
      <c r="FMU91" s="1055"/>
      <c r="FMV91" s="1055"/>
      <c r="FMW91" s="1055"/>
      <c r="FMX91" s="1055"/>
      <c r="FMY91" s="1055"/>
      <c r="FMZ91" s="1055"/>
      <c r="FNA91" s="1055"/>
      <c r="FNB91" s="1055"/>
      <c r="FNC91" s="1055"/>
      <c r="FND91" s="1055"/>
      <c r="FNE91" s="1055"/>
      <c r="FNF91" s="1055"/>
      <c r="FNG91" s="1055"/>
      <c r="FNH91" s="1055"/>
      <c r="FNI91" s="1055"/>
      <c r="FNJ91" s="1055"/>
      <c r="FNK91" s="1055"/>
      <c r="FNL91" s="1055"/>
      <c r="FNM91" s="1055"/>
      <c r="FNN91" s="1055"/>
      <c r="FNO91" s="1055"/>
      <c r="FNP91" s="1055"/>
      <c r="FNQ91" s="1055"/>
      <c r="FNR91" s="1055"/>
      <c r="FNS91" s="1055"/>
      <c r="FNT91" s="1055"/>
      <c r="FNU91" s="1055"/>
      <c r="FNV91" s="1055"/>
      <c r="FNW91" s="1055"/>
      <c r="FNX91" s="1055"/>
      <c r="FNY91" s="1055"/>
      <c r="FNZ91" s="1055"/>
      <c r="FOA91" s="1055"/>
      <c r="FOB91" s="1055"/>
      <c r="FOC91" s="1055"/>
      <c r="FOD91" s="1055"/>
      <c r="FOE91" s="1055"/>
      <c r="FOF91" s="1055"/>
      <c r="FOG91" s="1055"/>
      <c r="FOH91" s="1055"/>
      <c r="FOI91" s="1055"/>
      <c r="FOJ91" s="1055"/>
      <c r="FOK91" s="1055"/>
      <c r="FOL91" s="1055"/>
      <c r="FOM91" s="1055"/>
      <c r="FON91" s="1055"/>
      <c r="FOO91" s="1055"/>
      <c r="FOP91" s="1055"/>
      <c r="FOQ91" s="1055"/>
      <c r="FOR91" s="1055"/>
      <c r="FOS91" s="1055"/>
      <c r="FOT91" s="1055"/>
      <c r="FOU91" s="1055"/>
      <c r="FOV91" s="1055"/>
      <c r="FOW91" s="1055"/>
      <c r="FOX91" s="1055"/>
      <c r="FOY91" s="1055"/>
      <c r="FOZ91" s="1055"/>
      <c r="FPA91" s="1055"/>
      <c r="FPB91" s="1055"/>
      <c r="FPC91" s="1055"/>
      <c r="FPD91" s="1055"/>
      <c r="FPE91" s="1055"/>
      <c r="FPF91" s="1055"/>
      <c r="FPG91" s="1055"/>
      <c r="FPH91" s="1055"/>
      <c r="FPI91" s="1055"/>
      <c r="FPJ91" s="1055"/>
      <c r="FPK91" s="1055"/>
      <c r="FPL91" s="1055"/>
      <c r="FPM91" s="1055"/>
      <c r="FPN91" s="1055"/>
      <c r="FPO91" s="1055"/>
      <c r="FPP91" s="1055"/>
      <c r="FPQ91" s="1055"/>
      <c r="FPR91" s="1055"/>
      <c r="FPS91" s="1055"/>
      <c r="FPT91" s="1055"/>
      <c r="FPU91" s="1055"/>
      <c r="FPV91" s="1055"/>
      <c r="FPW91" s="1055"/>
      <c r="FPX91" s="1055"/>
      <c r="FPY91" s="1055"/>
      <c r="FPZ91" s="1055"/>
      <c r="FQA91" s="1055"/>
      <c r="FQB91" s="1055"/>
      <c r="FQC91" s="1055"/>
      <c r="FQD91" s="1055"/>
      <c r="FQE91" s="1055"/>
      <c r="FQF91" s="1055"/>
      <c r="FQG91" s="1055"/>
      <c r="FQH91" s="1055"/>
      <c r="FQI91" s="1055"/>
      <c r="FQJ91" s="1055"/>
      <c r="FQK91" s="1055"/>
      <c r="FQL91" s="1055"/>
      <c r="FQM91" s="1055"/>
      <c r="FQN91" s="1055"/>
      <c r="FQO91" s="1055"/>
      <c r="FQP91" s="1055"/>
      <c r="FQQ91" s="1055"/>
      <c r="FQR91" s="1055"/>
      <c r="FQS91" s="1055"/>
      <c r="FQT91" s="1055"/>
      <c r="FQU91" s="1055"/>
      <c r="FQV91" s="1055"/>
      <c r="FQW91" s="1055"/>
      <c r="FQX91" s="1055"/>
      <c r="FQY91" s="1055"/>
      <c r="FQZ91" s="1055"/>
      <c r="FRA91" s="1055"/>
      <c r="FRB91" s="1055"/>
      <c r="FRC91" s="1055"/>
      <c r="FRD91" s="1055"/>
      <c r="FRE91" s="1055"/>
      <c r="FRF91" s="1055"/>
      <c r="FRG91" s="1055"/>
      <c r="FRH91" s="1055"/>
      <c r="FRI91" s="1055"/>
      <c r="FRJ91" s="1055"/>
      <c r="FRK91" s="1055"/>
      <c r="FRL91" s="1055"/>
      <c r="FRM91" s="1055"/>
      <c r="FRN91" s="1055"/>
      <c r="FRO91" s="1055"/>
      <c r="FRP91" s="1055"/>
      <c r="FRQ91" s="1055"/>
      <c r="FRR91" s="1055"/>
      <c r="FRS91" s="1055"/>
      <c r="FRT91" s="1055"/>
      <c r="FRU91" s="1055"/>
      <c r="FRV91" s="1055"/>
      <c r="FRW91" s="1055"/>
      <c r="FRX91" s="1055"/>
      <c r="FRY91" s="1055"/>
      <c r="FRZ91" s="1055"/>
      <c r="FSA91" s="1055"/>
      <c r="FSB91" s="1055"/>
      <c r="FSC91" s="1055"/>
      <c r="FSD91" s="1055"/>
      <c r="FSE91" s="1055"/>
      <c r="FSF91" s="1055"/>
      <c r="FSG91" s="1055"/>
      <c r="FSH91" s="1055"/>
      <c r="FSI91" s="1055"/>
      <c r="FSJ91" s="1055"/>
      <c r="FSK91" s="1055"/>
      <c r="FSL91" s="1055"/>
      <c r="FSM91" s="1055"/>
      <c r="FSN91" s="1055"/>
      <c r="FSO91" s="1055"/>
      <c r="FSP91" s="1055"/>
      <c r="FSQ91" s="1055"/>
      <c r="FSR91" s="1055"/>
      <c r="FSS91" s="1055"/>
      <c r="FST91" s="1055"/>
      <c r="FSU91" s="1055"/>
      <c r="FSV91" s="1055"/>
      <c r="FSW91" s="1055"/>
      <c r="FSX91" s="1055"/>
      <c r="FSY91" s="1055"/>
      <c r="FSZ91" s="1055"/>
      <c r="FTA91" s="1055"/>
      <c r="FTB91" s="1055"/>
      <c r="FTC91" s="1055"/>
      <c r="FTD91" s="1055"/>
      <c r="FTE91" s="1055"/>
      <c r="FTF91" s="1055"/>
      <c r="FTG91" s="1055"/>
      <c r="FTH91" s="1055"/>
      <c r="FTI91" s="1055"/>
      <c r="FTJ91" s="1055"/>
      <c r="FTK91" s="1055"/>
      <c r="FTL91" s="1055"/>
      <c r="FTM91" s="1055"/>
      <c r="FTN91" s="1055"/>
      <c r="FTO91" s="1055"/>
      <c r="FTP91" s="1055"/>
      <c r="FTQ91" s="1055"/>
      <c r="FTR91" s="1055"/>
      <c r="FTS91" s="1055"/>
      <c r="FTT91" s="1055"/>
      <c r="FTU91" s="1055"/>
      <c r="FTV91" s="1055"/>
      <c r="FTW91" s="1055"/>
      <c r="FTX91" s="1055"/>
      <c r="FTY91" s="1055"/>
      <c r="FTZ91" s="1055"/>
      <c r="FUA91" s="1055"/>
      <c r="FUB91" s="1055"/>
      <c r="FUC91" s="1055"/>
      <c r="FUD91" s="1055"/>
      <c r="FUE91" s="1055"/>
      <c r="FUF91" s="1055"/>
      <c r="FUG91" s="1055"/>
      <c r="FUH91" s="1055"/>
      <c r="FUI91" s="1055"/>
      <c r="FUJ91" s="1055"/>
      <c r="FUK91" s="1055"/>
      <c r="FUL91" s="1055"/>
      <c r="FUM91" s="1055"/>
      <c r="FUN91" s="1055"/>
      <c r="FUO91" s="1055"/>
      <c r="FUP91" s="1055"/>
      <c r="FUQ91" s="1055"/>
      <c r="FUR91" s="1055"/>
      <c r="FUS91" s="1055"/>
      <c r="FUT91" s="1055"/>
      <c r="FUU91" s="1055"/>
      <c r="FUV91" s="1055"/>
      <c r="FUW91" s="1055"/>
      <c r="FUX91" s="1055"/>
      <c r="FUY91" s="1055"/>
      <c r="FUZ91" s="1055"/>
      <c r="FVA91" s="1055"/>
      <c r="FVB91" s="1055"/>
      <c r="FVC91" s="1055"/>
      <c r="FVD91" s="1055"/>
      <c r="FVE91" s="1055"/>
      <c r="FVF91" s="1055"/>
      <c r="FVG91" s="1055"/>
      <c r="FVH91" s="1055"/>
      <c r="FVI91" s="1055"/>
      <c r="FVJ91" s="1055"/>
      <c r="FVK91" s="1055"/>
      <c r="FVL91" s="1055"/>
      <c r="FVM91" s="1055"/>
      <c r="FVN91" s="1055"/>
      <c r="FVO91" s="1055"/>
      <c r="FVP91" s="1055"/>
      <c r="FVQ91" s="1055"/>
      <c r="FVR91" s="1055"/>
      <c r="FVS91" s="1055"/>
      <c r="FVT91" s="1055"/>
      <c r="FVU91" s="1055"/>
      <c r="FVV91" s="1055"/>
      <c r="FVW91" s="1055"/>
      <c r="FVX91" s="1055"/>
      <c r="FVY91" s="1055"/>
      <c r="FVZ91" s="1055"/>
      <c r="FWA91" s="1055"/>
      <c r="FWB91" s="1055"/>
      <c r="FWC91" s="1055"/>
      <c r="FWD91" s="1055"/>
      <c r="FWE91" s="1055"/>
      <c r="FWF91" s="1055"/>
      <c r="FWG91" s="1055"/>
      <c r="FWH91" s="1055"/>
      <c r="FWI91" s="1055"/>
      <c r="FWJ91" s="1055"/>
      <c r="FWK91" s="1055"/>
      <c r="FWL91" s="1055"/>
      <c r="FWM91" s="1055"/>
      <c r="FWN91" s="1055"/>
      <c r="FWO91" s="1055"/>
      <c r="FWP91" s="1055"/>
      <c r="FWQ91" s="1055"/>
      <c r="FWR91" s="1055"/>
      <c r="FWS91" s="1055"/>
      <c r="FWT91" s="1055"/>
      <c r="FWU91" s="1055"/>
      <c r="FWV91" s="1055"/>
      <c r="FWW91" s="1055"/>
      <c r="FWX91" s="1055"/>
      <c r="FWY91" s="1055"/>
      <c r="FWZ91" s="1055"/>
      <c r="FXA91" s="1055"/>
      <c r="FXB91" s="1055"/>
      <c r="FXC91" s="1055"/>
      <c r="FXD91" s="1055"/>
      <c r="FXE91" s="1055"/>
      <c r="FXF91" s="1055"/>
      <c r="FXG91" s="1055"/>
      <c r="FXH91" s="1055"/>
      <c r="FXI91" s="1055"/>
      <c r="FXJ91" s="1055"/>
      <c r="FXK91" s="1055"/>
      <c r="FXL91" s="1055"/>
      <c r="FXM91" s="1055"/>
      <c r="FXN91" s="1055"/>
      <c r="FXO91" s="1055"/>
      <c r="FXP91" s="1055"/>
      <c r="FXQ91" s="1055"/>
      <c r="FXR91" s="1055"/>
      <c r="FXS91" s="1055"/>
      <c r="FXT91" s="1055"/>
      <c r="FXU91" s="1055"/>
      <c r="FXV91" s="1055"/>
      <c r="FXW91" s="1055"/>
      <c r="FXX91" s="1055"/>
      <c r="FXY91" s="1055"/>
      <c r="FXZ91" s="1055"/>
      <c r="FYA91" s="1055"/>
      <c r="FYB91" s="1055"/>
      <c r="FYC91" s="1055"/>
      <c r="FYD91" s="1055"/>
      <c r="FYE91" s="1055"/>
      <c r="FYF91" s="1055"/>
      <c r="FYG91" s="1055"/>
      <c r="FYH91" s="1055"/>
      <c r="FYI91" s="1055"/>
      <c r="FYJ91" s="1055"/>
      <c r="FYK91" s="1055"/>
      <c r="FYL91" s="1055"/>
      <c r="FYM91" s="1055"/>
      <c r="FYN91" s="1055"/>
      <c r="FYO91" s="1055"/>
      <c r="FYP91" s="1055"/>
      <c r="FYQ91" s="1055"/>
      <c r="FYR91" s="1055"/>
      <c r="FYS91" s="1055"/>
      <c r="FYT91" s="1055"/>
      <c r="FYU91" s="1055"/>
      <c r="FYV91" s="1055"/>
      <c r="FYW91" s="1055"/>
      <c r="FYX91" s="1055"/>
      <c r="FYY91" s="1055"/>
      <c r="FYZ91" s="1055"/>
      <c r="FZA91" s="1055"/>
      <c r="FZB91" s="1055"/>
      <c r="FZC91" s="1055"/>
      <c r="FZD91" s="1055"/>
      <c r="FZE91" s="1055"/>
      <c r="FZF91" s="1055"/>
      <c r="FZG91" s="1055"/>
      <c r="FZH91" s="1055"/>
      <c r="FZI91" s="1055"/>
      <c r="FZJ91" s="1055"/>
      <c r="FZK91" s="1055"/>
      <c r="FZL91" s="1055"/>
      <c r="FZM91" s="1055"/>
      <c r="FZN91" s="1055"/>
      <c r="FZO91" s="1055"/>
      <c r="FZP91" s="1055"/>
      <c r="FZQ91" s="1055"/>
      <c r="FZR91" s="1055"/>
      <c r="FZS91" s="1055"/>
      <c r="FZT91" s="1055"/>
      <c r="FZU91" s="1055"/>
      <c r="FZV91" s="1055"/>
      <c r="FZW91" s="1055"/>
      <c r="FZX91" s="1055"/>
      <c r="FZY91" s="1055"/>
      <c r="FZZ91" s="1055"/>
      <c r="GAA91" s="1055"/>
      <c r="GAB91" s="1055"/>
      <c r="GAC91" s="1055"/>
      <c r="GAD91" s="1055"/>
      <c r="GAE91" s="1055"/>
      <c r="GAF91" s="1055"/>
      <c r="GAG91" s="1055"/>
      <c r="GAH91" s="1055"/>
      <c r="GAI91" s="1055"/>
      <c r="GAJ91" s="1055"/>
      <c r="GAK91" s="1055"/>
      <c r="GAL91" s="1055"/>
      <c r="GAM91" s="1055"/>
      <c r="GAN91" s="1055"/>
      <c r="GAO91" s="1055"/>
      <c r="GAP91" s="1055"/>
      <c r="GAQ91" s="1055"/>
      <c r="GAR91" s="1055"/>
      <c r="GAS91" s="1055"/>
      <c r="GAT91" s="1055"/>
      <c r="GAU91" s="1055"/>
      <c r="GAV91" s="1055"/>
      <c r="GAW91" s="1055"/>
      <c r="GAX91" s="1055"/>
      <c r="GAY91" s="1055"/>
      <c r="GAZ91" s="1055"/>
      <c r="GBA91" s="1055"/>
      <c r="GBB91" s="1055"/>
      <c r="GBC91" s="1055"/>
      <c r="GBD91" s="1055"/>
      <c r="GBE91" s="1055"/>
      <c r="GBF91" s="1055"/>
      <c r="GBG91" s="1055"/>
      <c r="GBH91" s="1055"/>
      <c r="GBI91" s="1055"/>
      <c r="GBJ91" s="1055"/>
      <c r="GBK91" s="1055"/>
      <c r="GBL91" s="1055"/>
      <c r="GBM91" s="1055"/>
      <c r="GBN91" s="1055"/>
      <c r="GBO91" s="1055"/>
      <c r="GBP91" s="1055"/>
      <c r="GBQ91" s="1055"/>
      <c r="GBR91" s="1055"/>
      <c r="GBS91" s="1055"/>
      <c r="GBT91" s="1055"/>
      <c r="GBU91" s="1055"/>
      <c r="GBV91" s="1055"/>
      <c r="GBW91" s="1055"/>
      <c r="GBX91" s="1055"/>
      <c r="GBY91" s="1055"/>
      <c r="GBZ91" s="1055"/>
      <c r="GCA91" s="1055"/>
      <c r="GCB91" s="1055"/>
      <c r="GCC91" s="1055"/>
      <c r="GCD91" s="1055"/>
      <c r="GCE91" s="1055"/>
      <c r="GCF91" s="1055"/>
      <c r="GCG91" s="1055"/>
      <c r="GCH91" s="1055"/>
      <c r="GCI91" s="1055"/>
      <c r="GCJ91" s="1055"/>
      <c r="GCK91" s="1055"/>
      <c r="GCL91" s="1055"/>
      <c r="GCM91" s="1055"/>
      <c r="GCN91" s="1055"/>
      <c r="GCO91" s="1055"/>
      <c r="GCP91" s="1055"/>
      <c r="GCQ91" s="1055"/>
      <c r="GCR91" s="1055"/>
      <c r="GCS91" s="1055"/>
      <c r="GCT91" s="1055"/>
      <c r="GCU91" s="1055"/>
      <c r="GCV91" s="1055"/>
      <c r="GCW91" s="1055"/>
      <c r="GCX91" s="1055"/>
      <c r="GCY91" s="1055"/>
      <c r="GCZ91" s="1055"/>
      <c r="GDA91" s="1055"/>
      <c r="GDB91" s="1055"/>
      <c r="GDC91" s="1055"/>
      <c r="GDD91" s="1055"/>
      <c r="GDE91" s="1055"/>
      <c r="GDF91" s="1055"/>
      <c r="GDG91" s="1055"/>
      <c r="GDH91" s="1055"/>
      <c r="GDI91" s="1055"/>
      <c r="GDJ91" s="1055"/>
      <c r="GDK91" s="1055"/>
      <c r="GDL91" s="1055"/>
      <c r="GDM91" s="1055"/>
      <c r="GDN91" s="1055"/>
      <c r="GDO91" s="1055"/>
      <c r="GDP91" s="1055"/>
      <c r="GDQ91" s="1055"/>
      <c r="GDR91" s="1055"/>
      <c r="GDS91" s="1055"/>
      <c r="GDT91" s="1055"/>
      <c r="GDU91" s="1055"/>
      <c r="GDV91" s="1055"/>
      <c r="GDW91" s="1055"/>
      <c r="GDX91" s="1055"/>
      <c r="GDY91" s="1055"/>
      <c r="GDZ91" s="1055"/>
      <c r="GEA91" s="1055"/>
      <c r="GEB91" s="1055"/>
      <c r="GEC91" s="1055"/>
      <c r="GED91" s="1055"/>
      <c r="GEE91" s="1055"/>
      <c r="GEF91" s="1055"/>
      <c r="GEG91" s="1055"/>
      <c r="GEH91" s="1055"/>
      <c r="GEI91" s="1055"/>
      <c r="GEJ91" s="1055"/>
      <c r="GEK91" s="1055"/>
      <c r="GEL91" s="1055"/>
      <c r="GEM91" s="1055"/>
      <c r="GEN91" s="1055"/>
      <c r="GEO91" s="1055"/>
      <c r="GEP91" s="1055"/>
      <c r="GEQ91" s="1055"/>
      <c r="GER91" s="1055"/>
      <c r="GES91" s="1055"/>
      <c r="GET91" s="1055"/>
      <c r="GEU91" s="1055"/>
      <c r="GEV91" s="1055"/>
      <c r="GEW91" s="1055"/>
      <c r="GEX91" s="1055"/>
      <c r="GEY91" s="1055"/>
      <c r="GEZ91" s="1055"/>
      <c r="GFA91" s="1055"/>
      <c r="GFB91" s="1055"/>
      <c r="GFC91" s="1055"/>
      <c r="GFD91" s="1055"/>
      <c r="GFE91" s="1055"/>
      <c r="GFF91" s="1055"/>
      <c r="GFG91" s="1055"/>
      <c r="GFH91" s="1055"/>
      <c r="GFI91" s="1055"/>
      <c r="GFJ91" s="1055"/>
      <c r="GFK91" s="1055"/>
      <c r="GFL91" s="1055"/>
      <c r="GFM91" s="1055"/>
      <c r="GFN91" s="1055"/>
      <c r="GFO91" s="1055"/>
      <c r="GFP91" s="1055"/>
      <c r="GFQ91" s="1055"/>
      <c r="GFR91" s="1055"/>
      <c r="GFS91" s="1055"/>
      <c r="GFT91" s="1055"/>
      <c r="GFU91" s="1055"/>
      <c r="GFV91" s="1055"/>
      <c r="GFW91" s="1055"/>
      <c r="GFX91" s="1055"/>
      <c r="GFY91" s="1055"/>
      <c r="GFZ91" s="1055"/>
      <c r="GGA91" s="1055"/>
      <c r="GGB91" s="1055"/>
      <c r="GGC91" s="1055"/>
      <c r="GGD91" s="1055"/>
      <c r="GGE91" s="1055"/>
      <c r="GGF91" s="1055"/>
      <c r="GGG91" s="1055"/>
      <c r="GGH91" s="1055"/>
      <c r="GGI91" s="1055"/>
      <c r="GGJ91" s="1055"/>
      <c r="GGK91" s="1055"/>
      <c r="GGL91" s="1055"/>
      <c r="GGM91" s="1055"/>
      <c r="GGN91" s="1055"/>
      <c r="GGO91" s="1055"/>
      <c r="GGP91" s="1055"/>
      <c r="GGQ91" s="1055"/>
      <c r="GGR91" s="1055"/>
      <c r="GGS91" s="1055"/>
      <c r="GGT91" s="1055"/>
      <c r="GGU91" s="1055"/>
      <c r="GGV91" s="1055"/>
      <c r="GGW91" s="1055"/>
      <c r="GGX91" s="1055"/>
      <c r="GGY91" s="1055"/>
      <c r="GGZ91" s="1055"/>
      <c r="GHA91" s="1055"/>
      <c r="GHB91" s="1055"/>
      <c r="GHC91" s="1055"/>
      <c r="GHD91" s="1055"/>
      <c r="GHE91" s="1055"/>
      <c r="GHF91" s="1055"/>
      <c r="GHG91" s="1055"/>
      <c r="GHH91" s="1055"/>
      <c r="GHI91" s="1055"/>
      <c r="GHJ91" s="1055"/>
      <c r="GHK91" s="1055"/>
      <c r="GHL91" s="1055"/>
      <c r="GHM91" s="1055"/>
      <c r="GHN91" s="1055"/>
      <c r="GHO91" s="1055"/>
      <c r="GHP91" s="1055"/>
      <c r="GHQ91" s="1055"/>
      <c r="GHR91" s="1055"/>
      <c r="GHS91" s="1055"/>
      <c r="GHT91" s="1055"/>
      <c r="GHU91" s="1055"/>
      <c r="GHV91" s="1055"/>
      <c r="GHW91" s="1055"/>
      <c r="GHX91" s="1055"/>
      <c r="GHY91" s="1055"/>
      <c r="GHZ91" s="1055"/>
      <c r="GIA91" s="1055"/>
      <c r="GIB91" s="1055"/>
      <c r="GIC91" s="1055"/>
      <c r="GID91" s="1055"/>
      <c r="GIE91" s="1055"/>
      <c r="GIF91" s="1055"/>
      <c r="GIG91" s="1055"/>
      <c r="GIH91" s="1055"/>
      <c r="GII91" s="1055"/>
      <c r="GIJ91" s="1055"/>
      <c r="GIK91" s="1055"/>
      <c r="GIL91" s="1055"/>
      <c r="GIM91" s="1055"/>
      <c r="GIN91" s="1055"/>
      <c r="GIO91" s="1055"/>
      <c r="GIP91" s="1055"/>
      <c r="GIQ91" s="1055"/>
      <c r="GIR91" s="1055"/>
      <c r="GIS91" s="1055"/>
      <c r="GIT91" s="1055"/>
      <c r="GIU91" s="1055"/>
      <c r="GIV91" s="1055"/>
      <c r="GIW91" s="1055"/>
      <c r="GIX91" s="1055"/>
      <c r="GIY91" s="1055"/>
      <c r="GIZ91" s="1055"/>
      <c r="GJA91" s="1055"/>
      <c r="GJB91" s="1055"/>
      <c r="GJC91" s="1055"/>
      <c r="GJD91" s="1055"/>
      <c r="GJE91" s="1055"/>
      <c r="GJF91" s="1055"/>
      <c r="GJG91" s="1055"/>
      <c r="GJH91" s="1055"/>
      <c r="GJI91" s="1055"/>
      <c r="GJJ91" s="1055"/>
      <c r="GJK91" s="1055"/>
      <c r="GJL91" s="1055"/>
      <c r="GJM91" s="1055"/>
      <c r="GJN91" s="1055"/>
      <c r="GJO91" s="1055"/>
      <c r="GJP91" s="1055"/>
      <c r="GJQ91" s="1055"/>
      <c r="GJR91" s="1055"/>
      <c r="GJS91" s="1055"/>
      <c r="GJT91" s="1055"/>
      <c r="GJU91" s="1055"/>
      <c r="GJV91" s="1055"/>
      <c r="GJW91" s="1055"/>
      <c r="GJX91" s="1055"/>
      <c r="GJY91" s="1055"/>
      <c r="GJZ91" s="1055"/>
      <c r="GKA91" s="1055"/>
      <c r="GKB91" s="1055"/>
      <c r="GKC91" s="1055"/>
      <c r="GKD91" s="1055"/>
      <c r="GKE91" s="1055"/>
      <c r="GKF91" s="1055"/>
      <c r="GKG91" s="1055"/>
      <c r="GKH91" s="1055"/>
      <c r="GKI91" s="1055"/>
      <c r="GKJ91" s="1055"/>
      <c r="GKK91" s="1055"/>
      <c r="GKL91" s="1055"/>
      <c r="GKM91" s="1055"/>
      <c r="GKN91" s="1055"/>
      <c r="GKO91" s="1055"/>
      <c r="GKP91" s="1055"/>
      <c r="GKQ91" s="1055"/>
      <c r="GKR91" s="1055"/>
      <c r="GKS91" s="1055"/>
      <c r="GKT91" s="1055"/>
      <c r="GKU91" s="1055"/>
      <c r="GKV91" s="1055"/>
      <c r="GKW91" s="1055"/>
      <c r="GKX91" s="1055"/>
      <c r="GKY91" s="1055"/>
      <c r="GKZ91" s="1055"/>
      <c r="GLA91" s="1055"/>
      <c r="GLB91" s="1055"/>
      <c r="GLC91" s="1055"/>
      <c r="GLD91" s="1055"/>
      <c r="GLE91" s="1055"/>
      <c r="GLF91" s="1055"/>
      <c r="GLG91" s="1055"/>
      <c r="GLH91" s="1055"/>
      <c r="GLI91" s="1055"/>
      <c r="GLJ91" s="1055"/>
      <c r="GLK91" s="1055"/>
      <c r="GLL91" s="1055"/>
      <c r="GLM91" s="1055"/>
      <c r="GLN91" s="1055"/>
      <c r="GLO91" s="1055"/>
      <c r="GLP91" s="1055"/>
      <c r="GLQ91" s="1055"/>
      <c r="GLR91" s="1055"/>
      <c r="GLS91" s="1055"/>
      <c r="GLT91" s="1055"/>
      <c r="GLU91" s="1055"/>
      <c r="GLV91" s="1055"/>
      <c r="GLW91" s="1055"/>
      <c r="GLX91" s="1055"/>
      <c r="GLY91" s="1055"/>
      <c r="GLZ91" s="1055"/>
      <c r="GMA91" s="1055"/>
      <c r="GMB91" s="1055"/>
      <c r="GMC91" s="1055"/>
      <c r="GMD91" s="1055"/>
      <c r="GME91" s="1055"/>
      <c r="GMF91" s="1055"/>
      <c r="GMG91" s="1055"/>
      <c r="GMH91" s="1055"/>
      <c r="GMI91" s="1055"/>
      <c r="GMJ91" s="1055"/>
      <c r="GMK91" s="1055"/>
      <c r="GML91" s="1055"/>
      <c r="GMM91" s="1055"/>
      <c r="GMN91" s="1055"/>
      <c r="GMO91" s="1055"/>
      <c r="GMP91" s="1055"/>
      <c r="GMQ91" s="1055"/>
      <c r="GMR91" s="1055"/>
      <c r="GMS91" s="1055"/>
      <c r="GMT91" s="1055"/>
      <c r="GMU91" s="1055"/>
      <c r="GMV91" s="1055"/>
      <c r="GMW91" s="1055"/>
      <c r="GMX91" s="1055"/>
      <c r="GMY91" s="1055"/>
      <c r="GMZ91" s="1055"/>
      <c r="GNA91" s="1055"/>
      <c r="GNB91" s="1055"/>
      <c r="GNC91" s="1055"/>
      <c r="GND91" s="1055"/>
      <c r="GNE91" s="1055"/>
      <c r="GNF91" s="1055"/>
      <c r="GNG91" s="1055"/>
      <c r="GNH91" s="1055"/>
      <c r="GNI91" s="1055"/>
      <c r="GNJ91" s="1055"/>
      <c r="GNK91" s="1055"/>
      <c r="GNL91" s="1055"/>
      <c r="GNM91" s="1055"/>
      <c r="GNN91" s="1055"/>
      <c r="GNO91" s="1055"/>
      <c r="GNP91" s="1055"/>
      <c r="GNQ91" s="1055"/>
      <c r="GNR91" s="1055"/>
      <c r="GNS91" s="1055"/>
      <c r="GNT91" s="1055"/>
      <c r="GNU91" s="1055"/>
      <c r="GNV91" s="1055"/>
      <c r="GNW91" s="1055"/>
      <c r="GNX91" s="1055"/>
      <c r="GNY91" s="1055"/>
      <c r="GNZ91" s="1055"/>
      <c r="GOA91" s="1055"/>
      <c r="GOB91" s="1055"/>
      <c r="GOC91" s="1055"/>
      <c r="GOD91" s="1055"/>
      <c r="GOE91" s="1055"/>
      <c r="GOF91" s="1055"/>
      <c r="GOG91" s="1055"/>
      <c r="GOH91" s="1055"/>
      <c r="GOI91" s="1055"/>
      <c r="GOJ91" s="1055"/>
      <c r="GOK91" s="1055"/>
      <c r="GOL91" s="1055"/>
      <c r="GOM91" s="1055"/>
      <c r="GON91" s="1055"/>
      <c r="GOO91" s="1055"/>
      <c r="GOP91" s="1055"/>
      <c r="GOQ91" s="1055"/>
      <c r="GOR91" s="1055"/>
      <c r="GOS91" s="1055"/>
      <c r="GOT91" s="1055"/>
      <c r="GOU91" s="1055"/>
      <c r="GOV91" s="1055"/>
      <c r="GOW91" s="1055"/>
      <c r="GOX91" s="1055"/>
      <c r="GOY91" s="1055"/>
      <c r="GOZ91" s="1055"/>
      <c r="GPA91" s="1055"/>
      <c r="GPB91" s="1055"/>
      <c r="GPC91" s="1055"/>
      <c r="GPD91" s="1055"/>
      <c r="GPE91" s="1055"/>
      <c r="GPF91" s="1055"/>
      <c r="GPG91" s="1055"/>
      <c r="GPH91" s="1055"/>
      <c r="GPI91" s="1055"/>
      <c r="GPJ91" s="1055"/>
      <c r="GPK91" s="1055"/>
      <c r="GPL91" s="1055"/>
      <c r="GPM91" s="1055"/>
      <c r="GPN91" s="1055"/>
      <c r="GPO91" s="1055"/>
      <c r="GPP91" s="1055"/>
      <c r="GPQ91" s="1055"/>
      <c r="GPR91" s="1055"/>
      <c r="GPS91" s="1055"/>
      <c r="GPT91" s="1055"/>
      <c r="GPU91" s="1055"/>
      <c r="GPV91" s="1055"/>
      <c r="GPW91" s="1055"/>
      <c r="GPX91" s="1055"/>
      <c r="GPY91" s="1055"/>
      <c r="GPZ91" s="1055"/>
      <c r="GQA91" s="1055"/>
      <c r="GQB91" s="1055"/>
      <c r="GQC91" s="1055"/>
      <c r="GQD91" s="1055"/>
      <c r="GQE91" s="1055"/>
      <c r="GQF91" s="1055"/>
      <c r="GQG91" s="1055"/>
      <c r="GQH91" s="1055"/>
      <c r="GQI91" s="1055"/>
      <c r="GQJ91" s="1055"/>
      <c r="GQK91" s="1055"/>
      <c r="GQL91" s="1055"/>
      <c r="GQM91" s="1055"/>
      <c r="GQN91" s="1055"/>
      <c r="GQO91" s="1055"/>
      <c r="GQP91" s="1055"/>
      <c r="GQQ91" s="1055"/>
      <c r="GQR91" s="1055"/>
      <c r="GQS91" s="1055"/>
      <c r="GQT91" s="1055"/>
      <c r="GQU91" s="1055"/>
      <c r="GQV91" s="1055"/>
      <c r="GQW91" s="1055"/>
      <c r="GQX91" s="1055"/>
      <c r="GQY91" s="1055"/>
      <c r="GQZ91" s="1055"/>
      <c r="GRA91" s="1055"/>
      <c r="GRB91" s="1055"/>
      <c r="GRC91" s="1055"/>
      <c r="GRD91" s="1055"/>
      <c r="GRE91" s="1055"/>
      <c r="GRF91" s="1055"/>
      <c r="GRG91" s="1055"/>
      <c r="GRH91" s="1055"/>
      <c r="GRI91" s="1055"/>
      <c r="GRJ91" s="1055"/>
      <c r="GRK91" s="1055"/>
      <c r="GRL91" s="1055"/>
      <c r="GRM91" s="1055"/>
      <c r="GRN91" s="1055"/>
      <c r="GRO91" s="1055"/>
      <c r="GRP91" s="1055"/>
      <c r="GRQ91" s="1055"/>
      <c r="GRR91" s="1055"/>
      <c r="GRS91" s="1055"/>
      <c r="GRT91" s="1055"/>
      <c r="GRU91" s="1055"/>
      <c r="GRV91" s="1055"/>
      <c r="GRW91" s="1055"/>
      <c r="GRX91" s="1055"/>
      <c r="GRY91" s="1055"/>
      <c r="GRZ91" s="1055"/>
      <c r="GSA91" s="1055"/>
      <c r="GSB91" s="1055"/>
      <c r="GSC91" s="1055"/>
      <c r="GSD91" s="1055"/>
      <c r="GSE91" s="1055"/>
      <c r="GSF91" s="1055"/>
      <c r="GSG91" s="1055"/>
      <c r="GSH91" s="1055"/>
      <c r="GSI91" s="1055"/>
      <c r="GSJ91" s="1055"/>
      <c r="GSK91" s="1055"/>
      <c r="GSL91" s="1055"/>
      <c r="GSM91" s="1055"/>
      <c r="GSN91" s="1055"/>
      <c r="GSO91" s="1055"/>
      <c r="GSP91" s="1055"/>
      <c r="GSQ91" s="1055"/>
      <c r="GSR91" s="1055"/>
      <c r="GSS91" s="1055"/>
      <c r="GST91" s="1055"/>
      <c r="GSU91" s="1055"/>
      <c r="GSV91" s="1055"/>
      <c r="GSW91" s="1055"/>
      <c r="GSX91" s="1055"/>
      <c r="GSY91" s="1055"/>
      <c r="GSZ91" s="1055"/>
      <c r="GTA91" s="1055"/>
      <c r="GTB91" s="1055"/>
      <c r="GTC91" s="1055"/>
      <c r="GTD91" s="1055"/>
      <c r="GTE91" s="1055"/>
      <c r="GTF91" s="1055"/>
      <c r="GTG91" s="1055"/>
      <c r="GTH91" s="1055"/>
      <c r="GTI91" s="1055"/>
      <c r="GTJ91" s="1055"/>
      <c r="GTK91" s="1055"/>
      <c r="GTL91" s="1055"/>
      <c r="GTM91" s="1055"/>
      <c r="GTN91" s="1055"/>
      <c r="GTO91" s="1055"/>
      <c r="GTP91" s="1055"/>
      <c r="GTQ91" s="1055"/>
      <c r="GTR91" s="1055"/>
      <c r="GTS91" s="1055"/>
      <c r="GTT91" s="1055"/>
      <c r="GTU91" s="1055"/>
      <c r="GTV91" s="1055"/>
      <c r="GTW91" s="1055"/>
      <c r="GTX91" s="1055"/>
      <c r="GTY91" s="1055"/>
      <c r="GTZ91" s="1055"/>
      <c r="GUA91" s="1055"/>
      <c r="GUB91" s="1055"/>
      <c r="GUC91" s="1055"/>
      <c r="GUD91" s="1055"/>
      <c r="GUE91" s="1055"/>
      <c r="GUF91" s="1055"/>
      <c r="GUG91" s="1055"/>
      <c r="GUH91" s="1055"/>
      <c r="GUI91" s="1055"/>
      <c r="GUJ91" s="1055"/>
      <c r="GUK91" s="1055"/>
      <c r="GUL91" s="1055"/>
      <c r="GUM91" s="1055"/>
      <c r="GUN91" s="1055"/>
      <c r="GUO91" s="1055"/>
      <c r="GUP91" s="1055"/>
      <c r="GUQ91" s="1055"/>
      <c r="GUR91" s="1055"/>
      <c r="GUS91" s="1055"/>
      <c r="GUT91" s="1055"/>
      <c r="GUU91" s="1055"/>
      <c r="GUV91" s="1055"/>
      <c r="GUW91" s="1055"/>
      <c r="GUX91" s="1055"/>
      <c r="GUY91" s="1055"/>
      <c r="GUZ91" s="1055"/>
      <c r="GVA91" s="1055"/>
      <c r="GVB91" s="1055"/>
      <c r="GVC91" s="1055"/>
      <c r="GVD91" s="1055"/>
      <c r="GVE91" s="1055"/>
      <c r="GVF91" s="1055"/>
      <c r="GVG91" s="1055"/>
      <c r="GVH91" s="1055"/>
      <c r="GVI91" s="1055"/>
      <c r="GVJ91" s="1055"/>
      <c r="GVK91" s="1055"/>
      <c r="GVL91" s="1055"/>
      <c r="GVM91" s="1055"/>
      <c r="GVN91" s="1055"/>
      <c r="GVO91" s="1055"/>
      <c r="GVP91" s="1055"/>
      <c r="GVQ91" s="1055"/>
      <c r="GVR91" s="1055"/>
      <c r="GVS91" s="1055"/>
      <c r="GVT91" s="1055"/>
      <c r="GVU91" s="1055"/>
      <c r="GVV91" s="1055"/>
      <c r="GVW91" s="1055"/>
      <c r="GVX91" s="1055"/>
      <c r="GVY91" s="1055"/>
      <c r="GVZ91" s="1055"/>
      <c r="GWA91" s="1055"/>
      <c r="GWB91" s="1055"/>
      <c r="GWC91" s="1055"/>
      <c r="GWD91" s="1055"/>
      <c r="GWE91" s="1055"/>
      <c r="GWF91" s="1055"/>
      <c r="GWG91" s="1055"/>
      <c r="GWH91" s="1055"/>
      <c r="GWI91" s="1055"/>
      <c r="GWJ91" s="1055"/>
      <c r="GWK91" s="1055"/>
      <c r="GWL91" s="1055"/>
      <c r="GWM91" s="1055"/>
      <c r="GWN91" s="1055"/>
      <c r="GWO91" s="1055"/>
      <c r="GWP91" s="1055"/>
      <c r="GWQ91" s="1055"/>
      <c r="GWR91" s="1055"/>
      <c r="GWS91" s="1055"/>
      <c r="GWT91" s="1055"/>
      <c r="GWU91" s="1055"/>
      <c r="GWV91" s="1055"/>
      <c r="GWW91" s="1055"/>
      <c r="GWX91" s="1055"/>
      <c r="GWY91" s="1055"/>
      <c r="GWZ91" s="1055"/>
      <c r="GXA91" s="1055"/>
      <c r="GXB91" s="1055"/>
      <c r="GXC91" s="1055"/>
      <c r="GXD91" s="1055"/>
      <c r="GXE91" s="1055"/>
      <c r="GXF91" s="1055"/>
      <c r="GXG91" s="1055"/>
      <c r="GXH91" s="1055"/>
      <c r="GXI91" s="1055"/>
      <c r="GXJ91" s="1055"/>
      <c r="GXK91" s="1055"/>
      <c r="GXL91" s="1055"/>
      <c r="GXM91" s="1055"/>
      <c r="GXN91" s="1055"/>
      <c r="GXO91" s="1055"/>
      <c r="GXP91" s="1055"/>
      <c r="GXQ91" s="1055"/>
      <c r="GXR91" s="1055"/>
      <c r="GXS91" s="1055"/>
      <c r="GXT91" s="1055"/>
      <c r="GXU91" s="1055"/>
      <c r="GXV91" s="1055"/>
      <c r="GXW91" s="1055"/>
      <c r="GXX91" s="1055"/>
      <c r="GXY91" s="1055"/>
      <c r="GXZ91" s="1055"/>
      <c r="GYA91" s="1055"/>
      <c r="GYB91" s="1055"/>
      <c r="GYC91" s="1055"/>
      <c r="GYD91" s="1055"/>
      <c r="GYE91" s="1055"/>
      <c r="GYF91" s="1055"/>
      <c r="GYG91" s="1055"/>
      <c r="GYH91" s="1055"/>
      <c r="GYI91" s="1055"/>
      <c r="GYJ91" s="1055"/>
      <c r="GYK91" s="1055"/>
      <c r="GYL91" s="1055"/>
      <c r="GYM91" s="1055"/>
      <c r="GYN91" s="1055"/>
      <c r="GYO91" s="1055"/>
      <c r="GYP91" s="1055"/>
      <c r="GYQ91" s="1055"/>
      <c r="GYR91" s="1055"/>
      <c r="GYS91" s="1055"/>
      <c r="GYT91" s="1055"/>
      <c r="GYU91" s="1055"/>
      <c r="GYV91" s="1055"/>
      <c r="GYW91" s="1055"/>
      <c r="GYX91" s="1055"/>
      <c r="GYY91" s="1055"/>
      <c r="GYZ91" s="1055"/>
      <c r="GZA91" s="1055"/>
      <c r="GZB91" s="1055"/>
      <c r="GZC91" s="1055"/>
      <c r="GZD91" s="1055"/>
      <c r="GZE91" s="1055"/>
      <c r="GZF91" s="1055"/>
      <c r="GZG91" s="1055"/>
      <c r="GZH91" s="1055"/>
      <c r="GZI91" s="1055"/>
      <c r="GZJ91" s="1055"/>
      <c r="GZK91" s="1055"/>
      <c r="GZL91" s="1055"/>
      <c r="GZM91" s="1055"/>
      <c r="GZN91" s="1055"/>
      <c r="GZO91" s="1055"/>
      <c r="GZP91" s="1055"/>
      <c r="GZQ91" s="1055"/>
      <c r="GZR91" s="1055"/>
      <c r="GZS91" s="1055"/>
      <c r="GZT91" s="1055"/>
      <c r="GZU91" s="1055"/>
      <c r="GZV91" s="1055"/>
      <c r="GZW91" s="1055"/>
      <c r="GZX91" s="1055"/>
      <c r="GZY91" s="1055"/>
      <c r="GZZ91" s="1055"/>
      <c r="HAA91" s="1055"/>
      <c r="HAB91" s="1055"/>
      <c r="HAC91" s="1055"/>
      <c r="HAD91" s="1055"/>
      <c r="HAE91" s="1055"/>
      <c r="HAF91" s="1055"/>
      <c r="HAG91" s="1055"/>
      <c r="HAH91" s="1055"/>
      <c r="HAI91" s="1055"/>
      <c r="HAJ91" s="1055"/>
      <c r="HAK91" s="1055"/>
      <c r="HAL91" s="1055"/>
      <c r="HAM91" s="1055"/>
      <c r="HAN91" s="1055"/>
      <c r="HAO91" s="1055"/>
      <c r="HAP91" s="1055"/>
      <c r="HAQ91" s="1055"/>
      <c r="HAR91" s="1055"/>
      <c r="HAS91" s="1055"/>
      <c r="HAT91" s="1055"/>
      <c r="HAU91" s="1055"/>
      <c r="HAV91" s="1055"/>
      <c r="HAW91" s="1055"/>
      <c r="HAX91" s="1055"/>
      <c r="HAY91" s="1055"/>
      <c r="HAZ91" s="1055"/>
      <c r="HBA91" s="1055"/>
      <c r="HBB91" s="1055"/>
      <c r="HBC91" s="1055"/>
      <c r="HBD91" s="1055"/>
      <c r="HBE91" s="1055"/>
      <c r="HBF91" s="1055"/>
      <c r="HBG91" s="1055"/>
      <c r="HBH91" s="1055"/>
      <c r="HBI91" s="1055"/>
      <c r="HBJ91" s="1055"/>
      <c r="HBK91" s="1055"/>
      <c r="HBL91" s="1055"/>
      <c r="HBM91" s="1055"/>
      <c r="HBN91" s="1055"/>
      <c r="HBO91" s="1055"/>
      <c r="HBP91" s="1055"/>
      <c r="HBQ91" s="1055"/>
      <c r="HBR91" s="1055"/>
      <c r="HBS91" s="1055"/>
      <c r="HBT91" s="1055"/>
      <c r="HBU91" s="1055"/>
      <c r="HBV91" s="1055"/>
      <c r="HBW91" s="1055"/>
      <c r="HBX91" s="1055"/>
      <c r="HBY91" s="1055"/>
      <c r="HBZ91" s="1055"/>
      <c r="HCA91" s="1055"/>
      <c r="HCB91" s="1055"/>
      <c r="HCC91" s="1055"/>
      <c r="HCD91" s="1055"/>
      <c r="HCE91" s="1055"/>
      <c r="HCF91" s="1055"/>
      <c r="HCG91" s="1055"/>
      <c r="HCH91" s="1055"/>
      <c r="HCI91" s="1055"/>
      <c r="HCJ91" s="1055"/>
      <c r="HCK91" s="1055"/>
      <c r="HCL91" s="1055"/>
      <c r="HCM91" s="1055"/>
      <c r="HCN91" s="1055"/>
      <c r="HCO91" s="1055"/>
      <c r="HCP91" s="1055"/>
      <c r="HCQ91" s="1055"/>
      <c r="HCR91" s="1055"/>
      <c r="HCS91" s="1055"/>
      <c r="HCT91" s="1055"/>
      <c r="HCU91" s="1055"/>
      <c r="HCV91" s="1055"/>
      <c r="HCW91" s="1055"/>
      <c r="HCX91" s="1055"/>
      <c r="HCY91" s="1055"/>
      <c r="HCZ91" s="1055"/>
      <c r="HDA91" s="1055"/>
      <c r="HDB91" s="1055"/>
      <c r="HDC91" s="1055"/>
      <c r="HDD91" s="1055"/>
      <c r="HDE91" s="1055"/>
      <c r="HDF91" s="1055"/>
      <c r="HDG91" s="1055"/>
      <c r="HDH91" s="1055"/>
      <c r="HDI91" s="1055"/>
      <c r="HDJ91" s="1055"/>
      <c r="HDK91" s="1055"/>
      <c r="HDL91" s="1055"/>
      <c r="HDM91" s="1055"/>
      <c r="HDN91" s="1055"/>
      <c r="HDO91" s="1055"/>
      <c r="HDP91" s="1055"/>
      <c r="HDQ91" s="1055"/>
      <c r="HDR91" s="1055"/>
      <c r="HDS91" s="1055"/>
      <c r="HDT91" s="1055"/>
      <c r="HDU91" s="1055"/>
      <c r="HDV91" s="1055"/>
      <c r="HDW91" s="1055"/>
      <c r="HDX91" s="1055"/>
      <c r="HDY91" s="1055"/>
      <c r="HDZ91" s="1055"/>
      <c r="HEA91" s="1055"/>
      <c r="HEB91" s="1055"/>
      <c r="HEC91" s="1055"/>
      <c r="HED91" s="1055"/>
      <c r="HEE91" s="1055"/>
      <c r="HEF91" s="1055"/>
      <c r="HEG91" s="1055"/>
      <c r="HEH91" s="1055"/>
      <c r="HEI91" s="1055"/>
      <c r="HEJ91" s="1055"/>
      <c r="HEK91" s="1055"/>
      <c r="HEL91" s="1055"/>
      <c r="HEM91" s="1055"/>
      <c r="HEN91" s="1055"/>
      <c r="HEO91" s="1055"/>
      <c r="HEP91" s="1055"/>
      <c r="HEQ91" s="1055"/>
      <c r="HER91" s="1055"/>
      <c r="HES91" s="1055"/>
      <c r="HET91" s="1055"/>
      <c r="HEU91" s="1055"/>
      <c r="HEV91" s="1055"/>
      <c r="HEW91" s="1055"/>
      <c r="HEX91" s="1055"/>
      <c r="HEY91" s="1055"/>
      <c r="HEZ91" s="1055"/>
      <c r="HFA91" s="1055"/>
      <c r="HFB91" s="1055"/>
      <c r="HFC91" s="1055"/>
      <c r="HFD91" s="1055"/>
      <c r="HFE91" s="1055"/>
      <c r="HFF91" s="1055"/>
      <c r="HFG91" s="1055"/>
      <c r="HFH91" s="1055"/>
      <c r="HFI91" s="1055"/>
      <c r="HFJ91" s="1055"/>
      <c r="HFK91" s="1055"/>
      <c r="HFL91" s="1055"/>
      <c r="HFM91" s="1055"/>
      <c r="HFN91" s="1055"/>
      <c r="HFO91" s="1055"/>
      <c r="HFP91" s="1055"/>
      <c r="HFQ91" s="1055"/>
      <c r="HFR91" s="1055"/>
      <c r="HFS91" s="1055"/>
      <c r="HFT91" s="1055"/>
      <c r="HFU91" s="1055"/>
      <c r="HFV91" s="1055"/>
      <c r="HFW91" s="1055"/>
      <c r="HFX91" s="1055"/>
      <c r="HFY91" s="1055"/>
      <c r="HFZ91" s="1055"/>
      <c r="HGA91" s="1055"/>
      <c r="HGB91" s="1055"/>
      <c r="HGC91" s="1055"/>
      <c r="HGD91" s="1055"/>
      <c r="HGE91" s="1055"/>
      <c r="HGF91" s="1055"/>
      <c r="HGG91" s="1055"/>
      <c r="HGH91" s="1055"/>
      <c r="HGI91" s="1055"/>
      <c r="HGJ91" s="1055"/>
      <c r="HGK91" s="1055"/>
      <c r="HGL91" s="1055"/>
      <c r="HGM91" s="1055"/>
      <c r="HGN91" s="1055"/>
      <c r="HGO91" s="1055"/>
      <c r="HGP91" s="1055"/>
      <c r="HGQ91" s="1055"/>
      <c r="HGR91" s="1055"/>
      <c r="HGS91" s="1055"/>
      <c r="HGT91" s="1055"/>
      <c r="HGU91" s="1055"/>
      <c r="HGV91" s="1055"/>
      <c r="HGW91" s="1055"/>
      <c r="HGX91" s="1055"/>
      <c r="HGY91" s="1055"/>
      <c r="HGZ91" s="1055"/>
      <c r="HHA91" s="1055"/>
      <c r="HHB91" s="1055"/>
      <c r="HHC91" s="1055"/>
      <c r="HHD91" s="1055"/>
      <c r="HHE91" s="1055"/>
      <c r="HHF91" s="1055"/>
      <c r="HHG91" s="1055"/>
      <c r="HHH91" s="1055"/>
      <c r="HHI91" s="1055"/>
      <c r="HHJ91" s="1055"/>
      <c r="HHK91" s="1055"/>
      <c r="HHL91" s="1055"/>
      <c r="HHM91" s="1055"/>
      <c r="HHN91" s="1055"/>
      <c r="HHO91" s="1055"/>
      <c r="HHP91" s="1055"/>
      <c r="HHQ91" s="1055"/>
      <c r="HHR91" s="1055"/>
      <c r="HHS91" s="1055"/>
      <c r="HHT91" s="1055"/>
      <c r="HHU91" s="1055"/>
      <c r="HHV91" s="1055"/>
      <c r="HHW91" s="1055"/>
      <c r="HHX91" s="1055"/>
      <c r="HHY91" s="1055"/>
      <c r="HHZ91" s="1055"/>
      <c r="HIA91" s="1055"/>
      <c r="HIB91" s="1055"/>
      <c r="HIC91" s="1055"/>
      <c r="HID91" s="1055"/>
      <c r="HIE91" s="1055"/>
      <c r="HIF91" s="1055"/>
      <c r="HIG91" s="1055"/>
      <c r="HIH91" s="1055"/>
      <c r="HII91" s="1055"/>
      <c r="HIJ91" s="1055"/>
      <c r="HIK91" s="1055"/>
      <c r="HIL91" s="1055"/>
      <c r="HIM91" s="1055"/>
      <c r="HIN91" s="1055"/>
      <c r="HIO91" s="1055"/>
      <c r="HIP91" s="1055"/>
      <c r="HIQ91" s="1055"/>
      <c r="HIR91" s="1055"/>
      <c r="HIS91" s="1055"/>
      <c r="HIT91" s="1055"/>
      <c r="HIU91" s="1055"/>
      <c r="HIV91" s="1055"/>
      <c r="HIW91" s="1055"/>
      <c r="HIX91" s="1055"/>
      <c r="HIY91" s="1055"/>
      <c r="HIZ91" s="1055"/>
      <c r="HJA91" s="1055"/>
      <c r="HJB91" s="1055"/>
      <c r="HJC91" s="1055"/>
      <c r="HJD91" s="1055"/>
      <c r="HJE91" s="1055"/>
      <c r="HJF91" s="1055"/>
      <c r="HJG91" s="1055"/>
      <c r="HJH91" s="1055"/>
      <c r="HJI91" s="1055"/>
      <c r="HJJ91" s="1055"/>
      <c r="HJK91" s="1055"/>
      <c r="HJL91" s="1055"/>
      <c r="HJM91" s="1055"/>
      <c r="HJN91" s="1055"/>
      <c r="HJO91" s="1055"/>
      <c r="HJP91" s="1055"/>
      <c r="HJQ91" s="1055"/>
      <c r="HJR91" s="1055"/>
      <c r="HJS91" s="1055"/>
      <c r="HJT91" s="1055"/>
      <c r="HJU91" s="1055"/>
      <c r="HJV91" s="1055"/>
      <c r="HJW91" s="1055"/>
      <c r="HJX91" s="1055"/>
      <c r="HJY91" s="1055"/>
      <c r="HJZ91" s="1055"/>
      <c r="HKA91" s="1055"/>
      <c r="HKB91" s="1055"/>
      <c r="HKC91" s="1055"/>
      <c r="HKD91" s="1055"/>
      <c r="HKE91" s="1055"/>
      <c r="HKF91" s="1055"/>
      <c r="HKG91" s="1055"/>
      <c r="HKH91" s="1055"/>
      <c r="HKI91" s="1055"/>
      <c r="HKJ91" s="1055"/>
      <c r="HKK91" s="1055"/>
      <c r="HKL91" s="1055"/>
      <c r="HKM91" s="1055"/>
      <c r="HKN91" s="1055"/>
      <c r="HKO91" s="1055"/>
      <c r="HKP91" s="1055"/>
      <c r="HKQ91" s="1055"/>
      <c r="HKR91" s="1055"/>
      <c r="HKS91" s="1055"/>
      <c r="HKT91" s="1055"/>
      <c r="HKU91" s="1055"/>
      <c r="HKV91" s="1055"/>
      <c r="HKW91" s="1055"/>
      <c r="HKX91" s="1055"/>
      <c r="HKY91" s="1055"/>
      <c r="HKZ91" s="1055"/>
      <c r="HLA91" s="1055"/>
      <c r="HLB91" s="1055"/>
      <c r="HLC91" s="1055"/>
      <c r="HLD91" s="1055"/>
      <c r="HLE91" s="1055"/>
      <c r="HLF91" s="1055"/>
      <c r="HLG91" s="1055"/>
      <c r="HLH91" s="1055"/>
      <c r="HLI91" s="1055"/>
      <c r="HLJ91" s="1055"/>
      <c r="HLK91" s="1055"/>
      <c r="HLL91" s="1055"/>
      <c r="HLM91" s="1055"/>
      <c r="HLN91" s="1055"/>
      <c r="HLO91" s="1055"/>
      <c r="HLP91" s="1055"/>
      <c r="HLQ91" s="1055"/>
      <c r="HLR91" s="1055"/>
      <c r="HLS91" s="1055"/>
      <c r="HLT91" s="1055"/>
      <c r="HLU91" s="1055"/>
      <c r="HLV91" s="1055"/>
      <c r="HLW91" s="1055"/>
      <c r="HLX91" s="1055"/>
      <c r="HLY91" s="1055"/>
      <c r="HLZ91" s="1055"/>
      <c r="HMA91" s="1055"/>
      <c r="HMB91" s="1055"/>
      <c r="HMC91" s="1055"/>
      <c r="HMD91" s="1055"/>
      <c r="HME91" s="1055"/>
      <c r="HMF91" s="1055"/>
      <c r="HMG91" s="1055"/>
      <c r="HMH91" s="1055"/>
      <c r="HMI91" s="1055"/>
      <c r="HMJ91" s="1055"/>
      <c r="HMK91" s="1055"/>
      <c r="HML91" s="1055"/>
      <c r="HMM91" s="1055"/>
      <c r="HMN91" s="1055"/>
      <c r="HMO91" s="1055"/>
      <c r="HMP91" s="1055"/>
      <c r="HMQ91" s="1055"/>
      <c r="HMR91" s="1055"/>
      <c r="HMS91" s="1055"/>
      <c r="HMT91" s="1055"/>
      <c r="HMU91" s="1055"/>
      <c r="HMV91" s="1055"/>
      <c r="HMW91" s="1055"/>
      <c r="HMX91" s="1055"/>
      <c r="HMY91" s="1055"/>
      <c r="HMZ91" s="1055"/>
      <c r="HNA91" s="1055"/>
      <c r="HNB91" s="1055"/>
      <c r="HNC91" s="1055"/>
      <c r="HND91" s="1055"/>
      <c r="HNE91" s="1055"/>
      <c r="HNF91" s="1055"/>
      <c r="HNG91" s="1055"/>
      <c r="HNH91" s="1055"/>
      <c r="HNI91" s="1055"/>
      <c r="HNJ91" s="1055"/>
      <c r="HNK91" s="1055"/>
      <c r="HNL91" s="1055"/>
      <c r="HNM91" s="1055"/>
      <c r="HNN91" s="1055"/>
      <c r="HNO91" s="1055"/>
      <c r="HNP91" s="1055"/>
      <c r="HNQ91" s="1055"/>
      <c r="HNR91" s="1055"/>
      <c r="HNS91" s="1055"/>
      <c r="HNT91" s="1055"/>
      <c r="HNU91" s="1055"/>
      <c r="HNV91" s="1055"/>
      <c r="HNW91" s="1055"/>
      <c r="HNX91" s="1055"/>
      <c r="HNY91" s="1055"/>
      <c r="HNZ91" s="1055"/>
      <c r="HOA91" s="1055"/>
      <c r="HOB91" s="1055"/>
      <c r="HOC91" s="1055"/>
      <c r="HOD91" s="1055"/>
      <c r="HOE91" s="1055"/>
      <c r="HOF91" s="1055"/>
      <c r="HOG91" s="1055"/>
      <c r="HOH91" s="1055"/>
      <c r="HOI91" s="1055"/>
      <c r="HOJ91" s="1055"/>
      <c r="HOK91" s="1055"/>
      <c r="HOL91" s="1055"/>
      <c r="HOM91" s="1055"/>
      <c r="HON91" s="1055"/>
      <c r="HOO91" s="1055"/>
      <c r="HOP91" s="1055"/>
      <c r="HOQ91" s="1055"/>
      <c r="HOR91" s="1055"/>
      <c r="HOS91" s="1055"/>
      <c r="HOT91" s="1055"/>
      <c r="HOU91" s="1055"/>
      <c r="HOV91" s="1055"/>
      <c r="HOW91" s="1055"/>
      <c r="HOX91" s="1055"/>
      <c r="HOY91" s="1055"/>
      <c r="HOZ91" s="1055"/>
      <c r="HPA91" s="1055"/>
      <c r="HPB91" s="1055"/>
      <c r="HPC91" s="1055"/>
      <c r="HPD91" s="1055"/>
      <c r="HPE91" s="1055"/>
      <c r="HPF91" s="1055"/>
      <c r="HPG91" s="1055"/>
      <c r="HPH91" s="1055"/>
      <c r="HPI91" s="1055"/>
      <c r="HPJ91" s="1055"/>
      <c r="HPK91" s="1055"/>
      <c r="HPL91" s="1055"/>
      <c r="HPM91" s="1055"/>
      <c r="HPN91" s="1055"/>
      <c r="HPO91" s="1055"/>
      <c r="HPP91" s="1055"/>
      <c r="HPQ91" s="1055"/>
      <c r="HPR91" s="1055"/>
      <c r="HPS91" s="1055"/>
      <c r="HPT91" s="1055"/>
      <c r="HPU91" s="1055"/>
      <c r="HPV91" s="1055"/>
      <c r="HPW91" s="1055"/>
      <c r="HPX91" s="1055"/>
      <c r="HPY91" s="1055"/>
      <c r="HPZ91" s="1055"/>
      <c r="HQA91" s="1055"/>
      <c r="HQB91" s="1055"/>
      <c r="HQC91" s="1055"/>
      <c r="HQD91" s="1055"/>
      <c r="HQE91" s="1055"/>
      <c r="HQF91" s="1055"/>
      <c r="HQG91" s="1055"/>
      <c r="HQH91" s="1055"/>
      <c r="HQI91" s="1055"/>
      <c r="HQJ91" s="1055"/>
      <c r="HQK91" s="1055"/>
      <c r="HQL91" s="1055"/>
      <c r="HQM91" s="1055"/>
      <c r="HQN91" s="1055"/>
      <c r="HQO91" s="1055"/>
      <c r="HQP91" s="1055"/>
      <c r="HQQ91" s="1055"/>
      <c r="HQR91" s="1055"/>
      <c r="HQS91" s="1055"/>
      <c r="HQT91" s="1055"/>
      <c r="HQU91" s="1055"/>
      <c r="HQV91" s="1055"/>
      <c r="HQW91" s="1055"/>
      <c r="HQX91" s="1055"/>
      <c r="HQY91" s="1055"/>
      <c r="HQZ91" s="1055"/>
      <c r="HRA91" s="1055"/>
      <c r="HRB91" s="1055"/>
      <c r="HRC91" s="1055"/>
      <c r="HRD91" s="1055"/>
      <c r="HRE91" s="1055"/>
      <c r="HRF91" s="1055"/>
      <c r="HRG91" s="1055"/>
      <c r="HRH91" s="1055"/>
      <c r="HRI91" s="1055"/>
      <c r="HRJ91" s="1055"/>
      <c r="HRK91" s="1055"/>
      <c r="HRL91" s="1055"/>
      <c r="HRM91" s="1055"/>
      <c r="HRN91" s="1055"/>
      <c r="HRO91" s="1055"/>
      <c r="HRP91" s="1055"/>
      <c r="HRQ91" s="1055"/>
      <c r="HRR91" s="1055"/>
      <c r="HRS91" s="1055"/>
      <c r="HRT91" s="1055"/>
      <c r="HRU91" s="1055"/>
      <c r="HRV91" s="1055"/>
      <c r="HRW91" s="1055"/>
      <c r="HRX91" s="1055"/>
      <c r="HRY91" s="1055"/>
      <c r="HRZ91" s="1055"/>
      <c r="HSA91" s="1055"/>
      <c r="HSB91" s="1055"/>
      <c r="HSC91" s="1055"/>
      <c r="HSD91" s="1055"/>
      <c r="HSE91" s="1055"/>
      <c r="HSF91" s="1055"/>
      <c r="HSG91" s="1055"/>
      <c r="HSH91" s="1055"/>
      <c r="HSI91" s="1055"/>
      <c r="HSJ91" s="1055"/>
      <c r="HSK91" s="1055"/>
      <c r="HSL91" s="1055"/>
      <c r="HSM91" s="1055"/>
      <c r="HSN91" s="1055"/>
      <c r="HSO91" s="1055"/>
      <c r="HSP91" s="1055"/>
      <c r="HSQ91" s="1055"/>
      <c r="HSR91" s="1055"/>
      <c r="HSS91" s="1055"/>
      <c r="HST91" s="1055"/>
      <c r="HSU91" s="1055"/>
      <c r="HSV91" s="1055"/>
      <c r="HSW91" s="1055"/>
      <c r="HSX91" s="1055"/>
      <c r="HSY91" s="1055"/>
      <c r="HSZ91" s="1055"/>
      <c r="HTA91" s="1055"/>
      <c r="HTB91" s="1055"/>
      <c r="HTC91" s="1055"/>
      <c r="HTD91" s="1055"/>
      <c r="HTE91" s="1055"/>
      <c r="HTF91" s="1055"/>
      <c r="HTG91" s="1055"/>
      <c r="HTH91" s="1055"/>
      <c r="HTI91" s="1055"/>
      <c r="HTJ91" s="1055"/>
      <c r="HTK91" s="1055"/>
      <c r="HTL91" s="1055"/>
      <c r="HTM91" s="1055"/>
      <c r="HTN91" s="1055"/>
      <c r="HTO91" s="1055"/>
      <c r="HTP91" s="1055"/>
      <c r="HTQ91" s="1055"/>
      <c r="HTR91" s="1055"/>
      <c r="HTS91" s="1055"/>
      <c r="HTT91" s="1055"/>
      <c r="HTU91" s="1055"/>
      <c r="HTV91" s="1055"/>
      <c r="HTW91" s="1055"/>
      <c r="HTX91" s="1055"/>
      <c r="HTY91" s="1055"/>
      <c r="HTZ91" s="1055"/>
      <c r="HUA91" s="1055"/>
      <c r="HUB91" s="1055"/>
      <c r="HUC91" s="1055"/>
      <c r="HUD91" s="1055"/>
      <c r="HUE91" s="1055"/>
      <c r="HUF91" s="1055"/>
      <c r="HUG91" s="1055"/>
      <c r="HUH91" s="1055"/>
      <c r="HUI91" s="1055"/>
      <c r="HUJ91" s="1055"/>
      <c r="HUK91" s="1055"/>
      <c r="HUL91" s="1055"/>
      <c r="HUM91" s="1055"/>
      <c r="HUN91" s="1055"/>
      <c r="HUO91" s="1055"/>
      <c r="HUP91" s="1055"/>
      <c r="HUQ91" s="1055"/>
      <c r="HUR91" s="1055"/>
      <c r="HUS91" s="1055"/>
      <c r="HUT91" s="1055"/>
      <c r="HUU91" s="1055"/>
      <c r="HUV91" s="1055"/>
      <c r="HUW91" s="1055"/>
      <c r="HUX91" s="1055"/>
      <c r="HUY91" s="1055"/>
      <c r="HUZ91" s="1055"/>
      <c r="HVA91" s="1055"/>
      <c r="HVB91" s="1055"/>
      <c r="HVC91" s="1055"/>
      <c r="HVD91" s="1055"/>
      <c r="HVE91" s="1055"/>
      <c r="HVF91" s="1055"/>
      <c r="HVG91" s="1055"/>
      <c r="HVH91" s="1055"/>
      <c r="HVI91" s="1055"/>
      <c r="HVJ91" s="1055"/>
      <c r="HVK91" s="1055"/>
      <c r="HVL91" s="1055"/>
      <c r="HVM91" s="1055"/>
      <c r="HVN91" s="1055"/>
      <c r="HVO91" s="1055"/>
      <c r="HVP91" s="1055"/>
      <c r="HVQ91" s="1055"/>
      <c r="HVR91" s="1055"/>
      <c r="HVS91" s="1055"/>
      <c r="HVT91" s="1055"/>
      <c r="HVU91" s="1055"/>
      <c r="HVV91" s="1055"/>
      <c r="HVW91" s="1055"/>
      <c r="HVX91" s="1055"/>
      <c r="HVY91" s="1055"/>
      <c r="HVZ91" s="1055"/>
      <c r="HWA91" s="1055"/>
      <c r="HWB91" s="1055"/>
      <c r="HWC91" s="1055"/>
      <c r="HWD91" s="1055"/>
      <c r="HWE91" s="1055"/>
      <c r="HWF91" s="1055"/>
      <c r="HWG91" s="1055"/>
      <c r="HWH91" s="1055"/>
      <c r="HWI91" s="1055"/>
      <c r="HWJ91" s="1055"/>
      <c r="HWK91" s="1055"/>
      <c r="HWL91" s="1055"/>
      <c r="HWM91" s="1055"/>
      <c r="HWN91" s="1055"/>
      <c r="HWO91" s="1055"/>
      <c r="HWP91" s="1055"/>
      <c r="HWQ91" s="1055"/>
      <c r="HWR91" s="1055"/>
      <c r="HWS91" s="1055"/>
      <c r="HWT91" s="1055"/>
      <c r="HWU91" s="1055"/>
      <c r="HWV91" s="1055"/>
      <c r="HWW91" s="1055"/>
      <c r="HWX91" s="1055"/>
      <c r="HWY91" s="1055"/>
      <c r="HWZ91" s="1055"/>
      <c r="HXA91" s="1055"/>
      <c r="HXB91" s="1055"/>
      <c r="HXC91" s="1055"/>
      <c r="HXD91" s="1055"/>
      <c r="HXE91" s="1055"/>
      <c r="HXF91" s="1055"/>
      <c r="HXG91" s="1055"/>
      <c r="HXH91" s="1055"/>
      <c r="HXI91" s="1055"/>
      <c r="HXJ91" s="1055"/>
      <c r="HXK91" s="1055"/>
      <c r="HXL91" s="1055"/>
      <c r="HXM91" s="1055"/>
      <c r="HXN91" s="1055"/>
      <c r="HXO91" s="1055"/>
      <c r="HXP91" s="1055"/>
      <c r="HXQ91" s="1055"/>
      <c r="HXR91" s="1055"/>
      <c r="HXS91" s="1055"/>
      <c r="HXT91" s="1055"/>
      <c r="HXU91" s="1055"/>
      <c r="HXV91" s="1055"/>
      <c r="HXW91" s="1055"/>
      <c r="HXX91" s="1055"/>
      <c r="HXY91" s="1055"/>
      <c r="HXZ91" s="1055"/>
      <c r="HYA91" s="1055"/>
      <c r="HYB91" s="1055"/>
      <c r="HYC91" s="1055"/>
      <c r="HYD91" s="1055"/>
      <c r="HYE91" s="1055"/>
      <c r="HYF91" s="1055"/>
      <c r="HYG91" s="1055"/>
      <c r="HYH91" s="1055"/>
      <c r="HYI91" s="1055"/>
      <c r="HYJ91" s="1055"/>
      <c r="HYK91" s="1055"/>
      <c r="HYL91" s="1055"/>
      <c r="HYM91" s="1055"/>
      <c r="HYN91" s="1055"/>
      <c r="HYO91" s="1055"/>
      <c r="HYP91" s="1055"/>
      <c r="HYQ91" s="1055"/>
      <c r="HYR91" s="1055"/>
      <c r="HYS91" s="1055"/>
      <c r="HYT91" s="1055"/>
      <c r="HYU91" s="1055"/>
      <c r="HYV91" s="1055"/>
      <c r="HYW91" s="1055"/>
      <c r="HYX91" s="1055"/>
      <c r="HYY91" s="1055"/>
      <c r="HYZ91" s="1055"/>
      <c r="HZA91" s="1055"/>
      <c r="HZB91" s="1055"/>
      <c r="HZC91" s="1055"/>
      <c r="HZD91" s="1055"/>
      <c r="HZE91" s="1055"/>
      <c r="HZF91" s="1055"/>
      <c r="HZG91" s="1055"/>
      <c r="HZH91" s="1055"/>
      <c r="HZI91" s="1055"/>
      <c r="HZJ91" s="1055"/>
      <c r="HZK91" s="1055"/>
      <c r="HZL91" s="1055"/>
      <c r="HZM91" s="1055"/>
      <c r="HZN91" s="1055"/>
      <c r="HZO91" s="1055"/>
      <c r="HZP91" s="1055"/>
      <c r="HZQ91" s="1055"/>
      <c r="HZR91" s="1055"/>
      <c r="HZS91" s="1055"/>
      <c r="HZT91" s="1055"/>
      <c r="HZU91" s="1055"/>
      <c r="HZV91" s="1055"/>
      <c r="HZW91" s="1055"/>
      <c r="HZX91" s="1055"/>
      <c r="HZY91" s="1055"/>
      <c r="HZZ91" s="1055"/>
      <c r="IAA91" s="1055"/>
      <c r="IAB91" s="1055"/>
      <c r="IAC91" s="1055"/>
      <c r="IAD91" s="1055"/>
      <c r="IAE91" s="1055"/>
      <c r="IAF91" s="1055"/>
      <c r="IAG91" s="1055"/>
      <c r="IAH91" s="1055"/>
      <c r="IAI91" s="1055"/>
      <c r="IAJ91" s="1055"/>
      <c r="IAK91" s="1055"/>
      <c r="IAL91" s="1055"/>
      <c r="IAM91" s="1055"/>
      <c r="IAN91" s="1055"/>
      <c r="IAO91" s="1055"/>
      <c r="IAP91" s="1055"/>
      <c r="IAQ91" s="1055"/>
      <c r="IAR91" s="1055"/>
      <c r="IAS91" s="1055"/>
      <c r="IAT91" s="1055"/>
      <c r="IAU91" s="1055"/>
      <c r="IAV91" s="1055"/>
      <c r="IAW91" s="1055"/>
      <c r="IAX91" s="1055"/>
      <c r="IAY91" s="1055"/>
      <c r="IAZ91" s="1055"/>
      <c r="IBA91" s="1055"/>
      <c r="IBB91" s="1055"/>
      <c r="IBC91" s="1055"/>
      <c r="IBD91" s="1055"/>
      <c r="IBE91" s="1055"/>
      <c r="IBF91" s="1055"/>
      <c r="IBG91" s="1055"/>
      <c r="IBH91" s="1055"/>
      <c r="IBI91" s="1055"/>
      <c r="IBJ91" s="1055"/>
      <c r="IBK91" s="1055"/>
      <c r="IBL91" s="1055"/>
      <c r="IBM91" s="1055"/>
      <c r="IBN91" s="1055"/>
      <c r="IBO91" s="1055"/>
      <c r="IBP91" s="1055"/>
      <c r="IBQ91" s="1055"/>
      <c r="IBR91" s="1055"/>
      <c r="IBS91" s="1055"/>
      <c r="IBT91" s="1055"/>
      <c r="IBU91" s="1055"/>
      <c r="IBV91" s="1055"/>
      <c r="IBW91" s="1055"/>
      <c r="IBX91" s="1055"/>
      <c r="IBY91" s="1055"/>
      <c r="IBZ91" s="1055"/>
      <c r="ICA91" s="1055"/>
      <c r="ICB91" s="1055"/>
      <c r="ICC91" s="1055"/>
      <c r="ICD91" s="1055"/>
      <c r="ICE91" s="1055"/>
      <c r="ICF91" s="1055"/>
      <c r="ICG91" s="1055"/>
      <c r="ICH91" s="1055"/>
      <c r="ICI91" s="1055"/>
      <c r="ICJ91" s="1055"/>
      <c r="ICK91" s="1055"/>
      <c r="ICL91" s="1055"/>
      <c r="ICM91" s="1055"/>
      <c r="ICN91" s="1055"/>
      <c r="ICO91" s="1055"/>
      <c r="ICP91" s="1055"/>
      <c r="ICQ91" s="1055"/>
      <c r="ICR91" s="1055"/>
      <c r="ICS91" s="1055"/>
      <c r="ICT91" s="1055"/>
      <c r="ICU91" s="1055"/>
      <c r="ICV91" s="1055"/>
      <c r="ICW91" s="1055"/>
      <c r="ICX91" s="1055"/>
      <c r="ICY91" s="1055"/>
      <c r="ICZ91" s="1055"/>
      <c r="IDA91" s="1055"/>
      <c r="IDB91" s="1055"/>
      <c r="IDC91" s="1055"/>
      <c r="IDD91" s="1055"/>
      <c r="IDE91" s="1055"/>
      <c r="IDF91" s="1055"/>
      <c r="IDG91" s="1055"/>
      <c r="IDH91" s="1055"/>
      <c r="IDI91" s="1055"/>
      <c r="IDJ91" s="1055"/>
      <c r="IDK91" s="1055"/>
      <c r="IDL91" s="1055"/>
      <c r="IDM91" s="1055"/>
      <c r="IDN91" s="1055"/>
      <c r="IDO91" s="1055"/>
      <c r="IDP91" s="1055"/>
      <c r="IDQ91" s="1055"/>
      <c r="IDR91" s="1055"/>
      <c r="IDS91" s="1055"/>
      <c r="IDT91" s="1055"/>
      <c r="IDU91" s="1055"/>
      <c r="IDV91" s="1055"/>
      <c r="IDW91" s="1055"/>
      <c r="IDX91" s="1055"/>
      <c r="IDY91" s="1055"/>
      <c r="IDZ91" s="1055"/>
      <c r="IEA91" s="1055"/>
      <c r="IEB91" s="1055"/>
      <c r="IEC91" s="1055"/>
      <c r="IED91" s="1055"/>
      <c r="IEE91" s="1055"/>
      <c r="IEF91" s="1055"/>
      <c r="IEG91" s="1055"/>
      <c r="IEH91" s="1055"/>
      <c r="IEI91" s="1055"/>
      <c r="IEJ91" s="1055"/>
      <c r="IEK91" s="1055"/>
      <c r="IEL91" s="1055"/>
      <c r="IEM91" s="1055"/>
      <c r="IEN91" s="1055"/>
      <c r="IEO91" s="1055"/>
      <c r="IEP91" s="1055"/>
      <c r="IEQ91" s="1055"/>
      <c r="IER91" s="1055"/>
      <c r="IES91" s="1055"/>
      <c r="IET91" s="1055"/>
      <c r="IEU91" s="1055"/>
      <c r="IEV91" s="1055"/>
      <c r="IEW91" s="1055"/>
      <c r="IEX91" s="1055"/>
      <c r="IEY91" s="1055"/>
      <c r="IEZ91" s="1055"/>
      <c r="IFA91" s="1055"/>
      <c r="IFB91" s="1055"/>
      <c r="IFC91" s="1055"/>
      <c r="IFD91" s="1055"/>
      <c r="IFE91" s="1055"/>
      <c r="IFF91" s="1055"/>
      <c r="IFG91" s="1055"/>
      <c r="IFH91" s="1055"/>
      <c r="IFI91" s="1055"/>
      <c r="IFJ91" s="1055"/>
      <c r="IFK91" s="1055"/>
      <c r="IFL91" s="1055"/>
      <c r="IFM91" s="1055"/>
      <c r="IFN91" s="1055"/>
      <c r="IFO91" s="1055"/>
      <c r="IFP91" s="1055"/>
      <c r="IFQ91" s="1055"/>
      <c r="IFR91" s="1055"/>
      <c r="IFS91" s="1055"/>
      <c r="IFT91" s="1055"/>
      <c r="IFU91" s="1055"/>
      <c r="IFV91" s="1055"/>
      <c r="IFW91" s="1055"/>
      <c r="IFX91" s="1055"/>
      <c r="IFY91" s="1055"/>
      <c r="IFZ91" s="1055"/>
      <c r="IGA91" s="1055"/>
      <c r="IGB91" s="1055"/>
      <c r="IGC91" s="1055"/>
      <c r="IGD91" s="1055"/>
      <c r="IGE91" s="1055"/>
      <c r="IGF91" s="1055"/>
      <c r="IGG91" s="1055"/>
      <c r="IGH91" s="1055"/>
      <c r="IGI91" s="1055"/>
      <c r="IGJ91" s="1055"/>
      <c r="IGK91" s="1055"/>
      <c r="IGL91" s="1055"/>
      <c r="IGM91" s="1055"/>
      <c r="IGN91" s="1055"/>
      <c r="IGO91" s="1055"/>
      <c r="IGP91" s="1055"/>
      <c r="IGQ91" s="1055"/>
      <c r="IGR91" s="1055"/>
      <c r="IGS91" s="1055"/>
      <c r="IGT91" s="1055"/>
      <c r="IGU91" s="1055"/>
      <c r="IGV91" s="1055"/>
      <c r="IGW91" s="1055"/>
      <c r="IGX91" s="1055"/>
      <c r="IGY91" s="1055"/>
      <c r="IGZ91" s="1055"/>
      <c r="IHA91" s="1055"/>
      <c r="IHB91" s="1055"/>
      <c r="IHC91" s="1055"/>
      <c r="IHD91" s="1055"/>
      <c r="IHE91" s="1055"/>
      <c r="IHF91" s="1055"/>
      <c r="IHG91" s="1055"/>
      <c r="IHH91" s="1055"/>
      <c r="IHI91" s="1055"/>
      <c r="IHJ91" s="1055"/>
      <c r="IHK91" s="1055"/>
      <c r="IHL91" s="1055"/>
      <c r="IHM91" s="1055"/>
      <c r="IHN91" s="1055"/>
      <c r="IHO91" s="1055"/>
      <c r="IHP91" s="1055"/>
      <c r="IHQ91" s="1055"/>
      <c r="IHR91" s="1055"/>
      <c r="IHS91" s="1055"/>
      <c r="IHT91" s="1055"/>
      <c r="IHU91" s="1055"/>
      <c r="IHV91" s="1055"/>
      <c r="IHW91" s="1055"/>
      <c r="IHX91" s="1055"/>
      <c r="IHY91" s="1055"/>
      <c r="IHZ91" s="1055"/>
      <c r="IIA91" s="1055"/>
      <c r="IIB91" s="1055"/>
      <c r="IIC91" s="1055"/>
      <c r="IID91" s="1055"/>
      <c r="IIE91" s="1055"/>
      <c r="IIF91" s="1055"/>
      <c r="IIG91" s="1055"/>
      <c r="IIH91" s="1055"/>
      <c r="III91" s="1055"/>
      <c r="IIJ91" s="1055"/>
      <c r="IIK91" s="1055"/>
      <c r="IIL91" s="1055"/>
      <c r="IIM91" s="1055"/>
      <c r="IIN91" s="1055"/>
      <c r="IIO91" s="1055"/>
      <c r="IIP91" s="1055"/>
      <c r="IIQ91" s="1055"/>
      <c r="IIR91" s="1055"/>
      <c r="IIS91" s="1055"/>
      <c r="IIT91" s="1055"/>
      <c r="IIU91" s="1055"/>
      <c r="IIV91" s="1055"/>
      <c r="IIW91" s="1055"/>
      <c r="IIX91" s="1055"/>
      <c r="IIY91" s="1055"/>
      <c r="IIZ91" s="1055"/>
      <c r="IJA91" s="1055"/>
      <c r="IJB91" s="1055"/>
      <c r="IJC91" s="1055"/>
      <c r="IJD91" s="1055"/>
      <c r="IJE91" s="1055"/>
      <c r="IJF91" s="1055"/>
      <c r="IJG91" s="1055"/>
      <c r="IJH91" s="1055"/>
      <c r="IJI91" s="1055"/>
      <c r="IJJ91" s="1055"/>
      <c r="IJK91" s="1055"/>
      <c r="IJL91" s="1055"/>
      <c r="IJM91" s="1055"/>
      <c r="IJN91" s="1055"/>
      <c r="IJO91" s="1055"/>
      <c r="IJP91" s="1055"/>
      <c r="IJQ91" s="1055"/>
      <c r="IJR91" s="1055"/>
      <c r="IJS91" s="1055"/>
      <c r="IJT91" s="1055"/>
      <c r="IJU91" s="1055"/>
      <c r="IJV91" s="1055"/>
      <c r="IJW91" s="1055"/>
      <c r="IJX91" s="1055"/>
      <c r="IJY91" s="1055"/>
      <c r="IJZ91" s="1055"/>
      <c r="IKA91" s="1055"/>
      <c r="IKB91" s="1055"/>
      <c r="IKC91" s="1055"/>
      <c r="IKD91" s="1055"/>
      <c r="IKE91" s="1055"/>
      <c r="IKF91" s="1055"/>
      <c r="IKG91" s="1055"/>
      <c r="IKH91" s="1055"/>
      <c r="IKI91" s="1055"/>
      <c r="IKJ91" s="1055"/>
      <c r="IKK91" s="1055"/>
      <c r="IKL91" s="1055"/>
      <c r="IKM91" s="1055"/>
      <c r="IKN91" s="1055"/>
      <c r="IKO91" s="1055"/>
      <c r="IKP91" s="1055"/>
      <c r="IKQ91" s="1055"/>
      <c r="IKR91" s="1055"/>
      <c r="IKS91" s="1055"/>
      <c r="IKT91" s="1055"/>
      <c r="IKU91" s="1055"/>
      <c r="IKV91" s="1055"/>
      <c r="IKW91" s="1055"/>
      <c r="IKX91" s="1055"/>
      <c r="IKY91" s="1055"/>
      <c r="IKZ91" s="1055"/>
      <c r="ILA91" s="1055"/>
      <c r="ILB91" s="1055"/>
      <c r="ILC91" s="1055"/>
      <c r="ILD91" s="1055"/>
      <c r="ILE91" s="1055"/>
      <c r="ILF91" s="1055"/>
      <c r="ILG91" s="1055"/>
      <c r="ILH91" s="1055"/>
      <c r="ILI91" s="1055"/>
      <c r="ILJ91" s="1055"/>
      <c r="ILK91" s="1055"/>
      <c r="ILL91" s="1055"/>
      <c r="ILM91" s="1055"/>
      <c r="ILN91" s="1055"/>
      <c r="ILO91" s="1055"/>
      <c r="ILP91" s="1055"/>
      <c r="ILQ91" s="1055"/>
      <c r="ILR91" s="1055"/>
      <c r="ILS91" s="1055"/>
      <c r="ILT91" s="1055"/>
      <c r="ILU91" s="1055"/>
      <c r="ILV91" s="1055"/>
      <c r="ILW91" s="1055"/>
      <c r="ILX91" s="1055"/>
      <c r="ILY91" s="1055"/>
      <c r="ILZ91" s="1055"/>
      <c r="IMA91" s="1055"/>
      <c r="IMB91" s="1055"/>
      <c r="IMC91" s="1055"/>
      <c r="IMD91" s="1055"/>
      <c r="IME91" s="1055"/>
      <c r="IMF91" s="1055"/>
      <c r="IMG91" s="1055"/>
      <c r="IMH91" s="1055"/>
      <c r="IMI91" s="1055"/>
      <c r="IMJ91" s="1055"/>
      <c r="IMK91" s="1055"/>
      <c r="IML91" s="1055"/>
      <c r="IMM91" s="1055"/>
      <c r="IMN91" s="1055"/>
      <c r="IMO91" s="1055"/>
      <c r="IMP91" s="1055"/>
      <c r="IMQ91" s="1055"/>
      <c r="IMR91" s="1055"/>
      <c r="IMS91" s="1055"/>
      <c r="IMT91" s="1055"/>
      <c r="IMU91" s="1055"/>
      <c r="IMV91" s="1055"/>
      <c r="IMW91" s="1055"/>
      <c r="IMX91" s="1055"/>
      <c r="IMY91" s="1055"/>
      <c r="IMZ91" s="1055"/>
      <c r="INA91" s="1055"/>
      <c r="INB91" s="1055"/>
      <c r="INC91" s="1055"/>
      <c r="IND91" s="1055"/>
      <c r="INE91" s="1055"/>
      <c r="INF91" s="1055"/>
      <c r="ING91" s="1055"/>
      <c r="INH91" s="1055"/>
      <c r="INI91" s="1055"/>
      <c r="INJ91" s="1055"/>
      <c r="INK91" s="1055"/>
      <c r="INL91" s="1055"/>
      <c r="INM91" s="1055"/>
      <c r="INN91" s="1055"/>
      <c r="INO91" s="1055"/>
      <c r="INP91" s="1055"/>
      <c r="INQ91" s="1055"/>
      <c r="INR91" s="1055"/>
      <c r="INS91" s="1055"/>
      <c r="INT91" s="1055"/>
      <c r="INU91" s="1055"/>
      <c r="INV91" s="1055"/>
      <c r="INW91" s="1055"/>
      <c r="INX91" s="1055"/>
      <c r="INY91" s="1055"/>
      <c r="INZ91" s="1055"/>
      <c r="IOA91" s="1055"/>
      <c r="IOB91" s="1055"/>
      <c r="IOC91" s="1055"/>
      <c r="IOD91" s="1055"/>
      <c r="IOE91" s="1055"/>
      <c r="IOF91" s="1055"/>
      <c r="IOG91" s="1055"/>
      <c r="IOH91" s="1055"/>
      <c r="IOI91" s="1055"/>
      <c r="IOJ91" s="1055"/>
      <c r="IOK91" s="1055"/>
      <c r="IOL91" s="1055"/>
      <c r="IOM91" s="1055"/>
      <c r="ION91" s="1055"/>
      <c r="IOO91" s="1055"/>
      <c r="IOP91" s="1055"/>
      <c r="IOQ91" s="1055"/>
      <c r="IOR91" s="1055"/>
      <c r="IOS91" s="1055"/>
      <c r="IOT91" s="1055"/>
      <c r="IOU91" s="1055"/>
      <c r="IOV91" s="1055"/>
      <c r="IOW91" s="1055"/>
      <c r="IOX91" s="1055"/>
      <c r="IOY91" s="1055"/>
      <c r="IOZ91" s="1055"/>
      <c r="IPA91" s="1055"/>
      <c r="IPB91" s="1055"/>
      <c r="IPC91" s="1055"/>
      <c r="IPD91" s="1055"/>
      <c r="IPE91" s="1055"/>
      <c r="IPF91" s="1055"/>
      <c r="IPG91" s="1055"/>
      <c r="IPH91" s="1055"/>
      <c r="IPI91" s="1055"/>
      <c r="IPJ91" s="1055"/>
      <c r="IPK91" s="1055"/>
      <c r="IPL91" s="1055"/>
      <c r="IPM91" s="1055"/>
      <c r="IPN91" s="1055"/>
      <c r="IPO91" s="1055"/>
      <c r="IPP91" s="1055"/>
      <c r="IPQ91" s="1055"/>
      <c r="IPR91" s="1055"/>
      <c r="IPS91" s="1055"/>
      <c r="IPT91" s="1055"/>
      <c r="IPU91" s="1055"/>
      <c r="IPV91" s="1055"/>
      <c r="IPW91" s="1055"/>
      <c r="IPX91" s="1055"/>
      <c r="IPY91" s="1055"/>
      <c r="IPZ91" s="1055"/>
      <c r="IQA91" s="1055"/>
      <c r="IQB91" s="1055"/>
      <c r="IQC91" s="1055"/>
      <c r="IQD91" s="1055"/>
      <c r="IQE91" s="1055"/>
      <c r="IQF91" s="1055"/>
      <c r="IQG91" s="1055"/>
      <c r="IQH91" s="1055"/>
      <c r="IQI91" s="1055"/>
      <c r="IQJ91" s="1055"/>
      <c r="IQK91" s="1055"/>
      <c r="IQL91" s="1055"/>
      <c r="IQM91" s="1055"/>
      <c r="IQN91" s="1055"/>
      <c r="IQO91" s="1055"/>
      <c r="IQP91" s="1055"/>
      <c r="IQQ91" s="1055"/>
      <c r="IQR91" s="1055"/>
      <c r="IQS91" s="1055"/>
      <c r="IQT91" s="1055"/>
      <c r="IQU91" s="1055"/>
      <c r="IQV91" s="1055"/>
      <c r="IQW91" s="1055"/>
      <c r="IQX91" s="1055"/>
      <c r="IQY91" s="1055"/>
      <c r="IQZ91" s="1055"/>
      <c r="IRA91" s="1055"/>
      <c r="IRB91" s="1055"/>
      <c r="IRC91" s="1055"/>
      <c r="IRD91" s="1055"/>
      <c r="IRE91" s="1055"/>
      <c r="IRF91" s="1055"/>
      <c r="IRG91" s="1055"/>
      <c r="IRH91" s="1055"/>
      <c r="IRI91" s="1055"/>
      <c r="IRJ91" s="1055"/>
      <c r="IRK91" s="1055"/>
      <c r="IRL91" s="1055"/>
      <c r="IRM91" s="1055"/>
      <c r="IRN91" s="1055"/>
      <c r="IRO91" s="1055"/>
      <c r="IRP91" s="1055"/>
      <c r="IRQ91" s="1055"/>
      <c r="IRR91" s="1055"/>
      <c r="IRS91" s="1055"/>
      <c r="IRT91" s="1055"/>
      <c r="IRU91" s="1055"/>
      <c r="IRV91" s="1055"/>
      <c r="IRW91" s="1055"/>
      <c r="IRX91" s="1055"/>
      <c r="IRY91" s="1055"/>
      <c r="IRZ91" s="1055"/>
      <c r="ISA91" s="1055"/>
      <c r="ISB91" s="1055"/>
      <c r="ISC91" s="1055"/>
      <c r="ISD91" s="1055"/>
      <c r="ISE91" s="1055"/>
      <c r="ISF91" s="1055"/>
      <c r="ISG91" s="1055"/>
      <c r="ISH91" s="1055"/>
      <c r="ISI91" s="1055"/>
      <c r="ISJ91" s="1055"/>
      <c r="ISK91" s="1055"/>
      <c r="ISL91" s="1055"/>
      <c r="ISM91" s="1055"/>
      <c r="ISN91" s="1055"/>
      <c r="ISO91" s="1055"/>
      <c r="ISP91" s="1055"/>
      <c r="ISQ91" s="1055"/>
      <c r="ISR91" s="1055"/>
      <c r="ISS91" s="1055"/>
      <c r="IST91" s="1055"/>
      <c r="ISU91" s="1055"/>
      <c r="ISV91" s="1055"/>
      <c r="ISW91" s="1055"/>
      <c r="ISX91" s="1055"/>
      <c r="ISY91" s="1055"/>
      <c r="ISZ91" s="1055"/>
      <c r="ITA91" s="1055"/>
      <c r="ITB91" s="1055"/>
      <c r="ITC91" s="1055"/>
      <c r="ITD91" s="1055"/>
      <c r="ITE91" s="1055"/>
      <c r="ITF91" s="1055"/>
      <c r="ITG91" s="1055"/>
      <c r="ITH91" s="1055"/>
      <c r="ITI91" s="1055"/>
      <c r="ITJ91" s="1055"/>
      <c r="ITK91" s="1055"/>
      <c r="ITL91" s="1055"/>
      <c r="ITM91" s="1055"/>
      <c r="ITN91" s="1055"/>
      <c r="ITO91" s="1055"/>
      <c r="ITP91" s="1055"/>
      <c r="ITQ91" s="1055"/>
      <c r="ITR91" s="1055"/>
      <c r="ITS91" s="1055"/>
      <c r="ITT91" s="1055"/>
      <c r="ITU91" s="1055"/>
      <c r="ITV91" s="1055"/>
      <c r="ITW91" s="1055"/>
      <c r="ITX91" s="1055"/>
      <c r="ITY91" s="1055"/>
      <c r="ITZ91" s="1055"/>
      <c r="IUA91" s="1055"/>
      <c r="IUB91" s="1055"/>
      <c r="IUC91" s="1055"/>
      <c r="IUD91" s="1055"/>
      <c r="IUE91" s="1055"/>
      <c r="IUF91" s="1055"/>
      <c r="IUG91" s="1055"/>
      <c r="IUH91" s="1055"/>
      <c r="IUI91" s="1055"/>
      <c r="IUJ91" s="1055"/>
      <c r="IUK91" s="1055"/>
      <c r="IUL91" s="1055"/>
      <c r="IUM91" s="1055"/>
      <c r="IUN91" s="1055"/>
      <c r="IUO91" s="1055"/>
      <c r="IUP91" s="1055"/>
      <c r="IUQ91" s="1055"/>
      <c r="IUR91" s="1055"/>
      <c r="IUS91" s="1055"/>
      <c r="IUT91" s="1055"/>
      <c r="IUU91" s="1055"/>
      <c r="IUV91" s="1055"/>
      <c r="IUW91" s="1055"/>
      <c r="IUX91" s="1055"/>
      <c r="IUY91" s="1055"/>
      <c r="IUZ91" s="1055"/>
      <c r="IVA91" s="1055"/>
      <c r="IVB91" s="1055"/>
      <c r="IVC91" s="1055"/>
      <c r="IVD91" s="1055"/>
      <c r="IVE91" s="1055"/>
      <c r="IVF91" s="1055"/>
      <c r="IVG91" s="1055"/>
      <c r="IVH91" s="1055"/>
      <c r="IVI91" s="1055"/>
      <c r="IVJ91" s="1055"/>
      <c r="IVK91" s="1055"/>
      <c r="IVL91" s="1055"/>
      <c r="IVM91" s="1055"/>
      <c r="IVN91" s="1055"/>
      <c r="IVO91" s="1055"/>
      <c r="IVP91" s="1055"/>
      <c r="IVQ91" s="1055"/>
      <c r="IVR91" s="1055"/>
      <c r="IVS91" s="1055"/>
      <c r="IVT91" s="1055"/>
      <c r="IVU91" s="1055"/>
      <c r="IVV91" s="1055"/>
      <c r="IVW91" s="1055"/>
      <c r="IVX91" s="1055"/>
      <c r="IVY91" s="1055"/>
      <c r="IVZ91" s="1055"/>
      <c r="IWA91" s="1055"/>
      <c r="IWB91" s="1055"/>
      <c r="IWC91" s="1055"/>
      <c r="IWD91" s="1055"/>
      <c r="IWE91" s="1055"/>
      <c r="IWF91" s="1055"/>
      <c r="IWG91" s="1055"/>
      <c r="IWH91" s="1055"/>
      <c r="IWI91" s="1055"/>
      <c r="IWJ91" s="1055"/>
      <c r="IWK91" s="1055"/>
      <c r="IWL91" s="1055"/>
      <c r="IWM91" s="1055"/>
      <c r="IWN91" s="1055"/>
      <c r="IWO91" s="1055"/>
      <c r="IWP91" s="1055"/>
      <c r="IWQ91" s="1055"/>
      <c r="IWR91" s="1055"/>
      <c r="IWS91" s="1055"/>
      <c r="IWT91" s="1055"/>
      <c r="IWU91" s="1055"/>
      <c r="IWV91" s="1055"/>
      <c r="IWW91" s="1055"/>
      <c r="IWX91" s="1055"/>
      <c r="IWY91" s="1055"/>
      <c r="IWZ91" s="1055"/>
      <c r="IXA91" s="1055"/>
      <c r="IXB91" s="1055"/>
      <c r="IXC91" s="1055"/>
      <c r="IXD91" s="1055"/>
      <c r="IXE91" s="1055"/>
      <c r="IXF91" s="1055"/>
      <c r="IXG91" s="1055"/>
      <c r="IXH91" s="1055"/>
      <c r="IXI91" s="1055"/>
      <c r="IXJ91" s="1055"/>
      <c r="IXK91" s="1055"/>
      <c r="IXL91" s="1055"/>
      <c r="IXM91" s="1055"/>
      <c r="IXN91" s="1055"/>
      <c r="IXO91" s="1055"/>
      <c r="IXP91" s="1055"/>
      <c r="IXQ91" s="1055"/>
      <c r="IXR91" s="1055"/>
      <c r="IXS91" s="1055"/>
      <c r="IXT91" s="1055"/>
      <c r="IXU91" s="1055"/>
      <c r="IXV91" s="1055"/>
      <c r="IXW91" s="1055"/>
      <c r="IXX91" s="1055"/>
      <c r="IXY91" s="1055"/>
      <c r="IXZ91" s="1055"/>
      <c r="IYA91" s="1055"/>
      <c r="IYB91" s="1055"/>
      <c r="IYC91" s="1055"/>
      <c r="IYD91" s="1055"/>
      <c r="IYE91" s="1055"/>
      <c r="IYF91" s="1055"/>
      <c r="IYG91" s="1055"/>
      <c r="IYH91" s="1055"/>
      <c r="IYI91" s="1055"/>
      <c r="IYJ91" s="1055"/>
      <c r="IYK91" s="1055"/>
      <c r="IYL91" s="1055"/>
      <c r="IYM91" s="1055"/>
      <c r="IYN91" s="1055"/>
      <c r="IYO91" s="1055"/>
      <c r="IYP91" s="1055"/>
      <c r="IYQ91" s="1055"/>
      <c r="IYR91" s="1055"/>
      <c r="IYS91" s="1055"/>
      <c r="IYT91" s="1055"/>
      <c r="IYU91" s="1055"/>
      <c r="IYV91" s="1055"/>
      <c r="IYW91" s="1055"/>
      <c r="IYX91" s="1055"/>
      <c r="IYY91" s="1055"/>
      <c r="IYZ91" s="1055"/>
      <c r="IZA91" s="1055"/>
      <c r="IZB91" s="1055"/>
      <c r="IZC91" s="1055"/>
      <c r="IZD91" s="1055"/>
      <c r="IZE91" s="1055"/>
      <c r="IZF91" s="1055"/>
      <c r="IZG91" s="1055"/>
      <c r="IZH91" s="1055"/>
      <c r="IZI91" s="1055"/>
      <c r="IZJ91" s="1055"/>
      <c r="IZK91" s="1055"/>
      <c r="IZL91" s="1055"/>
      <c r="IZM91" s="1055"/>
      <c r="IZN91" s="1055"/>
      <c r="IZO91" s="1055"/>
      <c r="IZP91" s="1055"/>
      <c r="IZQ91" s="1055"/>
      <c r="IZR91" s="1055"/>
      <c r="IZS91" s="1055"/>
      <c r="IZT91" s="1055"/>
      <c r="IZU91" s="1055"/>
      <c r="IZV91" s="1055"/>
      <c r="IZW91" s="1055"/>
      <c r="IZX91" s="1055"/>
      <c r="IZY91" s="1055"/>
      <c r="IZZ91" s="1055"/>
      <c r="JAA91" s="1055"/>
      <c r="JAB91" s="1055"/>
      <c r="JAC91" s="1055"/>
      <c r="JAD91" s="1055"/>
      <c r="JAE91" s="1055"/>
      <c r="JAF91" s="1055"/>
      <c r="JAG91" s="1055"/>
      <c r="JAH91" s="1055"/>
      <c r="JAI91" s="1055"/>
      <c r="JAJ91" s="1055"/>
      <c r="JAK91" s="1055"/>
      <c r="JAL91" s="1055"/>
      <c r="JAM91" s="1055"/>
      <c r="JAN91" s="1055"/>
      <c r="JAO91" s="1055"/>
      <c r="JAP91" s="1055"/>
      <c r="JAQ91" s="1055"/>
      <c r="JAR91" s="1055"/>
      <c r="JAS91" s="1055"/>
      <c r="JAT91" s="1055"/>
      <c r="JAU91" s="1055"/>
      <c r="JAV91" s="1055"/>
      <c r="JAW91" s="1055"/>
      <c r="JAX91" s="1055"/>
      <c r="JAY91" s="1055"/>
      <c r="JAZ91" s="1055"/>
      <c r="JBA91" s="1055"/>
      <c r="JBB91" s="1055"/>
      <c r="JBC91" s="1055"/>
      <c r="JBD91" s="1055"/>
      <c r="JBE91" s="1055"/>
      <c r="JBF91" s="1055"/>
      <c r="JBG91" s="1055"/>
      <c r="JBH91" s="1055"/>
      <c r="JBI91" s="1055"/>
      <c r="JBJ91" s="1055"/>
      <c r="JBK91" s="1055"/>
      <c r="JBL91" s="1055"/>
      <c r="JBM91" s="1055"/>
      <c r="JBN91" s="1055"/>
      <c r="JBO91" s="1055"/>
      <c r="JBP91" s="1055"/>
      <c r="JBQ91" s="1055"/>
      <c r="JBR91" s="1055"/>
      <c r="JBS91" s="1055"/>
      <c r="JBT91" s="1055"/>
      <c r="JBU91" s="1055"/>
      <c r="JBV91" s="1055"/>
      <c r="JBW91" s="1055"/>
      <c r="JBX91" s="1055"/>
      <c r="JBY91" s="1055"/>
      <c r="JBZ91" s="1055"/>
      <c r="JCA91" s="1055"/>
      <c r="JCB91" s="1055"/>
      <c r="JCC91" s="1055"/>
      <c r="JCD91" s="1055"/>
      <c r="JCE91" s="1055"/>
      <c r="JCF91" s="1055"/>
      <c r="JCG91" s="1055"/>
      <c r="JCH91" s="1055"/>
      <c r="JCI91" s="1055"/>
      <c r="JCJ91" s="1055"/>
      <c r="JCK91" s="1055"/>
      <c r="JCL91" s="1055"/>
      <c r="JCM91" s="1055"/>
      <c r="JCN91" s="1055"/>
      <c r="JCO91" s="1055"/>
      <c r="JCP91" s="1055"/>
      <c r="JCQ91" s="1055"/>
      <c r="JCR91" s="1055"/>
      <c r="JCS91" s="1055"/>
      <c r="JCT91" s="1055"/>
      <c r="JCU91" s="1055"/>
      <c r="JCV91" s="1055"/>
      <c r="JCW91" s="1055"/>
      <c r="JCX91" s="1055"/>
      <c r="JCY91" s="1055"/>
      <c r="JCZ91" s="1055"/>
      <c r="JDA91" s="1055"/>
      <c r="JDB91" s="1055"/>
      <c r="JDC91" s="1055"/>
      <c r="JDD91" s="1055"/>
      <c r="JDE91" s="1055"/>
      <c r="JDF91" s="1055"/>
      <c r="JDG91" s="1055"/>
      <c r="JDH91" s="1055"/>
      <c r="JDI91" s="1055"/>
      <c r="JDJ91" s="1055"/>
      <c r="JDK91" s="1055"/>
      <c r="JDL91" s="1055"/>
      <c r="JDM91" s="1055"/>
      <c r="JDN91" s="1055"/>
      <c r="JDO91" s="1055"/>
      <c r="JDP91" s="1055"/>
      <c r="JDQ91" s="1055"/>
      <c r="JDR91" s="1055"/>
      <c r="JDS91" s="1055"/>
      <c r="JDT91" s="1055"/>
      <c r="JDU91" s="1055"/>
      <c r="JDV91" s="1055"/>
      <c r="JDW91" s="1055"/>
      <c r="JDX91" s="1055"/>
      <c r="JDY91" s="1055"/>
      <c r="JDZ91" s="1055"/>
      <c r="JEA91" s="1055"/>
      <c r="JEB91" s="1055"/>
      <c r="JEC91" s="1055"/>
      <c r="JED91" s="1055"/>
      <c r="JEE91" s="1055"/>
      <c r="JEF91" s="1055"/>
      <c r="JEG91" s="1055"/>
      <c r="JEH91" s="1055"/>
      <c r="JEI91" s="1055"/>
      <c r="JEJ91" s="1055"/>
      <c r="JEK91" s="1055"/>
      <c r="JEL91" s="1055"/>
      <c r="JEM91" s="1055"/>
      <c r="JEN91" s="1055"/>
      <c r="JEO91" s="1055"/>
      <c r="JEP91" s="1055"/>
      <c r="JEQ91" s="1055"/>
      <c r="JER91" s="1055"/>
      <c r="JES91" s="1055"/>
      <c r="JET91" s="1055"/>
      <c r="JEU91" s="1055"/>
      <c r="JEV91" s="1055"/>
      <c r="JEW91" s="1055"/>
      <c r="JEX91" s="1055"/>
      <c r="JEY91" s="1055"/>
      <c r="JEZ91" s="1055"/>
      <c r="JFA91" s="1055"/>
      <c r="JFB91" s="1055"/>
      <c r="JFC91" s="1055"/>
      <c r="JFD91" s="1055"/>
      <c r="JFE91" s="1055"/>
      <c r="JFF91" s="1055"/>
      <c r="JFG91" s="1055"/>
      <c r="JFH91" s="1055"/>
      <c r="JFI91" s="1055"/>
      <c r="JFJ91" s="1055"/>
      <c r="JFK91" s="1055"/>
      <c r="JFL91" s="1055"/>
      <c r="JFM91" s="1055"/>
      <c r="JFN91" s="1055"/>
      <c r="JFO91" s="1055"/>
      <c r="JFP91" s="1055"/>
      <c r="JFQ91" s="1055"/>
      <c r="JFR91" s="1055"/>
      <c r="JFS91" s="1055"/>
      <c r="JFT91" s="1055"/>
      <c r="JFU91" s="1055"/>
      <c r="JFV91" s="1055"/>
      <c r="JFW91" s="1055"/>
      <c r="JFX91" s="1055"/>
      <c r="JFY91" s="1055"/>
      <c r="JFZ91" s="1055"/>
      <c r="JGA91" s="1055"/>
      <c r="JGB91" s="1055"/>
      <c r="JGC91" s="1055"/>
      <c r="JGD91" s="1055"/>
      <c r="JGE91" s="1055"/>
      <c r="JGF91" s="1055"/>
      <c r="JGG91" s="1055"/>
      <c r="JGH91" s="1055"/>
      <c r="JGI91" s="1055"/>
      <c r="JGJ91" s="1055"/>
      <c r="JGK91" s="1055"/>
      <c r="JGL91" s="1055"/>
      <c r="JGM91" s="1055"/>
      <c r="JGN91" s="1055"/>
      <c r="JGO91" s="1055"/>
      <c r="JGP91" s="1055"/>
      <c r="JGQ91" s="1055"/>
      <c r="JGR91" s="1055"/>
      <c r="JGS91" s="1055"/>
      <c r="JGT91" s="1055"/>
      <c r="JGU91" s="1055"/>
      <c r="JGV91" s="1055"/>
      <c r="JGW91" s="1055"/>
      <c r="JGX91" s="1055"/>
      <c r="JGY91" s="1055"/>
      <c r="JGZ91" s="1055"/>
      <c r="JHA91" s="1055"/>
      <c r="JHB91" s="1055"/>
      <c r="JHC91" s="1055"/>
      <c r="JHD91" s="1055"/>
      <c r="JHE91" s="1055"/>
      <c r="JHF91" s="1055"/>
      <c r="JHG91" s="1055"/>
      <c r="JHH91" s="1055"/>
      <c r="JHI91" s="1055"/>
      <c r="JHJ91" s="1055"/>
      <c r="JHK91" s="1055"/>
      <c r="JHL91" s="1055"/>
      <c r="JHM91" s="1055"/>
      <c r="JHN91" s="1055"/>
      <c r="JHO91" s="1055"/>
      <c r="JHP91" s="1055"/>
      <c r="JHQ91" s="1055"/>
      <c r="JHR91" s="1055"/>
      <c r="JHS91" s="1055"/>
      <c r="JHT91" s="1055"/>
      <c r="JHU91" s="1055"/>
      <c r="JHV91" s="1055"/>
      <c r="JHW91" s="1055"/>
      <c r="JHX91" s="1055"/>
      <c r="JHY91" s="1055"/>
      <c r="JHZ91" s="1055"/>
      <c r="JIA91" s="1055"/>
      <c r="JIB91" s="1055"/>
      <c r="JIC91" s="1055"/>
      <c r="JID91" s="1055"/>
      <c r="JIE91" s="1055"/>
      <c r="JIF91" s="1055"/>
      <c r="JIG91" s="1055"/>
      <c r="JIH91" s="1055"/>
      <c r="JII91" s="1055"/>
      <c r="JIJ91" s="1055"/>
      <c r="JIK91" s="1055"/>
      <c r="JIL91" s="1055"/>
      <c r="JIM91" s="1055"/>
      <c r="JIN91" s="1055"/>
      <c r="JIO91" s="1055"/>
      <c r="JIP91" s="1055"/>
      <c r="JIQ91" s="1055"/>
      <c r="JIR91" s="1055"/>
      <c r="JIS91" s="1055"/>
      <c r="JIT91" s="1055"/>
      <c r="JIU91" s="1055"/>
      <c r="JIV91" s="1055"/>
      <c r="JIW91" s="1055"/>
      <c r="JIX91" s="1055"/>
      <c r="JIY91" s="1055"/>
      <c r="JIZ91" s="1055"/>
      <c r="JJA91" s="1055"/>
      <c r="JJB91" s="1055"/>
      <c r="JJC91" s="1055"/>
      <c r="JJD91" s="1055"/>
      <c r="JJE91" s="1055"/>
      <c r="JJF91" s="1055"/>
      <c r="JJG91" s="1055"/>
      <c r="JJH91" s="1055"/>
      <c r="JJI91" s="1055"/>
      <c r="JJJ91" s="1055"/>
      <c r="JJK91" s="1055"/>
      <c r="JJL91" s="1055"/>
      <c r="JJM91" s="1055"/>
      <c r="JJN91" s="1055"/>
      <c r="JJO91" s="1055"/>
      <c r="JJP91" s="1055"/>
      <c r="JJQ91" s="1055"/>
      <c r="JJR91" s="1055"/>
      <c r="JJS91" s="1055"/>
      <c r="JJT91" s="1055"/>
      <c r="JJU91" s="1055"/>
      <c r="JJV91" s="1055"/>
      <c r="JJW91" s="1055"/>
      <c r="JJX91" s="1055"/>
      <c r="JJY91" s="1055"/>
      <c r="JJZ91" s="1055"/>
      <c r="JKA91" s="1055"/>
      <c r="JKB91" s="1055"/>
      <c r="JKC91" s="1055"/>
      <c r="JKD91" s="1055"/>
      <c r="JKE91" s="1055"/>
      <c r="JKF91" s="1055"/>
      <c r="JKG91" s="1055"/>
      <c r="JKH91" s="1055"/>
      <c r="JKI91" s="1055"/>
      <c r="JKJ91" s="1055"/>
      <c r="JKK91" s="1055"/>
      <c r="JKL91" s="1055"/>
      <c r="JKM91" s="1055"/>
      <c r="JKN91" s="1055"/>
      <c r="JKO91" s="1055"/>
      <c r="JKP91" s="1055"/>
      <c r="JKQ91" s="1055"/>
      <c r="JKR91" s="1055"/>
      <c r="JKS91" s="1055"/>
      <c r="JKT91" s="1055"/>
      <c r="JKU91" s="1055"/>
      <c r="JKV91" s="1055"/>
      <c r="JKW91" s="1055"/>
      <c r="JKX91" s="1055"/>
      <c r="JKY91" s="1055"/>
      <c r="JKZ91" s="1055"/>
      <c r="JLA91" s="1055"/>
      <c r="JLB91" s="1055"/>
      <c r="JLC91" s="1055"/>
      <c r="JLD91" s="1055"/>
      <c r="JLE91" s="1055"/>
      <c r="JLF91" s="1055"/>
      <c r="JLG91" s="1055"/>
      <c r="JLH91" s="1055"/>
      <c r="JLI91" s="1055"/>
      <c r="JLJ91" s="1055"/>
      <c r="JLK91" s="1055"/>
      <c r="JLL91" s="1055"/>
      <c r="JLM91" s="1055"/>
      <c r="JLN91" s="1055"/>
      <c r="JLO91" s="1055"/>
      <c r="JLP91" s="1055"/>
      <c r="JLQ91" s="1055"/>
      <c r="JLR91" s="1055"/>
      <c r="JLS91" s="1055"/>
      <c r="JLT91" s="1055"/>
      <c r="JLU91" s="1055"/>
      <c r="JLV91" s="1055"/>
      <c r="JLW91" s="1055"/>
      <c r="JLX91" s="1055"/>
      <c r="JLY91" s="1055"/>
      <c r="JLZ91" s="1055"/>
      <c r="JMA91" s="1055"/>
      <c r="JMB91" s="1055"/>
      <c r="JMC91" s="1055"/>
      <c r="JMD91" s="1055"/>
      <c r="JME91" s="1055"/>
      <c r="JMF91" s="1055"/>
      <c r="JMG91" s="1055"/>
      <c r="JMH91" s="1055"/>
      <c r="JMI91" s="1055"/>
      <c r="JMJ91" s="1055"/>
      <c r="JMK91" s="1055"/>
      <c r="JML91" s="1055"/>
      <c r="JMM91" s="1055"/>
      <c r="JMN91" s="1055"/>
      <c r="JMO91" s="1055"/>
      <c r="JMP91" s="1055"/>
      <c r="JMQ91" s="1055"/>
      <c r="JMR91" s="1055"/>
      <c r="JMS91" s="1055"/>
      <c r="JMT91" s="1055"/>
      <c r="JMU91" s="1055"/>
      <c r="JMV91" s="1055"/>
      <c r="JMW91" s="1055"/>
      <c r="JMX91" s="1055"/>
      <c r="JMY91" s="1055"/>
      <c r="JMZ91" s="1055"/>
      <c r="JNA91" s="1055"/>
      <c r="JNB91" s="1055"/>
      <c r="JNC91" s="1055"/>
      <c r="JND91" s="1055"/>
      <c r="JNE91" s="1055"/>
      <c r="JNF91" s="1055"/>
      <c r="JNG91" s="1055"/>
      <c r="JNH91" s="1055"/>
      <c r="JNI91" s="1055"/>
      <c r="JNJ91" s="1055"/>
      <c r="JNK91" s="1055"/>
      <c r="JNL91" s="1055"/>
      <c r="JNM91" s="1055"/>
      <c r="JNN91" s="1055"/>
      <c r="JNO91" s="1055"/>
      <c r="JNP91" s="1055"/>
      <c r="JNQ91" s="1055"/>
      <c r="JNR91" s="1055"/>
      <c r="JNS91" s="1055"/>
      <c r="JNT91" s="1055"/>
      <c r="JNU91" s="1055"/>
      <c r="JNV91" s="1055"/>
      <c r="JNW91" s="1055"/>
      <c r="JNX91" s="1055"/>
      <c r="JNY91" s="1055"/>
      <c r="JNZ91" s="1055"/>
      <c r="JOA91" s="1055"/>
      <c r="JOB91" s="1055"/>
      <c r="JOC91" s="1055"/>
      <c r="JOD91" s="1055"/>
      <c r="JOE91" s="1055"/>
      <c r="JOF91" s="1055"/>
      <c r="JOG91" s="1055"/>
      <c r="JOH91" s="1055"/>
      <c r="JOI91" s="1055"/>
      <c r="JOJ91" s="1055"/>
      <c r="JOK91" s="1055"/>
      <c r="JOL91" s="1055"/>
      <c r="JOM91" s="1055"/>
      <c r="JON91" s="1055"/>
      <c r="JOO91" s="1055"/>
      <c r="JOP91" s="1055"/>
      <c r="JOQ91" s="1055"/>
      <c r="JOR91" s="1055"/>
      <c r="JOS91" s="1055"/>
      <c r="JOT91" s="1055"/>
      <c r="JOU91" s="1055"/>
      <c r="JOV91" s="1055"/>
      <c r="JOW91" s="1055"/>
      <c r="JOX91" s="1055"/>
      <c r="JOY91" s="1055"/>
      <c r="JOZ91" s="1055"/>
      <c r="JPA91" s="1055"/>
      <c r="JPB91" s="1055"/>
      <c r="JPC91" s="1055"/>
      <c r="JPD91" s="1055"/>
      <c r="JPE91" s="1055"/>
      <c r="JPF91" s="1055"/>
      <c r="JPG91" s="1055"/>
      <c r="JPH91" s="1055"/>
      <c r="JPI91" s="1055"/>
      <c r="JPJ91" s="1055"/>
      <c r="JPK91" s="1055"/>
      <c r="JPL91" s="1055"/>
      <c r="JPM91" s="1055"/>
      <c r="JPN91" s="1055"/>
      <c r="JPO91" s="1055"/>
      <c r="JPP91" s="1055"/>
      <c r="JPQ91" s="1055"/>
      <c r="JPR91" s="1055"/>
      <c r="JPS91" s="1055"/>
      <c r="JPT91" s="1055"/>
      <c r="JPU91" s="1055"/>
      <c r="JPV91" s="1055"/>
      <c r="JPW91" s="1055"/>
      <c r="JPX91" s="1055"/>
      <c r="JPY91" s="1055"/>
      <c r="JPZ91" s="1055"/>
      <c r="JQA91" s="1055"/>
      <c r="JQB91" s="1055"/>
      <c r="JQC91" s="1055"/>
      <c r="JQD91" s="1055"/>
      <c r="JQE91" s="1055"/>
      <c r="JQF91" s="1055"/>
      <c r="JQG91" s="1055"/>
      <c r="JQH91" s="1055"/>
      <c r="JQI91" s="1055"/>
      <c r="JQJ91" s="1055"/>
      <c r="JQK91" s="1055"/>
      <c r="JQL91" s="1055"/>
      <c r="JQM91" s="1055"/>
      <c r="JQN91" s="1055"/>
      <c r="JQO91" s="1055"/>
      <c r="JQP91" s="1055"/>
      <c r="JQQ91" s="1055"/>
      <c r="JQR91" s="1055"/>
      <c r="JQS91" s="1055"/>
      <c r="JQT91" s="1055"/>
      <c r="JQU91" s="1055"/>
      <c r="JQV91" s="1055"/>
      <c r="JQW91" s="1055"/>
      <c r="JQX91" s="1055"/>
      <c r="JQY91" s="1055"/>
      <c r="JQZ91" s="1055"/>
      <c r="JRA91" s="1055"/>
      <c r="JRB91" s="1055"/>
      <c r="JRC91" s="1055"/>
      <c r="JRD91" s="1055"/>
      <c r="JRE91" s="1055"/>
      <c r="JRF91" s="1055"/>
      <c r="JRG91" s="1055"/>
      <c r="JRH91" s="1055"/>
      <c r="JRI91" s="1055"/>
      <c r="JRJ91" s="1055"/>
      <c r="JRK91" s="1055"/>
      <c r="JRL91" s="1055"/>
      <c r="JRM91" s="1055"/>
      <c r="JRN91" s="1055"/>
      <c r="JRO91" s="1055"/>
      <c r="JRP91" s="1055"/>
      <c r="JRQ91" s="1055"/>
      <c r="JRR91" s="1055"/>
      <c r="JRS91" s="1055"/>
      <c r="JRT91" s="1055"/>
      <c r="JRU91" s="1055"/>
      <c r="JRV91" s="1055"/>
      <c r="JRW91" s="1055"/>
      <c r="JRX91" s="1055"/>
      <c r="JRY91" s="1055"/>
      <c r="JRZ91" s="1055"/>
      <c r="JSA91" s="1055"/>
      <c r="JSB91" s="1055"/>
      <c r="JSC91" s="1055"/>
      <c r="JSD91" s="1055"/>
      <c r="JSE91" s="1055"/>
      <c r="JSF91" s="1055"/>
      <c r="JSG91" s="1055"/>
      <c r="JSH91" s="1055"/>
      <c r="JSI91" s="1055"/>
      <c r="JSJ91" s="1055"/>
      <c r="JSK91" s="1055"/>
      <c r="JSL91" s="1055"/>
      <c r="JSM91" s="1055"/>
      <c r="JSN91" s="1055"/>
      <c r="JSO91" s="1055"/>
      <c r="JSP91" s="1055"/>
      <c r="JSQ91" s="1055"/>
      <c r="JSR91" s="1055"/>
      <c r="JSS91" s="1055"/>
      <c r="JST91" s="1055"/>
      <c r="JSU91" s="1055"/>
      <c r="JSV91" s="1055"/>
      <c r="JSW91" s="1055"/>
      <c r="JSX91" s="1055"/>
      <c r="JSY91" s="1055"/>
      <c r="JSZ91" s="1055"/>
      <c r="JTA91" s="1055"/>
      <c r="JTB91" s="1055"/>
      <c r="JTC91" s="1055"/>
      <c r="JTD91" s="1055"/>
      <c r="JTE91" s="1055"/>
      <c r="JTF91" s="1055"/>
      <c r="JTG91" s="1055"/>
      <c r="JTH91" s="1055"/>
      <c r="JTI91" s="1055"/>
      <c r="JTJ91" s="1055"/>
      <c r="JTK91" s="1055"/>
      <c r="JTL91" s="1055"/>
      <c r="JTM91" s="1055"/>
      <c r="JTN91" s="1055"/>
      <c r="JTO91" s="1055"/>
      <c r="JTP91" s="1055"/>
      <c r="JTQ91" s="1055"/>
      <c r="JTR91" s="1055"/>
      <c r="JTS91" s="1055"/>
      <c r="JTT91" s="1055"/>
      <c r="JTU91" s="1055"/>
      <c r="JTV91" s="1055"/>
      <c r="JTW91" s="1055"/>
      <c r="JTX91" s="1055"/>
      <c r="JTY91" s="1055"/>
      <c r="JTZ91" s="1055"/>
      <c r="JUA91" s="1055"/>
      <c r="JUB91" s="1055"/>
      <c r="JUC91" s="1055"/>
      <c r="JUD91" s="1055"/>
      <c r="JUE91" s="1055"/>
      <c r="JUF91" s="1055"/>
      <c r="JUG91" s="1055"/>
      <c r="JUH91" s="1055"/>
      <c r="JUI91" s="1055"/>
      <c r="JUJ91" s="1055"/>
      <c r="JUK91" s="1055"/>
      <c r="JUL91" s="1055"/>
      <c r="JUM91" s="1055"/>
      <c r="JUN91" s="1055"/>
      <c r="JUO91" s="1055"/>
      <c r="JUP91" s="1055"/>
      <c r="JUQ91" s="1055"/>
      <c r="JUR91" s="1055"/>
      <c r="JUS91" s="1055"/>
      <c r="JUT91" s="1055"/>
      <c r="JUU91" s="1055"/>
      <c r="JUV91" s="1055"/>
      <c r="JUW91" s="1055"/>
      <c r="JUX91" s="1055"/>
      <c r="JUY91" s="1055"/>
      <c r="JUZ91" s="1055"/>
      <c r="JVA91" s="1055"/>
      <c r="JVB91" s="1055"/>
      <c r="JVC91" s="1055"/>
      <c r="JVD91" s="1055"/>
      <c r="JVE91" s="1055"/>
      <c r="JVF91" s="1055"/>
      <c r="JVG91" s="1055"/>
      <c r="JVH91" s="1055"/>
      <c r="JVI91" s="1055"/>
      <c r="JVJ91" s="1055"/>
      <c r="JVK91" s="1055"/>
      <c r="JVL91" s="1055"/>
      <c r="JVM91" s="1055"/>
      <c r="JVN91" s="1055"/>
      <c r="JVO91" s="1055"/>
      <c r="JVP91" s="1055"/>
      <c r="JVQ91" s="1055"/>
      <c r="JVR91" s="1055"/>
      <c r="JVS91" s="1055"/>
      <c r="JVT91" s="1055"/>
      <c r="JVU91" s="1055"/>
      <c r="JVV91" s="1055"/>
      <c r="JVW91" s="1055"/>
      <c r="JVX91" s="1055"/>
      <c r="JVY91" s="1055"/>
      <c r="JVZ91" s="1055"/>
      <c r="JWA91" s="1055"/>
      <c r="JWB91" s="1055"/>
      <c r="JWC91" s="1055"/>
      <c r="JWD91" s="1055"/>
      <c r="JWE91" s="1055"/>
      <c r="JWF91" s="1055"/>
      <c r="JWG91" s="1055"/>
      <c r="JWH91" s="1055"/>
      <c r="JWI91" s="1055"/>
      <c r="JWJ91" s="1055"/>
      <c r="JWK91" s="1055"/>
      <c r="JWL91" s="1055"/>
      <c r="JWM91" s="1055"/>
      <c r="JWN91" s="1055"/>
      <c r="JWO91" s="1055"/>
      <c r="JWP91" s="1055"/>
      <c r="JWQ91" s="1055"/>
      <c r="JWR91" s="1055"/>
      <c r="JWS91" s="1055"/>
      <c r="JWT91" s="1055"/>
      <c r="JWU91" s="1055"/>
      <c r="JWV91" s="1055"/>
      <c r="JWW91" s="1055"/>
      <c r="JWX91" s="1055"/>
      <c r="JWY91" s="1055"/>
      <c r="JWZ91" s="1055"/>
      <c r="JXA91" s="1055"/>
      <c r="JXB91" s="1055"/>
      <c r="JXC91" s="1055"/>
      <c r="JXD91" s="1055"/>
      <c r="JXE91" s="1055"/>
      <c r="JXF91" s="1055"/>
      <c r="JXG91" s="1055"/>
      <c r="JXH91" s="1055"/>
      <c r="JXI91" s="1055"/>
      <c r="JXJ91" s="1055"/>
      <c r="JXK91" s="1055"/>
      <c r="JXL91" s="1055"/>
      <c r="JXM91" s="1055"/>
      <c r="JXN91" s="1055"/>
      <c r="JXO91" s="1055"/>
      <c r="JXP91" s="1055"/>
      <c r="JXQ91" s="1055"/>
      <c r="JXR91" s="1055"/>
      <c r="JXS91" s="1055"/>
      <c r="JXT91" s="1055"/>
      <c r="JXU91" s="1055"/>
      <c r="JXV91" s="1055"/>
      <c r="JXW91" s="1055"/>
      <c r="JXX91" s="1055"/>
      <c r="JXY91" s="1055"/>
      <c r="JXZ91" s="1055"/>
      <c r="JYA91" s="1055"/>
      <c r="JYB91" s="1055"/>
      <c r="JYC91" s="1055"/>
      <c r="JYD91" s="1055"/>
      <c r="JYE91" s="1055"/>
      <c r="JYF91" s="1055"/>
      <c r="JYG91" s="1055"/>
      <c r="JYH91" s="1055"/>
      <c r="JYI91" s="1055"/>
      <c r="JYJ91" s="1055"/>
      <c r="JYK91" s="1055"/>
      <c r="JYL91" s="1055"/>
      <c r="JYM91" s="1055"/>
      <c r="JYN91" s="1055"/>
      <c r="JYO91" s="1055"/>
      <c r="JYP91" s="1055"/>
      <c r="JYQ91" s="1055"/>
      <c r="JYR91" s="1055"/>
      <c r="JYS91" s="1055"/>
      <c r="JYT91" s="1055"/>
      <c r="JYU91" s="1055"/>
      <c r="JYV91" s="1055"/>
      <c r="JYW91" s="1055"/>
      <c r="JYX91" s="1055"/>
      <c r="JYY91" s="1055"/>
      <c r="JYZ91" s="1055"/>
      <c r="JZA91" s="1055"/>
      <c r="JZB91" s="1055"/>
      <c r="JZC91" s="1055"/>
      <c r="JZD91" s="1055"/>
      <c r="JZE91" s="1055"/>
      <c r="JZF91" s="1055"/>
      <c r="JZG91" s="1055"/>
      <c r="JZH91" s="1055"/>
      <c r="JZI91" s="1055"/>
      <c r="JZJ91" s="1055"/>
      <c r="JZK91" s="1055"/>
      <c r="JZL91" s="1055"/>
      <c r="JZM91" s="1055"/>
      <c r="JZN91" s="1055"/>
      <c r="JZO91" s="1055"/>
      <c r="JZP91" s="1055"/>
      <c r="JZQ91" s="1055"/>
      <c r="JZR91" s="1055"/>
      <c r="JZS91" s="1055"/>
      <c r="JZT91" s="1055"/>
      <c r="JZU91" s="1055"/>
      <c r="JZV91" s="1055"/>
      <c r="JZW91" s="1055"/>
      <c r="JZX91" s="1055"/>
      <c r="JZY91" s="1055"/>
      <c r="JZZ91" s="1055"/>
      <c r="KAA91" s="1055"/>
      <c r="KAB91" s="1055"/>
      <c r="KAC91" s="1055"/>
      <c r="KAD91" s="1055"/>
      <c r="KAE91" s="1055"/>
      <c r="KAF91" s="1055"/>
      <c r="KAG91" s="1055"/>
      <c r="KAH91" s="1055"/>
      <c r="KAI91" s="1055"/>
      <c r="KAJ91" s="1055"/>
      <c r="KAK91" s="1055"/>
      <c r="KAL91" s="1055"/>
      <c r="KAM91" s="1055"/>
      <c r="KAN91" s="1055"/>
      <c r="KAO91" s="1055"/>
      <c r="KAP91" s="1055"/>
      <c r="KAQ91" s="1055"/>
      <c r="KAR91" s="1055"/>
      <c r="KAS91" s="1055"/>
      <c r="KAT91" s="1055"/>
      <c r="KAU91" s="1055"/>
      <c r="KAV91" s="1055"/>
      <c r="KAW91" s="1055"/>
      <c r="KAX91" s="1055"/>
      <c r="KAY91" s="1055"/>
      <c r="KAZ91" s="1055"/>
      <c r="KBA91" s="1055"/>
      <c r="KBB91" s="1055"/>
      <c r="KBC91" s="1055"/>
      <c r="KBD91" s="1055"/>
      <c r="KBE91" s="1055"/>
      <c r="KBF91" s="1055"/>
      <c r="KBG91" s="1055"/>
      <c r="KBH91" s="1055"/>
      <c r="KBI91" s="1055"/>
      <c r="KBJ91" s="1055"/>
      <c r="KBK91" s="1055"/>
      <c r="KBL91" s="1055"/>
      <c r="KBM91" s="1055"/>
      <c r="KBN91" s="1055"/>
      <c r="KBO91" s="1055"/>
      <c r="KBP91" s="1055"/>
      <c r="KBQ91" s="1055"/>
      <c r="KBR91" s="1055"/>
      <c r="KBS91" s="1055"/>
      <c r="KBT91" s="1055"/>
      <c r="KBU91" s="1055"/>
      <c r="KBV91" s="1055"/>
      <c r="KBW91" s="1055"/>
      <c r="KBX91" s="1055"/>
      <c r="KBY91" s="1055"/>
      <c r="KBZ91" s="1055"/>
      <c r="KCA91" s="1055"/>
      <c r="KCB91" s="1055"/>
      <c r="KCC91" s="1055"/>
      <c r="KCD91" s="1055"/>
      <c r="KCE91" s="1055"/>
      <c r="KCF91" s="1055"/>
      <c r="KCG91" s="1055"/>
      <c r="KCH91" s="1055"/>
      <c r="KCI91" s="1055"/>
      <c r="KCJ91" s="1055"/>
      <c r="KCK91" s="1055"/>
      <c r="KCL91" s="1055"/>
      <c r="KCM91" s="1055"/>
      <c r="KCN91" s="1055"/>
      <c r="KCO91" s="1055"/>
      <c r="KCP91" s="1055"/>
      <c r="KCQ91" s="1055"/>
      <c r="KCR91" s="1055"/>
      <c r="KCS91" s="1055"/>
      <c r="KCT91" s="1055"/>
      <c r="KCU91" s="1055"/>
      <c r="KCV91" s="1055"/>
      <c r="KCW91" s="1055"/>
      <c r="KCX91" s="1055"/>
      <c r="KCY91" s="1055"/>
      <c r="KCZ91" s="1055"/>
      <c r="KDA91" s="1055"/>
      <c r="KDB91" s="1055"/>
      <c r="KDC91" s="1055"/>
      <c r="KDD91" s="1055"/>
      <c r="KDE91" s="1055"/>
      <c r="KDF91" s="1055"/>
      <c r="KDG91" s="1055"/>
      <c r="KDH91" s="1055"/>
      <c r="KDI91" s="1055"/>
      <c r="KDJ91" s="1055"/>
      <c r="KDK91" s="1055"/>
      <c r="KDL91" s="1055"/>
      <c r="KDM91" s="1055"/>
      <c r="KDN91" s="1055"/>
      <c r="KDO91" s="1055"/>
      <c r="KDP91" s="1055"/>
      <c r="KDQ91" s="1055"/>
      <c r="KDR91" s="1055"/>
      <c r="KDS91" s="1055"/>
      <c r="KDT91" s="1055"/>
      <c r="KDU91" s="1055"/>
      <c r="KDV91" s="1055"/>
      <c r="KDW91" s="1055"/>
      <c r="KDX91" s="1055"/>
      <c r="KDY91" s="1055"/>
      <c r="KDZ91" s="1055"/>
      <c r="KEA91" s="1055"/>
      <c r="KEB91" s="1055"/>
      <c r="KEC91" s="1055"/>
      <c r="KED91" s="1055"/>
      <c r="KEE91" s="1055"/>
      <c r="KEF91" s="1055"/>
      <c r="KEG91" s="1055"/>
      <c r="KEH91" s="1055"/>
      <c r="KEI91" s="1055"/>
      <c r="KEJ91" s="1055"/>
      <c r="KEK91" s="1055"/>
      <c r="KEL91" s="1055"/>
      <c r="KEM91" s="1055"/>
      <c r="KEN91" s="1055"/>
      <c r="KEO91" s="1055"/>
      <c r="KEP91" s="1055"/>
      <c r="KEQ91" s="1055"/>
      <c r="KER91" s="1055"/>
      <c r="KES91" s="1055"/>
      <c r="KET91" s="1055"/>
      <c r="KEU91" s="1055"/>
      <c r="KEV91" s="1055"/>
      <c r="KEW91" s="1055"/>
      <c r="KEX91" s="1055"/>
      <c r="KEY91" s="1055"/>
      <c r="KEZ91" s="1055"/>
      <c r="KFA91" s="1055"/>
      <c r="KFB91" s="1055"/>
      <c r="KFC91" s="1055"/>
      <c r="KFD91" s="1055"/>
      <c r="KFE91" s="1055"/>
      <c r="KFF91" s="1055"/>
      <c r="KFG91" s="1055"/>
      <c r="KFH91" s="1055"/>
      <c r="KFI91" s="1055"/>
      <c r="KFJ91" s="1055"/>
      <c r="KFK91" s="1055"/>
      <c r="KFL91" s="1055"/>
      <c r="KFM91" s="1055"/>
      <c r="KFN91" s="1055"/>
      <c r="KFO91" s="1055"/>
      <c r="KFP91" s="1055"/>
      <c r="KFQ91" s="1055"/>
      <c r="KFR91" s="1055"/>
      <c r="KFS91" s="1055"/>
      <c r="KFT91" s="1055"/>
      <c r="KFU91" s="1055"/>
      <c r="KFV91" s="1055"/>
      <c r="KFW91" s="1055"/>
      <c r="KFX91" s="1055"/>
      <c r="KFY91" s="1055"/>
      <c r="KFZ91" s="1055"/>
      <c r="KGA91" s="1055"/>
      <c r="KGB91" s="1055"/>
      <c r="KGC91" s="1055"/>
      <c r="KGD91" s="1055"/>
      <c r="KGE91" s="1055"/>
      <c r="KGF91" s="1055"/>
      <c r="KGG91" s="1055"/>
      <c r="KGH91" s="1055"/>
      <c r="KGI91" s="1055"/>
      <c r="KGJ91" s="1055"/>
      <c r="KGK91" s="1055"/>
      <c r="KGL91" s="1055"/>
      <c r="KGM91" s="1055"/>
      <c r="KGN91" s="1055"/>
      <c r="KGO91" s="1055"/>
      <c r="KGP91" s="1055"/>
      <c r="KGQ91" s="1055"/>
      <c r="KGR91" s="1055"/>
      <c r="KGS91" s="1055"/>
      <c r="KGT91" s="1055"/>
      <c r="KGU91" s="1055"/>
      <c r="KGV91" s="1055"/>
      <c r="KGW91" s="1055"/>
      <c r="KGX91" s="1055"/>
      <c r="KGY91" s="1055"/>
      <c r="KGZ91" s="1055"/>
      <c r="KHA91" s="1055"/>
      <c r="KHB91" s="1055"/>
      <c r="KHC91" s="1055"/>
      <c r="KHD91" s="1055"/>
      <c r="KHE91" s="1055"/>
      <c r="KHF91" s="1055"/>
      <c r="KHG91" s="1055"/>
      <c r="KHH91" s="1055"/>
      <c r="KHI91" s="1055"/>
      <c r="KHJ91" s="1055"/>
      <c r="KHK91" s="1055"/>
      <c r="KHL91" s="1055"/>
      <c r="KHM91" s="1055"/>
      <c r="KHN91" s="1055"/>
      <c r="KHO91" s="1055"/>
      <c r="KHP91" s="1055"/>
      <c r="KHQ91" s="1055"/>
      <c r="KHR91" s="1055"/>
      <c r="KHS91" s="1055"/>
      <c r="KHT91" s="1055"/>
      <c r="KHU91" s="1055"/>
      <c r="KHV91" s="1055"/>
      <c r="KHW91" s="1055"/>
      <c r="KHX91" s="1055"/>
      <c r="KHY91" s="1055"/>
      <c r="KHZ91" s="1055"/>
      <c r="KIA91" s="1055"/>
      <c r="KIB91" s="1055"/>
      <c r="KIC91" s="1055"/>
      <c r="KID91" s="1055"/>
      <c r="KIE91" s="1055"/>
      <c r="KIF91" s="1055"/>
      <c r="KIG91" s="1055"/>
      <c r="KIH91" s="1055"/>
      <c r="KII91" s="1055"/>
      <c r="KIJ91" s="1055"/>
      <c r="KIK91" s="1055"/>
      <c r="KIL91" s="1055"/>
      <c r="KIM91" s="1055"/>
      <c r="KIN91" s="1055"/>
      <c r="KIO91" s="1055"/>
      <c r="KIP91" s="1055"/>
      <c r="KIQ91" s="1055"/>
      <c r="KIR91" s="1055"/>
      <c r="KIS91" s="1055"/>
      <c r="KIT91" s="1055"/>
      <c r="KIU91" s="1055"/>
      <c r="KIV91" s="1055"/>
      <c r="KIW91" s="1055"/>
      <c r="KIX91" s="1055"/>
      <c r="KIY91" s="1055"/>
      <c r="KIZ91" s="1055"/>
      <c r="KJA91" s="1055"/>
      <c r="KJB91" s="1055"/>
      <c r="KJC91" s="1055"/>
      <c r="KJD91" s="1055"/>
      <c r="KJE91" s="1055"/>
      <c r="KJF91" s="1055"/>
      <c r="KJG91" s="1055"/>
      <c r="KJH91" s="1055"/>
      <c r="KJI91" s="1055"/>
      <c r="KJJ91" s="1055"/>
      <c r="KJK91" s="1055"/>
      <c r="KJL91" s="1055"/>
      <c r="KJM91" s="1055"/>
      <c r="KJN91" s="1055"/>
      <c r="KJO91" s="1055"/>
      <c r="KJP91" s="1055"/>
      <c r="KJQ91" s="1055"/>
      <c r="KJR91" s="1055"/>
      <c r="KJS91" s="1055"/>
      <c r="KJT91" s="1055"/>
      <c r="KJU91" s="1055"/>
      <c r="KJV91" s="1055"/>
      <c r="KJW91" s="1055"/>
      <c r="KJX91" s="1055"/>
      <c r="KJY91" s="1055"/>
      <c r="KJZ91" s="1055"/>
      <c r="KKA91" s="1055"/>
      <c r="KKB91" s="1055"/>
      <c r="KKC91" s="1055"/>
      <c r="KKD91" s="1055"/>
      <c r="KKE91" s="1055"/>
      <c r="KKF91" s="1055"/>
      <c r="KKG91" s="1055"/>
      <c r="KKH91" s="1055"/>
      <c r="KKI91" s="1055"/>
      <c r="KKJ91" s="1055"/>
      <c r="KKK91" s="1055"/>
      <c r="KKL91" s="1055"/>
      <c r="KKM91" s="1055"/>
      <c r="KKN91" s="1055"/>
      <c r="KKO91" s="1055"/>
      <c r="KKP91" s="1055"/>
      <c r="KKQ91" s="1055"/>
      <c r="KKR91" s="1055"/>
      <c r="KKS91" s="1055"/>
      <c r="KKT91" s="1055"/>
      <c r="KKU91" s="1055"/>
      <c r="KKV91" s="1055"/>
      <c r="KKW91" s="1055"/>
      <c r="KKX91" s="1055"/>
      <c r="KKY91" s="1055"/>
      <c r="KKZ91" s="1055"/>
      <c r="KLA91" s="1055"/>
      <c r="KLB91" s="1055"/>
      <c r="KLC91" s="1055"/>
      <c r="KLD91" s="1055"/>
      <c r="KLE91" s="1055"/>
      <c r="KLF91" s="1055"/>
      <c r="KLG91" s="1055"/>
      <c r="KLH91" s="1055"/>
      <c r="KLI91" s="1055"/>
      <c r="KLJ91" s="1055"/>
      <c r="KLK91" s="1055"/>
      <c r="KLL91" s="1055"/>
      <c r="KLM91" s="1055"/>
      <c r="KLN91" s="1055"/>
      <c r="KLO91" s="1055"/>
      <c r="KLP91" s="1055"/>
      <c r="KLQ91" s="1055"/>
      <c r="KLR91" s="1055"/>
      <c r="KLS91" s="1055"/>
      <c r="KLT91" s="1055"/>
      <c r="KLU91" s="1055"/>
      <c r="KLV91" s="1055"/>
      <c r="KLW91" s="1055"/>
      <c r="KLX91" s="1055"/>
      <c r="KLY91" s="1055"/>
      <c r="KLZ91" s="1055"/>
      <c r="KMA91" s="1055"/>
      <c r="KMB91" s="1055"/>
      <c r="KMC91" s="1055"/>
      <c r="KMD91" s="1055"/>
      <c r="KME91" s="1055"/>
      <c r="KMF91" s="1055"/>
      <c r="KMG91" s="1055"/>
      <c r="KMH91" s="1055"/>
      <c r="KMI91" s="1055"/>
      <c r="KMJ91" s="1055"/>
      <c r="KMK91" s="1055"/>
      <c r="KML91" s="1055"/>
      <c r="KMM91" s="1055"/>
      <c r="KMN91" s="1055"/>
      <c r="KMO91" s="1055"/>
      <c r="KMP91" s="1055"/>
      <c r="KMQ91" s="1055"/>
      <c r="KMR91" s="1055"/>
      <c r="KMS91" s="1055"/>
      <c r="KMT91" s="1055"/>
      <c r="KMU91" s="1055"/>
      <c r="KMV91" s="1055"/>
      <c r="KMW91" s="1055"/>
      <c r="KMX91" s="1055"/>
      <c r="KMY91" s="1055"/>
      <c r="KMZ91" s="1055"/>
      <c r="KNA91" s="1055"/>
      <c r="KNB91" s="1055"/>
      <c r="KNC91" s="1055"/>
      <c r="KND91" s="1055"/>
      <c r="KNE91" s="1055"/>
      <c r="KNF91" s="1055"/>
      <c r="KNG91" s="1055"/>
      <c r="KNH91" s="1055"/>
      <c r="KNI91" s="1055"/>
      <c r="KNJ91" s="1055"/>
      <c r="KNK91" s="1055"/>
      <c r="KNL91" s="1055"/>
      <c r="KNM91" s="1055"/>
      <c r="KNN91" s="1055"/>
      <c r="KNO91" s="1055"/>
      <c r="KNP91" s="1055"/>
      <c r="KNQ91" s="1055"/>
      <c r="KNR91" s="1055"/>
      <c r="KNS91" s="1055"/>
      <c r="KNT91" s="1055"/>
      <c r="KNU91" s="1055"/>
      <c r="KNV91" s="1055"/>
      <c r="KNW91" s="1055"/>
      <c r="KNX91" s="1055"/>
      <c r="KNY91" s="1055"/>
      <c r="KNZ91" s="1055"/>
      <c r="KOA91" s="1055"/>
      <c r="KOB91" s="1055"/>
      <c r="KOC91" s="1055"/>
      <c r="KOD91" s="1055"/>
      <c r="KOE91" s="1055"/>
      <c r="KOF91" s="1055"/>
      <c r="KOG91" s="1055"/>
      <c r="KOH91" s="1055"/>
      <c r="KOI91" s="1055"/>
      <c r="KOJ91" s="1055"/>
      <c r="KOK91" s="1055"/>
      <c r="KOL91" s="1055"/>
      <c r="KOM91" s="1055"/>
      <c r="KON91" s="1055"/>
      <c r="KOO91" s="1055"/>
      <c r="KOP91" s="1055"/>
      <c r="KOQ91" s="1055"/>
      <c r="KOR91" s="1055"/>
      <c r="KOS91" s="1055"/>
      <c r="KOT91" s="1055"/>
      <c r="KOU91" s="1055"/>
      <c r="KOV91" s="1055"/>
      <c r="KOW91" s="1055"/>
      <c r="KOX91" s="1055"/>
      <c r="KOY91" s="1055"/>
      <c r="KOZ91" s="1055"/>
      <c r="KPA91" s="1055"/>
      <c r="KPB91" s="1055"/>
      <c r="KPC91" s="1055"/>
      <c r="KPD91" s="1055"/>
      <c r="KPE91" s="1055"/>
      <c r="KPF91" s="1055"/>
      <c r="KPG91" s="1055"/>
      <c r="KPH91" s="1055"/>
      <c r="KPI91" s="1055"/>
      <c r="KPJ91" s="1055"/>
      <c r="KPK91" s="1055"/>
      <c r="KPL91" s="1055"/>
      <c r="KPM91" s="1055"/>
      <c r="KPN91" s="1055"/>
      <c r="KPO91" s="1055"/>
      <c r="KPP91" s="1055"/>
      <c r="KPQ91" s="1055"/>
      <c r="KPR91" s="1055"/>
      <c r="KPS91" s="1055"/>
      <c r="KPT91" s="1055"/>
      <c r="KPU91" s="1055"/>
      <c r="KPV91" s="1055"/>
      <c r="KPW91" s="1055"/>
      <c r="KPX91" s="1055"/>
      <c r="KPY91" s="1055"/>
      <c r="KPZ91" s="1055"/>
      <c r="KQA91" s="1055"/>
      <c r="KQB91" s="1055"/>
      <c r="KQC91" s="1055"/>
      <c r="KQD91" s="1055"/>
      <c r="KQE91" s="1055"/>
      <c r="KQF91" s="1055"/>
      <c r="KQG91" s="1055"/>
      <c r="KQH91" s="1055"/>
      <c r="KQI91" s="1055"/>
      <c r="KQJ91" s="1055"/>
      <c r="KQK91" s="1055"/>
      <c r="KQL91" s="1055"/>
      <c r="KQM91" s="1055"/>
      <c r="KQN91" s="1055"/>
      <c r="KQO91" s="1055"/>
      <c r="KQP91" s="1055"/>
      <c r="KQQ91" s="1055"/>
      <c r="KQR91" s="1055"/>
      <c r="KQS91" s="1055"/>
      <c r="KQT91" s="1055"/>
      <c r="KQU91" s="1055"/>
      <c r="KQV91" s="1055"/>
      <c r="KQW91" s="1055"/>
      <c r="KQX91" s="1055"/>
      <c r="KQY91" s="1055"/>
      <c r="KQZ91" s="1055"/>
      <c r="KRA91" s="1055"/>
      <c r="KRB91" s="1055"/>
      <c r="KRC91" s="1055"/>
      <c r="KRD91" s="1055"/>
      <c r="KRE91" s="1055"/>
      <c r="KRF91" s="1055"/>
      <c r="KRG91" s="1055"/>
      <c r="KRH91" s="1055"/>
      <c r="KRI91" s="1055"/>
      <c r="KRJ91" s="1055"/>
      <c r="KRK91" s="1055"/>
      <c r="KRL91" s="1055"/>
      <c r="KRM91" s="1055"/>
      <c r="KRN91" s="1055"/>
      <c r="KRO91" s="1055"/>
      <c r="KRP91" s="1055"/>
      <c r="KRQ91" s="1055"/>
      <c r="KRR91" s="1055"/>
      <c r="KRS91" s="1055"/>
      <c r="KRT91" s="1055"/>
      <c r="KRU91" s="1055"/>
      <c r="KRV91" s="1055"/>
      <c r="KRW91" s="1055"/>
      <c r="KRX91" s="1055"/>
      <c r="KRY91" s="1055"/>
      <c r="KRZ91" s="1055"/>
      <c r="KSA91" s="1055"/>
      <c r="KSB91" s="1055"/>
      <c r="KSC91" s="1055"/>
      <c r="KSD91" s="1055"/>
      <c r="KSE91" s="1055"/>
      <c r="KSF91" s="1055"/>
      <c r="KSG91" s="1055"/>
      <c r="KSH91" s="1055"/>
      <c r="KSI91" s="1055"/>
      <c r="KSJ91" s="1055"/>
      <c r="KSK91" s="1055"/>
      <c r="KSL91" s="1055"/>
      <c r="KSM91" s="1055"/>
      <c r="KSN91" s="1055"/>
      <c r="KSO91" s="1055"/>
      <c r="KSP91" s="1055"/>
      <c r="KSQ91" s="1055"/>
      <c r="KSR91" s="1055"/>
      <c r="KSS91" s="1055"/>
      <c r="KST91" s="1055"/>
      <c r="KSU91" s="1055"/>
      <c r="KSV91" s="1055"/>
      <c r="KSW91" s="1055"/>
      <c r="KSX91" s="1055"/>
      <c r="KSY91" s="1055"/>
      <c r="KSZ91" s="1055"/>
      <c r="KTA91" s="1055"/>
      <c r="KTB91" s="1055"/>
      <c r="KTC91" s="1055"/>
      <c r="KTD91" s="1055"/>
      <c r="KTE91" s="1055"/>
      <c r="KTF91" s="1055"/>
      <c r="KTG91" s="1055"/>
      <c r="KTH91" s="1055"/>
      <c r="KTI91" s="1055"/>
      <c r="KTJ91" s="1055"/>
      <c r="KTK91" s="1055"/>
      <c r="KTL91" s="1055"/>
      <c r="KTM91" s="1055"/>
      <c r="KTN91" s="1055"/>
      <c r="KTO91" s="1055"/>
      <c r="KTP91" s="1055"/>
      <c r="KTQ91" s="1055"/>
      <c r="KTR91" s="1055"/>
      <c r="KTS91" s="1055"/>
      <c r="KTT91" s="1055"/>
      <c r="KTU91" s="1055"/>
      <c r="KTV91" s="1055"/>
      <c r="KTW91" s="1055"/>
      <c r="KTX91" s="1055"/>
      <c r="KTY91" s="1055"/>
      <c r="KTZ91" s="1055"/>
      <c r="KUA91" s="1055"/>
      <c r="KUB91" s="1055"/>
      <c r="KUC91" s="1055"/>
      <c r="KUD91" s="1055"/>
      <c r="KUE91" s="1055"/>
      <c r="KUF91" s="1055"/>
      <c r="KUG91" s="1055"/>
      <c r="KUH91" s="1055"/>
      <c r="KUI91" s="1055"/>
      <c r="KUJ91" s="1055"/>
      <c r="KUK91" s="1055"/>
      <c r="KUL91" s="1055"/>
      <c r="KUM91" s="1055"/>
      <c r="KUN91" s="1055"/>
      <c r="KUO91" s="1055"/>
      <c r="KUP91" s="1055"/>
      <c r="KUQ91" s="1055"/>
      <c r="KUR91" s="1055"/>
      <c r="KUS91" s="1055"/>
      <c r="KUT91" s="1055"/>
      <c r="KUU91" s="1055"/>
      <c r="KUV91" s="1055"/>
      <c r="KUW91" s="1055"/>
      <c r="KUX91" s="1055"/>
      <c r="KUY91" s="1055"/>
      <c r="KUZ91" s="1055"/>
      <c r="KVA91" s="1055"/>
      <c r="KVB91" s="1055"/>
      <c r="KVC91" s="1055"/>
      <c r="KVD91" s="1055"/>
      <c r="KVE91" s="1055"/>
      <c r="KVF91" s="1055"/>
      <c r="KVG91" s="1055"/>
      <c r="KVH91" s="1055"/>
      <c r="KVI91" s="1055"/>
      <c r="KVJ91" s="1055"/>
      <c r="KVK91" s="1055"/>
      <c r="KVL91" s="1055"/>
      <c r="KVM91" s="1055"/>
      <c r="KVN91" s="1055"/>
      <c r="KVO91" s="1055"/>
      <c r="KVP91" s="1055"/>
      <c r="KVQ91" s="1055"/>
      <c r="KVR91" s="1055"/>
      <c r="KVS91" s="1055"/>
      <c r="KVT91" s="1055"/>
      <c r="KVU91" s="1055"/>
      <c r="KVV91" s="1055"/>
      <c r="KVW91" s="1055"/>
      <c r="KVX91" s="1055"/>
      <c r="KVY91" s="1055"/>
      <c r="KVZ91" s="1055"/>
      <c r="KWA91" s="1055"/>
      <c r="KWB91" s="1055"/>
      <c r="KWC91" s="1055"/>
      <c r="KWD91" s="1055"/>
      <c r="KWE91" s="1055"/>
      <c r="KWF91" s="1055"/>
      <c r="KWG91" s="1055"/>
      <c r="KWH91" s="1055"/>
      <c r="KWI91" s="1055"/>
      <c r="KWJ91" s="1055"/>
      <c r="KWK91" s="1055"/>
      <c r="KWL91" s="1055"/>
      <c r="KWM91" s="1055"/>
      <c r="KWN91" s="1055"/>
      <c r="KWO91" s="1055"/>
      <c r="KWP91" s="1055"/>
      <c r="KWQ91" s="1055"/>
      <c r="KWR91" s="1055"/>
      <c r="KWS91" s="1055"/>
      <c r="KWT91" s="1055"/>
      <c r="KWU91" s="1055"/>
      <c r="KWV91" s="1055"/>
      <c r="KWW91" s="1055"/>
      <c r="KWX91" s="1055"/>
      <c r="KWY91" s="1055"/>
      <c r="KWZ91" s="1055"/>
      <c r="KXA91" s="1055"/>
      <c r="KXB91" s="1055"/>
      <c r="KXC91" s="1055"/>
      <c r="KXD91" s="1055"/>
      <c r="KXE91" s="1055"/>
      <c r="KXF91" s="1055"/>
      <c r="KXG91" s="1055"/>
      <c r="KXH91" s="1055"/>
      <c r="KXI91" s="1055"/>
      <c r="KXJ91" s="1055"/>
      <c r="KXK91" s="1055"/>
      <c r="KXL91" s="1055"/>
      <c r="KXM91" s="1055"/>
      <c r="KXN91" s="1055"/>
      <c r="KXO91" s="1055"/>
      <c r="KXP91" s="1055"/>
      <c r="KXQ91" s="1055"/>
      <c r="KXR91" s="1055"/>
      <c r="KXS91" s="1055"/>
      <c r="KXT91" s="1055"/>
      <c r="KXU91" s="1055"/>
      <c r="KXV91" s="1055"/>
      <c r="KXW91" s="1055"/>
      <c r="KXX91" s="1055"/>
      <c r="KXY91" s="1055"/>
      <c r="KXZ91" s="1055"/>
      <c r="KYA91" s="1055"/>
      <c r="KYB91" s="1055"/>
      <c r="KYC91" s="1055"/>
      <c r="KYD91" s="1055"/>
      <c r="KYE91" s="1055"/>
      <c r="KYF91" s="1055"/>
      <c r="KYG91" s="1055"/>
      <c r="KYH91" s="1055"/>
      <c r="KYI91" s="1055"/>
      <c r="KYJ91" s="1055"/>
      <c r="KYK91" s="1055"/>
      <c r="KYL91" s="1055"/>
      <c r="KYM91" s="1055"/>
      <c r="KYN91" s="1055"/>
      <c r="KYO91" s="1055"/>
      <c r="KYP91" s="1055"/>
      <c r="KYQ91" s="1055"/>
      <c r="KYR91" s="1055"/>
      <c r="KYS91" s="1055"/>
      <c r="KYT91" s="1055"/>
      <c r="KYU91" s="1055"/>
      <c r="KYV91" s="1055"/>
      <c r="KYW91" s="1055"/>
      <c r="KYX91" s="1055"/>
      <c r="KYY91" s="1055"/>
      <c r="KYZ91" s="1055"/>
      <c r="KZA91" s="1055"/>
      <c r="KZB91" s="1055"/>
      <c r="KZC91" s="1055"/>
      <c r="KZD91" s="1055"/>
      <c r="KZE91" s="1055"/>
      <c r="KZF91" s="1055"/>
      <c r="KZG91" s="1055"/>
      <c r="KZH91" s="1055"/>
      <c r="KZI91" s="1055"/>
      <c r="KZJ91" s="1055"/>
      <c r="KZK91" s="1055"/>
      <c r="KZL91" s="1055"/>
      <c r="KZM91" s="1055"/>
      <c r="KZN91" s="1055"/>
      <c r="KZO91" s="1055"/>
      <c r="KZP91" s="1055"/>
      <c r="KZQ91" s="1055"/>
      <c r="KZR91" s="1055"/>
      <c r="KZS91" s="1055"/>
      <c r="KZT91" s="1055"/>
      <c r="KZU91" s="1055"/>
      <c r="KZV91" s="1055"/>
      <c r="KZW91" s="1055"/>
      <c r="KZX91" s="1055"/>
      <c r="KZY91" s="1055"/>
      <c r="KZZ91" s="1055"/>
      <c r="LAA91" s="1055"/>
      <c r="LAB91" s="1055"/>
      <c r="LAC91" s="1055"/>
      <c r="LAD91" s="1055"/>
      <c r="LAE91" s="1055"/>
      <c r="LAF91" s="1055"/>
      <c r="LAG91" s="1055"/>
      <c r="LAH91" s="1055"/>
      <c r="LAI91" s="1055"/>
      <c r="LAJ91" s="1055"/>
      <c r="LAK91" s="1055"/>
      <c r="LAL91" s="1055"/>
      <c r="LAM91" s="1055"/>
      <c r="LAN91" s="1055"/>
      <c r="LAO91" s="1055"/>
      <c r="LAP91" s="1055"/>
      <c r="LAQ91" s="1055"/>
      <c r="LAR91" s="1055"/>
      <c r="LAS91" s="1055"/>
      <c r="LAT91" s="1055"/>
      <c r="LAU91" s="1055"/>
      <c r="LAV91" s="1055"/>
      <c r="LAW91" s="1055"/>
      <c r="LAX91" s="1055"/>
      <c r="LAY91" s="1055"/>
      <c r="LAZ91" s="1055"/>
      <c r="LBA91" s="1055"/>
      <c r="LBB91" s="1055"/>
      <c r="LBC91" s="1055"/>
      <c r="LBD91" s="1055"/>
      <c r="LBE91" s="1055"/>
      <c r="LBF91" s="1055"/>
      <c r="LBG91" s="1055"/>
      <c r="LBH91" s="1055"/>
      <c r="LBI91" s="1055"/>
      <c r="LBJ91" s="1055"/>
      <c r="LBK91" s="1055"/>
      <c r="LBL91" s="1055"/>
      <c r="LBM91" s="1055"/>
      <c r="LBN91" s="1055"/>
      <c r="LBO91" s="1055"/>
      <c r="LBP91" s="1055"/>
      <c r="LBQ91" s="1055"/>
      <c r="LBR91" s="1055"/>
      <c r="LBS91" s="1055"/>
      <c r="LBT91" s="1055"/>
      <c r="LBU91" s="1055"/>
      <c r="LBV91" s="1055"/>
      <c r="LBW91" s="1055"/>
      <c r="LBX91" s="1055"/>
      <c r="LBY91" s="1055"/>
      <c r="LBZ91" s="1055"/>
      <c r="LCA91" s="1055"/>
      <c r="LCB91" s="1055"/>
      <c r="LCC91" s="1055"/>
      <c r="LCD91" s="1055"/>
      <c r="LCE91" s="1055"/>
      <c r="LCF91" s="1055"/>
      <c r="LCG91" s="1055"/>
      <c r="LCH91" s="1055"/>
      <c r="LCI91" s="1055"/>
      <c r="LCJ91" s="1055"/>
      <c r="LCK91" s="1055"/>
      <c r="LCL91" s="1055"/>
      <c r="LCM91" s="1055"/>
      <c r="LCN91" s="1055"/>
      <c r="LCO91" s="1055"/>
      <c r="LCP91" s="1055"/>
      <c r="LCQ91" s="1055"/>
      <c r="LCR91" s="1055"/>
      <c r="LCS91" s="1055"/>
      <c r="LCT91" s="1055"/>
      <c r="LCU91" s="1055"/>
      <c r="LCV91" s="1055"/>
      <c r="LCW91" s="1055"/>
      <c r="LCX91" s="1055"/>
      <c r="LCY91" s="1055"/>
      <c r="LCZ91" s="1055"/>
      <c r="LDA91" s="1055"/>
      <c r="LDB91" s="1055"/>
      <c r="LDC91" s="1055"/>
      <c r="LDD91" s="1055"/>
      <c r="LDE91" s="1055"/>
      <c r="LDF91" s="1055"/>
      <c r="LDG91" s="1055"/>
      <c r="LDH91" s="1055"/>
      <c r="LDI91" s="1055"/>
      <c r="LDJ91" s="1055"/>
      <c r="LDK91" s="1055"/>
      <c r="LDL91" s="1055"/>
      <c r="LDM91" s="1055"/>
      <c r="LDN91" s="1055"/>
      <c r="LDO91" s="1055"/>
      <c r="LDP91" s="1055"/>
      <c r="LDQ91" s="1055"/>
      <c r="LDR91" s="1055"/>
      <c r="LDS91" s="1055"/>
      <c r="LDT91" s="1055"/>
      <c r="LDU91" s="1055"/>
      <c r="LDV91" s="1055"/>
      <c r="LDW91" s="1055"/>
      <c r="LDX91" s="1055"/>
      <c r="LDY91" s="1055"/>
      <c r="LDZ91" s="1055"/>
      <c r="LEA91" s="1055"/>
      <c r="LEB91" s="1055"/>
      <c r="LEC91" s="1055"/>
      <c r="LED91" s="1055"/>
      <c r="LEE91" s="1055"/>
      <c r="LEF91" s="1055"/>
      <c r="LEG91" s="1055"/>
      <c r="LEH91" s="1055"/>
      <c r="LEI91" s="1055"/>
      <c r="LEJ91" s="1055"/>
      <c r="LEK91" s="1055"/>
      <c r="LEL91" s="1055"/>
      <c r="LEM91" s="1055"/>
      <c r="LEN91" s="1055"/>
      <c r="LEO91" s="1055"/>
      <c r="LEP91" s="1055"/>
      <c r="LEQ91" s="1055"/>
      <c r="LER91" s="1055"/>
      <c r="LES91" s="1055"/>
      <c r="LET91" s="1055"/>
      <c r="LEU91" s="1055"/>
      <c r="LEV91" s="1055"/>
      <c r="LEW91" s="1055"/>
      <c r="LEX91" s="1055"/>
      <c r="LEY91" s="1055"/>
      <c r="LEZ91" s="1055"/>
      <c r="LFA91" s="1055"/>
      <c r="LFB91" s="1055"/>
      <c r="LFC91" s="1055"/>
      <c r="LFD91" s="1055"/>
      <c r="LFE91" s="1055"/>
      <c r="LFF91" s="1055"/>
      <c r="LFG91" s="1055"/>
      <c r="LFH91" s="1055"/>
      <c r="LFI91" s="1055"/>
      <c r="LFJ91" s="1055"/>
      <c r="LFK91" s="1055"/>
      <c r="LFL91" s="1055"/>
      <c r="LFM91" s="1055"/>
      <c r="LFN91" s="1055"/>
      <c r="LFO91" s="1055"/>
      <c r="LFP91" s="1055"/>
      <c r="LFQ91" s="1055"/>
      <c r="LFR91" s="1055"/>
      <c r="LFS91" s="1055"/>
      <c r="LFT91" s="1055"/>
      <c r="LFU91" s="1055"/>
      <c r="LFV91" s="1055"/>
      <c r="LFW91" s="1055"/>
      <c r="LFX91" s="1055"/>
      <c r="LFY91" s="1055"/>
      <c r="LFZ91" s="1055"/>
      <c r="LGA91" s="1055"/>
      <c r="LGB91" s="1055"/>
      <c r="LGC91" s="1055"/>
      <c r="LGD91" s="1055"/>
      <c r="LGE91" s="1055"/>
      <c r="LGF91" s="1055"/>
      <c r="LGG91" s="1055"/>
      <c r="LGH91" s="1055"/>
      <c r="LGI91" s="1055"/>
      <c r="LGJ91" s="1055"/>
      <c r="LGK91" s="1055"/>
      <c r="LGL91" s="1055"/>
      <c r="LGM91" s="1055"/>
      <c r="LGN91" s="1055"/>
      <c r="LGO91" s="1055"/>
      <c r="LGP91" s="1055"/>
      <c r="LGQ91" s="1055"/>
      <c r="LGR91" s="1055"/>
      <c r="LGS91" s="1055"/>
      <c r="LGT91" s="1055"/>
      <c r="LGU91" s="1055"/>
      <c r="LGV91" s="1055"/>
      <c r="LGW91" s="1055"/>
      <c r="LGX91" s="1055"/>
      <c r="LGY91" s="1055"/>
      <c r="LGZ91" s="1055"/>
      <c r="LHA91" s="1055"/>
      <c r="LHB91" s="1055"/>
      <c r="LHC91" s="1055"/>
      <c r="LHD91" s="1055"/>
      <c r="LHE91" s="1055"/>
      <c r="LHF91" s="1055"/>
      <c r="LHG91" s="1055"/>
      <c r="LHH91" s="1055"/>
      <c r="LHI91" s="1055"/>
      <c r="LHJ91" s="1055"/>
      <c r="LHK91" s="1055"/>
      <c r="LHL91" s="1055"/>
      <c r="LHM91" s="1055"/>
      <c r="LHN91" s="1055"/>
      <c r="LHO91" s="1055"/>
      <c r="LHP91" s="1055"/>
      <c r="LHQ91" s="1055"/>
      <c r="LHR91" s="1055"/>
      <c r="LHS91" s="1055"/>
      <c r="LHT91" s="1055"/>
      <c r="LHU91" s="1055"/>
      <c r="LHV91" s="1055"/>
      <c r="LHW91" s="1055"/>
      <c r="LHX91" s="1055"/>
      <c r="LHY91" s="1055"/>
      <c r="LHZ91" s="1055"/>
      <c r="LIA91" s="1055"/>
      <c r="LIB91" s="1055"/>
      <c r="LIC91" s="1055"/>
      <c r="LID91" s="1055"/>
      <c r="LIE91" s="1055"/>
      <c r="LIF91" s="1055"/>
      <c r="LIG91" s="1055"/>
      <c r="LIH91" s="1055"/>
      <c r="LII91" s="1055"/>
      <c r="LIJ91" s="1055"/>
      <c r="LIK91" s="1055"/>
      <c r="LIL91" s="1055"/>
      <c r="LIM91" s="1055"/>
      <c r="LIN91" s="1055"/>
      <c r="LIO91" s="1055"/>
      <c r="LIP91" s="1055"/>
      <c r="LIQ91" s="1055"/>
      <c r="LIR91" s="1055"/>
      <c r="LIS91" s="1055"/>
      <c r="LIT91" s="1055"/>
      <c r="LIU91" s="1055"/>
      <c r="LIV91" s="1055"/>
      <c r="LIW91" s="1055"/>
      <c r="LIX91" s="1055"/>
      <c r="LIY91" s="1055"/>
      <c r="LIZ91" s="1055"/>
      <c r="LJA91" s="1055"/>
      <c r="LJB91" s="1055"/>
      <c r="LJC91" s="1055"/>
      <c r="LJD91" s="1055"/>
      <c r="LJE91" s="1055"/>
      <c r="LJF91" s="1055"/>
      <c r="LJG91" s="1055"/>
      <c r="LJH91" s="1055"/>
      <c r="LJI91" s="1055"/>
      <c r="LJJ91" s="1055"/>
      <c r="LJK91" s="1055"/>
      <c r="LJL91" s="1055"/>
      <c r="LJM91" s="1055"/>
      <c r="LJN91" s="1055"/>
      <c r="LJO91" s="1055"/>
      <c r="LJP91" s="1055"/>
      <c r="LJQ91" s="1055"/>
      <c r="LJR91" s="1055"/>
      <c r="LJS91" s="1055"/>
      <c r="LJT91" s="1055"/>
      <c r="LJU91" s="1055"/>
      <c r="LJV91" s="1055"/>
      <c r="LJW91" s="1055"/>
      <c r="LJX91" s="1055"/>
      <c r="LJY91" s="1055"/>
      <c r="LJZ91" s="1055"/>
      <c r="LKA91" s="1055"/>
      <c r="LKB91" s="1055"/>
      <c r="LKC91" s="1055"/>
      <c r="LKD91" s="1055"/>
      <c r="LKE91" s="1055"/>
      <c r="LKF91" s="1055"/>
      <c r="LKG91" s="1055"/>
      <c r="LKH91" s="1055"/>
      <c r="LKI91" s="1055"/>
      <c r="LKJ91" s="1055"/>
      <c r="LKK91" s="1055"/>
      <c r="LKL91" s="1055"/>
      <c r="LKM91" s="1055"/>
      <c r="LKN91" s="1055"/>
      <c r="LKO91" s="1055"/>
      <c r="LKP91" s="1055"/>
      <c r="LKQ91" s="1055"/>
      <c r="LKR91" s="1055"/>
      <c r="LKS91" s="1055"/>
      <c r="LKT91" s="1055"/>
      <c r="LKU91" s="1055"/>
      <c r="LKV91" s="1055"/>
      <c r="LKW91" s="1055"/>
      <c r="LKX91" s="1055"/>
      <c r="LKY91" s="1055"/>
      <c r="LKZ91" s="1055"/>
      <c r="LLA91" s="1055"/>
      <c r="LLB91" s="1055"/>
      <c r="LLC91" s="1055"/>
      <c r="LLD91" s="1055"/>
      <c r="LLE91" s="1055"/>
      <c r="LLF91" s="1055"/>
      <c r="LLG91" s="1055"/>
      <c r="LLH91" s="1055"/>
      <c r="LLI91" s="1055"/>
      <c r="LLJ91" s="1055"/>
      <c r="LLK91" s="1055"/>
      <c r="LLL91" s="1055"/>
      <c r="LLM91" s="1055"/>
      <c r="LLN91" s="1055"/>
      <c r="LLO91" s="1055"/>
      <c r="LLP91" s="1055"/>
      <c r="LLQ91" s="1055"/>
      <c r="LLR91" s="1055"/>
      <c r="LLS91" s="1055"/>
      <c r="LLT91" s="1055"/>
      <c r="LLU91" s="1055"/>
      <c r="LLV91" s="1055"/>
      <c r="LLW91" s="1055"/>
      <c r="LLX91" s="1055"/>
      <c r="LLY91" s="1055"/>
      <c r="LLZ91" s="1055"/>
      <c r="LMA91" s="1055"/>
      <c r="LMB91" s="1055"/>
      <c r="LMC91" s="1055"/>
      <c r="LMD91" s="1055"/>
      <c r="LME91" s="1055"/>
      <c r="LMF91" s="1055"/>
      <c r="LMG91" s="1055"/>
      <c r="LMH91" s="1055"/>
      <c r="LMI91" s="1055"/>
      <c r="LMJ91" s="1055"/>
      <c r="LMK91" s="1055"/>
      <c r="LML91" s="1055"/>
      <c r="LMM91" s="1055"/>
      <c r="LMN91" s="1055"/>
      <c r="LMO91" s="1055"/>
      <c r="LMP91" s="1055"/>
      <c r="LMQ91" s="1055"/>
      <c r="LMR91" s="1055"/>
      <c r="LMS91" s="1055"/>
      <c r="LMT91" s="1055"/>
      <c r="LMU91" s="1055"/>
      <c r="LMV91" s="1055"/>
      <c r="LMW91" s="1055"/>
      <c r="LMX91" s="1055"/>
      <c r="LMY91" s="1055"/>
      <c r="LMZ91" s="1055"/>
      <c r="LNA91" s="1055"/>
      <c r="LNB91" s="1055"/>
      <c r="LNC91" s="1055"/>
      <c r="LND91" s="1055"/>
      <c r="LNE91" s="1055"/>
      <c r="LNF91" s="1055"/>
      <c r="LNG91" s="1055"/>
      <c r="LNH91" s="1055"/>
      <c r="LNI91" s="1055"/>
      <c r="LNJ91" s="1055"/>
      <c r="LNK91" s="1055"/>
      <c r="LNL91" s="1055"/>
      <c r="LNM91" s="1055"/>
      <c r="LNN91" s="1055"/>
      <c r="LNO91" s="1055"/>
      <c r="LNP91" s="1055"/>
      <c r="LNQ91" s="1055"/>
      <c r="LNR91" s="1055"/>
      <c r="LNS91" s="1055"/>
      <c r="LNT91" s="1055"/>
      <c r="LNU91" s="1055"/>
      <c r="LNV91" s="1055"/>
      <c r="LNW91" s="1055"/>
      <c r="LNX91" s="1055"/>
      <c r="LNY91" s="1055"/>
      <c r="LNZ91" s="1055"/>
      <c r="LOA91" s="1055"/>
      <c r="LOB91" s="1055"/>
      <c r="LOC91" s="1055"/>
      <c r="LOD91" s="1055"/>
      <c r="LOE91" s="1055"/>
      <c r="LOF91" s="1055"/>
      <c r="LOG91" s="1055"/>
      <c r="LOH91" s="1055"/>
      <c r="LOI91" s="1055"/>
      <c r="LOJ91" s="1055"/>
      <c r="LOK91" s="1055"/>
      <c r="LOL91" s="1055"/>
      <c r="LOM91" s="1055"/>
      <c r="LON91" s="1055"/>
      <c r="LOO91" s="1055"/>
      <c r="LOP91" s="1055"/>
      <c r="LOQ91" s="1055"/>
      <c r="LOR91" s="1055"/>
      <c r="LOS91" s="1055"/>
      <c r="LOT91" s="1055"/>
      <c r="LOU91" s="1055"/>
      <c r="LOV91" s="1055"/>
      <c r="LOW91" s="1055"/>
      <c r="LOX91" s="1055"/>
      <c r="LOY91" s="1055"/>
      <c r="LOZ91" s="1055"/>
      <c r="LPA91" s="1055"/>
      <c r="LPB91" s="1055"/>
      <c r="LPC91" s="1055"/>
      <c r="LPD91" s="1055"/>
      <c r="LPE91" s="1055"/>
      <c r="LPF91" s="1055"/>
      <c r="LPG91" s="1055"/>
      <c r="LPH91" s="1055"/>
      <c r="LPI91" s="1055"/>
      <c r="LPJ91" s="1055"/>
      <c r="LPK91" s="1055"/>
      <c r="LPL91" s="1055"/>
      <c r="LPM91" s="1055"/>
      <c r="LPN91" s="1055"/>
      <c r="LPO91" s="1055"/>
      <c r="LPP91" s="1055"/>
      <c r="LPQ91" s="1055"/>
      <c r="LPR91" s="1055"/>
      <c r="LPS91" s="1055"/>
      <c r="LPT91" s="1055"/>
      <c r="LPU91" s="1055"/>
      <c r="LPV91" s="1055"/>
      <c r="LPW91" s="1055"/>
      <c r="LPX91" s="1055"/>
      <c r="LPY91" s="1055"/>
      <c r="LPZ91" s="1055"/>
      <c r="LQA91" s="1055"/>
      <c r="LQB91" s="1055"/>
      <c r="LQC91" s="1055"/>
      <c r="LQD91" s="1055"/>
      <c r="LQE91" s="1055"/>
      <c r="LQF91" s="1055"/>
      <c r="LQG91" s="1055"/>
      <c r="LQH91" s="1055"/>
      <c r="LQI91" s="1055"/>
      <c r="LQJ91" s="1055"/>
      <c r="LQK91" s="1055"/>
      <c r="LQL91" s="1055"/>
      <c r="LQM91" s="1055"/>
      <c r="LQN91" s="1055"/>
      <c r="LQO91" s="1055"/>
      <c r="LQP91" s="1055"/>
      <c r="LQQ91" s="1055"/>
      <c r="LQR91" s="1055"/>
      <c r="LQS91" s="1055"/>
      <c r="LQT91" s="1055"/>
      <c r="LQU91" s="1055"/>
      <c r="LQV91" s="1055"/>
      <c r="LQW91" s="1055"/>
      <c r="LQX91" s="1055"/>
      <c r="LQY91" s="1055"/>
      <c r="LQZ91" s="1055"/>
      <c r="LRA91" s="1055"/>
      <c r="LRB91" s="1055"/>
      <c r="LRC91" s="1055"/>
      <c r="LRD91" s="1055"/>
      <c r="LRE91" s="1055"/>
      <c r="LRF91" s="1055"/>
      <c r="LRG91" s="1055"/>
      <c r="LRH91" s="1055"/>
      <c r="LRI91" s="1055"/>
      <c r="LRJ91" s="1055"/>
      <c r="LRK91" s="1055"/>
      <c r="LRL91" s="1055"/>
      <c r="LRM91" s="1055"/>
      <c r="LRN91" s="1055"/>
      <c r="LRO91" s="1055"/>
      <c r="LRP91" s="1055"/>
      <c r="LRQ91" s="1055"/>
      <c r="LRR91" s="1055"/>
      <c r="LRS91" s="1055"/>
      <c r="LRT91" s="1055"/>
      <c r="LRU91" s="1055"/>
      <c r="LRV91" s="1055"/>
      <c r="LRW91" s="1055"/>
      <c r="LRX91" s="1055"/>
      <c r="LRY91" s="1055"/>
      <c r="LRZ91" s="1055"/>
      <c r="LSA91" s="1055"/>
      <c r="LSB91" s="1055"/>
      <c r="LSC91" s="1055"/>
      <c r="LSD91" s="1055"/>
      <c r="LSE91" s="1055"/>
      <c r="LSF91" s="1055"/>
      <c r="LSG91" s="1055"/>
      <c r="LSH91" s="1055"/>
      <c r="LSI91" s="1055"/>
      <c r="LSJ91" s="1055"/>
      <c r="LSK91" s="1055"/>
      <c r="LSL91" s="1055"/>
      <c r="LSM91" s="1055"/>
      <c r="LSN91" s="1055"/>
      <c r="LSO91" s="1055"/>
      <c r="LSP91" s="1055"/>
      <c r="LSQ91" s="1055"/>
      <c r="LSR91" s="1055"/>
      <c r="LSS91" s="1055"/>
      <c r="LST91" s="1055"/>
      <c r="LSU91" s="1055"/>
      <c r="LSV91" s="1055"/>
      <c r="LSW91" s="1055"/>
      <c r="LSX91" s="1055"/>
      <c r="LSY91" s="1055"/>
      <c r="LSZ91" s="1055"/>
      <c r="LTA91" s="1055"/>
      <c r="LTB91" s="1055"/>
      <c r="LTC91" s="1055"/>
      <c r="LTD91" s="1055"/>
      <c r="LTE91" s="1055"/>
      <c r="LTF91" s="1055"/>
      <c r="LTG91" s="1055"/>
      <c r="LTH91" s="1055"/>
      <c r="LTI91" s="1055"/>
      <c r="LTJ91" s="1055"/>
      <c r="LTK91" s="1055"/>
      <c r="LTL91" s="1055"/>
      <c r="LTM91" s="1055"/>
      <c r="LTN91" s="1055"/>
      <c r="LTO91" s="1055"/>
      <c r="LTP91" s="1055"/>
      <c r="LTQ91" s="1055"/>
      <c r="LTR91" s="1055"/>
      <c r="LTS91" s="1055"/>
      <c r="LTT91" s="1055"/>
      <c r="LTU91" s="1055"/>
      <c r="LTV91" s="1055"/>
      <c r="LTW91" s="1055"/>
      <c r="LTX91" s="1055"/>
      <c r="LTY91" s="1055"/>
      <c r="LTZ91" s="1055"/>
      <c r="LUA91" s="1055"/>
      <c r="LUB91" s="1055"/>
      <c r="LUC91" s="1055"/>
      <c r="LUD91" s="1055"/>
      <c r="LUE91" s="1055"/>
      <c r="LUF91" s="1055"/>
      <c r="LUG91" s="1055"/>
      <c r="LUH91" s="1055"/>
      <c r="LUI91" s="1055"/>
      <c r="LUJ91" s="1055"/>
      <c r="LUK91" s="1055"/>
      <c r="LUL91" s="1055"/>
      <c r="LUM91" s="1055"/>
      <c r="LUN91" s="1055"/>
      <c r="LUO91" s="1055"/>
      <c r="LUP91" s="1055"/>
      <c r="LUQ91" s="1055"/>
      <c r="LUR91" s="1055"/>
      <c r="LUS91" s="1055"/>
      <c r="LUT91" s="1055"/>
      <c r="LUU91" s="1055"/>
      <c r="LUV91" s="1055"/>
      <c r="LUW91" s="1055"/>
      <c r="LUX91" s="1055"/>
      <c r="LUY91" s="1055"/>
      <c r="LUZ91" s="1055"/>
      <c r="LVA91" s="1055"/>
      <c r="LVB91" s="1055"/>
      <c r="LVC91" s="1055"/>
      <c r="LVD91" s="1055"/>
      <c r="LVE91" s="1055"/>
      <c r="LVF91" s="1055"/>
      <c r="LVG91" s="1055"/>
      <c r="LVH91" s="1055"/>
      <c r="LVI91" s="1055"/>
      <c r="LVJ91" s="1055"/>
      <c r="LVK91" s="1055"/>
      <c r="LVL91" s="1055"/>
      <c r="LVM91" s="1055"/>
      <c r="LVN91" s="1055"/>
      <c r="LVO91" s="1055"/>
      <c r="LVP91" s="1055"/>
      <c r="LVQ91" s="1055"/>
      <c r="LVR91" s="1055"/>
      <c r="LVS91" s="1055"/>
      <c r="LVT91" s="1055"/>
      <c r="LVU91" s="1055"/>
      <c r="LVV91" s="1055"/>
      <c r="LVW91" s="1055"/>
      <c r="LVX91" s="1055"/>
      <c r="LVY91" s="1055"/>
      <c r="LVZ91" s="1055"/>
      <c r="LWA91" s="1055"/>
      <c r="LWB91" s="1055"/>
      <c r="LWC91" s="1055"/>
      <c r="LWD91" s="1055"/>
      <c r="LWE91" s="1055"/>
      <c r="LWF91" s="1055"/>
      <c r="LWG91" s="1055"/>
      <c r="LWH91" s="1055"/>
      <c r="LWI91" s="1055"/>
      <c r="LWJ91" s="1055"/>
      <c r="LWK91" s="1055"/>
      <c r="LWL91" s="1055"/>
      <c r="LWM91" s="1055"/>
      <c r="LWN91" s="1055"/>
      <c r="LWO91" s="1055"/>
      <c r="LWP91" s="1055"/>
      <c r="LWQ91" s="1055"/>
      <c r="LWR91" s="1055"/>
      <c r="LWS91" s="1055"/>
      <c r="LWT91" s="1055"/>
      <c r="LWU91" s="1055"/>
      <c r="LWV91" s="1055"/>
      <c r="LWW91" s="1055"/>
      <c r="LWX91" s="1055"/>
      <c r="LWY91" s="1055"/>
      <c r="LWZ91" s="1055"/>
      <c r="LXA91" s="1055"/>
      <c r="LXB91" s="1055"/>
      <c r="LXC91" s="1055"/>
      <c r="LXD91" s="1055"/>
      <c r="LXE91" s="1055"/>
      <c r="LXF91" s="1055"/>
      <c r="LXG91" s="1055"/>
      <c r="LXH91" s="1055"/>
      <c r="LXI91" s="1055"/>
      <c r="LXJ91" s="1055"/>
      <c r="LXK91" s="1055"/>
      <c r="LXL91" s="1055"/>
      <c r="LXM91" s="1055"/>
      <c r="LXN91" s="1055"/>
      <c r="LXO91" s="1055"/>
      <c r="LXP91" s="1055"/>
      <c r="LXQ91" s="1055"/>
      <c r="LXR91" s="1055"/>
      <c r="LXS91" s="1055"/>
      <c r="LXT91" s="1055"/>
      <c r="LXU91" s="1055"/>
      <c r="LXV91" s="1055"/>
      <c r="LXW91" s="1055"/>
      <c r="LXX91" s="1055"/>
      <c r="LXY91" s="1055"/>
      <c r="LXZ91" s="1055"/>
      <c r="LYA91" s="1055"/>
      <c r="LYB91" s="1055"/>
      <c r="LYC91" s="1055"/>
      <c r="LYD91" s="1055"/>
      <c r="LYE91" s="1055"/>
      <c r="LYF91" s="1055"/>
      <c r="LYG91" s="1055"/>
      <c r="LYH91" s="1055"/>
      <c r="LYI91" s="1055"/>
      <c r="LYJ91" s="1055"/>
      <c r="LYK91" s="1055"/>
      <c r="LYL91" s="1055"/>
      <c r="LYM91" s="1055"/>
      <c r="LYN91" s="1055"/>
      <c r="LYO91" s="1055"/>
      <c r="LYP91" s="1055"/>
      <c r="LYQ91" s="1055"/>
      <c r="LYR91" s="1055"/>
      <c r="LYS91" s="1055"/>
      <c r="LYT91" s="1055"/>
      <c r="LYU91" s="1055"/>
      <c r="LYV91" s="1055"/>
      <c r="LYW91" s="1055"/>
      <c r="LYX91" s="1055"/>
      <c r="LYY91" s="1055"/>
      <c r="LYZ91" s="1055"/>
      <c r="LZA91" s="1055"/>
      <c r="LZB91" s="1055"/>
      <c r="LZC91" s="1055"/>
      <c r="LZD91" s="1055"/>
      <c r="LZE91" s="1055"/>
      <c r="LZF91" s="1055"/>
      <c r="LZG91" s="1055"/>
      <c r="LZH91" s="1055"/>
      <c r="LZI91" s="1055"/>
      <c r="LZJ91" s="1055"/>
      <c r="LZK91" s="1055"/>
      <c r="LZL91" s="1055"/>
      <c r="LZM91" s="1055"/>
      <c r="LZN91" s="1055"/>
      <c r="LZO91" s="1055"/>
      <c r="LZP91" s="1055"/>
      <c r="LZQ91" s="1055"/>
      <c r="LZR91" s="1055"/>
      <c r="LZS91" s="1055"/>
      <c r="LZT91" s="1055"/>
      <c r="LZU91" s="1055"/>
      <c r="LZV91" s="1055"/>
      <c r="LZW91" s="1055"/>
      <c r="LZX91" s="1055"/>
      <c r="LZY91" s="1055"/>
      <c r="LZZ91" s="1055"/>
      <c r="MAA91" s="1055"/>
      <c r="MAB91" s="1055"/>
      <c r="MAC91" s="1055"/>
      <c r="MAD91" s="1055"/>
      <c r="MAE91" s="1055"/>
      <c r="MAF91" s="1055"/>
      <c r="MAG91" s="1055"/>
      <c r="MAH91" s="1055"/>
      <c r="MAI91" s="1055"/>
      <c r="MAJ91" s="1055"/>
      <c r="MAK91" s="1055"/>
      <c r="MAL91" s="1055"/>
      <c r="MAM91" s="1055"/>
      <c r="MAN91" s="1055"/>
      <c r="MAO91" s="1055"/>
      <c r="MAP91" s="1055"/>
      <c r="MAQ91" s="1055"/>
      <c r="MAR91" s="1055"/>
      <c r="MAS91" s="1055"/>
      <c r="MAT91" s="1055"/>
      <c r="MAU91" s="1055"/>
      <c r="MAV91" s="1055"/>
      <c r="MAW91" s="1055"/>
      <c r="MAX91" s="1055"/>
      <c r="MAY91" s="1055"/>
      <c r="MAZ91" s="1055"/>
      <c r="MBA91" s="1055"/>
      <c r="MBB91" s="1055"/>
      <c r="MBC91" s="1055"/>
      <c r="MBD91" s="1055"/>
      <c r="MBE91" s="1055"/>
      <c r="MBF91" s="1055"/>
      <c r="MBG91" s="1055"/>
      <c r="MBH91" s="1055"/>
      <c r="MBI91" s="1055"/>
      <c r="MBJ91" s="1055"/>
      <c r="MBK91" s="1055"/>
      <c r="MBL91" s="1055"/>
      <c r="MBM91" s="1055"/>
      <c r="MBN91" s="1055"/>
      <c r="MBO91" s="1055"/>
      <c r="MBP91" s="1055"/>
      <c r="MBQ91" s="1055"/>
      <c r="MBR91" s="1055"/>
      <c r="MBS91" s="1055"/>
      <c r="MBT91" s="1055"/>
      <c r="MBU91" s="1055"/>
      <c r="MBV91" s="1055"/>
      <c r="MBW91" s="1055"/>
      <c r="MBX91" s="1055"/>
      <c r="MBY91" s="1055"/>
      <c r="MBZ91" s="1055"/>
      <c r="MCA91" s="1055"/>
      <c r="MCB91" s="1055"/>
      <c r="MCC91" s="1055"/>
      <c r="MCD91" s="1055"/>
      <c r="MCE91" s="1055"/>
      <c r="MCF91" s="1055"/>
      <c r="MCG91" s="1055"/>
      <c r="MCH91" s="1055"/>
      <c r="MCI91" s="1055"/>
      <c r="MCJ91" s="1055"/>
      <c r="MCK91" s="1055"/>
      <c r="MCL91" s="1055"/>
      <c r="MCM91" s="1055"/>
      <c r="MCN91" s="1055"/>
      <c r="MCO91" s="1055"/>
      <c r="MCP91" s="1055"/>
      <c r="MCQ91" s="1055"/>
      <c r="MCR91" s="1055"/>
      <c r="MCS91" s="1055"/>
      <c r="MCT91" s="1055"/>
      <c r="MCU91" s="1055"/>
      <c r="MCV91" s="1055"/>
      <c r="MCW91" s="1055"/>
      <c r="MCX91" s="1055"/>
      <c r="MCY91" s="1055"/>
      <c r="MCZ91" s="1055"/>
      <c r="MDA91" s="1055"/>
      <c r="MDB91" s="1055"/>
      <c r="MDC91" s="1055"/>
      <c r="MDD91" s="1055"/>
      <c r="MDE91" s="1055"/>
      <c r="MDF91" s="1055"/>
      <c r="MDG91" s="1055"/>
      <c r="MDH91" s="1055"/>
      <c r="MDI91" s="1055"/>
      <c r="MDJ91" s="1055"/>
      <c r="MDK91" s="1055"/>
      <c r="MDL91" s="1055"/>
      <c r="MDM91" s="1055"/>
      <c r="MDN91" s="1055"/>
      <c r="MDO91" s="1055"/>
      <c r="MDP91" s="1055"/>
      <c r="MDQ91" s="1055"/>
      <c r="MDR91" s="1055"/>
      <c r="MDS91" s="1055"/>
      <c r="MDT91" s="1055"/>
      <c r="MDU91" s="1055"/>
      <c r="MDV91" s="1055"/>
      <c r="MDW91" s="1055"/>
      <c r="MDX91" s="1055"/>
      <c r="MDY91" s="1055"/>
      <c r="MDZ91" s="1055"/>
      <c r="MEA91" s="1055"/>
      <c r="MEB91" s="1055"/>
      <c r="MEC91" s="1055"/>
      <c r="MED91" s="1055"/>
      <c r="MEE91" s="1055"/>
      <c r="MEF91" s="1055"/>
      <c r="MEG91" s="1055"/>
      <c r="MEH91" s="1055"/>
      <c r="MEI91" s="1055"/>
      <c r="MEJ91" s="1055"/>
      <c r="MEK91" s="1055"/>
      <c r="MEL91" s="1055"/>
      <c r="MEM91" s="1055"/>
      <c r="MEN91" s="1055"/>
      <c r="MEO91" s="1055"/>
      <c r="MEP91" s="1055"/>
      <c r="MEQ91" s="1055"/>
      <c r="MER91" s="1055"/>
      <c r="MES91" s="1055"/>
      <c r="MET91" s="1055"/>
      <c r="MEU91" s="1055"/>
      <c r="MEV91" s="1055"/>
      <c r="MEW91" s="1055"/>
      <c r="MEX91" s="1055"/>
      <c r="MEY91" s="1055"/>
      <c r="MEZ91" s="1055"/>
      <c r="MFA91" s="1055"/>
      <c r="MFB91" s="1055"/>
      <c r="MFC91" s="1055"/>
      <c r="MFD91" s="1055"/>
      <c r="MFE91" s="1055"/>
      <c r="MFF91" s="1055"/>
      <c r="MFG91" s="1055"/>
      <c r="MFH91" s="1055"/>
      <c r="MFI91" s="1055"/>
      <c r="MFJ91" s="1055"/>
      <c r="MFK91" s="1055"/>
      <c r="MFL91" s="1055"/>
      <c r="MFM91" s="1055"/>
      <c r="MFN91" s="1055"/>
      <c r="MFO91" s="1055"/>
      <c r="MFP91" s="1055"/>
      <c r="MFQ91" s="1055"/>
      <c r="MFR91" s="1055"/>
      <c r="MFS91" s="1055"/>
      <c r="MFT91" s="1055"/>
      <c r="MFU91" s="1055"/>
      <c r="MFV91" s="1055"/>
      <c r="MFW91" s="1055"/>
      <c r="MFX91" s="1055"/>
      <c r="MFY91" s="1055"/>
      <c r="MFZ91" s="1055"/>
      <c r="MGA91" s="1055"/>
      <c r="MGB91" s="1055"/>
      <c r="MGC91" s="1055"/>
      <c r="MGD91" s="1055"/>
      <c r="MGE91" s="1055"/>
      <c r="MGF91" s="1055"/>
      <c r="MGG91" s="1055"/>
      <c r="MGH91" s="1055"/>
      <c r="MGI91" s="1055"/>
      <c r="MGJ91" s="1055"/>
      <c r="MGK91" s="1055"/>
      <c r="MGL91" s="1055"/>
      <c r="MGM91" s="1055"/>
      <c r="MGN91" s="1055"/>
      <c r="MGO91" s="1055"/>
      <c r="MGP91" s="1055"/>
      <c r="MGQ91" s="1055"/>
      <c r="MGR91" s="1055"/>
      <c r="MGS91" s="1055"/>
      <c r="MGT91" s="1055"/>
      <c r="MGU91" s="1055"/>
      <c r="MGV91" s="1055"/>
      <c r="MGW91" s="1055"/>
      <c r="MGX91" s="1055"/>
      <c r="MGY91" s="1055"/>
      <c r="MGZ91" s="1055"/>
      <c r="MHA91" s="1055"/>
      <c r="MHB91" s="1055"/>
      <c r="MHC91" s="1055"/>
      <c r="MHD91" s="1055"/>
      <c r="MHE91" s="1055"/>
      <c r="MHF91" s="1055"/>
      <c r="MHG91" s="1055"/>
      <c r="MHH91" s="1055"/>
      <c r="MHI91" s="1055"/>
      <c r="MHJ91" s="1055"/>
      <c r="MHK91" s="1055"/>
      <c r="MHL91" s="1055"/>
      <c r="MHM91" s="1055"/>
      <c r="MHN91" s="1055"/>
      <c r="MHO91" s="1055"/>
      <c r="MHP91" s="1055"/>
      <c r="MHQ91" s="1055"/>
      <c r="MHR91" s="1055"/>
      <c r="MHS91" s="1055"/>
      <c r="MHT91" s="1055"/>
      <c r="MHU91" s="1055"/>
      <c r="MHV91" s="1055"/>
      <c r="MHW91" s="1055"/>
      <c r="MHX91" s="1055"/>
      <c r="MHY91" s="1055"/>
      <c r="MHZ91" s="1055"/>
      <c r="MIA91" s="1055"/>
      <c r="MIB91" s="1055"/>
      <c r="MIC91" s="1055"/>
      <c r="MID91" s="1055"/>
      <c r="MIE91" s="1055"/>
      <c r="MIF91" s="1055"/>
      <c r="MIG91" s="1055"/>
      <c r="MIH91" s="1055"/>
      <c r="MII91" s="1055"/>
      <c r="MIJ91" s="1055"/>
      <c r="MIK91" s="1055"/>
      <c r="MIL91" s="1055"/>
      <c r="MIM91" s="1055"/>
      <c r="MIN91" s="1055"/>
      <c r="MIO91" s="1055"/>
      <c r="MIP91" s="1055"/>
      <c r="MIQ91" s="1055"/>
      <c r="MIR91" s="1055"/>
      <c r="MIS91" s="1055"/>
      <c r="MIT91" s="1055"/>
      <c r="MIU91" s="1055"/>
      <c r="MIV91" s="1055"/>
      <c r="MIW91" s="1055"/>
      <c r="MIX91" s="1055"/>
      <c r="MIY91" s="1055"/>
      <c r="MIZ91" s="1055"/>
      <c r="MJA91" s="1055"/>
      <c r="MJB91" s="1055"/>
      <c r="MJC91" s="1055"/>
      <c r="MJD91" s="1055"/>
      <c r="MJE91" s="1055"/>
      <c r="MJF91" s="1055"/>
      <c r="MJG91" s="1055"/>
      <c r="MJH91" s="1055"/>
      <c r="MJI91" s="1055"/>
      <c r="MJJ91" s="1055"/>
      <c r="MJK91" s="1055"/>
      <c r="MJL91" s="1055"/>
      <c r="MJM91" s="1055"/>
      <c r="MJN91" s="1055"/>
      <c r="MJO91" s="1055"/>
      <c r="MJP91" s="1055"/>
      <c r="MJQ91" s="1055"/>
      <c r="MJR91" s="1055"/>
      <c r="MJS91" s="1055"/>
      <c r="MJT91" s="1055"/>
      <c r="MJU91" s="1055"/>
      <c r="MJV91" s="1055"/>
      <c r="MJW91" s="1055"/>
      <c r="MJX91" s="1055"/>
      <c r="MJY91" s="1055"/>
      <c r="MJZ91" s="1055"/>
      <c r="MKA91" s="1055"/>
      <c r="MKB91" s="1055"/>
      <c r="MKC91" s="1055"/>
      <c r="MKD91" s="1055"/>
      <c r="MKE91" s="1055"/>
      <c r="MKF91" s="1055"/>
      <c r="MKG91" s="1055"/>
      <c r="MKH91" s="1055"/>
      <c r="MKI91" s="1055"/>
      <c r="MKJ91" s="1055"/>
      <c r="MKK91" s="1055"/>
      <c r="MKL91" s="1055"/>
      <c r="MKM91" s="1055"/>
      <c r="MKN91" s="1055"/>
      <c r="MKO91" s="1055"/>
      <c r="MKP91" s="1055"/>
      <c r="MKQ91" s="1055"/>
      <c r="MKR91" s="1055"/>
      <c r="MKS91" s="1055"/>
      <c r="MKT91" s="1055"/>
      <c r="MKU91" s="1055"/>
      <c r="MKV91" s="1055"/>
      <c r="MKW91" s="1055"/>
      <c r="MKX91" s="1055"/>
      <c r="MKY91" s="1055"/>
      <c r="MKZ91" s="1055"/>
      <c r="MLA91" s="1055"/>
      <c r="MLB91" s="1055"/>
      <c r="MLC91" s="1055"/>
      <c r="MLD91" s="1055"/>
      <c r="MLE91" s="1055"/>
      <c r="MLF91" s="1055"/>
      <c r="MLG91" s="1055"/>
      <c r="MLH91" s="1055"/>
      <c r="MLI91" s="1055"/>
      <c r="MLJ91" s="1055"/>
      <c r="MLK91" s="1055"/>
      <c r="MLL91" s="1055"/>
      <c r="MLM91" s="1055"/>
      <c r="MLN91" s="1055"/>
      <c r="MLO91" s="1055"/>
      <c r="MLP91" s="1055"/>
      <c r="MLQ91" s="1055"/>
      <c r="MLR91" s="1055"/>
      <c r="MLS91" s="1055"/>
      <c r="MLT91" s="1055"/>
      <c r="MLU91" s="1055"/>
      <c r="MLV91" s="1055"/>
      <c r="MLW91" s="1055"/>
      <c r="MLX91" s="1055"/>
      <c r="MLY91" s="1055"/>
      <c r="MLZ91" s="1055"/>
      <c r="MMA91" s="1055"/>
      <c r="MMB91" s="1055"/>
      <c r="MMC91" s="1055"/>
      <c r="MMD91" s="1055"/>
      <c r="MME91" s="1055"/>
      <c r="MMF91" s="1055"/>
      <c r="MMG91" s="1055"/>
      <c r="MMH91" s="1055"/>
      <c r="MMI91" s="1055"/>
      <c r="MMJ91" s="1055"/>
      <c r="MMK91" s="1055"/>
      <c r="MML91" s="1055"/>
      <c r="MMM91" s="1055"/>
      <c r="MMN91" s="1055"/>
      <c r="MMO91" s="1055"/>
      <c r="MMP91" s="1055"/>
      <c r="MMQ91" s="1055"/>
      <c r="MMR91" s="1055"/>
      <c r="MMS91" s="1055"/>
      <c r="MMT91" s="1055"/>
      <c r="MMU91" s="1055"/>
      <c r="MMV91" s="1055"/>
      <c r="MMW91" s="1055"/>
      <c r="MMX91" s="1055"/>
      <c r="MMY91" s="1055"/>
      <c r="MMZ91" s="1055"/>
      <c r="MNA91" s="1055"/>
      <c r="MNB91" s="1055"/>
      <c r="MNC91" s="1055"/>
      <c r="MND91" s="1055"/>
      <c r="MNE91" s="1055"/>
      <c r="MNF91" s="1055"/>
      <c r="MNG91" s="1055"/>
      <c r="MNH91" s="1055"/>
      <c r="MNI91" s="1055"/>
      <c r="MNJ91" s="1055"/>
      <c r="MNK91" s="1055"/>
      <c r="MNL91" s="1055"/>
      <c r="MNM91" s="1055"/>
      <c r="MNN91" s="1055"/>
      <c r="MNO91" s="1055"/>
      <c r="MNP91" s="1055"/>
      <c r="MNQ91" s="1055"/>
      <c r="MNR91" s="1055"/>
      <c r="MNS91" s="1055"/>
      <c r="MNT91" s="1055"/>
      <c r="MNU91" s="1055"/>
      <c r="MNV91" s="1055"/>
      <c r="MNW91" s="1055"/>
      <c r="MNX91" s="1055"/>
      <c r="MNY91" s="1055"/>
      <c r="MNZ91" s="1055"/>
      <c r="MOA91" s="1055"/>
      <c r="MOB91" s="1055"/>
      <c r="MOC91" s="1055"/>
      <c r="MOD91" s="1055"/>
      <c r="MOE91" s="1055"/>
      <c r="MOF91" s="1055"/>
      <c r="MOG91" s="1055"/>
      <c r="MOH91" s="1055"/>
      <c r="MOI91" s="1055"/>
      <c r="MOJ91" s="1055"/>
      <c r="MOK91" s="1055"/>
      <c r="MOL91" s="1055"/>
      <c r="MOM91" s="1055"/>
      <c r="MON91" s="1055"/>
      <c r="MOO91" s="1055"/>
      <c r="MOP91" s="1055"/>
      <c r="MOQ91" s="1055"/>
      <c r="MOR91" s="1055"/>
      <c r="MOS91" s="1055"/>
      <c r="MOT91" s="1055"/>
      <c r="MOU91" s="1055"/>
      <c r="MOV91" s="1055"/>
      <c r="MOW91" s="1055"/>
      <c r="MOX91" s="1055"/>
      <c r="MOY91" s="1055"/>
      <c r="MOZ91" s="1055"/>
      <c r="MPA91" s="1055"/>
      <c r="MPB91" s="1055"/>
      <c r="MPC91" s="1055"/>
      <c r="MPD91" s="1055"/>
      <c r="MPE91" s="1055"/>
      <c r="MPF91" s="1055"/>
      <c r="MPG91" s="1055"/>
      <c r="MPH91" s="1055"/>
      <c r="MPI91" s="1055"/>
      <c r="MPJ91" s="1055"/>
      <c r="MPK91" s="1055"/>
      <c r="MPL91" s="1055"/>
      <c r="MPM91" s="1055"/>
      <c r="MPN91" s="1055"/>
      <c r="MPO91" s="1055"/>
      <c r="MPP91" s="1055"/>
      <c r="MPQ91" s="1055"/>
      <c r="MPR91" s="1055"/>
      <c r="MPS91" s="1055"/>
      <c r="MPT91" s="1055"/>
      <c r="MPU91" s="1055"/>
      <c r="MPV91" s="1055"/>
      <c r="MPW91" s="1055"/>
      <c r="MPX91" s="1055"/>
      <c r="MPY91" s="1055"/>
      <c r="MPZ91" s="1055"/>
      <c r="MQA91" s="1055"/>
      <c r="MQB91" s="1055"/>
      <c r="MQC91" s="1055"/>
      <c r="MQD91" s="1055"/>
      <c r="MQE91" s="1055"/>
      <c r="MQF91" s="1055"/>
      <c r="MQG91" s="1055"/>
      <c r="MQH91" s="1055"/>
      <c r="MQI91" s="1055"/>
      <c r="MQJ91" s="1055"/>
      <c r="MQK91" s="1055"/>
      <c r="MQL91" s="1055"/>
      <c r="MQM91" s="1055"/>
      <c r="MQN91" s="1055"/>
      <c r="MQO91" s="1055"/>
      <c r="MQP91" s="1055"/>
      <c r="MQQ91" s="1055"/>
      <c r="MQR91" s="1055"/>
      <c r="MQS91" s="1055"/>
      <c r="MQT91" s="1055"/>
      <c r="MQU91" s="1055"/>
      <c r="MQV91" s="1055"/>
      <c r="MQW91" s="1055"/>
      <c r="MQX91" s="1055"/>
      <c r="MQY91" s="1055"/>
      <c r="MQZ91" s="1055"/>
      <c r="MRA91" s="1055"/>
      <c r="MRB91" s="1055"/>
      <c r="MRC91" s="1055"/>
      <c r="MRD91" s="1055"/>
      <c r="MRE91" s="1055"/>
      <c r="MRF91" s="1055"/>
      <c r="MRG91" s="1055"/>
      <c r="MRH91" s="1055"/>
      <c r="MRI91" s="1055"/>
      <c r="MRJ91" s="1055"/>
      <c r="MRK91" s="1055"/>
      <c r="MRL91" s="1055"/>
      <c r="MRM91" s="1055"/>
      <c r="MRN91" s="1055"/>
      <c r="MRO91" s="1055"/>
      <c r="MRP91" s="1055"/>
      <c r="MRQ91" s="1055"/>
      <c r="MRR91" s="1055"/>
      <c r="MRS91" s="1055"/>
      <c r="MRT91" s="1055"/>
      <c r="MRU91" s="1055"/>
      <c r="MRV91" s="1055"/>
      <c r="MRW91" s="1055"/>
      <c r="MRX91" s="1055"/>
      <c r="MRY91" s="1055"/>
      <c r="MRZ91" s="1055"/>
      <c r="MSA91" s="1055"/>
      <c r="MSB91" s="1055"/>
      <c r="MSC91" s="1055"/>
      <c r="MSD91" s="1055"/>
      <c r="MSE91" s="1055"/>
      <c r="MSF91" s="1055"/>
      <c r="MSG91" s="1055"/>
      <c r="MSH91" s="1055"/>
      <c r="MSI91" s="1055"/>
      <c r="MSJ91" s="1055"/>
      <c r="MSK91" s="1055"/>
      <c r="MSL91" s="1055"/>
      <c r="MSM91" s="1055"/>
      <c r="MSN91" s="1055"/>
      <c r="MSO91" s="1055"/>
      <c r="MSP91" s="1055"/>
      <c r="MSQ91" s="1055"/>
      <c r="MSR91" s="1055"/>
      <c r="MSS91" s="1055"/>
      <c r="MST91" s="1055"/>
      <c r="MSU91" s="1055"/>
      <c r="MSV91" s="1055"/>
      <c r="MSW91" s="1055"/>
      <c r="MSX91" s="1055"/>
      <c r="MSY91" s="1055"/>
      <c r="MSZ91" s="1055"/>
      <c r="MTA91" s="1055"/>
      <c r="MTB91" s="1055"/>
      <c r="MTC91" s="1055"/>
      <c r="MTD91" s="1055"/>
      <c r="MTE91" s="1055"/>
      <c r="MTF91" s="1055"/>
      <c r="MTG91" s="1055"/>
      <c r="MTH91" s="1055"/>
      <c r="MTI91" s="1055"/>
      <c r="MTJ91" s="1055"/>
      <c r="MTK91" s="1055"/>
      <c r="MTL91" s="1055"/>
      <c r="MTM91" s="1055"/>
      <c r="MTN91" s="1055"/>
      <c r="MTO91" s="1055"/>
      <c r="MTP91" s="1055"/>
      <c r="MTQ91" s="1055"/>
      <c r="MTR91" s="1055"/>
      <c r="MTS91" s="1055"/>
      <c r="MTT91" s="1055"/>
      <c r="MTU91" s="1055"/>
      <c r="MTV91" s="1055"/>
      <c r="MTW91" s="1055"/>
      <c r="MTX91" s="1055"/>
      <c r="MTY91" s="1055"/>
      <c r="MTZ91" s="1055"/>
      <c r="MUA91" s="1055"/>
      <c r="MUB91" s="1055"/>
      <c r="MUC91" s="1055"/>
      <c r="MUD91" s="1055"/>
      <c r="MUE91" s="1055"/>
      <c r="MUF91" s="1055"/>
      <c r="MUG91" s="1055"/>
      <c r="MUH91" s="1055"/>
      <c r="MUI91" s="1055"/>
      <c r="MUJ91" s="1055"/>
      <c r="MUK91" s="1055"/>
      <c r="MUL91" s="1055"/>
      <c r="MUM91" s="1055"/>
      <c r="MUN91" s="1055"/>
      <c r="MUO91" s="1055"/>
      <c r="MUP91" s="1055"/>
      <c r="MUQ91" s="1055"/>
      <c r="MUR91" s="1055"/>
      <c r="MUS91" s="1055"/>
      <c r="MUT91" s="1055"/>
      <c r="MUU91" s="1055"/>
      <c r="MUV91" s="1055"/>
      <c r="MUW91" s="1055"/>
      <c r="MUX91" s="1055"/>
      <c r="MUY91" s="1055"/>
      <c r="MUZ91" s="1055"/>
      <c r="MVA91" s="1055"/>
      <c r="MVB91" s="1055"/>
      <c r="MVC91" s="1055"/>
      <c r="MVD91" s="1055"/>
      <c r="MVE91" s="1055"/>
      <c r="MVF91" s="1055"/>
      <c r="MVG91" s="1055"/>
      <c r="MVH91" s="1055"/>
      <c r="MVI91" s="1055"/>
      <c r="MVJ91" s="1055"/>
      <c r="MVK91" s="1055"/>
      <c r="MVL91" s="1055"/>
      <c r="MVM91" s="1055"/>
      <c r="MVN91" s="1055"/>
      <c r="MVO91" s="1055"/>
      <c r="MVP91" s="1055"/>
      <c r="MVQ91" s="1055"/>
      <c r="MVR91" s="1055"/>
      <c r="MVS91" s="1055"/>
      <c r="MVT91" s="1055"/>
      <c r="MVU91" s="1055"/>
      <c r="MVV91" s="1055"/>
      <c r="MVW91" s="1055"/>
      <c r="MVX91" s="1055"/>
      <c r="MVY91" s="1055"/>
      <c r="MVZ91" s="1055"/>
      <c r="MWA91" s="1055"/>
      <c r="MWB91" s="1055"/>
      <c r="MWC91" s="1055"/>
      <c r="MWD91" s="1055"/>
      <c r="MWE91" s="1055"/>
      <c r="MWF91" s="1055"/>
      <c r="MWG91" s="1055"/>
      <c r="MWH91" s="1055"/>
      <c r="MWI91" s="1055"/>
      <c r="MWJ91" s="1055"/>
      <c r="MWK91" s="1055"/>
      <c r="MWL91" s="1055"/>
      <c r="MWM91" s="1055"/>
      <c r="MWN91" s="1055"/>
      <c r="MWO91" s="1055"/>
      <c r="MWP91" s="1055"/>
      <c r="MWQ91" s="1055"/>
      <c r="MWR91" s="1055"/>
      <c r="MWS91" s="1055"/>
      <c r="MWT91" s="1055"/>
      <c r="MWU91" s="1055"/>
      <c r="MWV91" s="1055"/>
      <c r="MWW91" s="1055"/>
      <c r="MWX91" s="1055"/>
      <c r="MWY91" s="1055"/>
      <c r="MWZ91" s="1055"/>
      <c r="MXA91" s="1055"/>
      <c r="MXB91" s="1055"/>
      <c r="MXC91" s="1055"/>
      <c r="MXD91" s="1055"/>
      <c r="MXE91" s="1055"/>
      <c r="MXF91" s="1055"/>
      <c r="MXG91" s="1055"/>
      <c r="MXH91" s="1055"/>
      <c r="MXI91" s="1055"/>
      <c r="MXJ91" s="1055"/>
      <c r="MXK91" s="1055"/>
      <c r="MXL91" s="1055"/>
      <c r="MXM91" s="1055"/>
      <c r="MXN91" s="1055"/>
      <c r="MXO91" s="1055"/>
      <c r="MXP91" s="1055"/>
      <c r="MXQ91" s="1055"/>
      <c r="MXR91" s="1055"/>
      <c r="MXS91" s="1055"/>
      <c r="MXT91" s="1055"/>
      <c r="MXU91" s="1055"/>
      <c r="MXV91" s="1055"/>
      <c r="MXW91" s="1055"/>
      <c r="MXX91" s="1055"/>
      <c r="MXY91" s="1055"/>
      <c r="MXZ91" s="1055"/>
      <c r="MYA91" s="1055"/>
      <c r="MYB91" s="1055"/>
      <c r="MYC91" s="1055"/>
      <c r="MYD91" s="1055"/>
      <c r="MYE91" s="1055"/>
      <c r="MYF91" s="1055"/>
      <c r="MYG91" s="1055"/>
      <c r="MYH91" s="1055"/>
      <c r="MYI91" s="1055"/>
      <c r="MYJ91" s="1055"/>
      <c r="MYK91" s="1055"/>
      <c r="MYL91" s="1055"/>
      <c r="MYM91" s="1055"/>
      <c r="MYN91" s="1055"/>
      <c r="MYO91" s="1055"/>
      <c r="MYP91" s="1055"/>
      <c r="MYQ91" s="1055"/>
      <c r="MYR91" s="1055"/>
      <c r="MYS91" s="1055"/>
      <c r="MYT91" s="1055"/>
      <c r="MYU91" s="1055"/>
      <c r="MYV91" s="1055"/>
      <c r="MYW91" s="1055"/>
      <c r="MYX91" s="1055"/>
      <c r="MYY91" s="1055"/>
      <c r="MYZ91" s="1055"/>
      <c r="MZA91" s="1055"/>
      <c r="MZB91" s="1055"/>
      <c r="MZC91" s="1055"/>
      <c r="MZD91" s="1055"/>
      <c r="MZE91" s="1055"/>
      <c r="MZF91" s="1055"/>
      <c r="MZG91" s="1055"/>
      <c r="MZH91" s="1055"/>
      <c r="MZI91" s="1055"/>
      <c r="MZJ91" s="1055"/>
      <c r="MZK91" s="1055"/>
      <c r="MZL91" s="1055"/>
      <c r="MZM91" s="1055"/>
      <c r="MZN91" s="1055"/>
      <c r="MZO91" s="1055"/>
      <c r="MZP91" s="1055"/>
      <c r="MZQ91" s="1055"/>
      <c r="MZR91" s="1055"/>
      <c r="MZS91" s="1055"/>
      <c r="MZT91" s="1055"/>
      <c r="MZU91" s="1055"/>
      <c r="MZV91" s="1055"/>
      <c r="MZW91" s="1055"/>
      <c r="MZX91" s="1055"/>
      <c r="MZY91" s="1055"/>
      <c r="MZZ91" s="1055"/>
      <c r="NAA91" s="1055"/>
      <c r="NAB91" s="1055"/>
      <c r="NAC91" s="1055"/>
      <c r="NAD91" s="1055"/>
      <c r="NAE91" s="1055"/>
      <c r="NAF91" s="1055"/>
      <c r="NAG91" s="1055"/>
      <c r="NAH91" s="1055"/>
      <c r="NAI91" s="1055"/>
      <c r="NAJ91" s="1055"/>
      <c r="NAK91" s="1055"/>
      <c r="NAL91" s="1055"/>
      <c r="NAM91" s="1055"/>
      <c r="NAN91" s="1055"/>
      <c r="NAO91" s="1055"/>
      <c r="NAP91" s="1055"/>
      <c r="NAQ91" s="1055"/>
      <c r="NAR91" s="1055"/>
      <c r="NAS91" s="1055"/>
      <c r="NAT91" s="1055"/>
      <c r="NAU91" s="1055"/>
      <c r="NAV91" s="1055"/>
      <c r="NAW91" s="1055"/>
      <c r="NAX91" s="1055"/>
      <c r="NAY91" s="1055"/>
      <c r="NAZ91" s="1055"/>
      <c r="NBA91" s="1055"/>
      <c r="NBB91" s="1055"/>
      <c r="NBC91" s="1055"/>
      <c r="NBD91" s="1055"/>
      <c r="NBE91" s="1055"/>
      <c r="NBF91" s="1055"/>
      <c r="NBG91" s="1055"/>
      <c r="NBH91" s="1055"/>
      <c r="NBI91" s="1055"/>
      <c r="NBJ91" s="1055"/>
      <c r="NBK91" s="1055"/>
      <c r="NBL91" s="1055"/>
      <c r="NBM91" s="1055"/>
      <c r="NBN91" s="1055"/>
      <c r="NBO91" s="1055"/>
      <c r="NBP91" s="1055"/>
      <c r="NBQ91" s="1055"/>
      <c r="NBR91" s="1055"/>
      <c r="NBS91" s="1055"/>
      <c r="NBT91" s="1055"/>
      <c r="NBU91" s="1055"/>
      <c r="NBV91" s="1055"/>
      <c r="NBW91" s="1055"/>
      <c r="NBX91" s="1055"/>
      <c r="NBY91" s="1055"/>
      <c r="NBZ91" s="1055"/>
      <c r="NCA91" s="1055"/>
      <c r="NCB91" s="1055"/>
      <c r="NCC91" s="1055"/>
      <c r="NCD91" s="1055"/>
      <c r="NCE91" s="1055"/>
      <c r="NCF91" s="1055"/>
      <c r="NCG91" s="1055"/>
      <c r="NCH91" s="1055"/>
      <c r="NCI91" s="1055"/>
      <c r="NCJ91" s="1055"/>
      <c r="NCK91" s="1055"/>
      <c r="NCL91" s="1055"/>
      <c r="NCM91" s="1055"/>
      <c r="NCN91" s="1055"/>
      <c r="NCO91" s="1055"/>
      <c r="NCP91" s="1055"/>
      <c r="NCQ91" s="1055"/>
      <c r="NCR91" s="1055"/>
      <c r="NCS91" s="1055"/>
      <c r="NCT91" s="1055"/>
      <c r="NCU91" s="1055"/>
      <c r="NCV91" s="1055"/>
      <c r="NCW91" s="1055"/>
      <c r="NCX91" s="1055"/>
      <c r="NCY91" s="1055"/>
      <c r="NCZ91" s="1055"/>
      <c r="NDA91" s="1055"/>
      <c r="NDB91" s="1055"/>
      <c r="NDC91" s="1055"/>
      <c r="NDD91" s="1055"/>
      <c r="NDE91" s="1055"/>
      <c r="NDF91" s="1055"/>
      <c r="NDG91" s="1055"/>
      <c r="NDH91" s="1055"/>
      <c r="NDI91" s="1055"/>
      <c r="NDJ91" s="1055"/>
      <c r="NDK91" s="1055"/>
      <c r="NDL91" s="1055"/>
      <c r="NDM91" s="1055"/>
      <c r="NDN91" s="1055"/>
      <c r="NDO91" s="1055"/>
      <c r="NDP91" s="1055"/>
      <c r="NDQ91" s="1055"/>
      <c r="NDR91" s="1055"/>
      <c r="NDS91" s="1055"/>
      <c r="NDT91" s="1055"/>
      <c r="NDU91" s="1055"/>
      <c r="NDV91" s="1055"/>
      <c r="NDW91" s="1055"/>
      <c r="NDX91" s="1055"/>
      <c r="NDY91" s="1055"/>
      <c r="NDZ91" s="1055"/>
      <c r="NEA91" s="1055"/>
      <c r="NEB91" s="1055"/>
      <c r="NEC91" s="1055"/>
      <c r="NED91" s="1055"/>
      <c r="NEE91" s="1055"/>
      <c r="NEF91" s="1055"/>
      <c r="NEG91" s="1055"/>
      <c r="NEH91" s="1055"/>
      <c r="NEI91" s="1055"/>
      <c r="NEJ91" s="1055"/>
      <c r="NEK91" s="1055"/>
      <c r="NEL91" s="1055"/>
      <c r="NEM91" s="1055"/>
      <c r="NEN91" s="1055"/>
      <c r="NEO91" s="1055"/>
      <c r="NEP91" s="1055"/>
      <c r="NEQ91" s="1055"/>
      <c r="NER91" s="1055"/>
      <c r="NES91" s="1055"/>
      <c r="NET91" s="1055"/>
      <c r="NEU91" s="1055"/>
      <c r="NEV91" s="1055"/>
      <c r="NEW91" s="1055"/>
      <c r="NEX91" s="1055"/>
      <c r="NEY91" s="1055"/>
      <c r="NEZ91" s="1055"/>
      <c r="NFA91" s="1055"/>
      <c r="NFB91" s="1055"/>
      <c r="NFC91" s="1055"/>
      <c r="NFD91" s="1055"/>
      <c r="NFE91" s="1055"/>
      <c r="NFF91" s="1055"/>
      <c r="NFG91" s="1055"/>
      <c r="NFH91" s="1055"/>
      <c r="NFI91" s="1055"/>
      <c r="NFJ91" s="1055"/>
      <c r="NFK91" s="1055"/>
      <c r="NFL91" s="1055"/>
      <c r="NFM91" s="1055"/>
      <c r="NFN91" s="1055"/>
      <c r="NFO91" s="1055"/>
      <c r="NFP91" s="1055"/>
      <c r="NFQ91" s="1055"/>
      <c r="NFR91" s="1055"/>
      <c r="NFS91" s="1055"/>
      <c r="NFT91" s="1055"/>
      <c r="NFU91" s="1055"/>
      <c r="NFV91" s="1055"/>
      <c r="NFW91" s="1055"/>
      <c r="NFX91" s="1055"/>
      <c r="NFY91" s="1055"/>
      <c r="NFZ91" s="1055"/>
      <c r="NGA91" s="1055"/>
      <c r="NGB91" s="1055"/>
      <c r="NGC91" s="1055"/>
      <c r="NGD91" s="1055"/>
      <c r="NGE91" s="1055"/>
      <c r="NGF91" s="1055"/>
      <c r="NGG91" s="1055"/>
      <c r="NGH91" s="1055"/>
      <c r="NGI91" s="1055"/>
      <c r="NGJ91" s="1055"/>
      <c r="NGK91" s="1055"/>
      <c r="NGL91" s="1055"/>
      <c r="NGM91" s="1055"/>
      <c r="NGN91" s="1055"/>
      <c r="NGO91" s="1055"/>
      <c r="NGP91" s="1055"/>
      <c r="NGQ91" s="1055"/>
      <c r="NGR91" s="1055"/>
      <c r="NGS91" s="1055"/>
      <c r="NGT91" s="1055"/>
      <c r="NGU91" s="1055"/>
      <c r="NGV91" s="1055"/>
      <c r="NGW91" s="1055"/>
      <c r="NGX91" s="1055"/>
      <c r="NGY91" s="1055"/>
      <c r="NGZ91" s="1055"/>
      <c r="NHA91" s="1055"/>
      <c r="NHB91" s="1055"/>
      <c r="NHC91" s="1055"/>
      <c r="NHD91" s="1055"/>
      <c r="NHE91" s="1055"/>
      <c r="NHF91" s="1055"/>
      <c r="NHG91" s="1055"/>
      <c r="NHH91" s="1055"/>
      <c r="NHI91" s="1055"/>
      <c r="NHJ91" s="1055"/>
      <c r="NHK91" s="1055"/>
      <c r="NHL91" s="1055"/>
      <c r="NHM91" s="1055"/>
      <c r="NHN91" s="1055"/>
      <c r="NHO91" s="1055"/>
      <c r="NHP91" s="1055"/>
      <c r="NHQ91" s="1055"/>
      <c r="NHR91" s="1055"/>
      <c r="NHS91" s="1055"/>
      <c r="NHT91" s="1055"/>
      <c r="NHU91" s="1055"/>
      <c r="NHV91" s="1055"/>
      <c r="NHW91" s="1055"/>
      <c r="NHX91" s="1055"/>
      <c r="NHY91" s="1055"/>
      <c r="NHZ91" s="1055"/>
      <c r="NIA91" s="1055"/>
      <c r="NIB91" s="1055"/>
      <c r="NIC91" s="1055"/>
      <c r="NID91" s="1055"/>
      <c r="NIE91" s="1055"/>
      <c r="NIF91" s="1055"/>
      <c r="NIG91" s="1055"/>
      <c r="NIH91" s="1055"/>
      <c r="NII91" s="1055"/>
      <c r="NIJ91" s="1055"/>
      <c r="NIK91" s="1055"/>
      <c r="NIL91" s="1055"/>
      <c r="NIM91" s="1055"/>
      <c r="NIN91" s="1055"/>
      <c r="NIO91" s="1055"/>
      <c r="NIP91" s="1055"/>
      <c r="NIQ91" s="1055"/>
      <c r="NIR91" s="1055"/>
      <c r="NIS91" s="1055"/>
      <c r="NIT91" s="1055"/>
      <c r="NIU91" s="1055"/>
      <c r="NIV91" s="1055"/>
      <c r="NIW91" s="1055"/>
      <c r="NIX91" s="1055"/>
      <c r="NIY91" s="1055"/>
      <c r="NIZ91" s="1055"/>
      <c r="NJA91" s="1055"/>
      <c r="NJB91" s="1055"/>
      <c r="NJC91" s="1055"/>
      <c r="NJD91" s="1055"/>
      <c r="NJE91" s="1055"/>
      <c r="NJF91" s="1055"/>
      <c r="NJG91" s="1055"/>
      <c r="NJH91" s="1055"/>
      <c r="NJI91" s="1055"/>
      <c r="NJJ91" s="1055"/>
      <c r="NJK91" s="1055"/>
      <c r="NJL91" s="1055"/>
      <c r="NJM91" s="1055"/>
      <c r="NJN91" s="1055"/>
      <c r="NJO91" s="1055"/>
      <c r="NJP91" s="1055"/>
      <c r="NJQ91" s="1055"/>
      <c r="NJR91" s="1055"/>
      <c r="NJS91" s="1055"/>
      <c r="NJT91" s="1055"/>
      <c r="NJU91" s="1055"/>
      <c r="NJV91" s="1055"/>
      <c r="NJW91" s="1055"/>
      <c r="NJX91" s="1055"/>
      <c r="NJY91" s="1055"/>
      <c r="NJZ91" s="1055"/>
      <c r="NKA91" s="1055"/>
      <c r="NKB91" s="1055"/>
      <c r="NKC91" s="1055"/>
      <c r="NKD91" s="1055"/>
      <c r="NKE91" s="1055"/>
      <c r="NKF91" s="1055"/>
      <c r="NKG91" s="1055"/>
      <c r="NKH91" s="1055"/>
      <c r="NKI91" s="1055"/>
      <c r="NKJ91" s="1055"/>
      <c r="NKK91" s="1055"/>
      <c r="NKL91" s="1055"/>
      <c r="NKM91" s="1055"/>
      <c r="NKN91" s="1055"/>
      <c r="NKO91" s="1055"/>
      <c r="NKP91" s="1055"/>
      <c r="NKQ91" s="1055"/>
      <c r="NKR91" s="1055"/>
      <c r="NKS91" s="1055"/>
      <c r="NKT91" s="1055"/>
      <c r="NKU91" s="1055"/>
      <c r="NKV91" s="1055"/>
      <c r="NKW91" s="1055"/>
      <c r="NKX91" s="1055"/>
      <c r="NKY91" s="1055"/>
      <c r="NKZ91" s="1055"/>
      <c r="NLA91" s="1055"/>
      <c r="NLB91" s="1055"/>
      <c r="NLC91" s="1055"/>
      <c r="NLD91" s="1055"/>
      <c r="NLE91" s="1055"/>
      <c r="NLF91" s="1055"/>
      <c r="NLG91" s="1055"/>
      <c r="NLH91" s="1055"/>
      <c r="NLI91" s="1055"/>
      <c r="NLJ91" s="1055"/>
      <c r="NLK91" s="1055"/>
      <c r="NLL91" s="1055"/>
      <c r="NLM91" s="1055"/>
      <c r="NLN91" s="1055"/>
      <c r="NLO91" s="1055"/>
      <c r="NLP91" s="1055"/>
      <c r="NLQ91" s="1055"/>
      <c r="NLR91" s="1055"/>
      <c r="NLS91" s="1055"/>
      <c r="NLT91" s="1055"/>
      <c r="NLU91" s="1055"/>
      <c r="NLV91" s="1055"/>
      <c r="NLW91" s="1055"/>
      <c r="NLX91" s="1055"/>
      <c r="NLY91" s="1055"/>
      <c r="NLZ91" s="1055"/>
      <c r="NMA91" s="1055"/>
      <c r="NMB91" s="1055"/>
      <c r="NMC91" s="1055"/>
      <c r="NMD91" s="1055"/>
      <c r="NME91" s="1055"/>
      <c r="NMF91" s="1055"/>
      <c r="NMG91" s="1055"/>
      <c r="NMH91" s="1055"/>
      <c r="NMI91" s="1055"/>
      <c r="NMJ91" s="1055"/>
      <c r="NMK91" s="1055"/>
      <c r="NML91" s="1055"/>
      <c r="NMM91" s="1055"/>
      <c r="NMN91" s="1055"/>
      <c r="NMO91" s="1055"/>
      <c r="NMP91" s="1055"/>
      <c r="NMQ91" s="1055"/>
      <c r="NMR91" s="1055"/>
      <c r="NMS91" s="1055"/>
      <c r="NMT91" s="1055"/>
      <c r="NMU91" s="1055"/>
      <c r="NMV91" s="1055"/>
      <c r="NMW91" s="1055"/>
      <c r="NMX91" s="1055"/>
      <c r="NMY91" s="1055"/>
      <c r="NMZ91" s="1055"/>
      <c r="NNA91" s="1055"/>
      <c r="NNB91" s="1055"/>
      <c r="NNC91" s="1055"/>
      <c r="NND91" s="1055"/>
      <c r="NNE91" s="1055"/>
      <c r="NNF91" s="1055"/>
      <c r="NNG91" s="1055"/>
      <c r="NNH91" s="1055"/>
      <c r="NNI91" s="1055"/>
      <c r="NNJ91" s="1055"/>
      <c r="NNK91" s="1055"/>
      <c r="NNL91" s="1055"/>
      <c r="NNM91" s="1055"/>
      <c r="NNN91" s="1055"/>
      <c r="NNO91" s="1055"/>
      <c r="NNP91" s="1055"/>
      <c r="NNQ91" s="1055"/>
      <c r="NNR91" s="1055"/>
      <c r="NNS91" s="1055"/>
      <c r="NNT91" s="1055"/>
      <c r="NNU91" s="1055"/>
      <c r="NNV91" s="1055"/>
      <c r="NNW91" s="1055"/>
      <c r="NNX91" s="1055"/>
      <c r="NNY91" s="1055"/>
      <c r="NNZ91" s="1055"/>
      <c r="NOA91" s="1055"/>
      <c r="NOB91" s="1055"/>
      <c r="NOC91" s="1055"/>
      <c r="NOD91" s="1055"/>
      <c r="NOE91" s="1055"/>
      <c r="NOF91" s="1055"/>
      <c r="NOG91" s="1055"/>
      <c r="NOH91" s="1055"/>
      <c r="NOI91" s="1055"/>
      <c r="NOJ91" s="1055"/>
      <c r="NOK91" s="1055"/>
      <c r="NOL91" s="1055"/>
      <c r="NOM91" s="1055"/>
      <c r="NON91" s="1055"/>
      <c r="NOO91" s="1055"/>
      <c r="NOP91" s="1055"/>
      <c r="NOQ91" s="1055"/>
      <c r="NOR91" s="1055"/>
      <c r="NOS91" s="1055"/>
      <c r="NOT91" s="1055"/>
      <c r="NOU91" s="1055"/>
      <c r="NOV91" s="1055"/>
      <c r="NOW91" s="1055"/>
      <c r="NOX91" s="1055"/>
      <c r="NOY91" s="1055"/>
      <c r="NOZ91" s="1055"/>
      <c r="NPA91" s="1055"/>
      <c r="NPB91" s="1055"/>
      <c r="NPC91" s="1055"/>
      <c r="NPD91" s="1055"/>
      <c r="NPE91" s="1055"/>
      <c r="NPF91" s="1055"/>
      <c r="NPG91" s="1055"/>
      <c r="NPH91" s="1055"/>
      <c r="NPI91" s="1055"/>
      <c r="NPJ91" s="1055"/>
      <c r="NPK91" s="1055"/>
      <c r="NPL91" s="1055"/>
      <c r="NPM91" s="1055"/>
      <c r="NPN91" s="1055"/>
      <c r="NPO91" s="1055"/>
      <c r="NPP91" s="1055"/>
      <c r="NPQ91" s="1055"/>
      <c r="NPR91" s="1055"/>
      <c r="NPS91" s="1055"/>
      <c r="NPT91" s="1055"/>
      <c r="NPU91" s="1055"/>
      <c r="NPV91" s="1055"/>
      <c r="NPW91" s="1055"/>
      <c r="NPX91" s="1055"/>
      <c r="NPY91" s="1055"/>
      <c r="NPZ91" s="1055"/>
      <c r="NQA91" s="1055"/>
      <c r="NQB91" s="1055"/>
      <c r="NQC91" s="1055"/>
      <c r="NQD91" s="1055"/>
      <c r="NQE91" s="1055"/>
      <c r="NQF91" s="1055"/>
      <c r="NQG91" s="1055"/>
      <c r="NQH91" s="1055"/>
      <c r="NQI91" s="1055"/>
      <c r="NQJ91" s="1055"/>
      <c r="NQK91" s="1055"/>
      <c r="NQL91" s="1055"/>
      <c r="NQM91" s="1055"/>
      <c r="NQN91" s="1055"/>
      <c r="NQO91" s="1055"/>
      <c r="NQP91" s="1055"/>
      <c r="NQQ91" s="1055"/>
      <c r="NQR91" s="1055"/>
      <c r="NQS91" s="1055"/>
      <c r="NQT91" s="1055"/>
      <c r="NQU91" s="1055"/>
      <c r="NQV91" s="1055"/>
      <c r="NQW91" s="1055"/>
      <c r="NQX91" s="1055"/>
      <c r="NQY91" s="1055"/>
      <c r="NQZ91" s="1055"/>
      <c r="NRA91" s="1055"/>
      <c r="NRB91" s="1055"/>
      <c r="NRC91" s="1055"/>
      <c r="NRD91" s="1055"/>
      <c r="NRE91" s="1055"/>
      <c r="NRF91" s="1055"/>
      <c r="NRG91" s="1055"/>
      <c r="NRH91" s="1055"/>
      <c r="NRI91" s="1055"/>
      <c r="NRJ91" s="1055"/>
      <c r="NRK91" s="1055"/>
      <c r="NRL91" s="1055"/>
      <c r="NRM91" s="1055"/>
      <c r="NRN91" s="1055"/>
      <c r="NRO91" s="1055"/>
      <c r="NRP91" s="1055"/>
      <c r="NRQ91" s="1055"/>
      <c r="NRR91" s="1055"/>
      <c r="NRS91" s="1055"/>
      <c r="NRT91" s="1055"/>
      <c r="NRU91" s="1055"/>
      <c r="NRV91" s="1055"/>
      <c r="NRW91" s="1055"/>
      <c r="NRX91" s="1055"/>
      <c r="NRY91" s="1055"/>
      <c r="NRZ91" s="1055"/>
      <c r="NSA91" s="1055"/>
      <c r="NSB91" s="1055"/>
      <c r="NSC91" s="1055"/>
      <c r="NSD91" s="1055"/>
      <c r="NSE91" s="1055"/>
      <c r="NSF91" s="1055"/>
      <c r="NSG91" s="1055"/>
      <c r="NSH91" s="1055"/>
      <c r="NSI91" s="1055"/>
      <c r="NSJ91" s="1055"/>
      <c r="NSK91" s="1055"/>
      <c r="NSL91" s="1055"/>
      <c r="NSM91" s="1055"/>
      <c r="NSN91" s="1055"/>
      <c r="NSO91" s="1055"/>
      <c r="NSP91" s="1055"/>
      <c r="NSQ91" s="1055"/>
      <c r="NSR91" s="1055"/>
      <c r="NSS91" s="1055"/>
      <c r="NST91" s="1055"/>
      <c r="NSU91" s="1055"/>
      <c r="NSV91" s="1055"/>
      <c r="NSW91" s="1055"/>
      <c r="NSX91" s="1055"/>
      <c r="NSY91" s="1055"/>
      <c r="NSZ91" s="1055"/>
      <c r="NTA91" s="1055"/>
      <c r="NTB91" s="1055"/>
      <c r="NTC91" s="1055"/>
      <c r="NTD91" s="1055"/>
      <c r="NTE91" s="1055"/>
      <c r="NTF91" s="1055"/>
      <c r="NTG91" s="1055"/>
      <c r="NTH91" s="1055"/>
      <c r="NTI91" s="1055"/>
      <c r="NTJ91" s="1055"/>
      <c r="NTK91" s="1055"/>
      <c r="NTL91" s="1055"/>
      <c r="NTM91" s="1055"/>
      <c r="NTN91" s="1055"/>
      <c r="NTO91" s="1055"/>
      <c r="NTP91" s="1055"/>
      <c r="NTQ91" s="1055"/>
      <c r="NTR91" s="1055"/>
      <c r="NTS91" s="1055"/>
      <c r="NTT91" s="1055"/>
      <c r="NTU91" s="1055"/>
      <c r="NTV91" s="1055"/>
      <c r="NTW91" s="1055"/>
      <c r="NTX91" s="1055"/>
      <c r="NTY91" s="1055"/>
      <c r="NTZ91" s="1055"/>
      <c r="NUA91" s="1055"/>
      <c r="NUB91" s="1055"/>
      <c r="NUC91" s="1055"/>
      <c r="NUD91" s="1055"/>
      <c r="NUE91" s="1055"/>
      <c r="NUF91" s="1055"/>
      <c r="NUG91" s="1055"/>
      <c r="NUH91" s="1055"/>
      <c r="NUI91" s="1055"/>
      <c r="NUJ91" s="1055"/>
      <c r="NUK91" s="1055"/>
      <c r="NUL91" s="1055"/>
      <c r="NUM91" s="1055"/>
      <c r="NUN91" s="1055"/>
      <c r="NUO91" s="1055"/>
      <c r="NUP91" s="1055"/>
      <c r="NUQ91" s="1055"/>
      <c r="NUR91" s="1055"/>
      <c r="NUS91" s="1055"/>
      <c r="NUT91" s="1055"/>
      <c r="NUU91" s="1055"/>
      <c r="NUV91" s="1055"/>
      <c r="NUW91" s="1055"/>
      <c r="NUX91" s="1055"/>
      <c r="NUY91" s="1055"/>
      <c r="NUZ91" s="1055"/>
      <c r="NVA91" s="1055"/>
      <c r="NVB91" s="1055"/>
      <c r="NVC91" s="1055"/>
      <c r="NVD91" s="1055"/>
      <c r="NVE91" s="1055"/>
      <c r="NVF91" s="1055"/>
      <c r="NVG91" s="1055"/>
      <c r="NVH91" s="1055"/>
      <c r="NVI91" s="1055"/>
      <c r="NVJ91" s="1055"/>
      <c r="NVK91" s="1055"/>
      <c r="NVL91" s="1055"/>
      <c r="NVM91" s="1055"/>
      <c r="NVN91" s="1055"/>
      <c r="NVO91" s="1055"/>
      <c r="NVP91" s="1055"/>
      <c r="NVQ91" s="1055"/>
      <c r="NVR91" s="1055"/>
      <c r="NVS91" s="1055"/>
      <c r="NVT91" s="1055"/>
      <c r="NVU91" s="1055"/>
      <c r="NVV91" s="1055"/>
      <c r="NVW91" s="1055"/>
      <c r="NVX91" s="1055"/>
      <c r="NVY91" s="1055"/>
      <c r="NVZ91" s="1055"/>
      <c r="NWA91" s="1055"/>
      <c r="NWB91" s="1055"/>
      <c r="NWC91" s="1055"/>
      <c r="NWD91" s="1055"/>
      <c r="NWE91" s="1055"/>
      <c r="NWF91" s="1055"/>
      <c r="NWG91" s="1055"/>
      <c r="NWH91" s="1055"/>
      <c r="NWI91" s="1055"/>
      <c r="NWJ91" s="1055"/>
      <c r="NWK91" s="1055"/>
      <c r="NWL91" s="1055"/>
      <c r="NWM91" s="1055"/>
      <c r="NWN91" s="1055"/>
      <c r="NWO91" s="1055"/>
      <c r="NWP91" s="1055"/>
      <c r="NWQ91" s="1055"/>
      <c r="NWR91" s="1055"/>
      <c r="NWS91" s="1055"/>
      <c r="NWT91" s="1055"/>
      <c r="NWU91" s="1055"/>
      <c r="NWV91" s="1055"/>
      <c r="NWW91" s="1055"/>
      <c r="NWX91" s="1055"/>
      <c r="NWY91" s="1055"/>
      <c r="NWZ91" s="1055"/>
      <c r="NXA91" s="1055"/>
      <c r="NXB91" s="1055"/>
      <c r="NXC91" s="1055"/>
      <c r="NXD91" s="1055"/>
      <c r="NXE91" s="1055"/>
      <c r="NXF91" s="1055"/>
      <c r="NXG91" s="1055"/>
      <c r="NXH91" s="1055"/>
      <c r="NXI91" s="1055"/>
      <c r="NXJ91" s="1055"/>
      <c r="NXK91" s="1055"/>
      <c r="NXL91" s="1055"/>
      <c r="NXM91" s="1055"/>
      <c r="NXN91" s="1055"/>
      <c r="NXO91" s="1055"/>
      <c r="NXP91" s="1055"/>
      <c r="NXQ91" s="1055"/>
      <c r="NXR91" s="1055"/>
      <c r="NXS91" s="1055"/>
      <c r="NXT91" s="1055"/>
      <c r="NXU91" s="1055"/>
      <c r="NXV91" s="1055"/>
      <c r="NXW91" s="1055"/>
      <c r="NXX91" s="1055"/>
      <c r="NXY91" s="1055"/>
      <c r="NXZ91" s="1055"/>
      <c r="NYA91" s="1055"/>
      <c r="NYB91" s="1055"/>
      <c r="NYC91" s="1055"/>
      <c r="NYD91" s="1055"/>
      <c r="NYE91" s="1055"/>
      <c r="NYF91" s="1055"/>
      <c r="NYG91" s="1055"/>
      <c r="NYH91" s="1055"/>
      <c r="NYI91" s="1055"/>
      <c r="NYJ91" s="1055"/>
      <c r="NYK91" s="1055"/>
      <c r="NYL91" s="1055"/>
      <c r="NYM91" s="1055"/>
      <c r="NYN91" s="1055"/>
      <c r="NYO91" s="1055"/>
      <c r="NYP91" s="1055"/>
      <c r="NYQ91" s="1055"/>
      <c r="NYR91" s="1055"/>
      <c r="NYS91" s="1055"/>
      <c r="NYT91" s="1055"/>
      <c r="NYU91" s="1055"/>
      <c r="NYV91" s="1055"/>
      <c r="NYW91" s="1055"/>
      <c r="NYX91" s="1055"/>
      <c r="NYY91" s="1055"/>
      <c r="NYZ91" s="1055"/>
      <c r="NZA91" s="1055"/>
      <c r="NZB91" s="1055"/>
      <c r="NZC91" s="1055"/>
      <c r="NZD91" s="1055"/>
      <c r="NZE91" s="1055"/>
      <c r="NZF91" s="1055"/>
      <c r="NZG91" s="1055"/>
      <c r="NZH91" s="1055"/>
      <c r="NZI91" s="1055"/>
      <c r="NZJ91" s="1055"/>
      <c r="NZK91" s="1055"/>
      <c r="NZL91" s="1055"/>
      <c r="NZM91" s="1055"/>
      <c r="NZN91" s="1055"/>
      <c r="NZO91" s="1055"/>
      <c r="NZP91" s="1055"/>
      <c r="NZQ91" s="1055"/>
      <c r="NZR91" s="1055"/>
      <c r="NZS91" s="1055"/>
      <c r="NZT91" s="1055"/>
      <c r="NZU91" s="1055"/>
      <c r="NZV91" s="1055"/>
      <c r="NZW91" s="1055"/>
      <c r="NZX91" s="1055"/>
      <c r="NZY91" s="1055"/>
      <c r="NZZ91" s="1055"/>
      <c r="OAA91" s="1055"/>
      <c r="OAB91" s="1055"/>
      <c r="OAC91" s="1055"/>
      <c r="OAD91" s="1055"/>
      <c r="OAE91" s="1055"/>
      <c r="OAF91" s="1055"/>
      <c r="OAG91" s="1055"/>
      <c r="OAH91" s="1055"/>
      <c r="OAI91" s="1055"/>
      <c r="OAJ91" s="1055"/>
      <c r="OAK91" s="1055"/>
      <c r="OAL91" s="1055"/>
      <c r="OAM91" s="1055"/>
      <c r="OAN91" s="1055"/>
      <c r="OAO91" s="1055"/>
      <c r="OAP91" s="1055"/>
      <c r="OAQ91" s="1055"/>
      <c r="OAR91" s="1055"/>
      <c r="OAS91" s="1055"/>
      <c r="OAT91" s="1055"/>
      <c r="OAU91" s="1055"/>
      <c r="OAV91" s="1055"/>
      <c r="OAW91" s="1055"/>
      <c r="OAX91" s="1055"/>
      <c r="OAY91" s="1055"/>
      <c r="OAZ91" s="1055"/>
      <c r="OBA91" s="1055"/>
      <c r="OBB91" s="1055"/>
      <c r="OBC91" s="1055"/>
      <c r="OBD91" s="1055"/>
      <c r="OBE91" s="1055"/>
      <c r="OBF91" s="1055"/>
      <c r="OBG91" s="1055"/>
      <c r="OBH91" s="1055"/>
      <c r="OBI91" s="1055"/>
      <c r="OBJ91" s="1055"/>
      <c r="OBK91" s="1055"/>
      <c r="OBL91" s="1055"/>
      <c r="OBM91" s="1055"/>
      <c r="OBN91" s="1055"/>
      <c r="OBO91" s="1055"/>
      <c r="OBP91" s="1055"/>
      <c r="OBQ91" s="1055"/>
      <c r="OBR91" s="1055"/>
      <c r="OBS91" s="1055"/>
      <c r="OBT91" s="1055"/>
      <c r="OBU91" s="1055"/>
      <c r="OBV91" s="1055"/>
      <c r="OBW91" s="1055"/>
      <c r="OBX91" s="1055"/>
      <c r="OBY91" s="1055"/>
      <c r="OBZ91" s="1055"/>
      <c r="OCA91" s="1055"/>
      <c r="OCB91" s="1055"/>
      <c r="OCC91" s="1055"/>
      <c r="OCD91" s="1055"/>
      <c r="OCE91" s="1055"/>
      <c r="OCF91" s="1055"/>
      <c r="OCG91" s="1055"/>
      <c r="OCH91" s="1055"/>
      <c r="OCI91" s="1055"/>
      <c r="OCJ91" s="1055"/>
      <c r="OCK91" s="1055"/>
      <c r="OCL91" s="1055"/>
      <c r="OCM91" s="1055"/>
      <c r="OCN91" s="1055"/>
      <c r="OCO91" s="1055"/>
      <c r="OCP91" s="1055"/>
      <c r="OCQ91" s="1055"/>
      <c r="OCR91" s="1055"/>
      <c r="OCS91" s="1055"/>
      <c r="OCT91" s="1055"/>
      <c r="OCU91" s="1055"/>
      <c r="OCV91" s="1055"/>
      <c r="OCW91" s="1055"/>
      <c r="OCX91" s="1055"/>
      <c r="OCY91" s="1055"/>
      <c r="OCZ91" s="1055"/>
      <c r="ODA91" s="1055"/>
      <c r="ODB91" s="1055"/>
      <c r="ODC91" s="1055"/>
      <c r="ODD91" s="1055"/>
      <c r="ODE91" s="1055"/>
      <c r="ODF91" s="1055"/>
      <c r="ODG91" s="1055"/>
      <c r="ODH91" s="1055"/>
      <c r="ODI91" s="1055"/>
      <c r="ODJ91" s="1055"/>
      <c r="ODK91" s="1055"/>
      <c r="ODL91" s="1055"/>
      <c r="ODM91" s="1055"/>
      <c r="ODN91" s="1055"/>
      <c r="ODO91" s="1055"/>
      <c r="ODP91" s="1055"/>
      <c r="ODQ91" s="1055"/>
      <c r="ODR91" s="1055"/>
      <c r="ODS91" s="1055"/>
      <c r="ODT91" s="1055"/>
      <c r="ODU91" s="1055"/>
      <c r="ODV91" s="1055"/>
      <c r="ODW91" s="1055"/>
      <c r="ODX91" s="1055"/>
      <c r="ODY91" s="1055"/>
      <c r="ODZ91" s="1055"/>
      <c r="OEA91" s="1055"/>
      <c r="OEB91" s="1055"/>
      <c r="OEC91" s="1055"/>
      <c r="OED91" s="1055"/>
      <c r="OEE91" s="1055"/>
      <c r="OEF91" s="1055"/>
      <c r="OEG91" s="1055"/>
      <c r="OEH91" s="1055"/>
      <c r="OEI91" s="1055"/>
      <c r="OEJ91" s="1055"/>
      <c r="OEK91" s="1055"/>
      <c r="OEL91" s="1055"/>
      <c r="OEM91" s="1055"/>
      <c r="OEN91" s="1055"/>
      <c r="OEO91" s="1055"/>
      <c r="OEP91" s="1055"/>
      <c r="OEQ91" s="1055"/>
      <c r="OER91" s="1055"/>
      <c r="OES91" s="1055"/>
      <c r="OET91" s="1055"/>
      <c r="OEU91" s="1055"/>
      <c r="OEV91" s="1055"/>
      <c r="OEW91" s="1055"/>
      <c r="OEX91" s="1055"/>
      <c r="OEY91" s="1055"/>
      <c r="OEZ91" s="1055"/>
      <c r="OFA91" s="1055"/>
      <c r="OFB91" s="1055"/>
      <c r="OFC91" s="1055"/>
      <c r="OFD91" s="1055"/>
      <c r="OFE91" s="1055"/>
      <c r="OFF91" s="1055"/>
      <c r="OFG91" s="1055"/>
      <c r="OFH91" s="1055"/>
      <c r="OFI91" s="1055"/>
      <c r="OFJ91" s="1055"/>
      <c r="OFK91" s="1055"/>
      <c r="OFL91" s="1055"/>
      <c r="OFM91" s="1055"/>
      <c r="OFN91" s="1055"/>
      <c r="OFO91" s="1055"/>
      <c r="OFP91" s="1055"/>
      <c r="OFQ91" s="1055"/>
      <c r="OFR91" s="1055"/>
      <c r="OFS91" s="1055"/>
      <c r="OFT91" s="1055"/>
      <c r="OFU91" s="1055"/>
      <c r="OFV91" s="1055"/>
      <c r="OFW91" s="1055"/>
      <c r="OFX91" s="1055"/>
      <c r="OFY91" s="1055"/>
      <c r="OFZ91" s="1055"/>
      <c r="OGA91" s="1055"/>
      <c r="OGB91" s="1055"/>
      <c r="OGC91" s="1055"/>
      <c r="OGD91" s="1055"/>
      <c r="OGE91" s="1055"/>
      <c r="OGF91" s="1055"/>
      <c r="OGG91" s="1055"/>
      <c r="OGH91" s="1055"/>
      <c r="OGI91" s="1055"/>
      <c r="OGJ91" s="1055"/>
      <c r="OGK91" s="1055"/>
      <c r="OGL91" s="1055"/>
      <c r="OGM91" s="1055"/>
      <c r="OGN91" s="1055"/>
      <c r="OGO91" s="1055"/>
      <c r="OGP91" s="1055"/>
      <c r="OGQ91" s="1055"/>
      <c r="OGR91" s="1055"/>
      <c r="OGS91" s="1055"/>
      <c r="OGT91" s="1055"/>
      <c r="OGU91" s="1055"/>
      <c r="OGV91" s="1055"/>
      <c r="OGW91" s="1055"/>
      <c r="OGX91" s="1055"/>
      <c r="OGY91" s="1055"/>
      <c r="OGZ91" s="1055"/>
      <c r="OHA91" s="1055"/>
      <c r="OHB91" s="1055"/>
      <c r="OHC91" s="1055"/>
      <c r="OHD91" s="1055"/>
      <c r="OHE91" s="1055"/>
      <c r="OHF91" s="1055"/>
      <c r="OHG91" s="1055"/>
      <c r="OHH91" s="1055"/>
      <c r="OHI91" s="1055"/>
      <c r="OHJ91" s="1055"/>
      <c r="OHK91" s="1055"/>
      <c r="OHL91" s="1055"/>
      <c r="OHM91" s="1055"/>
      <c r="OHN91" s="1055"/>
      <c r="OHO91" s="1055"/>
      <c r="OHP91" s="1055"/>
      <c r="OHQ91" s="1055"/>
      <c r="OHR91" s="1055"/>
      <c r="OHS91" s="1055"/>
      <c r="OHT91" s="1055"/>
      <c r="OHU91" s="1055"/>
      <c r="OHV91" s="1055"/>
      <c r="OHW91" s="1055"/>
      <c r="OHX91" s="1055"/>
      <c r="OHY91" s="1055"/>
      <c r="OHZ91" s="1055"/>
      <c r="OIA91" s="1055"/>
      <c r="OIB91" s="1055"/>
      <c r="OIC91" s="1055"/>
      <c r="OID91" s="1055"/>
      <c r="OIE91" s="1055"/>
      <c r="OIF91" s="1055"/>
      <c r="OIG91" s="1055"/>
      <c r="OIH91" s="1055"/>
      <c r="OII91" s="1055"/>
      <c r="OIJ91" s="1055"/>
      <c r="OIK91" s="1055"/>
      <c r="OIL91" s="1055"/>
      <c r="OIM91" s="1055"/>
      <c r="OIN91" s="1055"/>
      <c r="OIO91" s="1055"/>
      <c r="OIP91" s="1055"/>
      <c r="OIQ91" s="1055"/>
      <c r="OIR91" s="1055"/>
      <c r="OIS91" s="1055"/>
      <c r="OIT91" s="1055"/>
      <c r="OIU91" s="1055"/>
      <c r="OIV91" s="1055"/>
      <c r="OIW91" s="1055"/>
      <c r="OIX91" s="1055"/>
      <c r="OIY91" s="1055"/>
      <c r="OIZ91" s="1055"/>
      <c r="OJA91" s="1055"/>
      <c r="OJB91" s="1055"/>
      <c r="OJC91" s="1055"/>
      <c r="OJD91" s="1055"/>
      <c r="OJE91" s="1055"/>
      <c r="OJF91" s="1055"/>
      <c r="OJG91" s="1055"/>
      <c r="OJH91" s="1055"/>
      <c r="OJI91" s="1055"/>
      <c r="OJJ91" s="1055"/>
      <c r="OJK91" s="1055"/>
      <c r="OJL91" s="1055"/>
      <c r="OJM91" s="1055"/>
      <c r="OJN91" s="1055"/>
      <c r="OJO91" s="1055"/>
      <c r="OJP91" s="1055"/>
      <c r="OJQ91" s="1055"/>
      <c r="OJR91" s="1055"/>
      <c r="OJS91" s="1055"/>
      <c r="OJT91" s="1055"/>
      <c r="OJU91" s="1055"/>
      <c r="OJV91" s="1055"/>
      <c r="OJW91" s="1055"/>
      <c r="OJX91" s="1055"/>
      <c r="OJY91" s="1055"/>
      <c r="OJZ91" s="1055"/>
      <c r="OKA91" s="1055"/>
      <c r="OKB91" s="1055"/>
      <c r="OKC91" s="1055"/>
      <c r="OKD91" s="1055"/>
      <c r="OKE91" s="1055"/>
      <c r="OKF91" s="1055"/>
      <c r="OKG91" s="1055"/>
      <c r="OKH91" s="1055"/>
      <c r="OKI91" s="1055"/>
      <c r="OKJ91" s="1055"/>
      <c r="OKK91" s="1055"/>
      <c r="OKL91" s="1055"/>
      <c r="OKM91" s="1055"/>
      <c r="OKN91" s="1055"/>
      <c r="OKO91" s="1055"/>
      <c r="OKP91" s="1055"/>
      <c r="OKQ91" s="1055"/>
      <c r="OKR91" s="1055"/>
      <c r="OKS91" s="1055"/>
      <c r="OKT91" s="1055"/>
      <c r="OKU91" s="1055"/>
      <c r="OKV91" s="1055"/>
      <c r="OKW91" s="1055"/>
      <c r="OKX91" s="1055"/>
      <c r="OKY91" s="1055"/>
      <c r="OKZ91" s="1055"/>
      <c r="OLA91" s="1055"/>
      <c r="OLB91" s="1055"/>
      <c r="OLC91" s="1055"/>
      <c r="OLD91" s="1055"/>
      <c r="OLE91" s="1055"/>
      <c r="OLF91" s="1055"/>
      <c r="OLG91" s="1055"/>
      <c r="OLH91" s="1055"/>
      <c r="OLI91" s="1055"/>
      <c r="OLJ91" s="1055"/>
      <c r="OLK91" s="1055"/>
      <c r="OLL91" s="1055"/>
      <c r="OLM91" s="1055"/>
      <c r="OLN91" s="1055"/>
      <c r="OLO91" s="1055"/>
      <c r="OLP91" s="1055"/>
      <c r="OLQ91" s="1055"/>
      <c r="OLR91" s="1055"/>
      <c r="OLS91" s="1055"/>
      <c r="OLT91" s="1055"/>
      <c r="OLU91" s="1055"/>
      <c r="OLV91" s="1055"/>
      <c r="OLW91" s="1055"/>
      <c r="OLX91" s="1055"/>
      <c r="OLY91" s="1055"/>
      <c r="OLZ91" s="1055"/>
      <c r="OMA91" s="1055"/>
      <c r="OMB91" s="1055"/>
      <c r="OMC91" s="1055"/>
      <c r="OMD91" s="1055"/>
      <c r="OME91" s="1055"/>
      <c r="OMF91" s="1055"/>
      <c r="OMG91" s="1055"/>
      <c r="OMH91" s="1055"/>
      <c r="OMI91" s="1055"/>
      <c r="OMJ91" s="1055"/>
      <c r="OMK91" s="1055"/>
      <c r="OML91" s="1055"/>
      <c r="OMM91" s="1055"/>
      <c r="OMN91" s="1055"/>
      <c r="OMO91" s="1055"/>
      <c r="OMP91" s="1055"/>
      <c r="OMQ91" s="1055"/>
      <c r="OMR91" s="1055"/>
      <c r="OMS91" s="1055"/>
      <c r="OMT91" s="1055"/>
      <c r="OMU91" s="1055"/>
      <c r="OMV91" s="1055"/>
      <c r="OMW91" s="1055"/>
      <c r="OMX91" s="1055"/>
      <c r="OMY91" s="1055"/>
      <c r="OMZ91" s="1055"/>
      <c r="ONA91" s="1055"/>
      <c r="ONB91" s="1055"/>
      <c r="ONC91" s="1055"/>
      <c r="OND91" s="1055"/>
      <c r="ONE91" s="1055"/>
      <c r="ONF91" s="1055"/>
      <c r="ONG91" s="1055"/>
      <c r="ONH91" s="1055"/>
      <c r="ONI91" s="1055"/>
      <c r="ONJ91" s="1055"/>
      <c r="ONK91" s="1055"/>
      <c r="ONL91" s="1055"/>
      <c r="ONM91" s="1055"/>
      <c r="ONN91" s="1055"/>
      <c r="ONO91" s="1055"/>
      <c r="ONP91" s="1055"/>
      <c r="ONQ91" s="1055"/>
      <c r="ONR91" s="1055"/>
      <c r="ONS91" s="1055"/>
      <c r="ONT91" s="1055"/>
      <c r="ONU91" s="1055"/>
      <c r="ONV91" s="1055"/>
      <c r="ONW91" s="1055"/>
      <c r="ONX91" s="1055"/>
      <c r="ONY91" s="1055"/>
      <c r="ONZ91" s="1055"/>
      <c r="OOA91" s="1055"/>
      <c r="OOB91" s="1055"/>
      <c r="OOC91" s="1055"/>
      <c r="OOD91" s="1055"/>
      <c r="OOE91" s="1055"/>
      <c r="OOF91" s="1055"/>
      <c r="OOG91" s="1055"/>
      <c r="OOH91" s="1055"/>
      <c r="OOI91" s="1055"/>
      <c r="OOJ91" s="1055"/>
      <c r="OOK91" s="1055"/>
      <c r="OOL91" s="1055"/>
      <c r="OOM91" s="1055"/>
      <c r="OON91" s="1055"/>
      <c r="OOO91" s="1055"/>
      <c r="OOP91" s="1055"/>
      <c r="OOQ91" s="1055"/>
      <c r="OOR91" s="1055"/>
      <c r="OOS91" s="1055"/>
      <c r="OOT91" s="1055"/>
      <c r="OOU91" s="1055"/>
      <c r="OOV91" s="1055"/>
      <c r="OOW91" s="1055"/>
      <c r="OOX91" s="1055"/>
      <c r="OOY91" s="1055"/>
      <c r="OOZ91" s="1055"/>
      <c r="OPA91" s="1055"/>
      <c r="OPB91" s="1055"/>
      <c r="OPC91" s="1055"/>
      <c r="OPD91" s="1055"/>
      <c r="OPE91" s="1055"/>
      <c r="OPF91" s="1055"/>
      <c r="OPG91" s="1055"/>
      <c r="OPH91" s="1055"/>
      <c r="OPI91" s="1055"/>
      <c r="OPJ91" s="1055"/>
      <c r="OPK91" s="1055"/>
      <c r="OPL91" s="1055"/>
      <c r="OPM91" s="1055"/>
      <c r="OPN91" s="1055"/>
      <c r="OPO91" s="1055"/>
      <c r="OPP91" s="1055"/>
      <c r="OPQ91" s="1055"/>
      <c r="OPR91" s="1055"/>
      <c r="OPS91" s="1055"/>
      <c r="OPT91" s="1055"/>
      <c r="OPU91" s="1055"/>
      <c r="OPV91" s="1055"/>
      <c r="OPW91" s="1055"/>
      <c r="OPX91" s="1055"/>
      <c r="OPY91" s="1055"/>
      <c r="OPZ91" s="1055"/>
      <c r="OQA91" s="1055"/>
      <c r="OQB91" s="1055"/>
      <c r="OQC91" s="1055"/>
      <c r="OQD91" s="1055"/>
      <c r="OQE91" s="1055"/>
      <c r="OQF91" s="1055"/>
      <c r="OQG91" s="1055"/>
      <c r="OQH91" s="1055"/>
      <c r="OQI91" s="1055"/>
      <c r="OQJ91" s="1055"/>
      <c r="OQK91" s="1055"/>
      <c r="OQL91" s="1055"/>
      <c r="OQM91" s="1055"/>
      <c r="OQN91" s="1055"/>
      <c r="OQO91" s="1055"/>
      <c r="OQP91" s="1055"/>
      <c r="OQQ91" s="1055"/>
      <c r="OQR91" s="1055"/>
      <c r="OQS91" s="1055"/>
      <c r="OQT91" s="1055"/>
      <c r="OQU91" s="1055"/>
      <c r="OQV91" s="1055"/>
      <c r="OQW91" s="1055"/>
      <c r="OQX91" s="1055"/>
      <c r="OQY91" s="1055"/>
      <c r="OQZ91" s="1055"/>
      <c r="ORA91" s="1055"/>
      <c r="ORB91" s="1055"/>
      <c r="ORC91" s="1055"/>
      <c r="ORD91" s="1055"/>
      <c r="ORE91" s="1055"/>
      <c r="ORF91" s="1055"/>
      <c r="ORG91" s="1055"/>
      <c r="ORH91" s="1055"/>
      <c r="ORI91" s="1055"/>
      <c r="ORJ91" s="1055"/>
      <c r="ORK91" s="1055"/>
      <c r="ORL91" s="1055"/>
      <c r="ORM91" s="1055"/>
      <c r="ORN91" s="1055"/>
      <c r="ORO91" s="1055"/>
      <c r="ORP91" s="1055"/>
      <c r="ORQ91" s="1055"/>
      <c r="ORR91" s="1055"/>
      <c r="ORS91" s="1055"/>
      <c r="ORT91" s="1055"/>
      <c r="ORU91" s="1055"/>
      <c r="ORV91" s="1055"/>
      <c r="ORW91" s="1055"/>
      <c r="ORX91" s="1055"/>
      <c r="ORY91" s="1055"/>
      <c r="ORZ91" s="1055"/>
      <c r="OSA91" s="1055"/>
      <c r="OSB91" s="1055"/>
      <c r="OSC91" s="1055"/>
      <c r="OSD91" s="1055"/>
      <c r="OSE91" s="1055"/>
      <c r="OSF91" s="1055"/>
      <c r="OSG91" s="1055"/>
      <c r="OSH91" s="1055"/>
      <c r="OSI91" s="1055"/>
      <c r="OSJ91" s="1055"/>
      <c r="OSK91" s="1055"/>
      <c r="OSL91" s="1055"/>
      <c r="OSM91" s="1055"/>
      <c r="OSN91" s="1055"/>
      <c r="OSO91" s="1055"/>
      <c r="OSP91" s="1055"/>
      <c r="OSQ91" s="1055"/>
      <c r="OSR91" s="1055"/>
      <c r="OSS91" s="1055"/>
      <c r="OST91" s="1055"/>
      <c r="OSU91" s="1055"/>
      <c r="OSV91" s="1055"/>
      <c r="OSW91" s="1055"/>
      <c r="OSX91" s="1055"/>
      <c r="OSY91" s="1055"/>
      <c r="OSZ91" s="1055"/>
      <c r="OTA91" s="1055"/>
      <c r="OTB91" s="1055"/>
      <c r="OTC91" s="1055"/>
      <c r="OTD91" s="1055"/>
      <c r="OTE91" s="1055"/>
      <c r="OTF91" s="1055"/>
      <c r="OTG91" s="1055"/>
      <c r="OTH91" s="1055"/>
      <c r="OTI91" s="1055"/>
      <c r="OTJ91" s="1055"/>
      <c r="OTK91" s="1055"/>
      <c r="OTL91" s="1055"/>
      <c r="OTM91" s="1055"/>
      <c r="OTN91" s="1055"/>
      <c r="OTO91" s="1055"/>
      <c r="OTP91" s="1055"/>
      <c r="OTQ91" s="1055"/>
      <c r="OTR91" s="1055"/>
      <c r="OTS91" s="1055"/>
      <c r="OTT91" s="1055"/>
      <c r="OTU91" s="1055"/>
      <c r="OTV91" s="1055"/>
      <c r="OTW91" s="1055"/>
      <c r="OTX91" s="1055"/>
      <c r="OTY91" s="1055"/>
      <c r="OTZ91" s="1055"/>
      <c r="OUA91" s="1055"/>
      <c r="OUB91" s="1055"/>
      <c r="OUC91" s="1055"/>
      <c r="OUD91" s="1055"/>
      <c r="OUE91" s="1055"/>
      <c r="OUF91" s="1055"/>
      <c r="OUG91" s="1055"/>
      <c r="OUH91" s="1055"/>
      <c r="OUI91" s="1055"/>
      <c r="OUJ91" s="1055"/>
      <c r="OUK91" s="1055"/>
      <c r="OUL91" s="1055"/>
      <c r="OUM91" s="1055"/>
      <c r="OUN91" s="1055"/>
      <c r="OUO91" s="1055"/>
      <c r="OUP91" s="1055"/>
      <c r="OUQ91" s="1055"/>
      <c r="OUR91" s="1055"/>
      <c r="OUS91" s="1055"/>
      <c r="OUT91" s="1055"/>
      <c r="OUU91" s="1055"/>
      <c r="OUV91" s="1055"/>
      <c r="OUW91" s="1055"/>
      <c r="OUX91" s="1055"/>
      <c r="OUY91" s="1055"/>
      <c r="OUZ91" s="1055"/>
      <c r="OVA91" s="1055"/>
      <c r="OVB91" s="1055"/>
      <c r="OVC91" s="1055"/>
      <c r="OVD91" s="1055"/>
      <c r="OVE91" s="1055"/>
      <c r="OVF91" s="1055"/>
      <c r="OVG91" s="1055"/>
      <c r="OVH91" s="1055"/>
      <c r="OVI91" s="1055"/>
      <c r="OVJ91" s="1055"/>
      <c r="OVK91" s="1055"/>
      <c r="OVL91" s="1055"/>
      <c r="OVM91" s="1055"/>
      <c r="OVN91" s="1055"/>
      <c r="OVO91" s="1055"/>
      <c r="OVP91" s="1055"/>
      <c r="OVQ91" s="1055"/>
      <c r="OVR91" s="1055"/>
      <c r="OVS91" s="1055"/>
      <c r="OVT91" s="1055"/>
      <c r="OVU91" s="1055"/>
      <c r="OVV91" s="1055"/>
      <c r="OVW91" s="1055"/>
      <c r="OVX91" s="1055"/>
      <c r="OVY91" s="1055"/>
      <c r="OVZ91" s="1055"/>
      <c r="OWA91" s="1055"/>
      <c r="OWB91" s="1055"/>
      <c r="OWC91" s="1055"/>
      <c r="OWD91" s="1055"/>
      <c r="OWE91" s="1055"/>
      <c r="OWF91" s="1055"/>
      <c r="OWG91" s="1055"/>
      <c r="OWH91" s="1055"/>
      <c r="OWI91" s="1055"/>
      <c r="OWJ91" s="1055"/>
      <c r="OWK91" s="1055"/>
      <c r="OWL91" s="1055"/>
      <c r="OWM91" s="1055"/>
      <c r="OWN91" s="1055"/>
      <c r="OWO91" s="1055"/>
      <c r="OWP91" s="1055"/>
      <c r="OWQ91" s="1055"/>
      <c r="OWR91" s="1055"/>
      <c r="OWS91" s="1055"/>
      <c r="OWT91" s="1055"/>
      <c r="OWU91" s="1055"/>
      <c r="OWV91" s="1055"/>
      <c r="OWW91" s="1055"/>
      <c r="OWX91" s="1055"/>
      <c r="OWY91" s="1055"/>
      <c r="OWZ91" s="1055"/>
      <c r="OXA91" s="1055"/>
      <c r="OXB91" s="1055"/>
      <c r="OXC91" s="1055"/>
      <c r="OXD91" s="1055"/>
      <c r="OXE91" s="1055"/>
      <c r="OXF91" s="1055"/>
      <c r="OXG91" s="1055"/>
      <c r="OXH91" s="1055"/>
      <c r="OXI91" s="1055"/>
      <c r="OXJ91" s="1055"/>
      <c r="OXK91" s="1055"/>
      <c r="OXL91" s="1055"/>
      <c r="OXM91" s="1055"/>
      <c r="OXN91" s="1055"/>
      <c r="OXO91" s="1055"/>
      <c r="OXP91" s="1055"/>
      <c r="OXQ91" s="1055"/>
      <c r="OXR91" s="1055"/>
      <c r="OXS91" s="1055"/>
      <c r="OXT91" s="1055"/>
      <c r="OXU91" s="1055"/>
      <c r="OXV91" s="1055"/>
      <c r="OXW91" s="1055"/>
      <c r="OXX91" s="1055"/>
      <c r="OXY91" s="1055"/>
      <c r="OXZ91" s="1055"/>
      <c r="OYA91" s="1055"/>
      <c r="OYB91" s="1055"/>
      <c r="OYC91" s="1055"/>
      <c r="OYD91" s="1055"/>
      <c r="OYE91" s="1055"/>
      <c r="OYF91" s="1055"/>
      <c r="OYG91" s="1055"/>
      <c r="OYH91" s="1055"/>
      <c r="OYI91" s="1055"/>
      <c r="OYJ91" s="1055"/>
      <c r="OYK91" s="1055"/>
      <c r="OYL91" s="1055"/>
      <c r="OYM91" s="1055"/>
      <c r="OYN91" s="1055"/>
      <c r="OYO91" s="1055"/>
      <c r="OYP91" s="1055"/>
      <c r="OYQ91" s="1055"/>
      <c r="OYR91" s="1055"/>
      <c r="OYS91" s="1055"/>
      <c r="OYT91" s="1055"/>
      <c r="OYU91" s="1055"/>
      <c r="OYV91" s="1055"/>
      <c r="OYW91" s="1055"/>
      <c r="OYX91" s="1055"/>
      <c r="OYY91" s="1055"/>
      <c r="OYZ91" s="1055"/>
      <c r="OZA91" s="1055"/>
      <c r="OZB91" s="1055"/>
      <c r="OZC91" s="1055"/>
      <c r="OZD91" s="1055"/>
      <c r="OZE91" s="1055"/>
      <c r="OZF91" s="1055"/>
      <c r="OZG91" s="1055"/>
      <c r="OZH91" s="1055"/>
      <c r="OZI91" s="1055"/>
      <c r="OZJ91" s="1055"/>
      <c r="OZK91" s="1055"/>
      <c r="OZL91" s="1055"/>
      <c r="OZM91" s="1055"/>
      <c r="OZN91" s="1055"/>
      <c r="OZO91" s="1055"/>
      <c r="OZP91" s="1055"/>
      <c r="OZQ91" s="1055"/>
      <c r="OZR91" s="1055"/>
      <c r="OZS91" s="1055"/>
      <c r="OZT91" s="1055"/>
      <c r="OZU91" s="1055"/>
      <c r="OZV91" s="1055"/>
      <c r="OZW91" s="1055"/>
      <c r="OZX91" s="1055"/>
      <c r="OZY91" s="1055"/>
      <c r="OZZ91" s="1055"/>
      <c r="PAA91" s="1055"/>
      <c r="PAB91" s="1055"/>
      <c r="PAC91" s="1055"/>
      <c r="PAD91" s="1055"/>
      <c r="PAE91" s="1055"/>
      <c r="PAF91" s="1055"/>
      <c r="PAG91" s="1055"/>
      <c r="PAH91" s="1055"/>
      <c r="PAI91" s="1055"/>
      <c r="PAJ91" s="1055"/>
      <c r="PAK91" s="1055"/>
      <c r="PAL91" s="1055"/>
      <c r="PAM91" s="1055"/>
      <c r="PAN91" s="1055"/>
      <c r="PAO91" s="1055"/>
      <c r="PAP91" s="1055"/>
      <c r="PAQ91" s="1055"/>
      <c r="PAR91" s="1055"/>
      <c r="PAS91" s="1055"/>
      <c r="PAT91" s="1055"/>
      <c r="PAU91" s="1055"/>
      <c r="PAV91" s="1055"/>
      <c r="PAW91" s="1055"/>
      <c r="PAX91" s="1055"/>
      <c r="PAY91" s="1055"/>
      <c r="PAZ91" s="1055"/>
      <c r="PBA91" s="1055"/>
      <c r="PBB91" s="1055"/>
      <c r="PBC91" s="1055"/>
      <c r="PBD91" s="1055"/>
      <c r="PBE91" s="1055"/>
      <c r="PBF91" s="1055"/>
      <c r="PBG91" s="1055"/>
      <c r="PBH91" s="1055"/>
      <c r="PBI91" s="1055"/>
      <c r="PBJ91" s="1055"/>
      <c r="PBK91" s="1055"/>
      <c r="PBL91" s="1055"/>
      <c r="PBM91" s="1055"/>
      <c r="PBN91" s="1055"/>
      <c r="PBO91" s="1055"/>
      <c r="PBP91" s="1055"/>
      <c r="PBQ91" s="1055"/>
      <c r="PBR91" s="1055"/>
      <c r="PBS91" s="1055"/>
      <c r="PBT91" s="1055"/>
      <c r="PBU91" s="1055"/>
      <c r="PBV91" s="1055"/>
      <c r="PBW91" s="1055"/>
      <c r="PBX91" s="1055"/>
      <c r="PBY91" s="1055"/>
      <c r="PBZ91" s="1055"/>
      <c r="PCA91" s="1055"/>
      <c r="PCB91" s="1055"/>
      <c r="PCC91" s="1055"/>
      <c r="PCD91" s="1055"/>
      <c r="PCE91" s="1055"/>
      <c r="PCF91" s="1055"/>
      <c r="PCG91" s="1055"/>
      <c r="PCH91" s="1055"/>
      <c r="PCI91" s="1055"/>
      <c r="PCJ91" s="1055"/>
      <c r="PCK91" s="1055"/>
      <c r="PCL91" s="1055"/>
      <c r="PCM91" s="1055"/>
      <c r="PCN91" s="1055"/>
      <c r="PCO91" s="1055"/>
      <c r="PCP91" s="1055"/>
      <c r="PCQ91" s="1055"/>
      <c r="PCR91" s="1055"/>
      <c r="PCS91" s="1055"/>
      <c r="PCT91" s="1055"/>
      <c r="PCU91" s="1055"/>
      <c r="PCV91" s="1055"/>
      <c r="PCW91" s="1055"/>
      <c r="PCX91" s="1055"/>
      <c r="PCY91" s="1055"/>
      <c r="PCZ91" s="1055"/>
      <c r="PDA91" s="1055"/>
      <c r="PDB91" s="1055"/>
      <c r="PDC91" s="1055"/>
      <c r="PDD91" s="1055"/>
      <c r="PDE91" s="1055"/>
      <c r="PDF91" s="1055"/>
      <c r="PDG91" s="1055"/>
      <c r="PDH91" s="1055"/>
      <c r="PDI91" s="1055"/>
      <c r="PDJ91" s="1055"/>
      <c r="PDK91" s="1055"/>
      <c r="PDL91" s="1055"/>
      <c r="PDM91" s="1055"/>
      <c r="PDN91" s="1055"/>
      <c r="PDO91" s="1055"/>
      <c r="PDP91" s="1055"/>
      <c r="PDQ91" s="1055"/>
      <c r="PDR91" s="1055"/>
      <c r="PDS91" s="1055"/>
      <c r="PDT91" s="1055"/>
      <c r="PDU91" s="1055"/>
      <c r="PDV91" s="1055"/>
      <c r="PDW91" s="1055"/>
      <c r="PDX91" s="1055"/>
      <c r="PDY91" s="1055"/>
      <c r="PDZ91" s="1055"/>
      <c r="PEA91" s="1055"/>
      <c r="PEB91" s="1055"/>
      <c r="PEC91" s="1055"/>
      <c r="PED91" s="1055"/>
      <c r="PEE91" s="1055"/>
      <c r="PEF91" s="1055"/>
      <c r="PEG91" s="1055"/>
      <c r="PEH91" s="1055"/>
      <c r="PEI91" s="1055"/>
      <c r="PEJ91" s="1055"/>
      <c r="PEK91" s="1055"/>
      <c r="PEL91" s="1055"/>
      <c r="PEM91" s="1055"/>
      <c r="PEN91" s="1055"/>
      <c r="PEO91" s="1055"/>
      <c r="PEP91" s="1055"/>
      <c r="PEQ91" s="1055"/>
      <c r="PER91" s="1055"/>
      <c r="PES91" s="1055"/>
      <c r="PET91" s="1055"/>
      <c r="PEU91" s="1055"/>
      <c r="PEV91" s="1055"/>
      <c r="PEW91" s="1055"/>
      <c r="PEX91" s="1055"/>
      <c r="PEY91" s="1055"/>
      <c r="PEZ91" s="1055"/>
      <c r="PFA91" s="1055"/>
      <c r="PFB91" s="1055"/>
      <c r="PFC91" s="1055"/>
      <c r="PFD91" s="1055"/>
      <c r="PFE91" s="1055"/>
      <c r="PFF91" s="1055"/>
      <c r="PFG91" s="1055"/>
      <c r="PFH91" s="1055"/>
      <c r="PFI91" s="1055"/>
      <c r="PFJ91" s="1055"/>
      <c r="PFK91" s="1055"/>
      <c r="PFL91" s="1055"/>
      <c r="PFM91" s="1055"/>
      <c r="PFN91" s="1055"/>
      <c r="PFO91" s="1055"/>
      <c r="PFP91" s="1055"/>
      <c r="PFQ91" s="1055"/>
      <c r="PFR91" s="1055"/>
      <c r="PFS91" s="1055"/>
      <c r="PFT91" s="1055"/>
      <c r="PFU91" s="1055"/>
      <c r="PFV91" s="1055"/>
      <c r="PFW91" s="1055"/>
      <c r="PFX91" s="1055"/>
      <c r="PFY91" s="1055"/>
      <c r="PFZ91" s="1055"/>
      <c r="PGA91" s="1055"/>
      <c r="PGB91" s="1055"/>
      <c r="PGC91" s="1055"/>
      <c r="PGD91" s="1055"/>
      <c r="PGE91" s="1055"/>
      <c r="PGF91" s="1055"/>
      <c r="PGG91" s="1055"/>
      <c r="PGH91" s="1055"/>
      <c r="PGI91" s="1055"/>
      <c r="PGJ91" s="1055"/>
      <c r="PGK91" s="1055"/>
      <c r="PGL91" s="1055"/>
      <c r="PGM91" s="1055"/>
      <c r="PGN91" s="1055"/>
      <c r="PGO91" s="1055"/>
      <c r="PGP91" s="1055"/>
      <c r="PGQ91" s="1055"/>
      <c r="PGR91" s="1055"/>
      <c r="PGS91" s="1055"/>
      <c r="PGT91" s="1055"/>
      <c r="PGU91" s="1055"/>
      <c r="PGV91" s="1055"/>
      <c r="PGW91" s="1055"/>
      <c r="PGX91" s="1055"/>
      <c r="PGY91" s="1055"/>
      <c r="PGZ91" s="1055"/>
      <c r="PHA91" s="1055"/>
      <c r="PHB91" s="1055"/>
      <c r="PHC91" s="1055"/>
      <c r="PHD91" s="1055"/>
      <c r="PHE91" s="1055"/>
      <c r="PHF91" s="1055"/>
      <c r="PHG91" s="1055"/>
      <c r="PHH91" s="1055"/>
      <c r="PHI91" s="1055"/>
      <c r="PHJ91" s="1055"/>
      <c r="PHK91" s="1055"/>
      <c r="PHL91" s="1055"/>
      <c r="PHM91" s="1055"/>
      <c r="PHN91" s="1055"/>
      <c r="PHO91" s="1055"/>
      <c r="PHP91" s="1055"/>
      <c r="PHQ91" s="1055"/>
      <c r="PHR91" s="1055"/>
      <c r="PHS91" s="1055"/>
      <c r="PHT91" s="1055"/>
      <c r="PHU91" s="1055"/>
      <c r="PHV91" s="1055"/>
      <c r="PHW91" s="1055"/>
      <c r="PHX91" s="1055"/>
      <c r="PHY91" s="1055"/>
      <c r="PHZ91" s="1055"/>
      <c r="PIA91" s="1055"/>
      <c r="PIB91" s="1055"/>
      <c r="PIC91" s="1055"/>
      <c r="PID91" s="1055"/>
      <c r="PIE91" s="1055"/>
      <c r="PIF91" s="1055"/>
      <c r="PIG91" s="1055"/>
      <c r="PIH91" s="1055"/>
      <c r="PII91" s="1055"/>
      <c r="PIJ91" s="1055"/>
      <c r="PIK91" s="1055"/>
      <c r="PIL91" s="1055"/>
      <c r="PIM91" s="1055"/>
      <c r="PIN91" s="1055"/>
      <c r="PIO91" s="1055"/>
      <c r="PIP91" s="1055"/>
      <c r="PIQ91" s="1055"/>
      <c r="PIR91" s="1055"/>
      <c r="PIS91" s="1055"/>
      <c r="PIT91" s="1055"/>
      <c r="PIU91" s="1055"/>
      <c r="PIV91" s="1055"/>
      <c r="PIW91" s="1055"/>
      <c r="PIX91" s="1055"/>
      <c r="PIY91" s="1055"/>
      <c r="PIZ91" s="1055"/>
      <c r="PJA91" s="1055"/>
      <c r="PJB91" s="1055"/>
      <c r="PJC91" s="1055"/>
      <c r="PJD91" s="1055"/>
      <c r="PJE91" s="1055"/>
      <c r="PJF91" s="1055"/>
      <c r="PJG91" s="1055"/>
      <c r="PJH91" s="1055"/>
      <c r="PJI91" s="1055"/>
      <c r="PJJ91" s="1055"/>
      <c r="PJK91" s="1055"/>
      <c r="PJL91" s="1055"/>
      <c r="PJM91" s="1055"/>
      <c r="PJN91" s="1055"/>
      <c r="PJO91" s="1055"/>
      <c r="PJP91" s="1055"/>
      <c r="PJQ91" s="1055"/>
      <c r="PJR91" s="1055"/>
      <c r="PJS91" s="1055"/>
      <c r="PJT91" s="1055"/>
      <c r="PJU91" s="1055"/>
      <c r="PJV91" s="1055"/>
      <c r="PJW91" s="1055"/>
      <c r="PJX91" s="1055"/>
      <c r="PJY91" s="1055"/>
      <c r="PJZ91" s="1055"/>
      <c r="PKA91" s="1055"/>
      <c r="PKB91" s="1055"/>
      <c r="PKC91" s="1055"/>
      <c r="PKD91" s="1055"/>
      <c r="PKE91" s="1055"/>
      <c r="PKF91" s="1055"/>
      <c r="PKG91" s="1055"/>
      <c r="PKH91" s="1055"/>
      <c r="PKI91" s="1055"/>
      <c r="PKJ91" s="1055"/>
      <c r="PKK91" s="1055"/>
      <c r="PKL91" s="1055"/>
      <c r="PKM91" s="1055"/>
      <c r="PKN91" s="1055"/>
      <c r="PKO91" s="1055"/>
      <c r="PKP91" s="1055"/>
      <c r="PKQ91" s="1055"/>
      <c r="PKR91" s="1055"/>
      <c r="PKS91" s="1055"/>
      <c r="PKT91" s="1055"/>
      <c r="PKU91" s="1055"/>
      <c r="PKV91" s="1055"/>
      <c r="PKW91" s="1055"/>
      <c r="PKX91" s="1055"/>
      <c r="PKY91" s="1055"/>
      <c r="PKZ91" s="1055"/>
      <c r="PLA91" s="1055"/>
      <c r="PLB91" s="1055"/>
      <c r="PLC91" s="1055"/>
      <c r="PLD91" s="1055"/>
      <c r="PLE91" s="1055"/>
      <c r="PLF91" s="1055"/>
      <c r="PLG91" s="1055"/>
      <c r="PLH91" s="1055"/>
      <c r="PLI91" s="1055"/>
      <c r="PLJ91" s="1055"/>
      <c r="PLK91" s="1055"/>
      <c r="PLL91" s="1055"/>
      <c r="PLM91" s="1055"/>
      <c r="PLN91" s="1055"/>
      <c r="PLO91" s="1055"/>
      <c r="PLP91" s="1055"/>
      <c r="PLQ91" s="1055"/>
      <c r="PLR91" s="1055"/>
      <c r="PLS91" s="1055"/>
      <c r="PLT91" s="1055"/>
      <c r="PLU91" s="1055"/>
      <c r="PLV91" s="1055"/>
      <c r="PLW91" s="1055"/>
      <c r="PLX91" s="1055"/>
      <c r="PLY91" s="1055"/>
      <c r="PLZ91" s="1055"/>
      <c r="PMA91" s="1055"/>
      <c r="PMB91" s="1055"/>
      <c r="PMC91" s="1055"/>
      <c r="PMD91" s="1055"/>
      <c r="PME91" s="1055"/>
      <c r="PMF91" s="1055"/>
      <c r="PMG91" s="1055"/>
      <c r="PMH91" s="1055"/>
      <c r="PMI91" s="1055"/>
      <c r="PMJ91" s="1055"/>
      <c r="PMK91" s="1055"/>
      <c r="PML91" s="1055"/>
      <c r="PMM91" s="1055"/>
      <c r="PMN91" s="1055"/>
      <c r="PMO91" s="1055"/>
      <c r="PMP91" s="1055"/>
      <c r="PMQ91" s="1055"/>
      <c r="PMR91" s="1055"/>
      <c r="PMS91" s="1055"/>
      <c r="PMT91" s="1055"/>
      <c r="PMU91" s="1055"/>
      <c r="PMV91" s="1055"/>
      <c r="PMW91" s="1055"/>
      <c r="PMX91" s="1055"/>
      <c r="PMY91" s="1055"/>
      <c r="PMZ91" s="1055"/>
      <c r="PNA91" s="1055"/>
      <c r="PNB91" s="1055"/>
      <c r="PNC91" s="1055"/>
      <c r="PND91" s="1055"/>
      <c r="PNE91" s="1055"/>
      <c r="PNF91" s="1055"/>
      <c r="PNG91" s="1055"/>
      <c r="PNH91" s="1055"/>
      <c r="PNI91" s="1055"/>
      <c r="PNJ91" s="1055"/>
      <c r="PNK91" s="1055"/>
      <c r="PNL91" s="1055"/>
      <c r="PNM91" s="1055"/>
      <c r="PNN91" s="1055"/>
      <c r="PNO91" s="1055"/>
      <c r="PNP91" s="1055"/>
      <c r="PNQ91" s="1055"/>
      <c r="PNR91" s="1055"/>
      <c r="PNS91" s="1055"/>
      <c r="PNT91" s="1055"/>
      <c r="PNU91" s="1055"/>
      <c r="PNV91" s="1055"/>
      <c r="PNW91" s="1055"/>
      <c r="PNX91" s="1055"/>
      <c r="PNY91" s="1055"/>
      <c r="PNZ91" s="1055"/>
      <c r="POA91" s="1055"/>
      <c r="POB91" s="1055"/>
      <c r="POC91" s="1055"/>
      <c r="POD91" s="1055"/>
      <c r="POE91" s="1055"/>
      <c r="POF91" s="1055"/>
      <c r="POG91" s="1055"/>
      <c r="POH91" s="1055"/>
      <c r="POI91" s="1055"/>
      <c r="POJ91" s="1055"/>
      <c r="POK91" s="1055"/>
      <c r="POL91" s="1055"/>
      <c r="POM91" s="1055"/>
      <c r="PON91" s="1055"/>
      <c r="POO91" s="1055"/>
      <c r="POP91" s="1055"/>
      <c r="POQ91" s="1055"/>
      <c r="POR91" s="1055"/>
      <c r="POS91" s="1055"/>
      <c r="POT91" s="1055"/>
      <c r="POU91" s="1055"/>
      <c r="POV91" s="1055"/>
      <c r="POW91" s="1055"/>
      <c r="POX91" s="1055"/>
      <c r="POY91" s="1055"/>
      <c r="POZ91" s="1055"/>
      <c r="PPA91" s="1055"/>
      <c r="PPB91" s="1055"/>
      <c r="PPC91" s="1055"/>
      <c r="PPD91" s="1055"/>
      <c r="PPE91" s="1055"/>
      <c r="PPF91" s="1055"/>
      <c r="PPG91" s="1055"/>
      <c r="PPH91" s="1055"/>
      <c r="PPI91" s="1055"/>
      <c r="PPJ91" s="1055"/>
      <c r="PPK91" s="1055"/>
      <c r="PPL91" s="1055"/>
      <c r="PPM91" s="1055"/>
      <c r="PPN91" s="1055"/>
      <c r="PPO91" s="1055"/>
      <c r="PPP91" s="1055"/>
      <c r="PPQ91" s="1055"/>
      <c r="PPR91" s="1055"/>
      <c r="PPS91" s="1055"/>
      <c r="PPT91" s="1055"/>
      <c r="PPU91" s="1055"/>
      <c r="PPV91" s="1055"/>
      <c r="PPW91" s="1055"/>
      <c r="PPX91" s="1055"/>
      <c r="PPY91" s="1055"/>
      <c r="PPZ91" s="1055"/>
      <c r="PQA91" s="1055"/>
      <c r="PQB91" s="1055"/>
      <c r="PQC91" s="1055"/>
      <c r="PQD91" s="1055"/>
      <c r="PQE91" s="1055"/>
      <c r="PQF91" s="1055"/>
      <c r="PQG91" s="1055"/>
      <c r="PQH91" s="1055"/>
      <c r="PQI91" s="1055"/>
      <c r="PQJ91" s="1055"/>
      <c r="PQK91" s="1055"/>
      <c r="PQL91" s="1055"/>
      <c r="PQM91" s="1055"/>
      <c r="PQN91" s="1055"/>
      <c r="PQO91" s="1055"/>
      <c r="PQP91" s="1055"/>
      <c r="PQQ91" s="1055"/>
      <c r="PQR91" s="1055"/>
      <c r="PQS91" s="1055"/>
      <c r="PQT91" s="1055"/>
      <c r="PQU91" s="1055"/>
      <c r="PQV91" s="1055"/>
      <c r="PQW91" s="1055"/>
      <c r="PQX91" s="1055"/>
      <c r="PQY91" s="1055"/>
      <c r="PQZ91" s="1055"/>
      <c r="PRA91" s="1055"/>
      <c r="PRB91" s="1055"/>
      <c r="PRC91" s="1055"/>
      <c r="PRD91" s="1055"/>
      <c r="PRE91" s="1055"/>
      <c r="PRF91" s="1055"/>
      <c r="PRG91" s="1055"/>
      <c r="PRH91" s="1055"/>
      <c r="PRI91" s="1055"/>
      <c r="PRJ91" s="1055"/>
      <c r="PRK91" s="1055"/>
      <c r="PRL91" s="1055"/>
      <c r="PRM91" s="1055"/>
      <c r="PRN91" s="1055"/>
      <c r="PRO91" s="1055"/>
      <c r="PRP91" s="1055"/>
      <c r="PRQ91" s="1055"/>
      <c r="PRR91" s="1055"/>
      <c r="PRS91" s="1055"/>
      <c r="PRT91" s="1055"/>
      <c r="PRU91" s="1055"/>
      <c r="PRV91" s="1055"/>
      <c r="PRW91" s="1055"/>
      <c r="PRX91" s="1055"/>
      <c r="PRY91" s="1055"/>
      <c r="PRZ91" s="1055"/>
      <c r="PSA91" s="1055"/>
      <c r="PSB91" s="1055"/>
      <c r="PSC91" s="1055"/>
      <c r="PSD91" s="1055"/>
      <c r="PSE91" s="1055"/>
      <c r="PSF91" s="1055"/>
      <c r="PSG91" s="1055"/>
      <c r="PSH91" s="1055"/>
      <c r="PSI91" s="1055"/>
      <c r="PSJ91" s="1055"/>
      <c r="PSK91" s="1055"/>
      <c r="PSL91" s="1055"/>
      <c r="PSM91" s="1055"/>
      <c r="PSN91" s="1055"/>
      <c r="PSO91" s="1055"/>
      <c r="PSP91" s="1055"/>
      <c r="PSQ91" s="1055"/>
      <c r="PSR91" s="1055"/>
      <c r="PSS91" s="1055"/>
      <c r="PST91" s="1055"/>
      <c r="PSU91" s="1055"/>
      <c r="PSV91" s="1055"/>
      <c r="PSW91" s="1055"/>
      <c r="PSX91" s="1055"/>
      <c r="PSY91" s="1055"/>
      <c r="PSZ91" s="1055"/>
      <c r="PTA91" s="1055"/>
      <c r="PTB91" s="1055"/>
      <c r="PTC91" s="1055"/>
      <c r="PTD91" s="1055"/>
      <c r="PTE91" s="1055"/>
      <c r="PTF91" s="1055"/>
      <c r="PTG91" s="1055"/>
      <c r="PTH91" s="1055"/>
      <c r="PTI91" s="1055"/>
      <c r="PTJ91" s="1055"/>
      <c r="PTK91" s="1055"/>
      <c r="PTL91" s="1055"/>
      <c r="PTM91" s="1055"/>
      <c r="PTN91" s="1055"/>
      <c r="PTO91" s="1055"/>
      <c r="PTP91" s="1055"/>
      <c r="PTQ91" s="1055"/>
      <c r="PTR91" s="1055"/>
      <c r="PTS91" s="1055"/>
      <c r="PTT91" s="1055"/>
      <c r="PTU91" s="1055"/>
      <c r="PTV91" s="1055"/>
      <c r="PTW91" s="1055"/>
      <c r="PTX91" s="1055"/>
      <c r="PTY91" s="1055"/>
      <c r="PTZ91" s="1055"/>
      <c r="PUA91" s="1055"/>
      <c r="PUB91" s="1055"/>
      <c r="PUC91" s="1055"/>
      <c r="PUD91" s="1055"/>
      <c r="PUE91" s="1055"/>
      <c r="PUF91" s="1055"/>
      <c r="PUG91" s="1055"/>
      <c r="PUH91" s="1055"/>
      <c r="PUI91" s="1055"/>
      <c r="PUJ91" s="1055"/>
      <c r="PUK91" s="1055"/>
      <c r="PUL91" s="1055"/>
      <c r="PUM91" s="1055"/>
      <c r="PUN91" s="1055"/>
      <c r="PUO91" s="1055"/>
      <c r="PUP91" s="1055"/>
      <c r="PUQ91" s="1055"/>
      <c r="PUR91" s="1055"/>
      <c r="PUS91" s="1055"/>
      <c r="PUT91" s="1055"/>
      <c r="PUU91" s="1055"/>
      <c r="PUV91" s="1055"/>
      <c r="PUW91" s="1055"/>
      <c r="PUX91" s="1055"/>
      <c r="PUY91" s="1055"/>
      <c r="PUZ91" s="1055"/>
      <c r="PVA91" s="1055"/>
      <c r="PVB91" s="1055"/>
      <c r="PVC91" s="1055"/>
      <c r="PVD91" s="1055"/>
      <c r="PVE91" s="1055"/>
      <c r="PVF91" s="1055"/>
      <c r="PVG91" s="1055"/>
      <c r="PVH91" s="1055"/>
      <c r="PVI91" s="1055"/>
      <c r="PVJ91" s="1055"/>
      <c r="PVK91" s="1055"/>
      <c r="PVL91" s="1055"/>
      <c r="PVM91" s="1055"/>
      <c r="PVN91" s="1055"/>
      <c r="PVO91" s="1055"/>
      <c r="PVP91" s="1055"/>
      <c r="PVQ91" s="1055"/>
      <c r="PVR91" s="1055"/>
      <c r="PVS91" s="1055"/>
      <c r="PVT91" s="1055"/>
      <c r="PVU91" s="1055"/>
      <c r="PVV91" s="1055"/>
      <c r="PVW91" s="1055"/>
      <c r="PVX91" s="1055"/>
      <c r="PVY91" s="1055"/>
      <c r="PVZ91" s="1055"/>
      <c r="PWA91" s="1055"/>
      <c r="PWB91" s="1055"/>
      <c r="PWC91" s="1055"/>
      <c r="PWD91" s="1055"/>
      <c r="PWE91" s="1055"/>
      <c r="PWF91" s="1055"/>
      <c r="PWG91" s="1055"/>
      <c r="PWH91" s="1055"/>
      <c r="PWI91" s="1055"/>
      <c r="PWJ91" s="1055"/>
      <c r="PWK91" s="1055"/>
      <c r="PWL91" s="1055"/>
      <c r="PWM91" s="1055"/>
      <c r="PWN91" s="1055"/>
      <c r="PWO91" s="1055"/>
      <c r="PWP91" s="1055"/>
      <c r="PWQ91" s="1055"/>
      <c r="PWR91" s="1055"/>
      <c r="PWS91" s="1055"/>
      <c r="PWT91" s="1055"/>
      <c r="PWU91" s="1055"/>
      <c r="PWV91" s="1055"/>
      <c r="PWW91" s="1055"/>
      <c r="PWX91" s="1055"/>
      <c r="PWY91" s="1055"/>
      <c r="PWZ91" s="1055"/>
      <c r="PXA91" s="1055"/>
      <c r="PXB91" s="1055"/>
      <c r="PXC91" s="1055"/>
      <c r="PXD91" s="1055"/>
      <c r="PXE91" s="1055"/>
      <c r="PXF91" s="1055"/>
      <c r="PXG91" s="1055"/>
      <c r="PXH91" s="1055"/>
      <c r="PXI91" s="1055"/>
      <c r="PXJ91" s="1055"/>
      <c r="PXK91" s="1055"/>
      <c r="PXL91" s="1055"/>
      <c r="PXM91" s="1055"/>
      <c r="PXN91" s="1055"/>
      <c r="PXO91" s="1055"/>
      <c r="PXP91" s="1055"/>
      <c r="PXQ91" s="1055"/>
      <c r="PXR91" s="1055"/>
      <c r="PXS91" s="1055"/>
      <c r="PXT91" s="1055"/>
      <c r="PXU91" s="1055"/>
      <c r="PXV91" s="1055"/>
      <c r="PXW91" s="1055"/>
      <c r="PXX91" s="1055"/>
      <c r="PXY91" s="1055"/>
      <c r="PXZ91" s="1055"/>
      <c r="PYA91" s="1055"/>
      <c r="PYB91" s="1055"/>
      <c r="PYC91" s="1055"/>
      <c r="PYD91" s="1055"/>
      <c r="PYE91" s="1055"/>
      <c r="PYF91" s="1055"/>
      <c r="PYG91" s="1055"/>
      <c r="PYH91" s="1055"/>
      <c r="PYI91" s="1055"/>
      <c r="PYJ91" s="1055"/>
      <c r="PYK91" s="1055"/>
      <c r="PYL91" s="1055"/>
      <c r="PYM91" s="1055"/>
      <c r="PYN91" s="1055"/>
      <c r="PYO91" s="1055"/>
      <c r="PYP91" s="1055"/>
      <c r="PYQ91" s="1055"/>
      <c r="PYR91" s="1055"/>
      <c r="PYS91" s="1055"/>
      <c r="PYT91" s="1055"/>
      <c r="PYU91" s="1055"/>
      <c r="PYV91" s="1055"/>
      <c r="PYW91" s="1055"/>
      <c r="PYX91" s="1055"/>
      <c r="PYY91" s="1055"/>
      <c r="PYZ91" s="1055"/>
      <c r="PZA91" s="1055"/>
      <c r="PZB91" s="1055"/>
      <c r="PZC91" s="1055"/>
      <c r="PZD91" s="1055"/>
      <c r="PZE91" s="1055"/>
      <c r="PZF91" s="1055"/>
      <c r="PZG91" s="1055"/>
      <c r="PZH91" s="1055"/>
      <c r="PZI91" s="1055"/>
      <c r="PZJ91" s="1055"/>
      <c r="PZK91" s="1055"/>
      <c r="PZL91" s="1055"/>
      <c r="PZM91" s="1055"/>
      <c r="PZN91" s="1055"/>
      <c r="PZO91" s="1055"/>
      <c r="PZP91" s="1055"/>
      <c r="PZQ91" s="1055"/>
      <c r="PZR91" s="1055"/>
      <c r="PZS91" s="1055"/>
      <c r="PZT91" s="1055"/>
      <c r="PZU91" s="1055"/>
      <c r="PZV91" s="1055"/>
      <c r="PZW91" s="1055"/>
      <c r="PZX91" s="1055"/>
      <c r="PZY91" s="1055"/>
      <c r="PZZ91" s="1055"/>
      <c r="QAA91" s="1055"/>
      <c r="QAB91" s="1055"/>
      <c r="QAC91" s="1055"/>
      <c r="QAD91" s="1055"/>
      <c r="QAE91" s="1055"/>
      <c r="QAF91" s="1055"/>
      <c r="QAG91" s="1055"/>
      <c r="QAH91" s="1055"/>
      <c r="QAI91" s="1055"/>
      <c r="QAJ91" s="1055"/>
      <c r="QAK91" s="1055"/>
      <c r="QAL91" s="1055"/>
      <c r="QAM91" s="1055"/>
      <c r="QAN91" s="1055"/>
      <c r="QAO91" s="1055"/>
      <c r="QAP91" s="1055"/>
      <c r="QAQ91" s="1055"/>
      <c r="QAR91" s="1055"/>
      <c r="QAS91" s="1055"/>
      <c r="QAT91" s="1055"/>
      <c r="QAU91" s="1055"/>
      <c r="QAV91" s="1055"/>
      <c r="QAW91" s="1055"/>
      <c r="QAX91" s="1055"/>
      <c r="QAY91" s="1055"/>
      <c r="QAZ91" s="1055"/>
      <c r="QBA91" s="1055"/>
      <c r="QBB91" s="1055"/>
      <c r="QBC91" s="1055"/>
      <c r="QBD91" s="1055"/>
      <c r="QBE91" s="1055"/>
      <c r="QBF91" s="1055"/>
      <c r="QBG91" s="1055"/>
      <c r="QBH91" s="1055"/>
      <c r="QBI91" s="1055"/>
      <c r="QBJ91" s="1055"/>
      <c r="QBK91" s="1055"/>
      <c r="QBL91" s="1055"/>
      <c r="QBM91" s="1055"/>
      <c r="QBN91" s="1055"/>
      <c r="QBO91" s="1055"/>
      <c r="QBP91" s="1055"/>
      <c r="QBQ91" s="1055"/>
      <c r="QBR91" s="1055"/>
      <c r="QBS91" s="1055"/>
      <c r="QBT91" s="1055"/>
      <c r="QBU91" s="1055"/>
      <c r="QBV91" s="1055"/>
      <c r="QBW91" s="1055"/>
      <c r="QBX91" s="1055"/>
      <c r="QBY91" s="1055"/>
      <c r="QBZ91" s="1055"/>
      <c r="QCA91" s="1055"/>
      <c r="QCB91" s="1055"/>
      <c r="QCC91" s="1055"/>
      <c r="QCD91" s="1055"/>
      <c r="QCE91" s="1055"/>
      <c r="QCF91" s="1055"/>
      <c r="QCG91" s="1055"/>
      <c r="QCH91" s="1055"/>
      <c r="QCI91" s="1055"/>
      <c r="QCJ91" s="1055"/>
      <c r="QCK91" s="1055"/>
      <c r="QCL91" s="1055"/>
      <c r="QCM91" s="1055"/>
      <c r="QCN91" s="1055"/>
      <c r="QCO91" s="1055"/>
      <c r="QCP91" s="1055"/>
      <c r="QCQ91" s="1055"/>
      <c r="QCR91" s="1055"/>
      <c r="QCS91" s="1055"/>
      <c r="QCT91" s="1055"/>
      <c r="QCU91" s="1055"/>
      <c r="QCV91" s="1055"/>
      <c r="QCW91" s="1055"/>
      <c r="QCX91" s="1055"/>
      <c r="QCY91" s="1055"/>
      <c r="QCZ91" s="1055"/>
      <c r="QDA91" s="1055"/>
      <c r="QDB91" s="1055"/>
      <c r="QDC91" s="1055"/>
      <c r="QDD91" s="1055"/>
      <c r="QDE91" s="1055"/>
      <c r="QDF91" s="1055"/>
      <c r="QDG91" s="1055"/>
      <c r="QDH91" s="1055"/>
      <c r="QDI91" s="1055"/>
      <c r="QDJ91" s="1055"/>
      <c r="QDK91" s="1055"/>
      <c r="QDL91" s="1055"/>
      <c r="QDM91" s="1055"/>
      <c r="QDN91" s="1055"/>
      <c r="QDO91" s="1055"/>
      <c r="QDP91" s="1055"/>
      <c r="QDQ91" s="1055"/>
      <c r="QDR91" s="1055"/>
      <c r="QDS91" s="1055"/>
      <c r="QDT91" s="1055"/>
      <c r="QDU91" s="1055"/>
      <c r="QDV91" s="1055"/>
      <c r="QDW91" s="1055"/>
      <c r="QDX91" s="1055"/>
      <c r="QDY91" s="1055"/>
      <c r="QDZ91" s="1055"/>
      <c r="QEA91" s="1055"/>
      <c r="QEB91" s="1055"/>
      <c r="QEC91" s="1055"/>
      <c r="QED91" s="1055"/>
      <c r="QEE91" s="1055"/>
      <c r="QEF91" s="1055"/>
      <c r="QEG91" s="1055"/>
      <c r="QEH91" s="1055"/>
      <c r="QEI91" s="1055"/>
      <c r="QEJ91" s="1055"/>
      <c r="QEK91" s="1055"/>
      <c r="QEL91" s="1055"/>
      <c r="QEM91" s="1055"/>
      <c r="QEN91" s="1055"/>
      <c r="QEO91" s="1055"/>
      <c r="QEP91" s="1055"/>
      <c r="QEQ91" s="1055"/>
      <c r="QER91" s="1055"/>
      <c r="QES91" s="1055"/>
      <c r="QET91" s="1055"/>
      <c r="QEU91" s="1055"/>
      <c r="QEV91" s="1055"/>
      <c r="QEW91" s="1055"/>
      <c r="QEX91" s="1055"/>
      <c r="QEY91" s="1055"/>
      <c r="QEZ91" s="1055"/>
      <c r="QFA91" s="1055"/>
      <c r="QFB91" s="1055"/>
      <c r="QFC91" s="1055"/>
      <c r="QFD91" s="1055"/>
      <c r="QFE91" s="1055"/>
      <c r="QFF91" s="1055"/>
      <c r="QFG91" s="1055"/>
      <c r="QFH91" s="1055"/>
      <c r="QFI91" s="1055"/>
      <c r="QFJ91" s="1055"/>
      <c r="QFK91" s="1055"/>
      <c r="QFL91" s="1055"/>
      <c r="QFM91" s="1055"/>
      <c r="QFN91" s="1055"/>
      <c r="QFO91" s="1055"/>
      <c r="QFP91" s="1055"/>
      <c r="QFQ91" s="1055"/>
      <c r="QFR91" s="1055"/>
      <c r="QFS91" s="1055"/>
      <c r="QFT91" s="1055"/>
      <c r="QFU91" s="1055"/>
      <c r="QFV91" s="1055"/>
      <c r="QFW91" s="1055"/>
      <c r="QFX91" s="1055"/>
      <c r="QFY91" s="1055"/>
      <c r="QFZ91" s="1055"/>
      <c r="QGA91" s="1055"/>
      <c r="QGB91" s="1055"/>
      <c r="QGC91" s="1055"/>
      <c r="QGD91" s="1055"/>
      <c r="QGE91" s="1055"/>
      <c r="QGF91" s="1055"/>
      <c r="QGG91" s="1055"/>
      <c r="QGH91" s="1055"/>
      <c r="QGI91" s="1055"/>
      <c r="QGJ91" s="1055"/>
      <c r="QGK91" s="1055"/>
      <c r="QGL91" s="1055"/>
      <c r="QGM91" s="1055"/>
      <c r="QGN91" s="1055"/>
      <c r="QGO91" s="1055"/>
      <c r="QGP91" s="1055"/>
      <c r="QGQ91" s="1055"/>
      <c r="QGR91" s="1055"/>
      <c r="QGS91" s="1055"/>
      <c r="QGT91" s="1055"/>
      <c r="QGU91" s="1055"/>
      <c r="QGV91" s="1055"/>
      <c r="QGW91" s="1055"/>
      <c r="QGX91" s="1055"/>
      <c r="QGY91" s="1055"/>
      <c r="QGZ91" s="1055"/>
      <c r="QHA91" s="1055"/>
      <c r="QHB91" s="1055"/>
      <c r="QHC91" s="1055"/>
      <c r="QHD91" s="1055"/>
      <c r="QHE91" s="1055"/>
      <c r="QHF91" s="1055"/>
      <c r="QHG91" s="1055"/>
      <c r="QHH91" s="1055"/>
      <c r="QHI91" s="1055"/>
      <c r="QHJ91" s="1055"/>
      <c r="QHK91" s="1055"/>
      <c r="QHL91" s="1055"/>
      <c r="QHM91" s="1055"/>
      <c r="QHN91" s="1055"/>
      <c r="QHO91" s="1055"/>
      <c r="QHP91" s="1055"/>
      <c r="QHQ91" s="1055"/>
      <c r="QHR91" s="1055"/>
      <c r="QHS91" s="1055"/>
      <c r="QHT91" s="1055"/>
      <c r="QHU91" s="1055"/>
      <c r="QHV91" s="1055"/>
      <c r="QHW91" s="1055"/>
      <c r="QHX91" s="1055"/>
      <c r="QHY91" s="1055"/>
      <c r="QHZ91" s="1055"/>
      <c r="QIA91" s="1055"/>
      <c r="QIB91" s="1055"/>
      <c r="QIC91" s="1055"/>
      <c r="QID91" s="1055"/>
      <c r="QIE91" s="1055"/>
      <c r="QIF91" s="1055"/>
      <c r="QIG91" s="1055"/>
      <c r="QIH91" s="1055"/>
      <c r="QII91" s="1055"/>
      <c r="QIJ91" s="1055"/>
      <c r="QIK91" s="1055"/>
      <c r="QIL91" s="1055"/>
      <c r="QIM91" s="1055"/>
      <c r="QIN91" s="1055"/>
      <c r="QIO91" s="1055"/>
      <c r="QIP91" s="1055"/>
      <c r="QIQ91" s="1055"/>
      <c r="QIR91" s="1055"/>
      <c r="QIS91" s="1055"/>
      <c r="QIT91" s="1055"/>
      <c r="QIU91" s="1055"/>
      <c r="QIV91" s="1055"/>
      <c r="QIW91" s="1055"/>
      <c r="QIX91" s="1055"/>
      <c r="QIY91" s="1055"/>
      <c r="QIZ91" s="1055"/>
      <c r="QJA91" s="1055"/>
      <c r="QJB91" s="1055"/>
      <c r="QJC91" s="1055"/>
      <c r="QJD91" s="1055"/>
      <c r="QJE91" s="1055"/>
      <c r="QJF91" s="1055"/>
      <c r="QJG91" s="1055"/>
      <c r="QJH91" s="1055"/>
      <c r="QJI91" s="1055"/>
      <c r="QJJ91" s="1055"/>
      <c r="QJK91" s="1055"/>
      <c r="QJL91" s="1055"/>
      <c r="QJM91" s="1055"/>
      <c r="QJN91" s="1055"/>
      <c r="QJO91" s="1055"/>
      <c r="QJP91" s="1055"/>
      <c r="QJQ91" s="1055"/>
      <c r="QJR91" s="1055"/>
      <c r="QJS91" s="1055"/>
      <c r="QJT91" s="1055"/>
      <c r="QJU91" s="1055"/>
      <c r="QJV91" s="1055"/>
      <c r="QJW91" s="1055"/>
      <c r="QJX91" s="1055"/>
      <c r="QJY91" s="1055"/>
      <c r="QJZ91" s="1055"/>
      <c r="QKA91" s="1055"/>
      <c r="QKB91" s="1055"/>
      <c r="QKC91" s="1055"/>
      <c r="QKD91" s="1055"/>
      <c r="QKE91" s="1055"/>
      <c r="QKF91" s="1055"/>
      <c r="QKG91" s="1055"/>
      <c r="QKH91" s="1055"/>
      <c r="QKI91" s="1055"/>
      <c r="QKJ91" s="1055"/>
      <c r="QKK91" s="1055"/>
      <c r="QKL91" s="1055"/>
      <c r="QKM91" s="1055"/>
      <c r="QKN91" s="1055"/>
      <c r="QKO91" s="1055"/>
      <c r="QKP91" s="1055"/>
      <c r="QKQ91" s="1055"/>
      <c r="QKR91" s="1055"/>
      <c r="QKS91" s="1055"/>
      <c r="QKT91" s="1055"/>
      <c r="QKU91" s="1055"/>
      <c r="QKV91" s="1055"/>
      <c r="QKW91" s="1055"/>
      <c r="QKX91" s="1055"/>
      <c r="QKY91" s="1055"/>
      <c r="QKZ91" s="1055"/>
      <c r="QLA91" s="1055"/>
      <c r="QLB91" s="1055"/>
      <c r="QLC91" s="1055"/>
      <c r="QLD91" s="1055"/>
      <c r="QLE91" s="1055"/>
      <c r="QLF91" s="1055"/>
      <c r="QLG91" s="1055"/>
      <c r="QLH91" s="1055"/>
      <c r="QLI91" s="1055"/>
      <c r="QLJ91" s="1055"/>
      <c r="QLK91" s="1055"/>
      <c r="QLL91" s="1055"/>
      <c r="QLM91" s="1055"/>
      <c r="QLN91" s="1055"/>
      <c r="QLO91" s="1055"/>
      <c r="QLP91" s="1055"/>
      <c r="QLQ91" s="1055"/>
      <c r="QLR91" s="1055"/>
      <c r="QLS91" s="1055"/>
      <c r="QLT91" s="1055"/>
      <c r="QLU91" s="1055"/>
      <c r="QLV91" s="1055"/>
      <c r="QLW91" s="1055"/>
      <c r="QLX91" s="1055"/>
      <c r="QLY91" s="1055"/>
      <c r="QLZ91" s="1055"/>
      <c r="QMA91" s="1055"/>
      <c r="QMB91" s="1055"/>
      <c r="QMC91" s="1055"/>
      <c r="QMD91" s="1055"/>
      <c r="QME91" s="1055"/>
      <c r="QMF91" s="1055"/>
      <c r="QMG91" s="1055"/>
      <c r="QMH91" s="1055"/>
      <c r="QMI91" s="1055"/>
      <c r="QMJ91" s="1055"/>
      <c r="QMK91" s="1055"/>
      <c r="QML91" s="1055"/>
      <c r="QMM91" s="1055"/>
      <c r="QMN91" s="1055"/>
      <c r="QMO91" s="1055"/>
      <c r="QMP91" s="1055"/>
      <c r="QMQ91" s="1055"/>
      <c r="QMR91" s="1055"/>
      <c r="QMS91" s="1055"/>
      <c r="QMT91" s="1055"/>
      <c r="QMU91" s="1055"/>
      <c r="QMV91" s="1055"/>
      <c r="QMW91" s="1055"/>
      <c r="QMX91" s="1055"/>
      <c r="QMY91" s="1055"/>
      <c r="QMZ91" s="1055"/>
      <c r="QNA91" s="1055"/>
      <c r="QNB91" s="1055"/>
      <c r="QNC91" s="1055"/>
      <c r="QND91" s="1055"/>
      <c r="QNE91" s="1055"/>
      <c r="QNF91" s="1055"/>
      <c r="QNG91" s="1055"/>
      <c r="QNH91" s="1055"/>
      <c r="QNI91" s="1055"/>
      <c r="QNJ91" s="1055"/>
      <c r="QNK91" s="1055"/>
      <c r="QNL91" s="1055"/>
      <c r="QNM91" s="1055"/>
      <c r="QNN91" s="1055"/>
      <c r="QNO91" s="1055"/>
      <c r="QNP91" s="1055"/>
      <c r="QNQ91" s="1055"/>
      <c r="QNR91" s="1055"/>
      <c r="QNS91" s="1055"/>
      <c r="QNT91" s="1055"/>
      <c r="QNU91" s="1055"/>
      <c r="QNV91" s="1055"/>
      <c r="QNW91" s="1055"/>
      <c r="QNX91" s="1055"/>
      <c r="QNY91" s="1055"/>
      <c r="QNZ91" s="1055"/>
      <c r="QOA91" s="1055"/>
      <c r="QOB91" s="1055"/>
      <c r="QOC91" s="1055"/>
      <c r="QOD91" s="1055"/>
      <c r="QOE91" s="1055"/>
      <c r="QOF91" s="1055"/>
      <c r="QOG91" s="1055"/>
      <c r="QOH91" s="1055"/>
      <c r="QOI91" s="1055"/>
      <c r="QOJ91" s="1055"/>
      <c r="QOK91" s="1055"/>
      <c r="QOL91" s="1055"/>
      <c r="QOM91" s="1055"/>
      <c r="QON91" s="1055"/>
      <c r="QOO91" s="1055"/>
      <c r="QOP91" s="1055"/>
      <c r="QOQ91" s="1055"/>
      <c r="QOR91" s="1055"/>
      <c r="QOS91" s="1055"/>
      <c r="QOT91" s="1055"/>
      <c r="QOU91" s="1055"/>
      <c r="QOV91" s="1055"/>
      <c r="QOW91" s="1055"/>
      <c r="QOX91" s="1055"/>
      <c r="QOY91" s="1055"/>
      <c r="QOZ91" s="1055"/>
      <c r="QPA91" s="1055"/>
      <c r="QPB91" s="1055"/>
      <c r="QPC91" s="1055"/>
      <c r="QPD91" s="1055"/>
      <c r="QPE91" s="1055"/>
      <c r="QPF91" s="1055"/>
      <c r="QPG91" s="1055"/>
      <c r="QPH91" s="1055"/>
      <c r="QPI91" s="1055"/>
      <c r="QPJ91" s="1055"/>
      <c r="QPK91" s="1055"/>
      <c r="QPL91" s="1055"/>
      <c r="QPM91" s="1055"/>
      <c r="QPN91" s="1055"/>
      <c r="QPO91" s="1055"/>
      <c r="QPP91" s="1055"/>
      <c r="QPQ91" s="1055"/>
      <c r="QPR91" s="1055"/>
      <c r="QPS91" s="1055"/>
      <c r="QPT91" s="1055"/>
      <c r="QPU91" s="1055"/>
      <c r="QPV91" s="1055"/>
      <c r="QPW91" s="1055"/>
      <c r="QPX91" s="1055"/>
      <c r="QPY91" s="1055"/>
      <c r="QPZ91" s="1055"/>
      <c r="QQA91" s="1055"/>
      <c r="QQB91" s="1055"/>
      <c r="QQC91" s="1055"/>
      <c r="QQD91" s="1055"/>
      <c r="QQE91" s="1055"/>
      <c r="QQF91" s="1055"/>
      <c r="QQG91" s="1055"/>
      <c r="QQH91" s="1055"/>
      <c r="QQI91" s="1055"/>
      <c r="QQJ91" s="1055"/>
      <c r="QQK91" s="1055"/>
      <c r="QQL91" s="1055"/>
      <c r="QQM91" s="1055"/>
      <c r="QQN91" s="1055"/>
      <c r="QQO91" s="1055"/>
      <c r="QQP91" s="1055"/>
      <c r="QQQ91" s="1055"/>
      <c r="QQR91" s="1055"/>
      <c r="QQS91" s="1055"/>
      <c r="QQT91" s="1055"/>
      <c r="QQU91" s="1055"/>
      <c r="QQV91" s="1055"/>
      <c r="QQW91" s="1055"/>
      <c r="QQX91" s="1055"/>
      <c r="QQY91" s="1055"/>
      <c r="QQZ91" s="1055"/>
      <c r="QRA91" s="1055"/>
      <c r="QRB91" s="1055"/>
      <c r="QRC91" s="1055"/>
      <c r="QRD91" s="1055"/>
      <c r="QRE91" s="1055"/>
      <c r="QRF91" s="1055"/>
      <c r="QRG91" s="1055"/>
      <c r="QRH91" s="1055"/>
      <c r="QRI91" s="1055"/>
      <c r="QRJ91" s="1055"/>
      <c r="QRK91" s="1055"/>
      <c r="QRL91" s="1055"/>
      <c r="QRM91" s="1055"/>
      <c r="QRN91" s="1055"/>
      <c r="QRO91" s="1055"/>
      <c r="QRP91" s="1055"/>
      <c r="QRQ91" s="1055"/>
      <c r="QRR91" s="1055"/>
      <c r="QRS91" s="1055"/>
      <c r="QRT91" s="1055"/>
      <c r="QRU91" s="1055"/>
      <c r="QRV91" s="1055"/>
      <c r="QRW91" s="1055"/>
      <c r="QRX91" s="1055"/>
      <c r="QRY91" s="1055"/>
      <c r="QRZ91" s="1055"/>
      <c r="QSA91" s="1055"/>
      <c r="QSB91" s="1055"/>
      <c r="QSC91" s="1055"/>
      <c r="QSD91" s="1055"/>
      <c r="QSE91" s="1055"/>
      <c r="QSF91" s="1055"/>
      <c r="QSG91" s="1055"/>
      <c r="QSH91" s="1055"/>
      <c r="QSI91" s="1055"/>
      <c r="QSJ91" s="1055"/>
      <c r="QSK91" s="1055"/>
      <c r="QSL91" s="1055"/>
      <c r="QSM91" s="1055"/>
      <c r="QSN91" s="1055"/>
      <c r="QSO91" s="1055"/>
      <c r="QSP91" s="1055"/>
      <c r="QSQ91" s="1055"/>
      <c r="QSR91" s="1055"/>
      <c r="QSS91" s="1055"/>
      <c r="QST91" s="1055"/>
      <c r="QSU91" s="1055"/>
      <c r="QSV91" s="1055"/>
      <c r="QSW91" s="1055"/>
      <c r="QSX91" s="1055"/>
      <c r="QSY91" s="1055"/>
      <c r="QSZ91" s="1055"/>
      <c r="QTA91" s="1055"/>
      <c r="QTB91" s="1055"/>
      <c r="QTC91" s="1055"/>
      <c r="QTD91" s="1055"/>
      <c r="QTE91" s="1055"/>
      <c r="QTF91" s="1055"/>
      <c r="QTG91" s="1055"/>
      <c r="QTH91" s="1055"/>
      <c r="QTI91" s="1055"/>
      <c r="QTJ91" s="1055"/>
      <c r="QTK91" s="1055"/>
      <c r="QTL91" s="1055"/>
      <c r="QTM91" s="1055"/>
      <c r="QTN91" s="1055"/>
      <c r="QTO91" s="1055"/>
      <c r="QTP91" s="1055"/>
      <c r="QTQ91" s="1055"/>
      <c r="QTR91" s="1055"/>
      <c r="QTS91" s="1055"/>
      <c r="QTT91" s="1055"/>
      <c r="QTU91" s="1055"/>
      <c r="QTV91" s="1055"/>
      <c r="QTW91" s="1055"/>
      <c r="QTX91" s="1055"/>
      <c r="QTY91" s="1055"/>
      <c r="QTZ91" s="1055"/>
      <c r="QUA91" s="1055"/>
      <c r="QUB91" s="1055"/>
      <c r="QUC91" s="1055"/>
      <c r="QUD91" s="1055"/>
      <c r="QUE91" s="1055"/>
      <c r="QUF91" s="1055"/>
      <c r="QUG91" s="1055"/>
      <c r="QUH91" s="1055"/>
      <c r="QUI91" s="1055"/>
      <c r="QUJ91" s="1055"/>
      <c r="QUK91" s="1055"/>
      <c r="QUL91" s="1055"/>
      <c r="QUM91" s="1055"/>
      <c r="QUN91" s="1055"/>
      <c r="QUO91" s="1055"/>
      <c r="QUP91" s="1055"/>
      <c r="QUQ91" s="1055"/>
      <c r="QUR91" s="1055"/>
      <c r="QUS91" s="1055"/>
      <c r="QUT91" s="1055"/>
      <c r="QUU91" s="1055"/>
      <c r="QUV91" s="1055"/>
      <c r="QUW91" s="1055"/>
      <c r="QUX91" s="1055"/>
      <c r="QUY91" s="1055"/>
      <c r="QUZ91" s="1055"/>
      <c r="QVA91" s="1055"/>
      <c r="QVB91" s="1055"/>
      <c r="QVC91" s="1055"/>
      <c r="QVD91" s="1055"/>
      <c r="QVE91" s="1055"/>
      <c r="QVF91" s="1055"/>
      <c r="QVG91" s="1055"/>
      <c r="QVH91" s="1055"/>
      <c r="QVI91" s="1055"/>
      <c r="QVJ91" s="1055"/>
      <c r="QVK91" s="1055"/>
      <c r="QVL91" s="1055"/>
      <c r="QVM91" s="1055"/>
      <c r="QVN91" s="1055"/>
      <c r="QVO91" s="1055"/>
      <c r="QVP91" s="1055"/>
      <c r="QVQ91" s="1055"/>
      <c r="QVR91" s="1055"/>
      <c r="QVS91" s="1055"/>
      <c r="QVT91" s="1055"/>
      <c r="QVU91" s="1055"/>
      <c r="QVV91" s="1055"/>
      <c r="QVW91" s="1055"/>
      <c r="QVX91" s="1055"/>
      <c r="QVY91" s="1055"/>
      <c r="QVZ91" s="1055"/>
      <c r="QWA91" s="1055"/>
      <c r="QWB91" s="1055"/>
      <c r="QWC91" s="1055"/>
      <c r="QWD91" s="1055"/>
      <c r="QWE91" s="1055"/>
      <c r="QWF91" s="1055"/>
      <c r="QWG91" s="1055"/>
      <c r="QWH91" s="1055"/>
      <c r="QWI91" s="1055"/>
      <c r="QWJ91" s="1055"/>
      <c r="QWK91" s="1055"/>
      <c r="QWL91" s="1055"/>
      <c r="QWM91" s="1055"/>
      <c r="QWN91" s="1055"/>
      <c r="QWO91" s="1055"/>
      <c r="QWP91" s="1055"/>
      <c r="QWQ91" s="1055"/>
      <c r="QWR91" s="1055"/>
      <c r="QWS91" s="1055"/>
      <c r="QWT91" s="1055"/>
      <c r="QWU91" s="1055"/>
      <c r="QWV91" s="1055"/>
      <c r="QWW91" s="1055"/>
      <c r="QWX91" s="1055"/>
      <c r="QWY91" s="1055"/>
      <c r="QWZ91" s="1055"/>
      <c r="QXA91" s="1055"/>
      <c r="QXB91" s="1055"/>
      <c r="QXC91" s="1055"/>
      <c r="QXD91" s="1055"/>
      <c r="QXE91" s="1055"/>
      <c r="QXF91" s="1055"/>
      <c r="QXG91" s="1055"/>
      <c r="QXH91" s="1055"/>
      <c r="QXI91" s="1055"/>
      <c r="QXJ91" s="1055"/>
      <c r="QXK91" s="1055"/>
      <c r="QXL91" s="1055"/>
      <c r="QXM91" s="1055"/>
      <c r="QXN91" s="1055"/>
      <c r="QXO91" s="1055"/>
      <c r="QXP91" s="1055"/>
      <c r="QXQ91" s="1055"/>
      <c r="QXR91" s="1055"/>
      <c r="QXS91" s="1055"/>
      <c r="QXT91" s="1055"/>
      <c r="QXU91" s="1055"/>
      <c r="QXV91" s="1055"/>
      <c r="QXW91" s="1055"/>
      <c r="QXX91" s="1055"/>
      <c r="QXY91" s="1055"/>
      <c r="QXZ91" s="1055"/>
      <c r="QYA91" s="1055"/>
      <c r="QYB91" s="1055"/>
      <c r="QYC91" s="1055"/>
      <c r="QYD91" s="1055"/>
      <c r="QYE91" s="1055"/>
      <c r="QYF91" s="1055"/>
      <c r="QYG91" s="1055"/>
      <c r="QYH91" s="1055"/>
      <c r="QYI91" s="1055"/>
      <c r="QYJ91" s="1055"/>
      <c r="QYK91" s="1055"/>
      <c r="QYL91" s="1055"/>
      <c r="QYM91" s="1055"/>
      <c r="QYN91" s="1055"/>
      <c r="QYO91" s="1055"/>
      <c r="QYP91" s="1055"/>
      <c r="QYQ91" s="1055"/>
      <c r="QYR91" s="1055"/>
      <c r="QYS91" s="1055"/>
      <c r="QYT91" s="1055"/>
      <c r="QYU91" s="1055"/>
      <c r="QYV91" s="1055"/>
      <c r="QYW91" s="1055"/>
      <c r="QYX91" s="1055"/>
      <c r="QYY91" s="1055"/>
      <c r="QYZ91" s="1055"/>
      <c r="QZA91" s="1055"/>
      <c r="QZB91" s="1055"/>
      <c r="QZC91" s="1055"/>
      <c r="QZD91" s="1055"/>
      <c r="QZE91" s="1055"/>
      <c r="QZF91" s="1055"/>
      <c r="QZG91" s="1055"/>
      <c r="QZH91" s="1055"/>
      <c r="QZI91" s="1055"/>
      <c r="QZJ91" s="1055"/>
      <c r="QZK91" s="1055"/>
      <c r="QZL91" s="1055"/>
      <c r="QZM91" s="1055"/>
      <c r="QZN91" s="1055"/>
      <c r="QZO91" s="1055"/>
      <c r="QZP91" s="1055"/>
      <c r="QZQ91" s="1055"/>
      <c r="QZR91" s="1055"/>
      <c r="QZS91" s="1055"/>
      <c r="QZT91" s="1055"/>
      <c r="QZU91" s="1055"/>
      <c r="QZV91" s="1055"/>
      <c r="QZW91" s="1055"/>
      <c r="QZX91" s="1055"/>
      <c r="QZY91" s="1055"/>
      <c r="QZZ91" s="1055"/>
      <c r="RAA91" s="1055"/>
      <c r="RAB91" s="1055"/>
      <c r="RAC91" s="1055"/>
      <c r="RAD91" s="1055"/>
      <c r="RAE91" s="1055"/>
      <c r="RAF91" s="1055"/>
      <c r="RAG91" s="1055"/>
      <c r="RAH91" s="1055"/>
      <c r="RAI91" s="1055"/>
      <c r="RAJ91" s="1055"/>
      <c r="RAK91" s="1055"/>
      <c r="RAL91" s="1055"/>
      <c r="RAM91" s="1055"/>
      <c r="RAN91" s="1055"/>
      <c r="RAO91" s="1055"/>
      <c r="RAP91" s="1055"/>
      <c r="RAQ91" s="1055"/>
      <c r="RAR91" s="1055"/>
      <c r="RAS91" s="1055"/>
      <c r="RAT91" s="1055"/>
      <c r="RAU91" s="1055"/>
      <c r="RAV91" s="1055"/>
      <c r="RAW91" s="1055"/>
      <c r="RAX91" s="1055"/>
      <c r="RAY91" s="1055"/>
      <c r="RAZ91" s="1055"/>
      <c r="RBA91" s="1055"/>
      <c r="RBB91" s="1055"/>
      <c r="RBC91" s="1055"/>
      <c r="RBD91" s="1055"/>
      <c r="RBE91" s="1055"/>
      <c r="RBF91" s="1055"/>
      <c r="RBG91" s="1055"/>
      <c r="RBH91" s="1055"/>
      <c r="RBI91" s="1055"/>
      <c r="RBJ91" s="1055"/>
      <c r="RBK91" s="1055"/>
      <c r="RBL91" s="1055"/>
      <c r="RBM91" s="1055"/>
      <c r="RBN91" s="1055"/>
      <c r="RBO91" s="1055"/>
      <c r="RBP91" s="1055"/>
      <c r="RBQ91" s="1055"/>
      <c r="RBR91" s="1055"/>
      <c r="RBS91" s="1055"/>
      <c r="RBT91" s="1055"/>
      <c r="RBU91" s="1055"/>
      <c r="RBV91" s="1055"/>
      <c r="RBW91" s="1055"/>
      <c r="RBX91" s="1055"/>
      <c r="RBY91" s="1055"/>
      <c r="RBZ91" s="1055"/>
      <c r="RCA91" s="1055"/>
      <c r="RCB91" s="1055"/>
      <c r="RCC91" s="1055"/>
      <c r="RCD91" s="1055"/>
      <c r="RCE91" s="1055"/>
      <c r="RCF91" s="1055"/>
      <c r="RCG91" s="1055"/>
      <c r="RCH91" s="1055"/>
      <c r="RCI91" s="1055"/>
      <c r="RCJ91" s="1055"/>
      <c r="RCK91" s="1055"/>
      <c r="RCL91" s="1055"/>
      <c r="RCM91" s="1055"/>
      <c r="RCN91" s="1055"/>
      <c r="RCO91" s="1055"/>
      <c r="RCP91" s="1055"/>
      <c r="RCQ91" s="1055"/>
      <c r="RCR91" s="1055"/>
      <c r="RCS91" s="1055"/>
      <c r="RCT91" s="1055"/>
      <c r="RCU91" s="1055"/>
      <c r="RCV91" s="1055"/>
      <c r="RCW91" s="1055"/>
      <c r="RCX91" s="1055"/>
      <c r="RCY91" s="1055"/>
      <c r="RCZ91" s="1055"/>
      <c r="RDA91" s="1055"/>
      <c r="RDB91" s="1055"/>
      <c r="RDC91" s="1055"/>
      <c r="RDD91" s="1055"/>
      <c r="RDE91" s="1055"/>
      <c r="RDF91" s="1055"/>
      <c r="RDG91" s="1055"/>
      <c r="RDH91" s="1055"/>
      <c r="RDI91" s="1055"/>
      <c r="RDJ91" s="1055"/>
      <c r="RDK91" s="1055"/>
      <c r="RDL91" s="1055"/>
      <c r="RDM91" s="1055"/>
      <c r="RDN91" s="1055"/>
      <c r="RDO91" s="1055"/>
      <c r="RDP91" s="1055"/>
      <c r="RDQ91" s="1055"/>
      <c r="RDR91" s="1055"/>
      <c r="RDS91" s="1055"/>
      <c r="RDT91" s="1055"/>
      <c r="RDU91" s="1055"/>
      <c r="RDV91" s="1055"/>
      <c r="RDW91" s="1055"/>
      <c r="RDX91" s="1055"/>
      <c r="RDY91" s="1055"/>
      <c r="RDZ91" s="1055"/>
      <c r="REA91" s="1055"/>
      <c r="REB91" s="1055"/>
      <c r="REC91" s="1055"/>
      <c r="RED91" s="1055"/>
      <c r="REE91" s="1055"/>
      <c r="REF91" s="1055"/>
      <c r="REG91" s="1055"/>
      <c r="REH91" s="1055"/>
      <c r="REI91" s="1055"/>
      <c r="REJ91" s="1055"/>
      <c r="REK91" s="1055"/>
      <c r="REL91" s="1055"/>
      <c r="REM91" s="1055"/>
      <c r="REN91" s="1055"/>
      <c r="REO91" s="1055"/>
      <c r="REP91" s="1055"/>
      <c r="REQ91" s="1055"/>
      <c r="RER91" s="1055"/>
      <c r="RES91" s="1055"/>
      <c r="RET91" s="1055"/>
      <c r="REU91" s="1055"/>
      <c r="REV91" s="1055"/>
      <c r="REW91" s="1055"/>
      <c r="REX91" s="1055"/>
      <c r="REY91" s="1055"/>
      <c r="REZ91" s="1055"/>
      <c r="RFA91" s="1055"/>
      <c r="RFB91" s="1055"/>
      <c r="RFC91" s="1055"/>
      <c r="RFD91" s="1055"/>
      <c r="RFE91" s="1055"/>
      <c r="RFF91" s="1055"/>
      <c r="RFG91" s="1055"/>
      <c r="RFH91" s="1055"/>
      <c r="RFI91" s="1055"/>
      <c r="RFJ91" s="1055"/>
      <c r="RFK91" s="1055"/>
      <c r="RFL91" s="1055"/>
      <c r="RFM91" s="1055"/>
      <c r="RFN91" s="1055"/>
      <c r="RFO91" s="1055"/>
      <c r="RFP91" s="1055"/>
      <c r="RFQ91" s="1055"/>
      <c r="RFR91" s="1055"/>
      <c r="RFS91" s="1055"/>
      <c r="RFT91" s="1055"/>
      <c r="RFU91" s="1055"/>
      <c r="RFV91" s="1055"/>
      <c r="RFW91" s="1055"/>
      <c r="RFX91" s="1055"/>
      <c r="RFY91" s="1055"/>
      <c r="RFZ91" s="1055"/>
      <c r="RGA91" s="1055"/>
      <c r="RGB91" s="1055"/>
      <c r="RGC91" s="1055"/>
      <c r="RGD91" s="1055"/>
      <c r="RGE91" s="1055"/>
      <c r="RGF91" s="1055"/>
      <c r="RGG91" s="1055"/>
      <c r="RGH91" s="1055"/>
      <c r="RGI91" s="1055"/>
      <c r="RGJ91" s="1055"/>
      <c r="RGK91" s="1055"/>
      <c r="RGL91" s="1055"/>
      <c r="RGM91" s="1055"/>
      <c r="RGN91" s="1055"/>
      <c r="RGO91" s="1055"/>
      <c r="RGP91" s="1055"/>
      <c r="RGQ91" s="1055"/>
      <c r="RGR91" s="1055"/>
      <c r="RGS91" s="1055"/>
      <c r="RGT91" s="1055"/>
      <c r="RGU91" s="1055"/>
      <c r="RGV91" s="1055"/>
      <c r="RGW91" s="1055"/>
      <c r="RGX91" s="1055"/>
      <c r="RGY91" s="1055"/>
      <c r="RGZ91" s="1055"/>
      <c r="RHA91" s="1055"/>
      <c r="RHB91" s="1055"/>
      <c r="RHC91" s="1055"/>
      <c r="RHD91" s="1055"/>
      <c r="RHE91" s="1055"/>
      <c r="RHF91" s="1055"/>
      <c r="RHG91" s="1055"/>
      <c r="RHH91" s="1055"/>
      <c r="RHI91" s="1055"/>
      <c r="RHJ91" s="1055"/>
      <c r="RHK91" s="1055"/>
      <c r="RHL91" s="1055"/>
      <c r="RHM91" s="1055"/>
      <c r="RHN91" s="1055"/>
      <c r="RHO91" s="1055"/>
      <c r="RHP91" s="1055"/>
      <c r="RHQ91" s="1055"/>
      <c r="RHR91" s="1055"/>
      <c r="RHS91" s="1055"/>
      <c r="RHT91" s="1055"/>
      <c r="RHU91" s="1055"/>
      <c r="RHV91" s="1055"/>
      <c r="RHW91" s="1055"/>
      <c r="RHX91" s="1055"/>
      <c r="RHY91" s="1055"/>
      <c r="RHZ91" s="1055"/>
      <c r="RIA91" s="1055"/>
      <c r="RIB91" s="1055"/>
      <c r="RIC91" s="1055"/>
      <c r="RID91" s="1055"/>
      <c r="RIE91" s="1055"/>
      <c r="RIF91" s="1055"/>
      <c r="RIG91" s="1055"/>
      <c r="RIH91" s="1055"/>
      <c r="RII91" s="1055"/>
      <c r="RIJ91" s="1055"/>
      <c r="RIK91" s="1055"/>
      <c r="RIL91" s="1055"/>
      <c r="RIM91" s="1055"/>
      <c r="RIN91" s="1055"/>
      <c r="RIO91" s="1055"/>
      <c r="RIP91" s="1055"/>
      <c r="RIQ91" s="1055"/>
      <c r="RIR91" s="1055"/>
      <c r="RIS91" s="1055"/>
      <c r="RIT91" s="1055"/>
      <c r="RIU91" s="1055"/>
      <c r="RIV91" s="1055"/>
      <c r="RIW91" s="1055"/>
      <c r="RIX91" s="1055"/>
      <c r="RIY91" s="1055"/>
      <c r="RIZ91" s="1055"/>
      <c r="RJA91" s="1055"/>
      <c r="RJB91" s="1055"/>
      <c r="RJC91" s="1055"/>
      <c r="RJD91" s="1055"/>
      <c r="RJE91" s="1055"/>
      <c r="RJF91" s="1055"/>
      <c r="RJG91" s="1055"/>
      <c r="RJH91" s="1055"/>
      <c r="RJI91" s="1055"/>
      <c r="RJJ91" s="1055"/>
      <c r="RJK91" s="1055"/>
      <c r="RJL91" s="1055"/>
      <c r="RJM91" s="1055"/>
      <c r="RJN91" s="1055"/>
      <c r="RJO91" s="1055"/>
      <c r="RJP91" s="1055"/>
      <c r="RJQ91" s="1055"/>
      <c r="RJR91" s="1055"/>
      <c r="RJS91" s="1055"/>
      <c r="RJT91" s="1055"/>
      <c r="RJU91" s="1055"/>
      <c r="RJV91" s="1055"/>
      <c r="RJW91" s="1055"/>
      <c r="RJX91" s="1055"/>
      <c r="RJY91" s="1055"/>
      <c r="RJZ91" s="1055"/>
      <c r="RKA91" s="1055"/>
      <c r="RKB91" s="1055"/>
      <c r="RKC91" s="1055"/>
      <c r="RKD91" s="1055"/>
      <c r="RKE91" s="1055"/>
      <c r="RKF91" s="1055"/>
      <c r="RKG91" s="1055"/>
      <c r="RKH91" s="1055"/>
      <c r="RKI91" s="1055"/>
      <c r="RKJ91" s="1055"/>
      <c r="RKK91" s="1055"/>
      <c r="RKL91" s="1055"/>
      <c r="RKM91" s="1055"/>
      <c r="RKN91" s="1055"/>
      <c r="RKO91" s="1055"/>
      <c r="RKP91" s="1055"/>
      <c r="RKQ91" s="1055"/>
      <c r="RKR91" s="1055"/>
      <c r="RKS91" s="1055"/>
      <c r="RKT91" s="1055"/>
      <c r="RKU91" s="1055"/>
      <c r="RKV91" s="1055"/>
      <c r="RKW91" s="1055"/>
      <c r="RKX91" s="1055"/>
      <c r="RKY91" s="1055"/>
      <c r="RKZ91" s="1055"/>
      <c r="RLA91" s="1055"/>
      <c r="RLB91" s="1055"/>
      <c r="RLC91" s="1055"/>
      <c r="RLD91" s="1055"/>
      <c r="RLE91" s="1055"/>
      <c r="RLF91" s="1055"/>
      <c r="RLG91" s="1055"/>
      <c r="RLH91" s="1055"/>
      <c r="RLI91" s="1055"/>
      <c r="RLJ91" s="1055"/>
      <c r="RLK91" s="1055"/>
      <c r="RLL91" s="1055"/>
      <c r="RLM91" s="1055"/>
      <c r="RLN91" s="1055"/>
      <c r="RLO91" s="1055"/>
      <c r="RLP91" s="1055"/>
      <c r="RLQ91" s="1055"/>
      <c r="RLR91" s="1055"/>
      <c r="RLS91" s="1055"/>
      <c r="RLT91" s="1055"/>
      <c r="RLU91" s="1055"/>
      <c r="RLV91" s="1055"/>
      <c r="RLW91" s="1055"/>
      <c r="RLX91" s="1055"/>
      <c r="RLY91" s="1055"/>
      <c r="RLZ91" s="1055"/>
      <c r="RMA91" s="1055"/>
      <c r="RMB91" s="1055"/>
      <c r="RMC91" s="1055"/>
      <c r="RMD91" s="1055"/>
      <c r="RME91" s="1055"/>
      <c r="RMF91" s="1055"/>
      <c r="RMG91" s="1055"/>
      <c r="RMH91" s="1055"/>
      <c r="RMI91" s="1055"/>
      <c r="RMJ91" s="1055"/>
      <c r="RMK91" s="1055"/>
      <c r="RML91" s="1055"/>
      <c r="RMM91" s="1055"/>
      <c r="RMN91" s="1055"/>
      <c r="RMO91" s="1055"/>
      <c r="RMP91" s="1055"/>
      <c r="RMQ91" s="1055"/>
      <c r="RMR91" s="1055"/>
      <c r="RMS91" s="1055"/>
      <c r="RMT91" s="1055"/>
      <c r="RMU91" s="1055"/>
      <c r="RMV91" s="1055"/>
      <c r="RMW91" s="1055"/>
      <c r="RMX91" s="1055"/>
      <c r="RMY91" s="1055"/>
      <c r="RMZ91" s="1055"/>
      <c r="RNA91" s="1055"/>
      <c r="RNB91" s="1055"/>
      <c r="RNC91" s="1055"/>
      <c r="RND91" s="1055"/>
      <c r="RNE91" s="1055"/>
      <c r="RNF91" s="1055"/>
      <c r="RNG91" s="1055"/>
      <c r="RNH91" s="1055"/>
      <c r="RNI91" s="1055"/>
      <c r="RNJ91" s="1055"/>
      <c r="RNK91" s="1055"/>
      <c r="RNL91" s="1055"/>
      <c r="RNM91" s="1055"/>
      <c r="RNN91" s="1055"/>
      <c r="RNO91" s="1055"/>
      <c r="RNP91" s="1055"/>
      <c r="RNQ91" s="1055"/>
      <c r="RNR91" s="1055"/>
      <c r="RNS91" s="1055"/>
      <c r="RNT91" s="1055"/>
      <c r="RNU91" s="1055"/>
      <c r="RNV91" s="1055"/>
      <c r="RNW91" s="1055"/>
      <c r="RNX91" s="1055"/>
      <c r="RNY91" s="1055"/>
      <c r="RNZ91" s="1055"/>
      <c r="ROA91" s="1055"/>
      <c r="ROB91" s="1055"/>
      <c r="ROC91" s="1055"/>
      <c r="ROD91" s="1055"/>
      <c r="ROE91" s="1055"/>
      <c r="ROF91" s="1055"/>
      <c r="ROG91" s="1055"/>
      <c r="ROH91" s="1055"/>
      <c r="ROI91" s="1055"/>
      <c r="ROJ91" s="1055"/>
      <c r="ROK91" s="1055"/>
      <c r="ROL91" s="1055"/>
      <c r="ROM91" s="1055"/>
      <c r="RON91" s="1055"/>
      <c r="ROO91" s="1055"/>
      <c r="ROP91" s="1055"/>
      <c r="ROQ91" s="1055"/>
      <c r="ROR91" s="1055"/>
      <c r="ROS91" s="1055"/>
      <c r="ROT91" s="1055"/>
      <c r="ROU91" s="1055"/>
      <c r="ROV91" s="1055"/>
      <c r="ROW91" s="1055"/>
      <c r="ROX91" s="1055"/>
      <c r="ROY91" s="1055"/>
      <c r="ROZ91" s="1055"/>
      <c r="RPA91" s="1055"/>
      <c r="RPB91" s="1055"/>
      <c r="RPC91" s="1055"/>
      <c r="RPD91" s="1055"/>
      <c r="RPE91" s="1055"/>
      <c r="RPF91" s="1055"/>
      <c r="RPG91" s="1055"/>
      <c r="RPH91" s="1055"/>
      <c r="RPI91" s="1055"/>
      <c r="RPJ91" s="1055"/>
      <c r="RPK91" s="1055"/>
      <c r="RPL91" s="1055"/>
      <c r="RPM91" s="1055"/>
      <c r="RPN91" s="1055"/>
      <c r="RPO91" s="1055"/>
      <c r="RPP91" s="1055"/>
      <c r="RPQ91" s="1055"/>
      <c r="RPR91" s="1055"/>
      <c r="RPS91" s="1055"/>
      <c r="RPT91" s="1055"/>
      <c r="RPU91" s="1055"/>
      <c r="RPV91" s="1055"/>
      <c r="RPW91" s="1055"/>
      <c r="RPX91" s="1055"/>
      <c r="RPY91" s="1055"/>
      <c r="RPZ91" s="1055"/>
      <c r="RQA91" s="1055"/>
      <c r="RQB91" s="1055"/>
      <c r="RQC91" s="1055"/>
      <c r="RQD91" s="1055"/>
      <c r="RQE91" s="1055"/>
      <c r="RQF91" s="1055"/>
      <c r="RQG91" s="1055"/>
      <c r="RQH91" s="1055"/>
      <c r="RQI91" s="1055"/>
      <c r="RQJ91" s="1055"/>
      <c r="RQK91" s="1055"/>
      <c r="RQL91" s="1055"/>
      <c r="RQM91" s="1055"/>
      <c r="RQN91" s="1055"/>
      <c r="RQO91" s="1055"/>
      <c r="RQP91" s="1055"/>
      <c r="RQQ91" s="1055"/>
      <c r="RQR91" s="1055"/>
      <c r="RQS91" s="1055"/>
      <c r="RQT91" s="1055"/>
      <c r="RQU91" s="1055"/>
      <c r="RQV91" s="1055"/>
      <c r="RQW91" s="1055"/>
      <c r="RQX91" s="1055"/>
      <c r="RQY91" s="1055"/>
      <c r="RQZ91" s="1055"/>
      <c r="RRA91" s="1055"/>
      <c r="RRB91" s="1055"/>
      <c r="RRC91" s="1055"/>
      <c r="RRD91" s="1055"/>
      <c r="RRE91" s="1055"/>
      <c r="RRF91" s="1055"/>
      <c r="RRG91" s="1055"/>
      <c r="RRH91" s="1055"/>
      <c r="RRI91" s="1055"/>
      <c r="RRJ91" s="1055"/>
      <c r="RRK91" s="1055"/>
      <c r="RRL91" s="1055"/>
      <c r="RRM91" s="1055"/>
      <c r="RRN91" s="1055"/>
      <c r="RRO91" s="1055"/>
      <c r="RRP91" s="1055"/>
      <c r="RRQ91" s="1055"/>
      <c r="RRR91" s="1055"/>
      <c r="RRS91" s="1055"/>
      <c r="RRT91" s="1055"/>
      <c r="RRU91" s="1055"/>
      <c r="RRV91" s="1055"/>
      <c r="RRW91" s="1055"/>
      <c r="RRX91" s="1055"/>
      <c r="RRY91" s="1055"/>
      <c r="RRZ91" s="1055"/>
      <c r="RSA91" s="1055"/>
      <c r="RSB91" s="1055"/>
      <c r="RSC91" s="1055"/>
      <c r="RSD91" s="1055"/>
      <c r="RSE91" s="1055"/>
      <c r="RSF91" s="1055"/>
      <c r="RSG91" s="1055"/>
      <c r="RSH91" s="1055"/>
      <c r="RSI91" s="1055"/>
      <c r="RSJ91" s="1055"/>
      <c r="RSK91" s="1055"/>
      <c r="RSL91" s="1055"/>
      <c r="RSM91" s="1055"/>
      <c r="RSN91" s="1055"/>
      <c r="RSO91" s="1055"/>
      <c r="RSP91" s="1055"/>
      <c r="RSQ91" s="1055"/>
      <c r="RSR91" s="1055"/>
      <c r="RSS91" s="1055"/>
      <c r="RST91" s="1055"/>
      <c r="RSU91" s="1055"/>
      <c r="RSV91" s="1055"/>
      <c r="RSW91" s="1055"/>
      <c r="RSX91" s="1055"/>
      <c r="RSY91" s="1055"/>
      <c r="RSZ91" s="1055"/>
      <c r="RTA91" s="1055"/>
      <c r="RTB91" s="1055"/>
      <c r="RTC91" s="1055"/>
      <c r="RTD91" s="1055"/>
      <c r="RTE91" s="1055"/>
      <c r="RTF91" s="1055"/>
      <c r="RTG91" s="1055"/>
      <c r="RTH91" s="1055"/>
      <c r="RTI91" s="1055"/>
      <c r="RTJ91" s="1055"/>
      <c r="RTK91" s="1055"/>
      <c r="RTL91" s="1055"/>
      <c r="RTM91" s="1055"/>
      <c r="RTN91" s="1055"/>
      <c r="RTO91" s="1055"/>
      <c r="RTP91" s="1055"/>
      <c r="RTQ91" s="1055"/>
      <c r="RTR91" s="1055"/>
      <c r="RTS91" s="1055"/>
      <c r="RTT91" s="1055"/>
      <c r="RTU91" s="1055"/>
      <c r="RTV91" s="1055"/>
      <c r="RTW91" s="1055"/>
      <c r="RTX91" s="1055"/>
      <c r="RTY91" s="1055"/>
      <c r="RTZ91" s="1055"/>
      <c r="RUA91" s="1055"/>
      <c r="RUB91" s="1055"/>
      <c r="RUC91" s="1055"/>
      <c r="RUD91" s="1055"/>
      <c r="RUE91" s="1055"/>
      <c r="RUF91" s="1055"/>
      <c r="RUG91" s="1055"/>
      <c r="RUH91" s="1055"/>
      <c r="RUI91" s="1055"/>
      <c r="RUJ91" s="1055"/>
      <c r="RUK91" s="1055"/>
      <c r="RUL91" s="1055"/>
      <c r="RUM91" s="1055"/>
      <c r="RUN91" s="1055"/>
      <c r="RUO91" s="1055"/>
      <c r="RUP91" s="1055"/>
      <c r="RUQ91" s="1055"/>
      <c r="RUR91" s="1055"/>
      <c r="RUS91" s="1055"/>
      <c r="RUT91" s="1055"/>
      <c r="RUU91" s="1055"/>
      <c r="RUV91" s="1055"/>
      <c r="RUW91" s="1055"/>
      <c r="RUX91" s="1055"/>
      <c r="RUY91" s="1055"/>
      <c r="RUZ91" s="1055"/>
      <c r="RVA91" s="1055"/>
      <c r="RVB91" s="1055"/>
      <c r="RVC91" s="1055"/>
      <c r="RVD91" s="1055"/>
      <c r="RVE91" s="1055"/>
      <c r="RVF91" s="1055"/>
      <c r="RVG91" s="1055"/>
      <c r="RVH91" s="1055"/>
      <c r="RVI91" s="1055"/>
      <c r="RVJ91" s="1055"/>
      <c r="RVK91" s="1055"/>
      <c r="RVL91" s="1055"/>
      <c r="RVM91" s="1055"/>
      <c r="RVN91" s="1055"/>
      <c r="RVO91" s="1055"/>
      <c r="RVP91" s="1055"/>
      <c r="RVQ91" s="1055"/>
      <c r="RVR91" s="1055"/>
      <c r="RVS91" s="1055"/>
      <c r="RVT91" s="1055"/>
      <c r="RVU91" s="1055"/>
      <c r="RVV91" s="1055"/>
      <c r="RVW91" s="1055"/>
      <c r="RVX91" s="1055"/>
      <c r="RVY91" s="1055"/>
      <c r="RVZ91" s="1055"/>
      <c r="RWA91" s="1055"/>
      <c r="RWB91" s="1055"/>
      <c r="RWC91" s="1055"/>
      <c r="RWD91" s="1055"/>
      <c r="RWE91" s="1055"/>
      <c r="RWF91" s="1055"/>
      <c r="RWG91" s="1055"/>
      <c r="RWH91" s="1055"/>
      <c r="RWI91" s="1055"/>
      <c r="RWJ91" s="1055"/>
      <c r="RWK91" s="1055"/>
      <c r="RWL91" s="1055"/>
      <c r="RWM91" s="1055"/>
      <c r="RWN91" s="1055"/>
      <c r="RWO91" s="1055"/>
      <c r="RWP91" s="1055"/>
      <c r="RWQ91" s="1055"/>
      <c r="RWR91" s="1055"/>
      <c r="RWS91" s="1055"/>
      <c r="RWT91" s="1055"/>
      <c r="RWU91" s="1055"/>
      <c r="RWV91" s="1055"/>
      <c r="RWW91" s="1055"/>
      <c r="RWX91" s="1055"/>
      <c r="RWY91" s="1055"/>
      <c r="RWZ91" s="1055"/>
      <c r="RXA91" s="1055"/>
      <c r="RXB91" s="1055"/>
      <c r="RXC91" s="1055"/>
      <c r="RXD91" s="1055"/>
      <c r="RXE91" s="1055"/>
      <c r="RXF91" s="1055"/>
      <c r="RXG91" s="1055"/>
      <c r="RXH91" s="1055"/>
      <c r="RXI91" s="1055"/>
      <c r="RXJ91" s="1055"/>
      <c r="RXK91" s="1055"/>
      <c r="RXL91" s="1055"/>
      <c r="RXM91" s="1055"/>
      <c r="RXN91" s="1055"/>
      <c r="RXO91" s="1055"/>
      <c r="RXP91" s="1055"/>
      <c r="RXQ91" s="1055"/>
      <c r="RXR91" s="1055"/>
      <c r="RXS91" s="1055"/>
      <c r="RXT91" s="1055"/>
      <c r="RXU91" s="1055"/>
      <c r="RXV91" s="1055"/>
      <c r="RXW91" s="1055"/>
      <c r="RXX91" s="1055"/>
      <c r="RXY91" s="1055"/>
      <c r="RXZ91" s="1055"/>
      <c r="RYA91" s="1055"/>
      <c r="RYB91" s="1055"/>
      <c r="RYC91" s="1055"/>
      <c r="RYD91" s="1055"/>
      <c r="RYE91" s="1055"/>
      <c r="RYF91" s="1055"/>
      <c r="RYG91" s="1055"/>
      <c r="RYH91" s="1055"/>
      <c r="RYI91" s="1055"/>
      <c r="RYJ91" s="1055"/>
      <c r="RYK91" s="1055"/>
      <c r="RYL91" s="1055"/>
      <c r="RYM91" s="1055"/>
      <c r="RYN91" s="1055"/>
      <c r="RYO91" s="1055"/>
      <c r="RYP91" s="1055"/>
      <c r="RYQ91" s="1055"/>
      <c r="RYR91" s="1055"/>
      <c r="RYS91" s="1055"/>
      <c r="RYT91" s="1055"/>
      <c r="RYU91" s="1055"/>
      <c r="RYV91" s="1055"/>
      <c r="RYW91" s="1055"/>
      <c r="RYX91" s="1055"/>
      <c r="RYY91" s="1055"/>
      <c r="RYZ91" s="1055"/>
      <c r="RZA91" s="1055"/>
      <c r="RZB91" s="1055"/>
      <c r="RZC91" s="1055"/>
      <c r="RZD91" s="1055"/>
      <c r="RZE91" s="1055"/>
      <c r="RZF91" s="1055"/>
      <c r="RZG91" s="1055"/>
      <c r="RZH91" s="1055"/>
      <c r="RZI91" s="1055"/>
      <c r="RZJ91" s="1055"/>
      <c r="RZK91" s="1055"/>
      <c r="RZL91" s="1055"/>
      <c r="RZM91" s="1055"/>
      <c r="RZN91" s="1055"/>
      <c r="RZO91" s="1055"/>
      <c r="RZP91" s="1055"/>
      <c r="RZQ91" s="1055"/>
      <c r="RZR91" s="1055"/>
      <c r="RZS91" s="1055"/>
      <c r="RZT91" s="1055"/>
      <c r="RZU91" s="1055"/>
      <c r="RZV91" s="1055"/>
      <c r="RZW91" s="1055"/>
      <c r="RZX91" s="1055"/>
      <c r="RZY91" s="1055"/>
      <c r="RZZ91" s="1055"/>
      <c r="SAA91" s="1055"/>
      <c r="SAB91" s="1055"/>
      <c r="SAC91" s="1055"/>
      <c r="SAD91" s="1055"/>
      <c r="SAE91" s="1055"/>
      <c r="SAF91" s="1055"/>
      <c r="SAG91" s="1055"/>
      <c r="SAH91" s="1055"/>
      <c r="SAI91" s="1055"/>
      <c r="SAJ91" s="1055"/>
      <c r="SAK91" s="1055"/>
      <c r="SAL91" s="1055"/>
      <c r="SAM91" s="1055"/>
      <c r="SAN91" s="1055"/>
      <c r="SAO91" s="1055"/>
      <c r="SAP91" s="1055"/>
      <c r="SAQ91" s="1055"/>
      <c r="SAR91" s="1055"/>
      <c r="SAS91" s="1055"/>
      <c r="SAT91" s="1055"/>
      <c r="SAU91" s="1055"/>
      <c r="SAV91" s="1055"/>
      <c r="SAW91" s="1055"/>
      <c r="SAX91" s="1055"/>
      <c r="SAY91" s="1055"/>
      <c r="SAZ91" s="1055"/>
      <c r="SBA91" s="1055"/>
      <c r="SBB91" s="1055"/>
      <c r="SBC91" s="1055"/>
      <c r="SBD91" s="1055"/>
      <c r="SBE91" s="1055"/>
      <c r="SBF91" s="1055"/>
      <c r="SBG91" s="1055"/>
      <c r="SBH91" s="1055"/>
      <c r="SBI91" s="1055"/>
      <c r="SBJ91" s="1055"/>
      <c r="SBK91" s="1055"/>
      <c r="SBL91" s="1055"/>
      <c r="SBM91" s="1055"/>
      <c r="SBN91" s="1055"/>
      <c r="SBO91" s="1055"/>
      <c r="SBP91" s="1055"/>
      <c r="SBQ91" s="1055"/>
      <c r="SBR91" s="1055"/>
      <c r="SBS91" s="1055"/>
      <c r="SBT91" s="1055"/>
      <c r="SBU91" s="1055"/>
      <c r="SBV91" s="1055"/>
      <c r="SBW91" s="1055"/>
      <c r="SBX91" s="1055"/>
      <c r="SBY91" s="1055"/>
      <c r="SBZ91" s="1055"/>
      <c r="SCA91" s="1055"/>
      <c r="SCB91" s="1055"/>
      <c r="SCC91" s="1055"/>
      <c r="SCD91" s="1055"/>
      <c r="SCE91" s="1055"/>
      <c r="SCF91" s="1055"/>
      <c r="SCG91" s="1055"/>
      <c r="SCH91" s="1055"/>
      <c r="SCI91" s="1055"/>
      <c r="SCJ91" s="1055"/>
      <c r="SCK91" s="1055"/>
      <c r="SCL91" s="1055"/>
      <c r="SCM91" s="1055"/>
      <c r="SCN91" s="1055"/>
      <c r="SCO91" s="1055"/>
      <c r="SCP91" s="1055"/>
      <c r="SCQ91" s="1055"/>
      <c r="SCR91" s="1055"/>
      <c r="SCS91" s="1055"/>
      <c r="SCT91" s="1055"/>
      <c r="SCU91" s="1055"/>
      <c r="SCV91" s="1055"/>
      <c r="SCW91" s="1055"/>
      <c r="SCX91" s="1055"/>
      <c r="SCY91" s="1055"/>
      <c r="SCZ91" s="1055"/>
      <c r="SDA91" s="1055"/>
      <c r="SDB91" s="1055"/>
      <c r="SDC91" s="1055"/>
      <c r="SDD91" s="1055"/>
      <c r="SDE91" s="1055"/>
      <c r="SDF91" s="1055"/>
      <c r="SDG91" s="1055"/>
      <c r="SDH91" s="1055"/>
      <c r="SDI91" s="1055"/>
      <c r="SDJ91" s="1055"/>
      <c r="SDK91" s="1055"/>
      <c r="SDL91" s="1055"/>
      <c r="SDM91" s="1055"/>
      <c r="SDN91" s="1055"/>
      <c r="SDO91" s="1055"/>
      <c r="SDP91" s="1055"/>
      <c r="SDQ91" s="1055"/>
      <c r="SDR91" s="1055"/>
      <c r="SDS91" s="1055"/>
      <c r="SDT91" s="1055"/>
      <c r="SDU91" s="1055"/>
      <c r="SDV91" s="1055"/>
      <c r="SDW91" s="1055"/>
      <c r="SDX91" s="1055"/>
      <c r="SDY91" s="1055"/>
      <c r="SDZ91" s="1055"/>
      <c r="SEA91" s="1055"/>
      <c r="SEB91" s="1055"/>
      <c r="SEC91" s="1055"/>
      <c r="SED91" s="1055"/>
      <c r="SEE91" s="1055"/>
      <c r="SEF91" s="1055"/>
      <c r="SEG91" s="1055"/>
      <c r="SEH91" s="1055"/>
      <c r="SEI91" s="1055"/>
      <c r="SEJ91" s="1055"/>
      <c r="SEK91" s="1055"/>
      <c r="SEL91" s="1055"/>
      <c r="SEM91" s="1055"/>
      <c r="SEN91" s="1055"/>
      <c r="SEO91" s="1055"/>
      <c r="SEP91" s="1055"/>
      <c r="SEQ91" s="1055"/>
      <c r="SER91" s="1055"/>
      <c r="SES91" s="1055"/>
      <c r="SET91" s="1055"/>
      <c r="SEU91" s="1055"/>
      <c r="SEV91" s="1055"/>
      <c r="SEW91" s="1055"/>
      <c r="SEX91" s="1055"/>
      <c r="SEY91" s="1055"/>
      <c r="SEZ91" s="1055"/>
      <c r="SFA91" s="1055"/>
      <c r="SFB91" s="1055"/>
      <c r="SFC91" s="1055"/>
      <c r="SFD91" s="1055"/>
      <c r="SFE91" s="1055"/>
      <c r="SFF91" s="1055"/>
      <c r="SFG91" s="1055"/>
      <c r="SFH91" s="1055"/>
      <c r="SFI91" s="1055"/>
      <c r="SFJ91" s="1055"/>
      <c r="SFK91" s="1055"/>
      <c r="SFL91" s="1055"/>
      <c r="SFM91" s="1055"/>
      <c r="SFN91" s="1055"/>
      <c r="SFO91" s="1055"/>
      <c r="SFP91" s="1055"/>
      <c r="SFQ91" s="1055"/>
      <c r="SFR91" s="1055"/>
      <c r="SFS91" s="1055"/>
      <c r="SFT91" s="1055"/>
      <c r="SFU91" s="1055"/>
      <c r="SFV91" s="1055"/>
      <c r="SFW91" s="1055"/>
      <c r="SFX91" s="1055"/>
      <c r="SFY91" s="1055"/>
      <c r="SFZ91" s="1055"/>
      <c r="SGA91" s="1055"/>
      <c r="SGB91" s="1055"/>
      <c r="SGC91" s="1055"/>
      <c r="SGD91" s="1055"/>
      <c r="SGE91" s="1055"/>
      <c r="SGF91" s="1055"/>
      <c r="SGG91" s="1055"/>
      <c r="SGH91" s="1055"/>
      <c r="SGI91" s="1055"/>
      <c r="SGJ91" s="1055"/>
      <c r="SGK91" s="1055"/>
      <c r="SGL91" s="1055"/>
      <c r="SGM91" s="1055"/>
      <c r="SGN91" s="1055"/>
      <c r="SGO91" s="1055"/>
      <c r="SGP91" s="1055"/>
      <c r="SGQ91" s="1055"/>
      <c r="SGR91" s="1055"/>
      <c r="SGS91" s="1055"/>
      <c r="SGT91" s="1055"/>
      <c r="SGU91" s="1055"/>
      <c r="SGV91" s="1055"/>
      <c r="SGW91" s="1055"/>
      <c r="SGX91" s="1055"/>
      <c r="SGY91" s="1055"/>
      <c r="SGZ91" s="1055"/>
      <c r="SHA91" s="1055"/>
      <c r="SHB91" s="1055"/>
      <c r="SHC91" s="1055"/>
      <c r="SHD91" s="1055"/>
      <c r="SHE91" s="1055"/>
      <c r="SHF91" s="1055"/>
      <c r="SHG91" s="1055"/>
      <c r="SHH91" s="1055"/>
      <c r="SHI91" s="1055"/>
      <c r="SHJ91" s="1055"/>
      <c r="SHK91" s="1055"/>
      <c r="SHL91" s="1055"/>
      <c r="SHM91" s="1055"/>
      <c r="SHN91" s="1055"/>
      <c r="SHO91" s="1055"/>
      <c r="SHP91" s="1055"/>
      <c r="SHQ91" s="1055"/>
      <c r="SHR91" s="1055"/>
      <c r="SHS91" s="1055"/>
      <c r="SHT91" s="1055"/>
      <c r="SHU91" s="1055"/>
      <c r="SHV91" s="1055"/>
      <c r="SHW91" s="1055"/>
      <c r="SHX91" s="1055"/>
      <c r="SHY91" s="1055"/>
      <c r="SHZ91" s="1055"/>
      <c r="SIA91" s="1055"/>
      <c r="SIB91" s="1055"/>
      <c r="SIC91" s="1055"/>
      <c r="SID91" s="1055"/>
      <c r="SIE91" s="1055"/>
      <c r="SIF91" s="1055"/>
      <c r="SIG91" s="1055"/>
      <c r="SIH91" s="1055"/>
      <c r="SII91" s="1055"/>
      <c r="SIJ91" s="1055"/>
      <c r="SIK91" s="1055"/>
      <c r="SIL91" s="1055"/>
      <c r="SIM91" s="1055"/>
      <c r="SIN91" s="1055"/>
      <c r="SIO91" s="1055"/>
      <c r="SIP91" s="1055"/>
      <c r="SIQ91" s="1055"/>
      <c r="SIR91" s="1055"/>
      <c r="SIS91" s="1055"/>
      <c r="SIT91" s="1055"/>
      <c r="SIU91" s="1055"/>
      <c r="SIV91" s="1055"/>
      <c r="SIW91" s="1055"/>
      <c r="SIX91" s="1055"/>
      <c r="SIY91" s="1055"/>
      <c r="SIZ91" s="1055"/>
      <c r="SJA91" s="1055"/>
      <c r="SJB91" s="1055"/>
      <c r="SJC91" s="1055"/>
      <c r="SJD91" s="1055"/>
      <c r="SJE91" s="1055"/>
      <c r="SJF91" s="1055"/>
      <c r="SJG91" s="1055"/>
      <c r="SJH91" s="1055"/>
      <c r="SJI91" s="1055"/>
      <c r="SJJ91" s="1055"/>
      <c r="SJK91" s="1055"/>
      <c r="SJL91" s="1055"/>
      <c r="SJM91" s="1055"/>
      <c r="SJN91" s="1055"/>
      <c r="SJO91" s="1055"/>
      <c r="SJP91" s="1055"/>
      <c r="SJQ91" s="1055"/>
      <c r="SJR91" s="1055"/>
      <c r="SJS91" s="1055"/>
      <c r="SJT91" s="1055"/>
      <c r="SJU91" s="1055"/>
      <c r="SJV91" s="1055"/>
      <c r="SJW91" s="1055"/>
      <c r="SJX91" s="1055"/>
      <c r="SJY91" s="1055"/>
      <c r="SJZ91" s="1055"/>
      <c r="SKA91" s="1055"/>
      <c r="SKB91" s="1055"/>
      <c r="SKC91" s="1055"/>
      <c r="SKD91" s="1055"/>
      <c r="SKE91" s="1055"/>
      <c r="SKF91" s="1055"/>
      <c r="SKG91" s="1055"/>
      <c r="SKH91" s="1055"/>
      <c r="SKI91" s="1055"/>
      <c r="SKJ91" s="1055"/>
      <c r="SKK91" s="1055"/>
      <c r="SKL91" s="1055"/>
      <c r="SKM91" s="1055"/>
      <c r="SKN91" s="1055"/>
      <c r="SKO91" s="1055"/>
      <c r="SKP91" s="1055"/>
      <c r="SKQ91" s="1055"/>
      <c r="SKR91" s="1055"/>
      <c r="SKS91" s="1055"/>
      <c r="SKT91" s="1055"/>
      <c r="SKU91" s="1055"/>
      <c r="SKV91" s="1055"/>
      <c r="SKW91" s="1055"/>
      <c r="SKX91" s="1055"/>
      <c r="SKY91" s="1055"/>
      <c r="SKZ91" s="1055"/>
      <c r="SLA91" s="1055"/>
      <c r="SLB91" s="1055"/>
      <c r="SLC91" s="1055"/>
      <c r="SLD91" s="1055"/>
      <c r="SLE91" s="1055"/>
      <c r="SLF91" s="1055"/>
      <c r="SLG91" s="1055"/>
      <c r="SLH91" s="1055"/>
      <c r="SLI91" s="1055"/>
      <c r="SLJ91" s="1055"/>
      <c r="SLK91" s="1055"/>
      <c r="SLL91" s="1055"/>
      <c r="SLM91" s="1055"/>
      <c r="SLN91" s="1055"/>
      <c r="SLO91" s="1055"/>
      <c r="SLP91" s="1055"/>
      <c r="SLQ91" s="1055"/>
      <c r="SLR91" s="1055"/>
      <c r="SLS91" s="1055"/>
      <c r="SLT91" s="1055"/>
      <c r="SLU91" s="1055"/>
      <c r="SLV91" s="1055"/>
      <c r="SLW91" s="1055"/>
      <c r="SLX91" s="1055"/>
      <c r="SLY91" s="1055"/>
      <c r="SLZ91" s="1055"/>
      <c r="SMA91" s="1055"/>
      <c r="SMB91" s="1055"/>
      <c r="SMC91" s="1055"/>
      <c r="SMD91" s="1055"/>
      <c r="SME91" s="1055"/>
      <c r="SMF91" s="1055"/>
      <c r="SMG91" s="1055"/>
      <c r="SMH91" s="1055"/>
      <c r="SMI91" s="1055"/>
      <c r="SMJ91" s="1055"/>
      <c r="SMK91" s="1055"/>
      <c r="SML91" s="1055"/>
      <c r="SMM91" s="1055"/>
      <c r="SMN91" s="1055"/>
      <c r="SMO91" s="1055"/>
      <c r="SMP91" s="1055"/>
      <c r="SMQ91" s="1055"/>
      <c r="SMR91" s="1055"/>
      <c r="SMS91" s="1055"/>
      <c r="SMT91" s="1055"/>
      <c r="SMU91" s="1055"/>
      <c r="SMV91" s="1055"/>
      <c r="SMW91" s="1055"/>
      <c r="SMX91" s="1055"/>
      <c r="SMY91" s="1055"/>
      <c r="SMZ91" s="1055"/>
      <c r="SNA91" s="1055"/>
      <c r="SNB91" s="1055"/>
      <c r="SNC91" s="1055"/>
      <c r="SND91" s="1055"/>
      <c r="SNE91" s="1055"/>
      <c r="SNF91" s="1055"/>
      <c r="SNG91" s="1055"/>
      <c r="SNH91" s="1055"/>
      <c r="SNI91" s="1055"/>
      <c r="SNJ91" s="1055"/>
      <c r="SNK91" s="1055"/>
      <c r="SNL91" s="1055"/>
      <c r="SNM91" s="1055"/>
      <c r="SNN91" s="1055"/>
      <c r="SNO91" s="1055"/>
      <c r="SNP91" s="1055"/>
      <c r="SNQ91" s="1055"/>
      <c r="SNR91" s="1055"/>
      <c r="SNS91" s="1055"/>
      <c r="SNT91" s="1055"/>
      <c r="SNU91" s="1055"/>
      <c r="SNV91" s="1055"/>
      <c r="SNW91" s="1055"/>
      <c r="SNX91" s="1055"/>
      <c r="SNY91" s="1055"/>
      <c r="SNZ91" s="1055"/>
      <c r="SOA91" s="1055"/>
      <c r="SOB91" s="1055"/>
      <c r="SOC91" s="1055"/>
      <c r="SOD91" s="1055"/>
      <c r="SOE91" s="1055"/>
      <c r="SOF91" s="1055"/>
      <c r="SOG91" s="1055"/>
      <c r="SOH91" s="1055"/>
      <c r="SOI91" s="1055"/>
      <c r="SOJ91" s="1055"/>
      <c r="SOK91" s="1055"/>
      <c r="SOL91" s="1055"/>
      <c r="SOM91" s="1055"/>
      <c r="SON91" s="1055"/>
      <c r="SOO91" s="1055"/>
      <c r="SOP91" s="1055"/>
      <c r="SOQ91" s="1055"/>
      <c r="SOR91" s="1055"/>
      <c r="SOS91" s="1055"/>
      <c r="SOT91" s="1055"/>
      <c r="SOU91" s="1055"/>
      <c r="SOV91" s="1055"/>
      <c r="SOW91" s="1055"/>
      <c r="SOX91" s="1055"/>
      <c r="SOY91" s="1055"/>
      <c r="SOZ91" s="1055"/>
      <c r="SPA91" s="1055"/>
      <c r="SPB91" s="1055"/>
      <c r="SPC91" s="1055"/>
      <c r="SPD91" s="1055"/>
      <c r="SPE91" s="1055"/>
      <c r="SPF91" s="1055"/>
      <c r="SPG91" s="1055"/>
      <c r="SPH91" s="1055"/>
      <c r="SPI91" s="1055"/>
      <c r="SPJ91" s="1055"/>
      <c r="SPK91" s="1055"/>
      <c r="SPL91" s="1055"/>
      <c r="SPM91" s="1055"/>
      <c r="SPN91" s="1055"/>
      <c r="SPO91" s="1055"/>
      <c r="SPP91" s="1055"/>
      <c r="SPQ91" s="1055"/>
      <c r="SPR91" s="1055"/>
      <c r="SPS91" s="1055"/>
      <c r="SPT91" s="1055"/>
      <c r="SPU91" s="1055"/>
      <c r="SPV91" s="1055"/>
      <c r="SPW91" s="1055"/>
      <c r="SPX91" s="1055"/>
      <c r="SPY91" s="1055"/>
      <c r="SPZ91" s="1055"/>
      <c r="SQA91" s="1055"/>
      <c r="SQB91" s="1055"/>
      <c r="SQC91" s="1055"/>
      <c r="SQD91" s="1055"/>
      <c r="SQE91" s="1055"/>
      <c r="SQF91" s="1055"/>
      <c r="SQG91" s="1055"/>
      <c r="SQH91" s="1055"/>
      <c r="SQI91" s="1055"/>
      <c r="SQJ91" s="1055"/>
      <c r="SQK91" s="1055"/>
      <c r="SQL91" s="1055"/>
      <c r="SQM91" s="1055"/>
      <c r="SQN91" s="1055"/>
      <c r="SQO91" s="1055"/>
      <c r="SQP91" s="1055"/>
      <c r="SQQ91" s="1055"/>
      <c r="SQR91" s="1055"/>
      <c r="SQS91" s="1055"/>
      <c r="SQT91" s="1055"/>
      <c r="SQU91" s="1055"/>
      <c r="SQV91" s="1055"/>
      <c r="SQW91" s="1055"/>
      <c r="SQX91" s="1055"/>
      <c r="SQY91" s="1055"/>
      <c r="SQZ91" s="1055"/>
      <c r="SRA91" s="1055"/>
      <c r="SRB91" s="1055"/>
      <c r="SRC91" s="1055"/>
      <c r="SRD91" s="1055"/>
      <c r="SRE91" s="1055"/>
      <c r="SRF91" s="1055"/>
      <c r="SRG91" s="1055"/>
      <c r="SRH91" s="1055"/>
      <c r="SRI91" s="1055"/>
      <c r="SRJ91" s="1055"/>
      <c r="SRK91" s="1055"/>
      <c r="SRL91" s="1055"/>
      <c r="SRM91" s="1055"/>
      <c r="SRN91" s="1055"/>
      <c r="SRO91" s="1055"/>
      <c r="SRP91" s="1055"/>
      <c r="SRQ91" s="1055"/>
      <c r="SRR91" s="1055"/>
      <c r="SRS91" s="1055"/>
      <c r="SRT91" s="1055"/>
      <c r="SRU91" s="1055"/>
      <c r="SRV91" s="1055"/>
      <c r="SRW91" s="1055"/>
      <c r="SRX91" s="1055"/>
      <c r="SRY91" s="1055"/>
      <c r="SRZ91" s="1055"/>
      <c r="SSA91" s="1055"/>
      <c r="SSB91" s="1055"/>
      <c r="SSC91" s="1055"/>
      <c r="SSD91" s="1055"/>
      <c r="SSE91" s="1055"/>
      <c r="SSF91" s="1055"/>
      <c r="SSG91" s="1055"/>
      <c r="SSH91" s="1055"/>
      <c r="SSI91" s="1055"/>
      <c r="SSJ91" s="1055"/>
      <c r="SSK91" s="1055"/>
      <c r="SSL91" s="1055"/>
      <c r="SSM91" s="1055"/>
      <c r="SSN91" s="1055"/>
      <c r="SSO91" s="1055"/>
      <c r="SSP91" s="1055"/>
      <c r="SSQ91" s="1055"/>
      <c r="SSR91" s="1055"/>
      <c r="SSS91" s="1055"/>
      <c r="SST91" s="1055"/>
      <c r="SSU91" s="1055"/>
      <c r="SSV91" s="1055"/>
      <c r="SSW91" s="1055"/>
      <c r="SSX91" s="1055"/>
      <c r="SSY91" s="1055"/>
      <c r="SSZ91" s="1055"/>
      <c r="STA91" s="1055"/>
      <c r="STB91" s="1055"/>
      <c r="STC91" s="1055"/>
      <c r="STD91" s="1055"/>
      <c r="STE91" s="1055"/>
      <c r="STF91" s="1055"/>
      <c r="STG91" s="1055"/>
      <c r="STH91" s="1055"/>
      <c r="STI91" s="1055"/>
      <c r="STJ91" s="1055"/>
      <c r="STK91" s="1055"/>
      <c r="STL91" s="1055"/>
      <c r="STM91" s="1055"/>
      <c r="STN91" s="1055"/>
      <c r="STO91" s="1055"/>
      <c r="STP91" s="1055"/>
      <c r="STQ91" s="1055"/>
      <c r="STR91" s="1055"/>
      <c r="STS91" s="1055"/>
      <c r="STT91" s="1055"/>
      <c r="STU91" s="1055"/>
      <c r="STV91" s="1055"/>
      <c r="STW91" s="1055"/>
      <c r="STX91" s="1055"/>
      <c r="STY91" s="1055"/>
      <c r="STZ91" s="1055"/>
      <c r="SUA91" s="1055"/>
      <c r="SUB91" s="1055"/>
      <c r="SUC91" s="1055"/>
      <c r="SUD91" s="1055"/>
      <c r="SUE91" s="1055"/>
      <c r="SUF91" s="1055"/>
      <c r="SUG91" s="1055"/>
      <c r="SUH91" s="1055"/>
      <c r="SUI91" s="1055"/>
      <c r="SUJ91" s="1055"/>
      <c r="SUK91" s="1055"/>
      <c r="SUL91" s="1055"/>
      <c r="SUM91" s="1055"/>
      <c r="SUN91" s="1055"/>
      <c r="SUO91" s="1055"/>
      <c r="SUP91" s="1055"/>
      <c r="SUQ91" s="1055"/>
      <c r="SUR91" s="1055"/>
      <c r="SUS91" s="1055"/>
      <c r="SUT91" s="1055"/>
      <c r="SUU91" s="1055"/>
      <c r="SUV91" s="1055"/>
      <c r="SUW91" s="1055"/>
      <c r="SUX91" s="1055"/>
      <c r="SUY91" s="1055"/>
      <c r="SUZ91" s="1055"/>
      <c r="SVA91" s="1055"/>
      <c r="SVB91" s="1055"/>
      <c r="SVC91" s="1055"/>
      <c r="SVD91" s="1055"/>
      <c r="SVE91" s="1055"/>
      <c r="SVF91" s="1055"/>
      <c r="SVG91" s="1055"/>
      <c r="SVH91" s="1055"/>
      <c r="SVI91" s="1055"/>
      <c r="SVJ91" s="1055"/>
      <c r="SVK91" s="1055"/>
      <c r="SVL91" s="1055"/>
      <c r="SVM91" s="1055"/>
      <c r="SVN91" s="1055"/>
      <c r="SVO91" s="1055"/>
      <c r="SVP91" s="1055"/>
      <c r="SVQ91" s="1055"/>
      <c r="SVR91" s="1055"/>
      <c r="SVS91" s="1055"/>
      <c r="SVT91" s="1055"/>
      <c r="SVU91" s="1055"/>
      <c r="SVV91" s="1055"/>
      <c r="SVW91" s="1055"/>
      <c r="SVX91" s="1055"/>
      <c r="SVY91" s="1055"/>
      <c r="SVZ91" s="1055"/>
      <c r="SWA91" s="1055"/>
      <c r="SWB91" s="1055"/>
      <c r="SWC91" s="1055"/>
      <c r="SWD91" s="1055"/>
      <c r="SWE91" s="1055"/>
      <c r="SWF91" s="1055"/>
      <c r="SWG91" s="1055"/>
      <c r="SWH91" s="1055"/>
      <c r="SWI91" s="1055"/>
      <c r="SWJ91" s="1055"/>
      <c r="SWK91" s="1055"/>
      <c r="SWL91" s="1055"/>
      <c r="SWM91" s="1055"/>
      <c r="SWN91" s="1055"/>
      <c r="SWO91" s="1055"/>
      <c r="SWP91" s="1055"/>
      <c r="SWQ91" s="1055"/>
      <c r="SWR91" s="1055"/>
      <c r="SWS91" s="1055"/>
      <c r="SWT91" s="1055"/>
      <c r="SWU91" s="1055"/>
      <c r="SWV91" s="1055"/>
      <c r="SWW91" s="1055"/>
      <c r="SWX91" s="1055"/>
      <c r="SWY91" s="1055"/>
      <c r="SWZ91" s="1055"/>
      <c r="SXA91" s="1055"/>
      <c r="SXB91" s="1055"/>
      <c r="SXC91" s="1055"/>
      <c r="SXD91" s="1055"/>
      <c r="SXE91" s="1055"/>
      <c r="SXF91" s="1055"/>
      <c r="SXG91" s="1055"/>
      <c r="SXH91" s="1055"/>
      <c r="SXI91" s="1055"/>
      <c r="SXJ91" s="1055"/>
      <c r="SXK91" s="1055"/>
      <c r="SXL91" s="1055"/>
      <c r="SXM91" s="1055"/>
      <c r="SXN91" s="1055"/>
      <c r="SXO91" s="1055"/>
      <c r="SXP91" s="1055"/>
      <c r="SXQ91" s="1055"/>
      <c r="SXR91" s="1055"/>
      <c r="SXS91" s="1055"/>
      <c r="SXT91" s="1055"/>
      <c r="SXU91" s="1055"/>
      <c r="SXV91" s="1055"/>
      <c r="SXW91" s="1055"/>
      <c r="SXX91" s="1055"/>
      <c r="SXY91" s="1055"/>
      <c r="SXZ91" s="1055"/>
      <c r="SYA91" s="1055"/>
      <c r="SYB91" s="1055"/>
      <c r="SYC91" s="1055"/>
      <c r="SYD91" s="1055"/>
      <c r="SYE91" s="1055"/>
      <c r="SYF91" s="1055"/>
      <c r="SYG91" s="1055"/>
      <c r="SYH91" s="1055"/>
      <c r="SYI91" s="1055"/>
      <c r="SYJ91" s="1055"/>
      <c r="SYK91" s="1055"/>
      <c r="SYL91" s="1055"/>
      <c r="SYM91" s="1055"/>
      <c r="SYN91" s="1055"/>
      <c r="SYO91" s="1055"/>
      <c r="SYP91" s="1055"/>
      <c r="SYQ91" s="1055"/>
      <c r="SYR91" s="1055"/>
      <c r="SYS91" s="1055"/>
      <c r="SYT91" s="1055"/>
      <c r="SYU91" s="1055"/>
      <c r="SYV91" s="1055"/>
      <c r="SYW91" s="1055"/>
      <c r="SYX91" s="1055"/>
      <c r="SYY91" s="1055"/>
      <c r="SYZ91" s="1055"/>
      <c r="SZA91" s="1055"/>
      <c r="SZB91" s="1055"/>
      <c r="SZC91" s="1055"/>
      <c r="SZD91" s="1055"/>
      <c r="SZE91" s="1055"/>
      <c r="SZF91" s="1055"/>
      <c r="SZG91" s="1055"/>
      <c r="SZH91" s="1055"/>
      <c r="SZI91" s="1055"/>
      <c r="SZJ91" s="1055"/>
      <c r="SZK91" s="1055"/>
      <c r="SZL91" s="1055"/>
      <c r="SZM91" s="1055"/>
      <c r="SZN91" s="1055"/>
      <c r="SZO91" s="1055"/>
      <c r="SZP91" s="1055"/>
      <c r="SZQ91" s="1055"/>
      <c r="SZR91" s="1055"/>
      <c r="SZS91" s="1055"/>
      <c r="SZT91" s="1055"/>
      <c r="SZU91" s="1055"/>
      <c r="SZV91" s="1055"/>
      <c r="SZW91" s="1055"/>
      <c r="SZX91" s="1055"/>
      <c r="SZY91" s="1055"/>
      <c r="SZZ91" s="1055"/>
      <c r="TAA91" s="1055"/>
      <c r="TAB91" s="1055"/>
      <c r="TAC91" s="1055"/>
      <c r="TAD91" s="1055"/>
      <c r="TAE91" s="1055"/>
      <c r="TAF91" s="1055"/>
      <c r="TAG91" s="1055"/>
      <c r="TAH91" s="1055"/>
      <c r="TAI91" s="1055"/>
      <c r="TAJ91" s="1055"/>
      <c r="TAK91" s="1055"/>
      <c r="TAL91" s="1055"/>
      <c r="TAM91" s="1055"/>
      <c r="TAN91" s="1055"/>
      <c r="TAO91" s="1055"/>
      <c r="TAP91" s="1055"/>
      <c r="TAQ91" s="1055"/>
      <c r="TAR91" s="1055"/>
      <c r="TAS91" s="1055"/>
      <c r="TAT91" s="1055"/>
      <c r="TAU91" s="1055"/>
      <c r="TAV91" s="1055"/>
      <c r="TAW91" s="1055"/>
      <c r="TAX91" s="1055"/>
      <c r="TAY91" s="1055"/>
      <c r="TAZ91" s="1055"/>
      <c r="TBA91" s="1055"/>
      <c r="TBB91" s="1055"/>
      <c r="TBC91" s="1055"/>
      <c r="TBD91" s="1055"/>
      <c r="TBE91" s="1055"/>
      <c r="TBF91" s="1055"/>
      <c r="TBG91" s="1055"/>
      <c r="TBH91" s="1055"/>
      <c r="TBI91" s="1055"/>
      <c r="TBJ91" s="1055"/>
      <c r="TBK91" s="1055"/>
      <c r="TBL91" s="1055"/>
      <c r="TBM91" s="1055"/>
      <c r="TBN91" s="1055"/>
      <c r="TBO91" s="1055"/>
      <c r="TBP91" s="1055"/>
      <c r="TBQ91" s="1055"/>
      <c r="TBR91" s="1055"/>
      <c r="TBS91" s="1055"/>
      <c r="TBT91" s="1055"/>
      <c r="TBU91" s="1055"/>
      <c r="TBV91" s="1055"/>
      <c r="TBW91" s="1055"/>
      <c r="TBX91" s="1055"/>
      <c r="TBY91" s="1055"/>
      <c r="TBZ91" s="1055"/>
      <c r="TCA91" s="1055"/>
      <c r="TCB91" s="1055"/>
      <c r="TCC91" s="1055"/>
      <c r="TCD91" s="1055"/>
      <c r="TCE91" s="1055"/>
      <c r="TCF91" s="1055"/>
      <c r="TCG91" s="1055"/>
      <c r="TCH91" s="1055"/>
      <c r="TCI91" s="1055"/>
      <c r="TCJ91" s="1055"/>
      <c r="TCK91" s="1055"/>
      <c r="TCL91" s="1055"/>
      <c r="TCM91" s="1055"/>
      <c r="TCN91" s="1055"/>
      <c r="TCO91" s="1055"/>
      <c r="TCP91" s="1055"/>
      <c r="TCQ91" s="1055"/>
      <c r="TCR91" s="1055"/>
      <c r="TCS91" s="1055"/>
      <c r="TCT91" s="1055"/>
      <c r="TCU91" s="1055"/>
      <c r="TCV91" s="1055"/>
      <c r="TCW91" s="1055"/>
      <c r="TCX91" s="1055"/>
      <c r="TCY91" s="1055"/>
      <c r="TCZ91" s="1055"/>
      <c r="TDA91" s="1055"/>
      <c r="TDB91" s="1055"/>
      <c r="TDC91" s="1055"/>
      <c r="TDD91" s="1055"/>
      <c r="TDE91" s="1055"/>
      <c r="TDF91" s="1055"/>
      <c r="TDG91" s="1055"/>
      <c r="TDH91" s="1055"/>
      <c r="TDI91" s="1055"/>
      <c r="TDJ91" s="1055"/>
      <c r="TDK91" s="1055"/>
      <c r="TDL91" s="1055"/>
      <c r="TDM91" s="1055"/>
      <c r="TDN91" s="1055"/>
      <c r="TDO91" s="1055"/>
      <c r="TDP91" s="1055"/>
      <c r="TDQ91" s="1055"/>
      <c r="TDR91" s="1055"/>
      <c r="TDS91" s="1055"/>
      <c r="TDT91" s="1055"/>
      <c r="TDU91" s="1055"/>
      <c r="TDV91" s="1055"/>
      <c r="TDW91" s="1055"/>
      <c r="TDX91" s="1055"/>
      <c r="TDY91" s="1055"/>
      <c r="TDZ91" s="1055"/>
      <c r="TEA91" s="1055"/>
      <c r="TEB91" s="1055"/>
      <c r="TEC91" s="1055"/>
      <c r="TED91" s="1055"/>
      <c r="TEE91" s="1055"/>
      <c r="TEF91" s="1055"/>
      <c r="TEG91" s="1055"/>
      <c r="TEH91" s="1055"/>
      <c r="TEI91" s="1055"/>
      <c r="TEJ91" s="1055"/>
      <c r="TEK91" s="1055"/>
      <c r="TEL91" s="1055"/>
      <c r="TEM91" s="1055"/>
      <c r="TEN91" s="1055"/>
      <c r="TEO91" s="1055"/>
      <c r="TEP91" s="1055"/>
      <c r="TEQ91" s="1055"/>
      <c r="TER91" s="1055"/>
      <c r="TES91" s="1055"/>
      <c r="TET91" s="1055"/>
      <c r="TEU91" s="1055"/>
      <c r="TEV91" s="1055"/>
      <c r="TEW91" s="1055"/>
      <c r="TEX91" s="1055"/>
      <c r="TEY91" s="1055"/>
      <c r="TEZ91" s="1055"/>
      <c r="TFA91" s="1055"/>
      <c r="TFB91" s="1055"/>
      <c r="TFC91" s="1055"/>
      <c r="TFD91" s="1055"/>
      <c r="TFE91" s="1055"/>
      <c r="TFF91" s="1055"/>
      <c r="TFG91" s="1055"/>
      <c r="TFH91" s="1055"/>
      <c r="TFI91" s="1055"/>
      <c r="TFJ91" s="1055"/>
      <c r="TFK91" s="1055"/>
      <c r="TFL91" s="1055"/>
      <c r="TFM91" s="1055"/>
      <c r="TFN91" s="1055"/>
      <c r="TFO91" s="1055"/>
      <c r="TFP91" s="1055"/>
      <c r="TFQ91" s="1055"/>
      <c r="TFR91" s="1055"/>
      <c r="TFS91" s="1055"/>
      <c r="TFT91" s="1055"/>
      <c r="TFU91" s="1055"/>
      <c r="TFV91" s="1055"/>
      <c r="TFW91" s="1055"/>
      <c r="TFX91" s="1055"/>
      <c r="TFY91" s="1055"/>
      <c r="TFZ91" s="1055"/>
      <c r="TGA91" s="1055"/>
      <c r="TGB91" s="1055"/>
      <c r="TGC91" s="1055"/>
      <c r="TGD91" s="1055"/>
      <c r="TGE91" s="1055"/>
      <c r="TGF91" s="1055"/>
      <c r="TGG91" s="1055"/>
      <c r="TGH91" s="1055"/>
      <c r="TGI91" s="1055"/>
      <c r="TGJ91" s="1055"/>
      <c r="TGK91" s="1055"/>
      <c r="TGL91" s="1055"/>
      <c r="TGM91" s="1055"/>
      <c r="TGN91" s="1055"/>
      <c r="TGO91" s="1055"/>
      <c r="TGP91" s="1055"/>
      <c r="TGQ91" s="1055"/>
      <c r="TGR91" s="1055"/>
      <c r="TGS91" s="1055"/>
      <c r="TGT91" s="1055"/>
      <c r="TGU91" s="1055"/>
      <c r="TGV91" s="1055"/>
      <c r="TGW91" s="1055"/>
      <c r="TGX91" s="1055"/>
      <c r="TGY91" s="1055"/>
      <c r="TGZ91" s="1055"/>
      <c r="THA91" s="1055"/>
      <c r="THB91" s="1055"/>
      <c r="THC91" s="1055"/>
      <c r="THD91" s="1055"/>
      <c r="THE91" s="1055"/>
      <c r="THF91" s="1055"/>
      <c r="THG91" s="1055"/>
      <c r="THH91" s="1055"/>
      <c r="THI91" s="1055"/>
      <c r="THJ91" s="1055"/>
      <c r="THK91" s="1055"/>
      <c r="THL91" s="1055"/>
      <c r="THM91" s="1055"/>
      <c r="THN91" s="1055"/>
      <c r="THO91" s="1055"/>
      <c r="THP91" s="1055"/>
      <c r="THQ91" s="1055"/>
      <c r="THR91" s="1055"/>
      <c r="THS91" s="1055"/>
      <c r="THT91" s="1055"/>
      <c r="THU91" s="1055"/>
      <c r="THV91" s="1055"/>
      <c r="THW91" s="1055"/>
      <c r="THX91" s="1055"/>
      <c r="THY91" s="1055"/>
      <c r="THZ91" s="1055"/>
      <c r="TIA91" s="1055"/>
      <c r="TIB91" s="1055"/>
      <c r="TIC91" s="1055"/>
      <c r="TID91" s="1055"/>
      <c r="TIE91" s="1055"/>
      <c r="TIF91" s="1055"/>
      <c r="TIG91" s="1055"/>
      <c r="TIH91" s="1055"/>
      <c r="TII91" s="1055"/>
      <c r="TIJ91" s="1055"/>
      <c r="TIK91" s="1055"/>
      <c r="TIL91" s="1055"/>
      <c r="TIM91" s="1055"/>
      <c r="TIN91" s="1055"/>
      <c r="TIO91" s="1055"/>
      <c r="TIP91" s="1055"/>
      <c r="TIQ91" s="1055"/>
      <c r="TIR91" s="1055"/>
      <c r="TIS91" s="1055"/>
      <c r="TIT91" s="1055"/>
      <c r="TIU91" s="1055"/>
      <c r="TIV91" s="1055"/>
      <c r="TIW91" s="1055"/>
      <c r="TIX91" s="1055"/>
      <c r="TIY91" s="1055"/>
      <c r="TIZ91" s="1055"/>
      <c r="TJA91" s="1055"/>
      <c r="TJB91" s="1055"/>
      <c r="TJC91" s="1055"/>
      <c r="TJD91" s="1055"/>
      <c r="TJE91" s="1055"/>
      <c r="TJF91" s="1055"/>
      <c r="TJG91" s="1055"/>
      <c r="TJH91" s="1055"/>
      <c r="TJI91" s="1055"/>
      <c r="TJJ91" s="1055"/>
      <c r="TJK91" s="1055"/>
      <c r="TJL91" s="1055"/>
      <c r="TJM91" s="1055"/>
      <c r="TJN91" s="1055"/>
      <c r="TJO91" s="1055"/>
      <c r="TJP91" s="1055"/>
      <c r="TJQ91" s="1055"/>
      <c r="TJR91" s="1055"/>
      <c r="TJS91" s="1055"/>
      <c r="TJT91" s="1055"/>
      <c r="TJU91" s="1055"/>
      <c r="TJV91" s="1055"/>
      <c r="TJW91" s="1055"/>
      <c r="TJX91" s="1055"/>
      <c r="TJY91" s="1055"/>
      <c r="TJZ91" s="1055"/>
      <c r="TKA91" s="1055"/>
      <c r="TKB91" s="1055"/>
      <c r="TKC91" s="1055"/>
      <c r="TKD91" s="1055"/>
      <c r="TKE91" s="1055"/>
      <c r="TKF91" s="1055"/>
      <c r="TKG91" s="1055"/>
      <c r="TKH91" s="1055"/>
      <c r="TKI91" s="1055"/>
      <c r="TKJ91" s="1055"/>
      <c r="TKK91" s="1055"/>
      <c r="TKL91" s="1055"/>
      <c r="TKM91" s="1055"/>
      <c r="TKN91" s="1055"/>
      <c r="TKO91" s="1055"/>
      <c r="TKP91" s="1055"/>
      <c r="TKQ91" s="1055"/>
      <c r="TKR91" s="1055"/>
      <c r="TKS91" s="1055"/>
      <c r="TKT91" s="1055"/>
      <c r="TKU91" s="1055"/>
      <c r="TKV91" s="1055"/>
      <c r="TKW91" s="1055"/>
      <c r="TKX91" s="1055"/>
      <c r="TKY91" s="1055"/>
      <c r="TKZ91" s="1055"/>
      <c r="TLA91" s="1055"/>
      <c r="TLB91" s="1055"/>
      <c r="TLC91" s="1055"/>
      <c r="TLD91" s="1055"/>
      <c r="TLE91" s="1055"/>
      <c r="TLF91" s="1055"/>
      <c r="TLG91" s="1055"/>
      <c r="TLH91" s="1055"/>
      <c r="TLI91" s="1055"/>
      <c r="TLJ91" s="1055"/>
      <c r="TLK91" s="1055"/>
      <c r="TLL91" s="1055"/>
      <c r="TLM91" s="1055"/>
      <c r="TLN91" s="1055"/>
      <c r="TLO91" s="1055"/>
      <c r="TLP91" s="1055"/>
      <c r="TLQ91" s="1055"/>
      <c r="TLR91" s="1055"/>
      <c r="TLS91" s="1055"/>
      <c r="TLT91" s="1055"/>
      <c r="TLU91" s="1055"/>
      <c r="TLV91" s="1055"/>
      <c r="TLW91" s="1055"/>
      <c r="TLX91" s="1055"/>
      <c r="TLY91" s="1055"/>
      <c r="TLZ91" s="1055"/>
      <c r="TMA91" s="1055"/>
      <c r="TMB91" s="1055"/>
      <c r="TMC91" s="1055"/>
      <c r="TMD91" s="1055"/>
      <c r="TME91" s="1055"/>
      <c r="TMF91" s="1055"/>
      <c r="TMG91" s="1055"/>
      <c r="TMH91" s="1055"/>
      <c r="TMI91" s="1055"/>
      <c r="TMJ91" s="1055"/>
      <c r="TMK91" s="1055"/>
      <c r="TML91" s="1055"/>
      <c r="TMM91" s="1055"/>
      <c r="TMN91" s="1055"/>
      <c r="TMO91" s="1055"/>
      <c r="TMP91" s="1055"/>
      <c r="TMQ91" s="1055"/>
      <c r="TMR91" s="1055"/>
      <c r="TMS91" s="1055"/>
      <c r="TMT91" s="1055"/>
      <c r="TMU91" s="1055"/>
      <c r="TMV91" s="1055"/>
      <c r="TMW91" s="1055"/>
      <c r="TMX91" s="1055"/>
      <c r="TMY91" s="1055"/>
      <c r="TMZ91" s="1055"/>
      <c r="TNA91" s="1055"/>
      <c r="TNB91" s="1055"/>
      <c r="TNC91" s="1055"/>
      <c r="TND91" s="1055"/>
      <c r="TNE91" s="1055"/>
      <c r="TNF91" s="1055"/>
      <c r="TNG91" s="1055"/>
      <c r="TNH91" s="1055"/>
      <c r="TNI91" s="1055"/>
      <c r="TNJ91" s="1055"/>
      <c r="TNK91" s="1055"/>
      <c r="TNL91" s="1055"/>
      <c r="TNM91" s="1055"/>
      <c r="TNN91" s="1055"/>
      <c r="TNO91" s="1055"/>
      <c r="TNP91" s="1055"/>
      <c r="TNQ91" s="1055"/>
      <c r="TNR91" s="1055"/>
      <c r="TNS91" s="1055"/>
      <c r="TNT91" s="1055"/>
      <c r="TNU91" s="1055"/>
      <c r="TNV91" s="1055"/>
      <c r="TNW91" s="1055"/>
      <c r="TNX91" s="1055"/>
      <c r="TNY91" s="1055"/>
      <c r="TNZ91" s="1055"/>
      <c r="TOA91" s="1055"/>
      <c r="TOB91" s="1055"/>
      <c r="TOC91" s="1055"/>
      <c r="TOD91" s="1055"/>
      <c r="TOE91" s="1055"/>
      <c r="TOF91" s="1055"/>
      <c r="TOG91" s="1055"/>
      <c r="TOH91" s="1055"/>
      <c r="TOI91" s="1055"/>
      <c r="TOJ91" s="1055"/>
      <c r="TOK91" s="1055"/>
      <c r="TOL91" s="1055"/>
      <c r="TOM91" s="1055"/>
      <c r="TON91" s="1055"/>
      <c r="TOO91" s="1055"/>
      <c r="TOP91" s="1055"/>
      <c r="TOQ91" s="1055"/>
      <c r="TOR91" s="1055"/>
      <c r="TOS91" s="1055"/>
      <c r="TOT91" s="1055"/>
      <c r="TOU91" s="1055"/>
      <c r="TOV91" s="1055"/>
      <c r="TOW91" s="1055"/>
      <c r="TOX91" s="1055"/>
      <c r="TOY91" s="1055"/>
      <c r="TOZ91" s="1055"/>
      <c r="TPA91" s="1055"/>
      <c r="TPB91" s="1055"/>
      <c r="TPC91" s="1055"/>
      <c r="TPD91" s="1055"/>
      <c r="TPE91" s="1055"/>
      <c r="TPF91" s="1055"/>
      <c r="TPG91" s="1055"/>
      <c r="TPH91" s="1055"/>
      <c r="TPI91" s="1055"/>
      <c r="TPJ91" s="1055"/>
      <c r="TPK91" s="1055"/>
      <c r="TPL91" s="1055"/>
      <c r="TPM91" s="1055"/>
      <c r="TPN91" s="1055"/>
      <c r="TPO91" s="1055"/>
      <c r="TPP91" s="1055"/>
      <c r="TPQ91" s="1055"/>
      <c r="TPR91" s="1055"/>
      <c r="TPS91" s="1055"/>
      <c r="TPT91" s="1055"/>
      <c r="TPU91" s="1055"/>
      <c r="TPV91" s="1055"/>
      <c r="TPW91" s="1055"/>
      <c r="TPX91" s="1055"/>
      <c r="TPY91" s="1055"/>
      <c r="TPZ91" s="1055"/>
      <c r="TQA91" s="1055"/>
      <c r="TQB91" s="1055"/>
      <c r="TQC91" s="1055"/>
      <c r="TQD91" s="1055"/>
      <c r="TQE91" s="1055"/>
      <c r="TQF91" s="1055"/>
      <c r="TQG91" s="1055"/>
      <c r="TQH91" s="1055"/>
      <c r="TQI91" s="1055"/>
      <c r="TQJ91" s="1055"/>
      <c r="TQK91" s="1055"/>
      <c r="TQL91" s="1055"/>
      <c r="TQM91" s="1055"/>
      <c r="TQN91" s="1055"/>
      <c r="TQO91" s="1055"/>
      <c r="TQP91" s="1055"/>
      <c r="TQQ91" s="1055"/>
      <c r="TQR91" s="1055"/>
      <c r="TQS91" s="1055"/>
      <c r="TQT91" s="1055"/>
      <c r="TQU91" s="1055"/>
      <c r="TQV91" s="1055"/>
      <c r="TQW91" s="1055"/>
      <c r="TQX91" s="1055"/>
      <c r="TQY91" s="1055"/>
      <c r="TQZ91" s="1055"/>
      <c r="TRA91" s="1055"/>
      <c r="TRB91" s="1055"/>
      <c r="TRC91" s="1055"/>
      <c r="TRD91" s="1055"/>
      <c r="TRE91" s="1055"/>
      <c r="TRF91" s="1055"/>
      <c r="TRG91" s="1055"/>
      <c r="TRH91" s="1055"/>
      <c r="TRI91" s="1055"/>
      <c r="TRJ91" s="1055"/>
      <c r="TRK91" s="1055"/>
      <c r="TRL91" s="1055"/>
      <c r="TRM91" s="1055"/>
      <c r="TRN91" s="1055"/>
      <c r="TRO91" s="1055"/>
      <c r="TRP91" s="1055"/>
      <c r="TRQ91" s="1055"/>
      <c r="TRR91" s="1055"/>
      <c r="TRS91" s="1055"/>
      <c r="TRT91" s="1055"/>
      <c r="TRU91" s="1055"/>
      <c r="TRV91" s="1055"/>
      <c r="TRW91" s="1055"/>
      <c r="TRX91" s="1055"/>
      <c r="TRY91" s="1055"/>
      <c r="TRZ91" s="1055"/>
      <c r="TSA91" s="1055"/>
      <c r="TSB91" s="1055"/>
      <c r="TSC91" s="1055"/>
      <c r="TSD91" s="1055"/>
      <c r="TSE91" s="1055"/>
      <c r="TSF91" s="1055"/>
      <c r="TSG91" s="1055"/>
      <c r="TSH91" s="1055"/>
      <c r="TSI91" s="1055"/>
      <c r="TSJ91" s="1055"/>
      <c r="TSK91" s="1055"/>
      <c r="TSL91" s="1055"/>
      <c r="TSM91" s="1055"/>
      <c r="TSN91" s="1055"/>
      <c r="TSO91" s="1055"/>
      <c r="TSP91" s="1055"/>
      <c r="TSQ91" s="1055"/>
      <c r="TSR91" s="1055"/>
      <c r="TSS91" s="1055"/>
      <c r="TST91" s="1055"/>
      <c r="TSU91" s="1055"/>
      <c r="TSV91" s="1055"/>
      <c r="TSW91" s="1055"/>
      <c r="TSX91" s="1055"/>
      <c r="TSY91" s="1055"/>
      <c r="TSZ91" s="1055"/>
      <c r="TTA91" s="1055"/>
      <c r="TTB91" s="1055"/>
      <c r="TTC91" s="1055"/>
      <c r="TTD91" s="1055"/>
      <c r="TTE91" s="1055"/>
      <c r="TTF91" s="1055"/>
      <c r="TTG91" s="1055"/>
      <c r="TTH91" s="1055"/>
      <c r="TTI91" s="1055"/>
      <c r="TTJ91" s="1055"/>
      <c r="TTK91" s="1055"/>
      <c r="TTL91" s="1055"/>
      <c r="TTM91" s="1055"/>
      <c r="TTN91" s="1055"/>
      <c r="TTO91" s="1055"/>
      <c r="TTP91" s="1055"/>
      <c r="TTQ91" s="1055"/>
      <c r="TTR91" s="1055"/>
      <c r="TTS91" s="1055"/>
      <c r="TTT91" s="1055"/>
      <c r="TTU91" s="1055"/>
      <c r="TTV91" s="1055"/>
      <c r="TTW91" s="1055"/>
      <c r="TTX91" s="1055"/>
      <c r="TTY91" s="1055"/>
      <c r="TTZ91" s="1055"/>
      <c r="TUA91" s="1055"/>
      <c r="TUB91" s="1055"/>
      <c r="TUC91" s="1055"/>
      <c r="TUD91" s="1055"/>
      <c r="TUE91" s="1055"/>
      <c r="TUF91" s="1055"/>
      <c r="TUG91" s="1055"/>
      <c r="TUH91" s="1055"/>
      <c r="TUI91" s="1055"/>
      <c r="TUJ91" s="1055"/>
      <c r="TUK91" s="1055"/>
      <c r="TUL91" s="1055"/>
      <c r="TUM91" s="1055"/>
      <c r="TUN91" s="1055"/>
      <c r="TUO91" s="1055"/>
      <c r="TUP91" s="1055"/>
      <c r="TUQ91" s="1055"/>
      <c r="TUR91" s="1055"/>
      <c r="TUS91" s="1055"/>
      <c r="TUT91" s="1055"/>
      <c r="TUU91" s="1055"/>
      <c r="TUV91" s="1055"/>
      <c r="TUW91" s="1055"/>
      <c r="TUX91" s="1055"/>
      <c r="TUY91" s="1055"/>
      <c r="TUZ91" s="1055"/>
      <c r="TVA91" s="1055"/>
      <c r="TVB91" s="1055"/>
      <c r="TVC91" s="1055"/>
      <c r="TVD91" s="1055"/>
      <c r="TVE91" s="1055"/>
      <c r="TVF91" s="1055"/>
      <c r="TVG91" s="1055"/>
      <c r="TVH91" s="1055"/>
      <c r="TVI91" s="1055"/>
      <c r="TVJ91" s="1055"/>
      <c r="TVK91" s="1055"/>
      <c r="TVL91" s="1055"/>
      <c r="TVM91" s="1055"/>
      <c r="TVN91" s="1055"/>
      <c r="TVO91" s="1055"/>
      <c r="TVP91" s="1055"/>
      <c r="TVQ91" s="1055"/>
      <c r="TVR91" s="1055"/>
      <c r="TVS91" s="1055"/>
      <c r="TVT91" s="1055"/>
      <c r="TVU91" s="1055"/>
      <c r="TVV91" s="1055"/>
      <c r="TVW91" s="1055"/>
      <c r="TVX91" s="1055"/>
      <c r="TVY91" s="1055"/>
      <c r="TVZ91" s="1055"/>
      <c r="TWA91" s="1055"/>
      <c r="TWB91" s="1055"/>
      <c r="TWC91" s="1055"/>
      <c r="TWD91" s="1055"/>
      <c r="TWE91" s="1055"/>
      <c r="TWF91" s="1055"/>
      <c r="TWG91" s="1055"/>
      <c r="TWH91" s="1055"/>
      <c r="TWI91" s="1055"/>
      <c r="TWJ91" s="1055"/>
      <c r="TWK91" s="1055"/>
      <c r="TWL91" s="1055"/>
      <c r="TWM91" s="1055"/>
      <c r="TWN91" s="1055"/>
      <c r="TWO91" s="1055"/>
      <c r="TWP91" s="1055"/>
      <c r="TWQ91" s="1055"/>
      <c r="TWR91" s="1055"/>
      <c r="TWS91" s="1055"/>
      <c r="TWT91" s="1055"/>
      <c r="TWU91" s="1055"/>
      <c r="TWV91" s="1055"/>
      <c r="TWW91" s="1055"/>
      <c r="TWX91" s="1055"/>
      <c r="TWY91" s="1055"/>
      <c r="TWZ91" s="1055"/>
      <c r="TXA91" s="1055"/>
      <c r="TXB91" s="1055"/>
      <c r="TXC91" s="1055"/>
      <c r="TXD91" s="1055"/>
      <c r="TXE91" s="1055"/>
      <c r="TXF91" s="1055"/>
      <c r="TXG91" s="1055"/>
      <c r="TXH91" s="1055"/>
      <c r="TXI91" s="1055"/>
      <c r="TXJ91" s="1055"/>
      <c r="TXK91" s="1055"/>
      <c r="TXL91" s="1055"/>
      <c r="TXM91" s="1055"/>
      <c r="TXN91" s="1055"/>
      <c r="TXO91" s="1055"/>
      <c r="TXP91" s="1055"/>
      <c r="TXQ91" s="1055"/>
      <c r="TXR91" s="1055"/>
      <c r="TXS91" s="1055"/>
      <c r="TXT91" s="1055"/>
      <c r="TXU91" s="1055"/>
      <c r="TXV91" s="1055"/>
      <c r="TXW91" s="1055"/>
      <c r="TXX91" s="1055"/>
      <c r="TXY91" s="1055"/>
      <c r="TXZ91" s="1055"/>
      <c r="TYA91" s="1055"/>
      <c r="TYB91" s="1055"/>
      <c r="TYC91" s="1055"/>
      <c r="TYD91" s="1055"/>
      <c r="TYE91" s="1055"/>
      <c r="TYF91" s="1055"/>
      <c r="TYG91" s="1055"/>
      <c r="TYH91" s="1055"/>
      <c r="TYI91" s="1055"/>
      <c r="TYJ91" s="1055"/>
      <c r="TYK91" s="1055"/>
      <c r="TYL91" s="1055"/>
      <c r="TYM91" s="1055"/>
      <c r="TYN91" s="1055"/>
      <c r="TYO91" s="1055"/>
      <c r="TYP91" s="1055"/>
      <c r="TYQ91" s="1055"/>
      <c r="TYR91" s="1055"/>
      <c r="TYS91" s="1055"/>
      <c r="TYT91" s="1055"/>
      <c r="TYU91" s="1055"/>
      <c r="TYV91" s="1055"/>
      <c r="TYW91" s="1055"/>
      <c r="TYX91" s="1055"/>
      <c r="TYY91" s="1055"/>
      <c r="TYZ91" s="1055"/>
      <c r="TZA91" s="1055"/>
      <c r="TZB91" s="1055"/>
      <c r="TZC91" s="1055"/>
      <c r="TZD91" s="1055"/>
      <c r="TZE91" s="1055"/>
      <c r="TZF91" s="1055"/>
      <c r="TZG91" s="1055"/>
      <c r="TZH91" s="1055"/>
      <c r="TZI91" s="1055"/>
      <c r="TZJ91" s="1055"/>
      <c r="TZK91" s="1055"/>
      <c r="TZL91" s="1055"/>
      <c r="TZM91" s="1055"/>
      <c r="TZN91" s="1055"/>
      <c r="TZO91" s="1055"/>
      <c r="TZP91" s="1055"/>
      <c r="TZQ91" s="1055"/>
      <c r="TZR91" s="1055"/>
      <c r="TZS91" s="1055"/>
      <c r="TZT91" s="1055"/>
      <c r="TZU91" s="1055"/>
      <c r="TZV91" s="1055"/>
      <c r="TZW91" s="1055"/>
      <c r="TZX91" s="1055"/>
      <c r="TZY91" s="1055"/>
      <c r="TZZ91" s="1055"/>
      <c r="UAA91" s="1055"/>
      <c r="UAB91" s="1055"/>
      <c r="UAC91" s="1055"/>
      <c r="UAD91" s="1055"/>
      <c r="UAE91" s="1055"/>
      <c r="UAF91" s="1055"/>
      <c r="UAG91" s="1055"/>
      <c r="UAH91" s="1055"/>
      <c r="UAI91" s="1055"/>
      <c r="UAJ91" s="1055"/>
      <c r="UAK91" s="1055"/>
      <c r="UAL91" s="1055"/>
      <c r="UAM91" s="1055"/>
      <c r="UAN91" s="1055"/>
      <c r="UAO91" s="1055"/>
      <c r="UAP91" s="1055"/>
      <c r="UAQ91" s="1055"/>
      <c r="UAR91" s="1055"/>
      <c r="UAS91" s="1055"/>
      <c r="UAT91" s="1055"/>
      <c r="UAU91" s="1055"/>
      <c r="UAV91" s="1055"/>
      <c r="UAW91" s="1055"/>
      <c r="UAX91" s="1055"/>
      <c r="UAY91" s="1055"/>
      <c r="UAZ91" s="1055"/>
      <c r="UBA91" s="1055"/>
      <c r="UBB91" s="1055"/>
      <c r="UBC91" s="1055"/>
      <c r="UBD91" s="1055"/>
      <c r="UBE91" s="1055"/>
      <c r="UBF91" s="1055"/>
      <c r="UBG91" s="1055"/>
      <c r="UBH91" s="1055"/>
      <c r="UBI91" s="1055"/>
      <c r="UBJ91" s="1055"/>
      <c r="UBK91" s="1055"/>
      <c r="UBL91" s="1055"/>
      <c r="UBM91" s="1055"/>
      <c r="UBN91" s="1055"/>
      <c r="UBO91" s="1055"/>
      <c r="UBP91" s="1055"/>
      <c r="UBQ91" s="1055"/>
      <c r="UBR91" s="1055"/>
      <c r="UBS91" s="1055"/>
      <c r="UBT91" s="1055"/>
      <c r="UBU91" s="1055"/>
      <c r="UBV91" s="1055"/>
      <c r="UBW91" s="1055"/>
      <c r="UBX91" s="1055"/>
      <c r="UBY91" s="1055"/>
      <c r="UBZ91" s="1055"/>
      <c r="UCA91" s="1055"/>
      <c r="UCB91" s="1055"/>
      <c r="UCC91" s="1055"/>
      <c r="UCD91" s="1055"/>
      <c r="UCE91" s="1055"/>
      <c r="UCF91" s="1055"/>
      <c r="UCG91" s="1055"/>
      <c r="UCH91" s="1055"/>
      <c r="UCI91" s="1055"/>
      <c r="UCJ91" s="1055"/>
      <c r="UCK91" s="1055"/>
      <c r="UCL91" s="1055"/>
      <c r="UCM91" s="1055"/>
      <c r="UCN91" s="1055"/>
      <c r="UCO91" s="1055"/>
      <c r="UCP91" s="1055"/>
      <c r="UCQ91" s="1055"/>
      <c r="UCR91" s="1055"/>
      <c r="UCS91" s="1055"/>
      <c r="UCT91" s="1055"/>
      <c r="UCU91" s="1055"/>
      <c r="UCV91" s="1055"/>
      <c r="UCW91" s="1055"/>
      <c r="UCX91" s="1055"/>
      <c r="UCY91" s="1055"/>
      <c r="UCZ91" s="1055"/>
      <c r="UDA91" s="1055"/>
      <c r="UDB91" s="1055"/>
      <c r="UDC91" s="1055"/>
      <c r="UDD91" s="1055"/>
      <c r="UDE91" s="1055"/>
      <c r="UDF91" s="1055"/>
      <c r="UDG91" s="1055"/>
      <c r="UDH91" s="1055"/>
      <c r="UDI91" s="1055"/>
      <c r="UDJ91" s="1055"/>
      <c r="UDK91" s="1055"/>
      <c r="UDL91" s="1055"/>
      <c r="UDM91" s="1055"/>
      <c r="UDN91" s="1055"/>
      <c r="UDO91" s="1055"/>
      <c r="UDP91" s="1055"/>
      <c r="UDQ91" s="1055"/>
      <c r="UDR91" s="1055"/>
      <c r="UDS91" s="1055"/>
      <c r="UDT91" s="1055"/>
      <c r="UDU91" s="1055"/>
      <c r="UDV91" s="1055"/>
      <c r="UDW91" s="1055"/>
      <c r="UDX91" s="1055"/>
      <c r="UDY91" s="1055"/>
      <c r="UDZ91" s="1055"/>
      <c r="UEA91" s="1055"/>
      <c r="UEB91" s="1055"/>
      <c r="UEC91" s="1055"/>
      <c r="UED91" s="1055"/>
      <c r="UEE91" s="1055"/>
      <c r="UEF91" s="1055"/>
      <c r="UEG91" s="1055"/>
      <c r="UEH91" s="1055"/>
      <c r="UEI91" s="1055"/>
      <c r="UEJ91" s="1055"/>
      <c r="UEK91" s="1055"/>
      <c r="UEL91" s="1055"/>
      <c r="UEM91" s="1055"/>
      <c r="UEN91" s="1055"/>
      <c r="UEO91" s="1055"/>
      <c r="UEP91" s="1055"/>
      <c r="UEQ91" s="1055"/>
      <c r="UER91" s="1055"/>
      <c r="UES91" s="1055"/>
      <c r="UET91" s="1055"/>
      <c r="UEU91" s="1055"/>
      <c r="UEV91" s="1055"/>
      <c r="UEW91" s="1055"/>
      <c r="UEX91" s="1055"/>
      <c r="UEY91" s="1055"/>
      <c r="UEZ91" s="1055"/>
      <c r="UFA91" s="1055"/>
      <c r="UFB91" s="1055"/>
      <c r="UFC91" s="1055"/>
      <c r="UFD91" s="1055"/>
      <c r="UFE91" s="1055"/>
      <c r="UFF91" s="1055"/>
      <c r="UFG91" s="1055"/>
      <c r="UFH91" s="1055"/>
      <c r="UFI91" s="1055"/>
      <c r="UFJ91" s="1055"/>
      <c r="UFK91" s="1055"/>
      <c r="UFL91" s="1055"/>
      <c r="UFM91" s="1055"/>
      <c r="UFN91" s="1055"/>
      <c r="UFO91" s="1055"/>
      <c r="UFP91" s="1055"/>
      <c r="UFQ91" s="1055"/>
      <c r="UFR91" s="1055"/>
      <c r="UFS91" s="1055"/>
      <c r="UFT91" s="1055"/>
      <c r="UFU91" s="1055"/>
      <c r="UFV91" s="1055"/>
      <c r="UFW91" s="1055"/>
      <c r="UFX91" s="1055"/>
      <c r="UFY91" s="1055"/>
      <c r="UFZ91" s="1055"/>
      <c r="UGA91" s="1055"/>
      <c r="UGB91" s="1055"/>
      <c r="UGC91" s="1055"/>
      <c r="UGD91" s="1055"/>
      <c r="UGE91" s="1055"/>
      <c r="UGF91" s="1055"/>
      <c r="UGG91" s="1055"/>
      <c r="UGH91" s="1055"/>
      <c r="UGI91" s="1055"/>
      <c r="UGJ91" s="1055"/>
      <c r="UGK91" s="1055"/>
      <c r="UGL91" s="1055"/>
      <c r="UGM91" s="1055"/>
      <c r="UGN91" s="1055"/>
      <c r="UGO91" s="1055"/>
      <c r="UGP91" s="1055"/>
      <c r="UGQ91" s="1055"/>
      <c r="UGR91" s="1055"/>
      <c r="UGS91" s="1055"/>
      <c r="UGT91" s="1055"/>
      <c r="UGU91" s="1055"/>
      <c r="UGV91" s="1055"/>
      <c r="UGW91" s="1055"/>
      <c r="UGX91" s="1055"/>
      <c r="UGY91" s="1055"/>
      <c r="UGZ91" s="1055"/>
      <c r="UHA91" s="1055"/>
      <c r="UHB91" s="1055"/>
      <c r="UHC91" s="1055"/>
      <c r="UHD91" s="1055"/>
      <c r="UHE91" s="1055"/>
      <c r="UHF91" s="1055"/>
      <c r="UHG91" s="1055"/>
      <c r="UHH91" s="1055"/>
      <c r="UHI91" s="1055"/>
      <c r="UHJ91" s="1055"/>
      <c r="UHK91" s="1055"/>
      <c r="UHL91" s="1055"/>
      <c r="UHM91" s="1055"/>
      <c r="UHN91" s="1055"/>
      <c r="UHO91" s="1055"/>
      <c r="UHP91" s="1055"/>
      <c r="UHQ91" s="1055"/>
      <c r="UHR91" s="1055"/>
      <c r="UHS91" s="1055"/>
      <c r="UHT91" s="1055"/>
      <c r="UHU91" s="1055"/>
      <c r="UHV91" s="1055"/>
      <c r="UHW91" s="1055"/>
      <c r="UHX91" s="1055"/>
      <c r="UHY91" s="1055"/>
      <c r="UHZ91" s="1055"/>
      <c r="UIA91" s="1055"/>
      <c r="UIB91" s="1055"/>
      <c r="UIC91" s="1055"/>
      <c r="UID91" s="1055"/>
      <c r="UIE91" s="1055"/>
      <c r="UIF91" s="1055"/>
      <c r="UIG91" s="1055"/>
      <c r="UIH91" s="1055"/>
      <c r="UII91" s="1055"/>
      <c r="UIJ91" s="1055"/>
      <c r="UIK91" s="1055"/>
      <c r="UIL91" s="1055"/>
      <c r="UIM91" s="1055"/>
      <c r="UIN91" s="1055"/>
      <c r="UIO91" s="1055"/>
      <c r="UIP91" s="1055"/>
      <c r="UIQ91" s="1055"/>
      <c r="UIR91" s="1055"/>
      <c r="UIS91" s="1055"/>
      <c r="UIT91" s="1055"/>
      <c r="UIU91" s="1055"/>
      <c r="UIV91" s="1055"/>
      <c r="UIW91" s="1055"/>
      <c r="UIX91" s="1055"/>
      <c r="UIY91" s="1055"/>
      <c r="UIZ91" s="1055"/>
      <c r="UJA91" s="1055"/>
      <c r="UJB91" s="1055"/>
      <c r="UJC91" s="1055"/>
      <c r="UJD91" s="1055"/>
      <c r="UJE91" s="1055"/>
      <c r="UJF91" s="1055"/>
      <c r="UJG91" s="1055"/>
      <c r="UJH91" s="1055"/>
      <c r="UJI91" s="1055"/>
      <c r="UJJ91" s="1055"/>
      <c r="UJK91" s="1055"/>
      <c r="UJL91" s="1055"/>
      <c r="UJM91" s="1055"/>
      <c r="UJN91" s="1055"/>
      <c r="UJO91" s="1055"/>
      <c r="UJP91" s="1055"/>
      <c r="UJQ91" s="1055"/>
      <c r="UJR91" s="1055"/>
      <c r="UJS91" s="1055"/>
      <c r="UJT91" s="1055"/>
      <c r="UJU91" s="1055"/>
      <c r="UJV91" s="1055"/>
      <c r="UJW91" s="1055"/>
      <c r="UJX91" s="1055"/>
      <c r="UJY91" s="1055"/>
      <c r="UJZ91" s="1055"/>
      <c r="UKA91" s="1055"/>
      <c r="UKB91" s="1055"/>
      <c r="UKC91" s="1055"/>
      <c r="UKD91" s="1055"/>
      <c r="UKE91" s="1055"/>
      <c r="UKF91" s="1055"/>
      <c r="UKG91" s="1055"/>
      <c r="UKH91" s="1055"/>
      <c r="UKI91" s="1055"/>
      <c r="UKJ91" s="1055"/>
      <c r="UKK91" s="1055"/>
      <c r="UKL91" s="1055"/>
      <c r="UKM91" s="1055"/>
      <c r="UKN91" s="1055"/>
      <c r="UKO91" s="1055"/>
      <c r="UKP91" s="1055"/>
      <c r="UKQ91" s="1055"/>
      <c r="UKR91" s="1055"/>
      <c r="UKS91" s="1055"/>
      <c r="UKT91" s="1055"/>
      <c r="UKU91" s="1055"/>
      <c r="UKV91" s="1055"/>
      <c r="UKW91" s="1055"/>
      <c r="UKX91" s="1055"/>
      <c r="UKY91" s="1055"/>
      <c r="UKZ91" s="1055"/>
      <c r="ULA91" s="1055"/>
      <c r="ULB91" s="1055"/>
      <c r="ULC91" s="1055"/>
      <c r="ULD91" s="1055"/>
      <c r="ULE91" s="1055"/>
      <c r="ULF91" s="1055"/>
      <c r="ULG91" s="1055"/>
      <c r="ULH91" s="1055"/>
      <c r="ULI91" s="1055"/>
      <c r="ULJ91" s="1055"/>
      <c r="ULK91" s="1055"/>
      <c r="ULL91" s="1055"/>
      <c r="ULM91" s="1055"/>
      <c r="ULN91" s="1055"/>
      <c r="ULO91" s="1055"/>
      <c r="ULP91" s="1055"/>
      <c r="ULQ91" s="1055"/>
      <c r="ULR91" s="1055"/>
      <c r="ULS91" s="1055"/>
      <c r="ULT91" s="1055"/>
      <c r="ULU91" s="1055"/>
      <c r="ULV91" s="1055"/>
      <c r="ULW91" s="1055"/>
      <c r="ULX91" s="1055"/>
      <c r="ULY91" s="1055"/>
      <c r="ULZ91" s="1055"/>
      <c r="UMA91" s="1055"/>
      <c r="UMB91" s="1055"/>
      <c r="UMC91" s="1055"/>
      <c r="UMD91" s="1055"/>
      <c r="UME91" s="1055"/>
      <c r="UMF91" s="1055"/>
      <c r="UMG91" s="1055"/>
      <c r="UMH91" s="1055"/>
      <c r="UMI91" s="1055"/>
      <c r="UMJ91" s="1055"/>
      <c r="UMK91" s="1055"/>
      <c r="UML91" s="1055"/>
      <c r="UMM91" s="1055"/>
      <c r="UMN91" s="1055"/>
      <c r="UMO91" s="1055"/>
      <c r="UMP91" s="1055"/>
      <c r="UMQ91" s="1055"/>
      <c r="UMR91" s="1055"/>
      <c r="UMS91" s="1055"/>
      <c r="UMT91" s="1055"/>
      <c r="UMU91" s="1055"/>
      <c r="UMV91" s="1055"/>
      <c r="UMW91" s="1055"/>
      <c r="UMX91" s="1055"/>
      <c r="UMY91" s="1055"/>
      <c r="UMZ91" s="1055"/>
      <c r="UNA91" s="1055"/>
      <c r="UNB91" s="1055"/>
      <c r="UNC91" s="1055"/>
      <c r="UND91" s="1055"/>
      <c r="UNE91" s="1055"/>
      <c r="UNF91" s="1055"/>
      <c r="UNG91" s="1055"/>
      <c r="UNH91" s="1055"/>
      <c r="UNI91" s="1055"/>
      <c r="UNJ91" s="1055"/>
      <c r="UNK91" s="1055"/>
      <c r="UNL91" s="1055"/>
      <c r="UNM91" s="1055"/>
      <c r="UNN91" s="1055"/>
      <c r="UNO91" s="1055"/>
      <c r="UNP91" s="1055"/>
      <c r="UNQ91" s="1055"/>
      <c r="UNR91" s="1055"/>
      <c r="UNS91" s="1055"/>
      <c r="UNT91" s="1055"/>
      <c r="UNU91" s="1055"/>
      <c r="UNV91" s="1055"/>
      <c r="UNW91" s="1055"/>
      <c r="UNX91" s="1055"/>
      <c r="UNY91" s="1055"/>
      <c r="UNZ91" s="1055"/>
      <c r="UOA91" s="1055"/>
      <c r="UOB91" s="1055"/>
      <c r="UOC91" s="1055"/>
      <c r="UOD91" s="1055"/>
      <c r="UOE91" s="1055"/>
      <c r="UOF91" s="1055"/>
      <c r="UOG91" s="1055"/>
      <c r="UOH91" s="1055"/>
      <c r="UOI91" s="1055"/>
      <c r="UOJ91" s="1055"/>
      <c r="UOK91" s="1055"/>
      <c r="UOL91" s="1055"/>
      <c r="UOM91" s="1055"/>
      <c r="UON91" s="1055"/>
      <c r="UOO91" s="1055"/>
      <c r="UOP91" s="1055"/>
      <c r="UOQ91" s="1055"/>
      <c r="UOR91" s="1055"/>
      <c r="UOS91" s="1055"/>
      <c r="UOT91" s="1055"/>
      <c r="UOU91" s="1055"/>
      <c r="UOV91" s="1055"/>
      <c r="UOW91" s="1055"/>
      <c r="UOX91" s="1055"/>
      <c r="UOY91" s="1055"/>
      <c r="UOZ91" s="1055"/>
      <c r="UPA91" s="1055"/>
      <c r="UPB91" s="1055"/>
      <c r="UPC91" s="1055"/>
      <c r="UPD91" s="1055"/>
      <c r="UPE91" s="1055"/>
      <c r="UPF91" s="1055"/>
      <c r="UPG91" s="1055"/>
      <c r="UPH91" s="1055"/>
      <c r="UPI91" s="1055"/>
      <c r="UPJ91" s="1055"/>
      <c r="UPK91" s="1055"/>
      <c r="UPL91" s="1055"/>
      <c r="UPM91" s="1055"/>
      <c r="UPN91" s="1055"/>
      <c r="UPO91" s="1055"/>
      <c r="UPP91" s="1055"/>
      <c r="UPQ91" s="1055"/>
      <c r="UPR91" s="1055"/>
      <c r="UPS91" s="1055"/>
      <c r="UPT91" s="1055"/>
      <c r="UPU91" s="1055"/>
      <c r="UPV91" s="1055"/>
      <c r="UPW91" s="1055"/>
      <c r="UPX91" s="1055"/>
      <c r="UPY91" s="1055"/>
      <c r="UPZ91" s="1055"/>
      <c r="UQA91" s="1055"/>
      <c r="UQB91" s="1055"/>
      <c r="UQC91" s="1055"/>
      <c r="UQD91" s="1055"/>
      <c r="UQE91" s="1055"/>
      <c r="UQF91" s="1055"/>
      <c r="UQG91" s="1055"/>
      <c r="UQH91" s="1055"/>
      <c r="UQI91" s="1055"/>
      <c r="UQJ91" s="1055"/>
      <c r="UQK91" s="1055"/>
      <c r="UQL91" s="1055"/>
      <c r="UQM91" s="1055"/>
      <c r="UQN91" s="1055"/>
      <c r="UQO91" s="1055"/>
      <c r="UQP91" s="1055"/>
      <c r="UQQ91" s="1055"/>
      <c r="UQR91" s="1055"/>
      <c r="UQS91" s="1055"/>
      <c r="UQT91" s="1055"/>
      <c r="UQU91" s="1055"/>
      <c r="UQV91" s="1055"/>
      <c r="UQW91" s="1055"/>
      <c r="UQX91" s="1055"/>
      <c r="UQY91" s="1055"/>
      <c r="UQZ91" s="1055"/>
      <c r="URA91" s="1055"/>
      <c r="URB91" s="1055"/>
      <c r="URC91" s="1055"/>
      <c r="URD91" s="1055"/>
      <c r="URE91" s="1055"/>
      <c r="URF91" s="1055"/>
      <c r="URG91" s="1055"/>
      <c r="URH91" s="1055"/>
      <c r="URI91" s="1055"/>
      <c r="URJ91" s="1055"/>
      <c r="URK91" s="1055"/>
      <c r="URL91" s="1055"/>
      <c r="URM91" s="1055"/>
      <c r="URN91" s="1055"/>
      <c r="URO91" s="1055"/>
      <c r="URP91" s="1055"/>
      <c r="URQ91" s="1055"/>
      <c r="URR91" s="1055"/>
      <c r="URS91" s="1055"/>
      <c r="URT91" s="1055"/>
      <c r="URU91" s="1055"/>
      <c r="URV91" s="1055"/>
      <c r="URW91" s="1055"/>
      <c r="URX91" s="1055"/>
      <c r="URY91" s="1055"/>
      <c r="URZ91" s="1055"/>
      <c r="USA91" s="1055"/>
      <c r="USB91" s="1055"/>
      <c r="USC91" s="1055"/>
      <c r="USD91" s="1055"/>
      <c r="USE91" s="1055"/>
      <c r="USF91" s="1055"/>
      <c r="USG91" s="1055"/>
      <c r="USH91" s="1055"/>
      <c r="USI91" s="1055"/>
      <c r="USJ91" s="1055"/>
      <c r="USK91" s="1055"/>
      <c r="USL91" s="1055"/>
      <c r="USM91" s="1055"/>
      <c r="USN91" s="1055"/>
      <c r="USO91" s="1055"/>
      <c r="USP91" s="1055"/>
      <c r="USQ91" s="1055"/>
      <c r="USR91" s="1055"/>
      <c r="USS91" s="1055"/>
      <c r="UST91" s="1055"/>
      <c r="USU91" s="1055"/>
      <c r="USV91" s="1055"/>
      <c r="USW91" s="1055"/>
      <c r="USX91" s="1055"/>
      <c r="USY91" s="1055"/>
      <c r="USZ91" s="1055"/>
      <c r="UTA91" s="1055"/>
      <c r="UTB91" s="1055"/>
      <c r="UTC91" s="1055"/>
      <c r="UTD91" s="1055"/>
      <c r="UTE91" s="1055"/>
      <c r="UTF91" s="1055"/>
      <c r="UTG91" s="1055"/>
      <c r="UTH91" s="1055"/>
      <c r="UTI91" s="1055"/>
      <c r="UTJ91" s="1055"/>
      <c r="UTK91" s="1055"/>
      <c r="UTL91" s="1055"/>
      <c r="UTM91" s="1055"/>
      <c r="UTN91" s="1055"/>
      <c r="UTO91" s="1055"/>
      <c r="UTP91" s="1055"/>
      <c r="UTQ91" s="1055"/>
      <c r="UTR91" s="1055"/>
      <c r="UTS91" s="1055"/>
      <c r="UTT91" s="1055"/>
      <c r="UTU91" s="1055"/>
      <c r="UTV91" s="1055"/>
      <c r="UTW91" s="1055"/>
      <c r="UTX91" s="1055"/>
      <c r="UTY91" s="1055"/>
      <c r="UTZ91" s="1055"/>
      <c r="UUA91" s="1055"/>
      <c r="UUB91" s="1055"/>
      <c r="UUC91" s="1055"/>
      <c r="UUD91" s="1055"/>
      <c r="UUE91" s="1055"/>
      <c r="UUF91" s="1055"/>
      <c r="UUG91" s="1055"/>
      <c r="UUH91" s="1055"/>
      <c r="UUI91" s="1055"/>
      <c r="UUJ91" s="1055"/>
      <c r="UUK91" s="1055"/>
      <c r="UUL91" s="1055"/>
      <c r="UUM91" s="1055"/>
      <c r="UUN91" s="1055"/>
      <c r="UUO91" s="1055"/>
      <c r="UUP91" s="1055"/>
      <c r="UUQ91" s="1055"/>
      <c r="UUR91" s="1055"/>
      <c r="UUS91" s="1055"/>
      <c r="UUT91" s="1055"/>
      <c r="UUU91" s="1055"/>
      <c r="UUV91" s="1055"/>
      <c r="UUW91" s="1055"/>
      <c r="UUX91" s="1055"/>
      <c r="UUY91" s="1055"/>
      <c r="UUZ91" s="1055"/>
      <c r="UVA91" s="1055"/>
      <c r="UVB91" s="1055"/>
      <c r="UVC91" s="1055"/>
      <c r="UVD91" s="1055"/>
      <c r="UVE91" s="1055"/>
      <c r="UVF91" s="1055"/>
      <c r="UVG91" s="1055"/>
      <c r="UVH91" s="1055"/>
      <c r="UVI91" s="1055"/>
      <c r="UVJ91" s="1055"/>
      <c r="UVK91" s="1055"/>
      <c r="UVL91" s="1055"/>
      <c r="UVM91" s="1055"/>
      <c r="UVN91" s="1055"/>
      <c r="UVO91" s="1055"/>
      <c r="UVP91" s="1055"/>
      <c r="UVQ91" s="1055"/>
      <c r="UVR91" s="1055"/>
      <c r="UVS91" s="1055"/>
      <c r="UVT91" s="1055"/>
      <c r="UVU91" s="1055"/>
      <c r="UVV91" s="1055"/>
      <c r="UVW91" s="1055"/>
      <c r="UVX91" s="1055"/>
      <c r="UVY91" s="1055"/>
      <c r="UVZ91" s="1055"/>
      <c r="UWA91" s="1055"/>
      <c r="UWB91" s="1055"/>
      <c r="UWC91" s="1055"/>
      <c r="UWD91" s="1055"/>
      <c r="UWE91" s="1055"/>
      <c r="UWF91" s="1055"/>
      <c r="UWG91" s="1055"/>
      <c r="UWH91" s="1055"/>
      <c r="UWI91" s="1055"/>
      <c r="UWJ91" s="1055"/>
      <c r="UWK91" s="1055"/>
      <c r="UWL91" s="1055"/>
      <c r="UWM91" s="1055"/>
      <c r="UWN91" s="1055"/>
      <c r="UWO91" s="1055"/>
      <c r="UWP91" s="1055"/>
      <c r="UWQ91" s="1055"/>
      <c r="UWR91" s="1055"/>
      <c r="UWS91" s="1055"/>
      <c r="UWT91" s="1055"/>
      <c r="UWU91" s="1055"/>
      <c r="UWV91" s="1055"/>
      <c r="UWW91" s="1055"/>
      <c r="UWX91" s="1055"/>
      <c r="UWY91" s="1055"/>
      <c r="UWZ91" s="1055"/>
      <c r="UXA91" s="1055"/>
      <c r="UXB91" s="1055"/>
      <c r="UXC91" s="1055"/>
      <c r="UXD91" s="1055"/>
      <c r="UXE91" s="1055"/>
      <c r="UXF91" s="1055"/>
      <c r="UXG91" s="1055"/>
      <c r="UXH91" s="1055"/>
      <c r="UXI91" s="1055"/>
      <c r="UXJ91" s="1055"/>
      <c r="UXK91" s="1055"/>
      <c r="UXL91" s="1055"/>
      <c r="UXM91" s="1055"/>
      <c r="UXN91" s="1055"/>
      <c r="UXO91" s="1055"/>
      <c r="UXP91" s="1055"/>
      <c r="UXQ91" s="1055"/>
      <c r="UXR91" s="1055"/>
      <c r="UXS91" s="1055"/>
      <c r="UXT91" s="1055"/>
      <c r="UXU91" s="1055"/>
      <c r="UXV91" s="1055"/>
      <c r="UXW91" s="1055"/>
      <c r="UXX91" s="1055"/>
      <c r="UXY91" s="1055"/>
      <c r="UXZ91" s="1055"/>
      <c r="UYA91" s="1055"/>
      <c r="UYB91" s="1055"/>
      <c r="UYC91" s="1055"/>
      <c r="UYD91" s="1055"/>
      <c r="UYE91" s="1055"/>
      <c r="UYF91" s="1055"/>
      <c r="UYG91" s="1055"/>
      <c r="UYH91" s="1055"/>
      <c r="UYI91" s="1055"/>
      <c r="UYJ91" s="1055"/>
      <c r="UYK91" s="1055"/>
      <c r="UYL91" s="1055"/>
      <c r="UYM91" s="1055"/>
      <c r="UYN91" s="1055"/>
      <c r="UYO91" s="1055"/>
      <c r="UYP91" s="1055"/>
      <c r="UYQ91" s="1055"/>
      <c r="UYR91" s="1055"/>
      <c r="UYS91" s="1055"/>
      <c r="UYT91" s="1055"/>
      <c r="UYU91" s="1055"/>
      <c r="UYV91" s="1055"/>
      <c r="UYW91" s="1055"/>
      <c r="UYX91" s="1055"/>
      <c r="UYY91" s="1055"/>
      <c r="UYZ91" s="1055"/>
      <c r="UZA91" s="1055"/>
      <c r="UZB91" s="1055"/>
      <c r="UZC91" s="1055"/>
      <c r="UZD91" s="1055"/>
      <c r="UZE91" s="1055"/>
      <c r="UZF91" s="1055"/>
      <c r="UZG91" s="1055"/>
      <c r="UZH91" s="1055"/>
      <c r="UZI91" s="1055"/>
      <c r="UZJ91" s="1055"/>
      <c r="UZK91" s="1055"/>
      <c r="UZL91" s="1055"/>
      <c r="UZM91" s="1055"/>
      <c r="UZN91" s="1055"/>
      <c r="UZO91" s="1055"/>
      <c r="UZP91" s="1055"/>
      <c r="UZQ91" s="1055"/>
      <c r="UZR91" s="1055"/>
      <c r="UZS91" s="1055"/>
      <c r="UZT91" s="1055"/>
      <c r="UZU91" s="1055"/>
      <c r="UZV91" s="1055"/>
      <c r="UZW91" s="1055"/>
      <c r="UZX91" s="1055"/>
      <c r="UZY91" s="1055"/>
      <c r="UZZ91" s="1055"/>
      <c r="VAA91" s="1055"/>
      <c r="VAB91" s="1055"/>
      <c r="VAC91" s="1055"/>
      <c r="VAD91" s="1055"/>
      <c r="VAE91" s="1055"/>
      <c r="VAF91" s="1055"/>
      <c r="VAG91" s="1055"/>
      <c r="VAH91" s="1055"/>
      <c r="VAI91" s="1055"/>
      <c r="VAJ91" s="1055"/>
      <c r="VAK91" s="1055"/>
      <c r="VAL91" s="1055"/>
      <c r="VAM91" s="1055"/>
      <c r="VAN91" s="1055"/>
      <c r="VAO91" s="1055"/>
      <c r="VAP91" s="1055"/>
      <c r="VAQ91" s="1055"/>
      <c r="VAR91" s="1055"/>
      <c r="VAS91" s="1055"/>
      <c r="VAT91" s="1055"/>
      <c r="VAU91" s="1055"/>
      <c r="VAV91" s="1055"/>
      <c r="VAW91" s="1055"/>
      <c r="VAX91" s="1055"/>
      <c r="VAY91" s="1055"/>
      <c r="VAZ91" s="1055"/>
      <c r="VBA91" s="1055"/>
      <c r="VBB91" s="1055"/>
      <c r="VBC91" s="1055"/>
      <c r="VBD91" s="1055"/>
      <c r="VBE91" s="1055"/>
      <c r="VBF91" s="1055"/>
      <c r="VBG91" s="1055"/>
      <c r="VBH91" s="1055"/>
      <c r="VBI91" s="1055"/>
      <c r="VBJ91" s="1055"/>
      <c r="VBK91" s="1055"/>
      <c r="VBL91" s="1055"/>
      <c r="VBM91" s="1055"/>
      <c r="VBN91" s="1055"/>
      <c r="VBO91" s="1055"/>
      <c r="VBP91" s="1055"/>
      <c r="VBQ91" s="1055"/>
      <c r="VBR91" s="1055"/>
      <c r="VBS91" s="1055"/>
      <c r="VBT91" s="1055"/>
      <c r="VBU91" s="1055"/>
      <c r="VBV91" s="1055"/>
      <c r="VBW91" s="1055"/>
      <c r="VBX91" s="1055"/>
      <c r="VBY91" s="1055"/>
      <c r="VBZ91" s="1055"/>
      <c r="VCA91" s="1055"/>
      <c r="VCB91" s="1055"/>
      <c r="VCC91" s="1055"/>
      <c r="VCD91" s="1055"/>
      <c r="VCE91" s="1055"/>
      <c r="VCF91" s="1055"/>
      <c r="VCG91" s="1055"/>
      <c r="VCH91" s="1055"/>
      <c r="VCI91" s="1055"/>
      <c r="VCJ91" s="1055"/>
      <c r="VCK91" s="1055"/>
      <c r="VCL91" s="1055"/>
      <c r="VCM91" s="1055"/>
      <c r="VCN91" s="1055"/>
      <c r="VCO91" s="1055"/>
      <c r="VCP91" s="1055"/>
      <c r="VCQ91" s="1055"/>
      <c r="VCR91" s="1055"/>
      <c r="VCS91" s="1055"/>
      <c r="VCT91" s="1055"/>
      <c r="VCU91" s="1055"/>
      <c r="VCV91" s="1055"/>
      <c r="VCW91" s="1055"/>
      <c r="VCX91" s="1055"/>
      <c r="VCY91" s="1055"/>
      <c r="VCZ91" s="1055"/>
      <c r="VDA91" s="1055"/>
      <c r="VDB91" s="1055"/>
      <c r="VDC91" s="1055"/>
      <c r="VDD91" s="1055"/>
      <c r="VDE91" s="1055"/>
      <c r="VDF91" s="1055"/>
      <c r="VDG91" s="1055"/>
      <c r="VDH91" s="1055"/>
      <c r="VDI91" s="1055"/>
      <c r="VDJ91" s="1055"/>
      <c r="VDK91" s="1055"/>
      <c r="VDL91" s="1055"/>
      <c r="VDM91" s="1055"/>
      <c r="VDN91" s="1055"/>
      <c r="VDO91" s="1055"/>
      <c r="VDP91" s="1055"/>
      <c r="VDQ91" s="1055"/>
      <c r="VDR91" s="1055"/>
      <c r="VDS91" s="1055"/>
      <c r="VDT91" s="1055"/>
      <c r="VDU91" s="1055"/>
      <c r="VDV91" s="1055"/>
      <c r="VDW91" s="1055"/>
      <c r="VDX91" s="1055"/>
      <c r="VDY91" s="1055"/>
      <c r="VDZ91" s="1055"/>
      <c r="VEA91" s="1055"/>
      <c r="VEB91" s="1055"/>
      <c r="VEC91" s="1055"/>
      <c r="VED91" s="1055"/>
      <c r="VEE91" s="1055"/>
      <c r="VEF91" s="1055"/>
      <c r="VEG91" s="1055"/>
      <c r="VEH91" s="1055"/>
      <c r="VEI91" s="1055"/>
      <c r="VEJ91" s="1055"/>
      <c r="VEK91" s="1055"/>
      <c r="VEL91" s="1055"/>
      <c r="VEM91" s="1055"/>
      <c r="VEN91" s="1055"/>
      <c r="VEO91" s="1055"/>
      <c r="VEP91" s="1055"/>
      <c r="VEQ91" s="1055"/>
      <c r="VER91" s="1055"/>
      <c r="VES91" s="1055"/>
      <c r="VET91" s="1055"/>
      <c r="VEU91" s="1055"/>
      <c r="VEV91" s="1055"/>
      <c r="VEW91" s="1055"/>
      <c r="VEX91" s="1055"/>
      <c r="VEY91" s="1055"/>
      <c r="VEZ91" s="1055"/>
      <c r="VFA91" s="1055"/>
      <c r="VFB91" s="1055"/>
      <c r="VFC91" s="1055"/>
      <c r="VFD91" s="1055"/>
      <c r="VFE91" s="1055"/>
      <c r="VFF91" s="1055"/>
      <c r="VFG91" s="1055"/>
      <c r="VFH91" s="1055"/>
      <c r="VFI91" s="1055"/>
      <c r="VFJ91" s="1055"/>
      <c r="VFK91" s="1055"/>
      <c r="VFL91" s="1055"/>
      <c r="VFM91" s="1055"/>
      <c r="VFN91" s="1055"/>
      <c r="VFO91" s="1055"/>
      <c r="VFP91" s="1055"/>
      <c r="VFQ91" s="1055"/>
      <c r="VFR91" s="1055"/>
      <c r="VFS91" s="1055"/>
      <c r="VFT91" s="1055"/>
      <c r="VFU91" s="1055"/>
      <c r="VFV91" s="1055"/>
      <c r="VFW91" s="1055"/>
      <c r="VFX91" s="1055"/>
      <c r="VFY91" s="1055"/>
      <c r="VFZ91" s="1055"/>
      <c r="VGA91" s="1055"/>
      <c r="VGB91" s="1055"/>
      <c r="VGC91" s="1055"/>
      <c r="VGD91" s="1055"/>
      <c r="VGE91" s="1055"/>
      <c r="VGF91" s="1055"/>
      <c r="VGG91" s="1055"/>
      <c r="VGH91" s="1055"/>
      <c r="VGI91" s="1055"/>
      <c r="VGJ91" s="1055"/>
      <c r="VGK91" s="1055"/>
      <c r="VGL91" s="1055"/>
      <c r="VGM91" s="1055"/>
      <c r="VGN91" s="1055"/>
      <c r="VGO91" s="1055"/>
      <c r="VGP91" s="1055"/>
      <c r="VGQ91" s="1055"/>
      <c r="VGR91" s="1055"/>
      <c r="VGS91" s="1055"/>
      <c r="VGT91" s="1055"/>
      <c r="VGU91" s="1055"/>
      <c r="VGV91" s="1055"/>
      <c r="VGW91" s="1055"/>
      <c r="VGX91" s="1055"/>
      <c r="VGY91" s="1055"/>
      <c r="VGZ91" s="1055"/>
      <c r="VHA91" s="1055"/>
      <c r="VHB91" s="1055"/>
      <c r="VHC91" s="1055"/>
      <c r="VHD91" s="1055"/>
      <c r="VHE91" s="1055"/>
      <c r="VHF91" s="1055"/>
      <c r="VHG91" s="1055"/>
      <c r="VHH91" s="1055"/>
      <c r="VHI91" s="1055"/>
      <c r="VHJ91" s="1055"/>
      <c r="VHK91" s="1055"/>
      <c r="VHL91" s="1055"/>
      <c r="VHM91" s="1055"/>
      <c r="VHN91" s="1055"/>
      <c r="VHO91" s="1055"/>
      <c r="VHP91" s="1055"/>
      <c r="VHQ91" s="1055"/>
      <c r="VHR91" s="1055"/>
      <c r="VHS91" s="1055"/>
      <c r="VHT91" s="1055"/>
      <c r="VHU91" s="1055"/>
      <c r="VHV91" s="1055"/>
      <c r="VHW91" s="1055"/>
      <c r="VHX91" s="1055"/>
      <c r="VHY91" s="1055"/>
      <c r="VHZ91" s="1055"/>
      <c r="VIA91" s="1055"/>
      <c r="VIB91" s="1055"/>
      <c r="VIC91" s="1055"/>
      <c r="VID91" s="1055"/>
      <c r="VIE91" s="1055"/>
      <c r="VIF91" s="1055"/>
      <c r="VIG91" s="1055"/>
      <c r="VIH91" s="1055"/>
      <c r="VII91" s="1055"/>
      <c r="VIJ91" s="1055"/>
      <c r="VIK91" s="1055"/>
      <c r="VIL91" s="1055"/>
      <c r="VIM91" s="1055"/>
      <c r="VIN91" s="1055"/>
      <c r="VIO91" s="1055"/>
      <c r="VIP91" s="1055"/>
      <c r="VIQ91" s="1055"/>
      <c r="VIR91" s="1055"/>
      <c r="VIS91" s="1055"/>
      <c r="VIT91" s="1055"/>
      <c r="VIU91" s="1055"/>
      <c r="VIV91" s="1055"/>
      <c r="VIW91" s="1055"/>
      <c r="VIX91" s="1055"/>
      <c r="VIY91" s="1055"/>
      <c r="VIZ91" s="1055"/>
      <c r="VJA91" s="1055"/>
      <c r="VJB91" s="1055"/>
      <c r="VJC91" s="1055"/>
      <c r="VJD91" s="1055"/>
      <c r="VJE91" s="1055"/>
      <c r="VJF91" s="1055"/>
      <c r="VJG91" s="1055"/>
      <c r="VJH91" s="1055"/>
      <c r="VJI91" s="1055"/>
      <c r="VJJ91" s="1055"/>
      <c r="VJK91" s="1055"/>
      <c r="VJL91" s="1055"/>
      <c r="VJM91" s="1055"/>
      <c r="VJN91" s="1055"/>
      <c r="VJO91" s="1055"/>
      <c r="VJP91" s="1055"/>
      <c r="VJQ91" s="1055"/>
      <c r="VJR91" s="1055"/>
      <c r="VJS91" s="1055"/>
      <c r="VJT91" s="1055"/>
      <c r="VJU91" s="1055"/>
      <c r="VJV91" s="1055"/>
      <c r="VJW91" s="1055"/>
      <c r="VJX91" s="1055"/>
      <c r="VJY91" s="1055"/>
      <c r="VJZ91" s="1055"/>
      <c r="VKA91" s="1055"/>
      <c r="VKB91" s="1055"/>
      <c r="VKC91" s="1055"/>
      <c r="VKD91" s="1055"/>
      <c r="VKE91" s="1055"/>
      <c r="VKF91" s="1055"/>
      <c r="VKG91" s="1055"/>
      <c r="VKH91" s="1055"/>
      <c r="VKI91" s="1055"/>
      <c r="VKJ91" s="1055"/>
      <c r="VKK91" s="1055"/>
      <c r="VKL91" s="1055"/>
      <c r="VKM91" s="1055"/>
      <c r="VKN91" s="1055"/>
      <c r="VKO91" s="1055"/>
      <c r="VKP91" s="1055"/>
      <c r="VKQ91" s="1055"/>
      <c r="VKR91" s="1055"/>
      <c r="VKS91" s="1055"/>
      <c r="VKT91" s="1055"/>
      <c r="VKU91" s="1055"/>
      <c r="VKV91" s="1055"/>
      <c r="VKW91" s="1055"/>
      <c r="VKX91" s="1055"/>
      <c r="VKY91" s="1055"/>
      <c r="VKZ91" s="1055"/>
      <c r="VLA91" s="1055"/>
      <c r="VLB91" s="1055"/>
      <c r="VLC91" s="1055"/>
      <c r="VLD91" s="1055"/>
      <c r="VLE91" s="1055"/>
      <c r="VLF91" s="1055"/>
      <c r="VLG91" s="1055"/>
      <c r="VLH91" s="1055"/>
      <c r="VLI91" s="1055"/>
      <c r="VLJ91" s="1055"/>
      <c r="VLK91" s="1055"/>
      <c r="VLL91" s="1055"/>
      <c r="VLM91" s="1055"/>
      <c r="VLN91" s="1055"/>
      <c r="VLO91" s="1055"/>
      <c r="VLP91" s="1055"/>
      <c r="VLQ91" s="1055"/>
      <c r="VLR91" s="1055"/>
      <c r="VLS91" s="1055"/>
      <c r="VLT91" s="1055"/>
      <c r="VLU91" s="1055"/>
      <c r="VLV91" s="1055"/>
      <c r="VLW91" s="1055"/>
      <c r="VLX91" s="1055"/>
      <c r="VLY91" s="1055"/>
      <c r="VLZ91" s="1055"/>
      <c r="VMA91" s="1055"/>
      <c r="VMB91" s="1055"/>
      <c r="VMC91" s="1055"/>
      <c r="VMD91" s="1055"/>
      <c r="VME91" s="1055"/>
      <c r="VMF91" s="1055"/>
      <c r="VMG91" s="1055"/>
      <c r="VMH91" s="1055"/>
      <c r="VMI91" s="1055"/>
      <c r="VMJ91" s="1055"/>
      <c r="VMK91" s="1055"/>
      <c r="VML91" s="1055"/>
      <c r="VMM91" s="1055"/>
      <c r="VMN91" s="1055"/>
      <c r="VMO91" s="1055"/>
      <c r="VMP91" s="1055"/>
      <c r="VMQ91" s="1055"/>
      <c r="VMR91" s="1055"/>
      <c r="VMS91" s="1055"/>
      <c r="VMT91" s="1055"/>
      <c r="VMU91" s="1055"/>
      <c r="VMV91" s="1055"/>
      <c r="VMW91" s="1055"/>
      <c r="VMX91" s="1055"/>
      <c r="VMY91" s="1055"/>
      <c r="VMZ91" s="1055"/>
      <c r="VNA91" s="1055"/>
      <c r="VNB91" s="1055"/>
      <c r="VNC91" s="1055"/>
      <c r="VND91" s="1055"/>
      <c r="VNE91" s="1055"/>
      <c r="VNF91" s="1055"/>
      <c r="VNG91" s="1055"/>
      <c r="VNH91" s="1055"/>
      <c r="VNI91" s="1055"/>
      <c r="VNJ91" s="1055"/>
      <c r="VNK91" s="1055"/>
      <c r="VNL91" s="1055"/>
      <c r="VNM91" s="1055"/>
      <c r="VNN91" s="1055"/>
      <c r="VNO91" s="1055"/>
      <c r="VNP91" s="1055"/>
      <c r="VNQ91" s="1055"/>
      <c r="VNR91" s="1055"/>
      <c r="VNS91" s="1055"/>
      <c r="VNT91" s="1055"/>
      <c r="VNU91" s="1055"/>
      <c r="VNV91" s="1055"/>
      <c r="VNW91" s="1055"/>
      <c r="VNX91" s="1055"/>
      <c r="VNY91" s="1055"/>
      <c r="VNZ91" s="1055"/>
      <c r="VOA91" s="1055"/>
      <c r="VOB91" s="1055"/>
      <c r="VOC91" s="1055"/>
      <c r="VOD91" s="1055"/>
      <c r="VOE91" s="1055"/>
      <c r="VOF91" s="1055"/>
      <c r="VOG91" s="1055"/>
      <c r="VOH91" s="1055"/>
      <c r="VOI91" s="1055"/>
      <c r="VOJ91" s="1055"/>
      <c r="VOK91" s="1055"/>
      <c r="VOL91" s="1055"/>
      <c r="VOM91" s="1055"/>
      <c r="VON91" s="1055"/>
      <c r="VOO91" s="1055"/>
      <c r="VOP91" s="1055"/>
      <c r="VOQ91" s="1055"/>
      <c r="VOR91" s="1055"/>
      <c r="VOS91" s="1055"/>
      <c r="VOT91" s="1055"/>
      <c r="VOU91" s="1055"/>
      <c r="VOV91" s="1055"/>
      <c r="VOW91" s="1055"/>
      <c r="VOX91" s="1055"/>
      <c r="VOY91" s="1055"/>
      <c r="VOZ91" s="1055"/>
      <c r="VPA91" s="1055"/>
      <c r="VPB91" s="1055"/>
      <c r="VPC91" s="1055"/>
      <c r="VPD91" s="1055"/>
      <c r="VPE91" s="1055"/>
      <c r="VPF91" s="1055"/>
      <c r="VPG91" s="1055"/>
      <c r="VPH91" s="1055"/>
      <c r="VPI91" s="1055"/>
      <c r="VPJ91" s="1055"/>
      <c r="VPK91" s="1055"/>
      <c r="VPL91" s="1055"/>
      <c r="VPM91" s="1055"/>
      <c r="VPN91" s="1055"/>
      <c r="VPO91" s="1055"/>
      <c r="VPP91" s="1055"/>
      <c r="VPQ91" s="1055"/>
      <c r="VPR91" s="1055"/>
      <c r="VPS91" s="1055"/>
      <c r="VPT91" s="1055"/>
      <c r="VPU91" s="1055"/>
      <c r="VPV91" s="1055"/>
      <c r="VPW91" s="1055"/>
      <c r="VPX91" s="1055"/>
      <c r="VPY91" s="1055"/>
      <c r="VPZ91" s="1055"/>
      <c r="VQA91" s="1055"/>
      <c r="VQB91" s="1055"/>
      <c r="VQC91" s="1055"/>
      <c r="VQD91" s="1055"/>
      <c r="VQE91" s="1055"/>
      <c r="VQF91" s="1055"/>
      <c r="VQG91" s="1055"/>
      <c r="VQH91" s="1055"/>
      <c r="VQI91" s="1055"/>
      <c r="VQJ91" s="1055"/>
      <c r="VQK91" s="1055"/>
      <c r="VQL91" s="1055"/>
      <c r="VQM91" s="1055"/>
      <c r="VQN91" s="1055"/>
      <c r="VQO91" s="1055"/>
      <c r="VQP91" s="1055"/>
      <c r="VQQ91" s="1055"/>
      <c r="VQR91" s="1055"/>
      <c r="VQS91" s="1055"/>
      <c r="VQT91" s="1055"/>
      <c r="VQU91" s="1055"/>
      <c r="VQV91" s="1055"/>
      <c r="VQW91" s="1055"/>
      <c r="VQX91" s="1055"/>
      <c r="VQY91" s="1055"/>
      <c r="VQZ91" s="1055"/>
      <c r="VRA91" s="1055"/>
      <c r="VRB91" s="1055"/>
      <c r="VRC91" s="1055"/>
      <c r="VRD91" s="1055"/>
      <c r="VRE91" s="1055"/>
      <c r="VRF91" s="1055"/>
      <c r="VRG91" s="1055"/>
      <c r="VRH91" s="1055"/>
      <c r="VRI91" s="1055"/>
      <c r="VRJ91" s="1055"/>
      <c r="VRK91" s="1055"/>
      <c r="VRL91" s="1055"/>
      <c r="VRM91" s="1055"/>
      <c r="VRN91" s="1055"/>
      <c r="VRO91" s="1055"/>
      <c r="VRP91" s="1055"/>
      <c r="VRQ91" s="1055"/>
      <c r="VRR91" s="1055"/>
      <c r="VRS91" s="1055"/>
      <c r="VRT91" s="1055"/>
      <c r="VRU91" s="1055"/>
      <c r="VRV91" s="1055"/>
      <c r="VRW91" s="1055"/>
      <c r="VRX91" s="1055"/>
      <c r="VRY91" s="1055"/>
      <c r="VRZ91" s="1055"/>
      <c r="VSA91" s="1055"/>
      <c r="VSB91" s="1055"/>
      <c r="VSC91" s="1055"/>
      <c r="VSD91" s="1055"/>
      <c r="VSE91" s="1055"/>
      <c r="VSF91" s="1055"/>
      <c r="VSG91" s="1055"/>
      <c r="VSH91" s="1055"/>
      <c r="VSI91" s="1055"/>
      <c r="VSJ91" s="1055"/>
      <c r="VSK91" s="1055"/>
      <c r="VSL91" s="1055"/>
      <c r="VSM91" s="1055"/>
      <c r="VSN91" s="1055"/>
      <c r="VSO91" s="1055"/>
      <c r="VSP91" s="1055"/>
      <c r="VSQ91" s="1055"/>
      <c r="VSR91" s="1055"/>
      <c r="VSS91" s="1055"/>
      <c r="VST91" s="1055"/>
      <c r="VSU91" s="1055"/>
      <c r="VSV91" s="1055"/>
      <c r="VSW91" s="1055"/>
      <c r="VSX91" s="1055"/>
      <c r="VSY91" s="1055"/>
      <c r="VSZ91" s="1055"/>
      <c r="VTA91" s="1055"/>
      <c r="VTB91" s="1055"/>
      <c r="VTC91" s="1055"/>
      <c r="VTD91" s="1055"/>
      <c r="VTE91" s="1055"/>
      <c r="VTF91" s="1055"/>
      <c r="VTG91" s="1055"/>
      <c r="VTH91" s="1055"/>
      <c r="VTI91" s="1055"/>
      <c r="VTJ91" s="1055"/>
      <c r="VTK91" s="1055"/>
      <c r="VTL91" s="1055"/>
      <c r="VTM91" s="1055"/>
      <c r="VTN91" s="1055"/>
      <c r="VTO91" s="1055"/>
      <c r="VTP91" s="1055"/>
      <c r="VTQ91" s="1055"/>
      <c r="VTR91" s="1055"/>
      <c r="VTS91" s="1055"/>
      <c r="VTT91" s="1055"/>
      <c r="VTU91" s="1055"/>
      <c r="VTV91" s="1055"/>
      <c r="VTW91" s="1055"/>
      <c r="VTX91" s="1055"/>
      <c r="VTY91" s="1055"/>
      <c r="VTZ91" s="1055"/>
      <c r="VUA91" s="1055"/>
      <c r="VUB91" s="1055"/>
      <c r="VUC91" s="1055"/>
      <c r="VUD91" s="1055"/>
      <c r="VUE91" s="1055"/>
      <c r="VUF91" s="1055"/>
      <c r="VUG91" s="1055"/>
      <c r="VUH91" s="1055"/>
      <c r="VUI91" s="1055"/>
      <c r="VUJ91" s="1055"/>
      <c r="VUK91" s="1055"/>
      <c r="VUL91" s="1055"/>
      <c r="VUM91" s="1055"/>
      <c r="VUN91" s="1055"/>
      <c r="VUO91" s="1055"/>
      <c r="VUP91" s="1055"/>
      <c r="VUQ91" s="1055"/>
      <c r="VUR91" s="1055"/>
      <c r="VUS91" s="1055"/>
      <c r="VUT91" s="1055"/>
      <c r="VUU91" s="1055"/>
      <c r="VUV91" s="1055"/>
      <c r="VUW91" s="1055"/>
      <c r="VUX91" s="1055"/>
      <c r="VUY91" s="1055"/>
      <c r="VUZ91" s="1055"/>
      <c r="VVA91" s="1055"/>
      <c r="VVB91" s="1055"/>
      <c r="VVC91" s="1055"/>
      <c r="VVD91" s="1055"/>
      <c r="VVE91" s="1055"/>
      <c r="VVF91" s="1055"/>
      <c r="VVG91" s="1055"/>
      <c r="VVH91" s="1055"/>
      <c r="VVI91" s="1055"/>
      <c r="VVJ91" s="1055"/>
      <c r="VVK91" s="1055"/>
      <c r="VVL91" s="1055"/>
      <c r="VVM91" s="1055"/>
      <c r="VVN91" s="1055"/>
      <c r="VVO91" s="1055"/>
      <c r="VVP91" s="1055"/>
      <c r="VVQ91" s="1055"/>
      <c r="VVR91" s="1055"/>
      <c r="VVS91" s="1055"/>
      <c r="VVT91" s="1055"/>
      <c r="VVU91" s="1055"/>
      <c r="VVV91" s="1055"/>
      <c r="VVW91" s="1055"/>
      <c r="VVX91" s="1055"/>
      <c r="VVY91" s="1055"/>
      <c r="VVZ91" s="1055"/>
      <c r="VWA91" s="1055"/>
      <c r="VWB91" s="1055"/>
      <c r="VWC91" s="1055"/>
      <c r="VWD91" s="1055"/>
      <c r="VWE91" s="1055"/>
      <c r="VWF91" s="1055"/>
      <c r="VWG91" s="1055"/>
      <c r="VWH91" s="1055"/>
      <c r="VWI91" s="1055"/>
      <c r="VWJ91" s="1055"/>
      <c r="VWK91" s="1055"/>
      <c r="VWL91" s="1055"/>
      <c r="VWM91" s="1055"/>
      <c r="VWN91" s="1055"/>
      <c r="VWO91" s="1055"/>
      <c r="VWP91" s="1055"/>
      <c r="VWQ91" s="1055"/>
      <c r="VWR91" s="1055"/>
      <c r="VWS91" s="1055"/>
      <c r="VWT91" s="1055"/>
      <c r="VWU91" s="1055"/>
      <c r="VWV91" s="1055"/>
      <c r="VWW91" s="1055"/>
      <c r="VWX91" s="1055"/>
      <c r="VWY91" s="1055"/>
      <c r="VWZ91" s="1055"/>
      <c r="VXA91" s="1055"/>
      <c r="VXB91" s="1055"/>
      <c r="VXC91" s="1055"/>
      <c r="VXD91" s="1055"/>
      <c r="VXE91" s="1055"/>
      <c r="VXF91" s="1055"/>
      <c r="VXG91" s="1055"/>
      <c r="VXH91" s="1055"/>
      <c r="VXI91" s="1055"/>
      <c r="VXJ91" s="1055"/>
      <c r="VXK91" s="1055"/>
      <c r="VXL91" s="1055"/>
      <c r="VXM91" s="1055"/>
      <c r="VXN91" s="1055"/>
      <c r="VXO91" s="1055"/>
      <c r="VXP91" s="1055"/>
      <c r="VXQ91" s="1055"/>
      <c r="VXR91" s="1055"/>
      <c r="VXS91" s="1055"/>
      <c r="VXT91" s="1055"/>
      <c r="VXU91" s="1055"/>
      <c r="VXV91" s="1055"/>
      <c r="VXW91" s="1055"/>
      <c r="VXX91" s="1055"/>
      <c r="VXY91" s="1055"/>
      <c r="VXZ91" s="1055"/>
      <c r="VYA91" s="1055"/>
      <c r="VYB91" s="1055"/>
      <c r="VYC91" s="1055"/>
      <c r="VYD91" s="1055"/>
      <c r="VYE91" s="1055"/>
      <c r="VYF91" s="1055"/>
      <c r="VYG91" s="1055"/>
      <c r="VYH91" s="1055"/>
      <c r="VYI91" s="1055"/>
      <c r="VYJ91" s="1055"/>
      <c r="VYK91" s="1055"/>
      <c r="VYL91" s="1055"/>
      <c r="VYM91" s="1055"/>
      <c r="VYN91" s="1055"/>
      <c r="VYO91" s="1055"/>
      <c r="VYP91" s="1055"/>
      <c r="VYQ91" s="1055"/>
      <c r="VYR91" s="1055"/>
      <c r="VYS91" s="1055"/>
      <c r="VYT91" s="1055"/>
      <c r="VYU91" s="1055"/>
      <c r="VYV91" s="1055"/>
      <c r="VYW91" s="1055"/>
      <c r="VYX91" s="1055"/>
      <c r="VYY91" s="1055"/>
      <c r="VYZ91" s="1055"/>
      <c r="VZA91" s="1055"/>
      <c r="VZB91" s="1055"/>
      <c r="VZC91" s="1055"/>
      <c r="VZD91" s="1055"/>
      <c r="VZE91" s="1055"/>
      <c r="VZF91" s="1055"/>
      <c r="VZG91" s="1055"/>
      <c r="VZH91" s="1055"/>
      <c r="VZI91" s="1055"/>
      <c r="VZJ91" s="1055"/>
      <c r="VZK91" s="1055"/>
      <c r="VZL91" s="1055"/>
      <c r="VZM91" s="1055"/>
      <c r="VZN91" s="1055"/>
      <c r="VZO91" s="1055"/>
      <c r="VZP91" s="1055"/>
      <c r="VZQ91" s="1055"/>
      <c r="VZR91" s="1055"/>
      <c r="VZS91" s="1055"/>
      <c r="VZT91" s="1055"/>
      <c r="VZU91" s="1055"/>
      <c r="VZV91" s="1055"/>
      <c r="VZW91" s="1055"/>
      <c r="VZX91" s="1055"/>
      <c r="VZY91" s="1055"/>
      <c r="VZZ91" s="1055"/>
      <c r="WAA91" s="1055"/>
      <c r="WAB91" s="1055"/>
      <c r="WAC91" s="1055"/>
      <c r="WAD91" s="1055"/>
      <c r="WAE91" s="1055"/>
      <c r="WAF91" s="1055"/>
      <c r="WAG91" s="1055"/>
      <c r="WAH91" s="1055"/>
      <c r="WAI91" s="1055"/>
      <c r="WAJ91" s="1055"/>
      <c r="WAK91" s="1055"/>
      <c r="WAL91" s="1055"/>
      <c r="WAM91" s="1055"/>
      <c r="WAN91" s="1055"/>
      <c r="WAO91" s="1055"/>
      <c r="WAP91" s="1055"/>
      <c r="WAQ91" s="1055"/>
      <c r="WAR91" s="1055"/>
      <c r="WAS91" s="1055"/>
      <c r="WAT91" s="1055"/>
      <c r="WAU91" s="1055"/>
      <c r="WAV91" s="1055"/>
      <c r="WAW91" s="1055"/>
      <c r="WAX91" s="1055"/>
      <c r="WAY91" s="1055"/>
      <c r="WAZ91" s="1055"/>
      <c r="WBA91" s="1055"/>
      <c r="WBB91" s="1055"/>
      <c r="WBC91" s="1055"/>
      <c r="WBD91" s="1055"/>
      <c r="WBE91" s="1055"/>
      <c r="WBF91" s="1055"/>
      <c r="WBG91" s="1055"/>
      <c r="WBH91" s="1055"/>
      <c r="WBI91" s="1055"/>
      <c r="WBJ91" s="1055"/>
      <c r="WBK91" s="1055"/>
      <c r="WBL91" s="1055"/>
      <c r="WBM91" s="1055"/>
      <c r="WBN91" s="1055"/>
      <c r="WBO91" s="1055"/>
      <c r="WBP91" s="1055"/>
      <c r="WBQ91" s="1055"/>
      <c r="WBR91" s="1055"/>
      <c r="WBS91" s="1055"/>
      <c r="WBT91" s="1055"/>
      <c r="WBU91" s="1055"/>
      <c r="WBV91" s="1055"/>
      <c r="WBW91" s="1055"/>
      <c r="WBX91" s="1055"/>
      <c r="WBY91" s="1055"/>
      <c r="WBZ91" s="1055"/>
      <c r="WCA91" s="1055"/>
      <c r="WCB91" s="1055"/>
      <c r="WCC91" s="1055"/>
      <c r="WCD91" s="1055"/>
      <c r="WCE91" s="1055"/>
      <c r="WCF91" s="1055"/>
      <c r="WCG91" s="1055"/>
      <c r="WCH91" s="1055"/>
      <c r="WCI91" s="1055"/>
      <c r="WCJ91" s="1055"/>
      <c r="WCK91" s="1055"/>
      <c r="WCL91" s="1055"/>
      <c r="WCM91" s="1055"/>
      <c r="WCN91" s="1055"/>
      <c r="WCO91" s="1055"/>
      <c r="WCP91" s="1055"/>
      <c r="WCQ91" s="1055"/>
      <c r="WCR91" s="1055"/>
      <c r="WCS91" s="1055"/>
      <c r="WCT91" s="1055"/>
      <c r="WCU91" s="1055"/>
      <c r="WCV91" s="1055"/>
      <c r="WCW91" s="1055"/>
      <c r="WCX91" s="1055"/>
      <c r="WCY91" s="1055"/>
      <c r="WCZ91" s="1055"/>
      <c r="WDA91" s="1055"/>
      <c r="WDB91" s="1055"/>
      <c r="WDC91" s="1055"/>
      <c r="WDD91" s="1055"/>
      <c r="WDE91" s="1055"/>
      <c r="WDF91" s="1055"/>
      <c r="WDG91" s="1055"/>
      <c r="WDH91" s="1055"/>
      <c r="WDI91" s="1055"/>
      <c r="WDJ91" s="1055"/>
      <c r="WDK91" s="1055"/>
      <c r="WDL91" s="1055"/>
      <c r="WDM91" s="1055"/>
      <c r="WDN91" s="1055"/>
      <c r="WDO91" s="1055"/>
      <c r="WDP91" s="1055"/>
      <c r="WDQ91" s="1055"/>
      <c r="WDR91" s="1055"/>
      <c r="WDS91" s="1055"/>
      <c r="WDT91" s="1055"/>
      <c r="WDU91" s="1055"/>
      <c r="WDV91" s="1055"/>
      <c r="WDW91" s="1055"/>
      <c r="WDX91" s="1055"/>
      <c r="WDY91" s="1055"/>
      <c r="WDZ91" s="1055"/>
      <c r="WEA91" s="1055"/>
      <c r="WEB91" s="1055"/>
      <c r="WEC91" s="1055"/>
      <c r="WED91" s="1055"/>
      <c r="WEE91" s="1055"/>
      <c r="WEF91" s="1055"/>
      <c r="WEG91" s="1055"/>
      <c r="WEH91" s="1055"/>
      <c r="WEI91" s="1055"/>
      <c r="WEJ91" s="1055"/>
      <c r="WEK91" s="1055"/>
      <c r="WEL91" s="1055"/>
      <c r="WEM91" s="1055"/>
      <c r="WEN91" s="1055"/>
      <c r="WEO91" s="1055"/>
      <c r="WEP91" s="1055"/>
      <c r="WEQ91" s="1055"/>
      <c r="WER91" s="1055"/>
      <c r="WES91" s="1055"/>
      <c r="WET91" s="1055"/>
      <c r="WEU91" s="1055"/>
      <c r="WEV91" s="1055"/>
      <c r="WEW91" s="1055"/>
      <c r="WEX91" s="1055"/>
      <c r="WEY91" s="1055"/>
      <c r="WEZ91" s="1055"/>
      <c r="WFA91" s="1055"/>
      <c r="WFB91" s="1055"/>
      <c r="WFC91" s="1055"/>
      <c r="WFD91" s="1055"/>
      <c r="WFE91" s="1055"/>
      <c r="WFF91" s="1055"/>
      <c r="WFG91" s="1055"/>
      <c r="WFH91" s="1055"/>
      <c r="WFI91" s="1055"/>
      <c r="WFJ91" s="1055"/>
      <c r="WFK91" s="1055"/>
      <c r="WFL91" s="1055"/>
      <c r="WFM91" s="1055"/>
      <c r="WFN91" s="1055"/>
      <c r="WFO91" s="1055"/>
      <c r="WFP91" s="1055"/>
      <c r="WFQ91" s="1055"/>
      <c r="WFR91" s="1055"/>
      <c r="WFS91" s="1055"/>
      <c r="WFT91" s="1055"/>
      <c r="WFU91" s="1055"/>
      <c r="WFV91" s="1055"/>
      <c r="WFW91" s="1055"/>
      <c r="WFX91" s="1055"/>
      <c r="WFY91" s="1055"/>
      <c r="WFZ91" s="1055"/>
      <c r="WGA91" s="1055"/>
      <c r="WGB91" s="1055"/>
      <c r="WGC91" s="1055"/>
      <c r="WGD91" s="1055"/>
      <c r="WGE91" s="1055"/>
      <c r="WGF91" s="1055"/>
      <c r="WGG91" s="1055"/>
      <c r="WGH91" s="1055"/>
      <c r="WGI91" s="1055"/>
      <c r="WGJ91" s="1055"/>
      <c r="WGK91" s="1055"/>
      <c r="WGL91" s="1055"/>
      <c r="WGM91" s="1055"/>
      <c r="WGN91" s="1055"/>
      <c r="WGO91" s="1055"/>
      <c r="WGP91" s="1055"/>
      <c r="WGQ91" s="1055"/>
      <c r="WGR91" s="1055"/>
      <c r="WGS91" s="1055"/>
      <c r="WGT91" s="1055"/>
      <c r="WGU91" s="1055"/>
      <c r="WGV91" s="1055"/>
      <c r="WGW91" s="1055"/>
      <c r="WGX91" s="1055"/>
      <c r="WGY91" s="1055"/>
      <c r="WGZ91" s="1055"/>
      <c r="WHA91" s="1055"/>
      <c r="WHB91" s="1055"/>
      <c r="WHC91" s="1055"/>
      <c r="WHD91" s="1055"/>
      <c r="WHE91" s="1055"/>
      <c r="WHF91" s="1055"/>
      <c r="WHG91" s="1055"/>
      <c r="WHH91" s="1055"/>
      <c r="WHI91" s="1055"/>
      <c r="WHJ91" s="1055"/>
      <c r="WHK91" s="1055"/>
      <c r="WHL91" s="1055"/>
      <c r="WHM91" s="1055"/>
      <c r="WHN91" s="1055"/>
      <c r="WHO91" s="1055"/>
      <c r="WHP91" s="1055"/>
      <c r="WHQ91" s="1055"/>
      <c r="WHR91" s="1055"/>
      <c r="WHS91" s="1055"/>
      <c r="WHT91" s="1055"/>
      <c r="WHU91" s="1055"/>
      <c r="WHV91" s="1055"/>
      <c r="WHW91" s="1055"/>
      <c r="WHX91" s="1055"/>
      <c r="WHY91" s="1055"/>
      <c r="WHZ91" s="1055"/>
      <c r="WIA91" s="1055"/>
      <c r="WIB91" s="1055"/>
      <c r="WIC91" s="1055"/>
      <c r="WID91" s="1055"/>
      <c r="WIE91" s="1055"/>
      <c r="WIF91" s="1055"/>
      <c r="WIG91" s="1055"/>
      <c r="WIH91" s="1055"/>
      <c r="WII91" s="1055"/>
      <c r="WIJ91" s="1055"/>
      <c r="WIK91" s="1055"/>
      <c r="WIL91" s="1055"/>
      <c r="WIM91" s="1055"/>
      <c r="WIN91" s="1055"/>
      <c r="WIO91" s="1055"/>
      <c r="WIP91" s="1055"/>
      <c r="WIQ91" s="1055"/>
      <c r="WIR91" s="1055"/>
      <c r="WIS91" s="1055"/>
      <c r="WIT91" s="1055"/>
      <c r="WIU91" s="1055"/>
      <c r="WIV91" s="1055"/>
      <c r="WIW91" s="1055"/>
      <c r="WIX91" s="1055"/>
      <c r="WIY91" s="1055"/>
      <c r="WIZ91" s="1055"/>
      <c r="WJA91" s="1055"/>
      <c r="WJB91" s="1055"/>
      <c r="WJC91" s="1055"/>
      <c r="WJD91" s="1055"/>
      <c r="WJE91" s="1055"/>
      <c r="WJF91" s="1055"/>
      <c r="WJG91" s="1055"/>
      <c r="WJH91" s="1055"/>
      <c r="WJI91" s="1055"/>
      <c r="WJJ91" s="1055"/>
      <c r="WJK91" s="1055"/>
      <c r="WJL91" s="1055"/>
      <c r="WJM91" s="1055"/>
      <c r="WJN91" s="1055"/>
      <c r="WJO91" s="1055"/>
      <c r="WJP91" s="1055"/>
      <c r="WJQ91" s="1055"/>
      <c r="WJR91" s="1055"/>
      <c r="WJS91" s="1055"/>
      <c r="WJT91" s="1055"/>
      <c r="WJU91" s="1055"/>
      <c r="WJV91" s="1055"/>
      <c r="WJW91" s="1055"/>
      <c r="WJX91" s="1055"/>
      <c r="WJY91" s="1055"/>
      <c r="WJZ91" s="1055"/>
      <c r="WKA91" s="1055"/>
      <c r="WKB91" s="1055"/>
      <c r="WKC91" s="1055"/>
      <c r="WKD91" s="1055"/>
      <c r="WKE91" s="1055"/>
      <c r="WKF91" s="1055"/>
      <c r="WKG91" s="1055"/>
      <c r="WKH91" s="1055"/>
      <c r="WKI91" s="1055"/>
      <c r="WKJ91" s="1055"/>
      <c r="WKK91" s="1055"/>
      <c r="WKL91" s="1055"/>
      <c r="WKM91" s="1055"/>
      <c r="WKN91" s="1055"/>
      <c r="WKO91" s="1055"/>
      <c r="WKP91" s="1055"/>
      <c r="WKQ91" s="1055"/>
      <c r="WKR91" s="1055"/>
      <c r="WKS91" s="1055"/>
      <c r="WKT91" s="1055"/>
      <c r="WKU91" s="1055"/>
      <c r="WKV91" s="1055"/>
      <c r="WKW91" s="1055"/>
      <c r="WKX91" s="1055"/>
      <c r="WKY91" s="1055"/>
      <c r="WKZ91" s="1055"/>
      <c r="WLA91" s="1055"/>
      <c r="WLB91" s="1055"/>
      <c r="WLC91" s="1055"/>
      <c r="WLD91" s="1055"/>
      <c r="WLE91" s="1055"/>
      <c r="WLF91" s="1055"/>
      <c r="WLG91" s="1055"/>
      <c r="WLH91" s="1055"/>
      <c r="WLI91" s="1055"/>
      <c r="WLJ91" s="1055"/>
      <c r="WLK91" s="1055"/>
      <c r="WLL91" s="1055"/>
      <c r="WLM91" s="1055"/>
      <c r="WLN91" s="1055"/>
      <c r="WLO91" s="1055"/>
      <c r="WLP91" s="1055"/>
      <c r="WLQ91" s="1055"/>
      <c r="WLR91" s="1055"/>
      <c r="WLS91" s="1055"/>
      <c r="WLT91" s="1055"/>
      <c r="WLU91" s="1055"/>
      <c r="WLV91" s="1055"/>
      <c r="WLW91" s="1055"/>
      <c r="WLX91" s="1055"/>
      <c r="WLY91" s="1055"/>
      <c r="WLZ91" s="1055"/>
      <c r="WMA91" s="1055"/>
      <c r="WMB91" s="1055"/>
      <c r="WMC91" s="1055"/>
      <c r="WMD91" s="1055"/>
      <c r="WME91" s="1055"/>
      <c r="WMF91" s="1055"/>
      <c r="WMG91" s="1055"/>
      <c r="WMH91" s="1055"/>
      <c r="WMI91" s="1055"/>
      <c r="WMJ91" s="1055"/>
      <c r="WMK91" s="1055"/>
      <c r="WML91" s="1055"/>
      <c r="WMM91" s="1055"/>
      <c r="WMN91" s="1055"/>
      <c r="WMO91" s="1055"/>
      <c r="WMP91" s="1055"/>
      <c r="WMQ91" s="1055"/>
      <c r="WMR91" s="1055"/>
      <c r="WMS91" s="1055"/>
      <c r="WMT91" s="1055"/>
      <c r="WMU91" s="1055"/>
      <c r="WMV91" s="1055"/>
      <c r="WMW91" s="1055"/>
      <c r="WMX91" s="1055"/>
      <c r="WMY91" s="1055"/>
      <c r="WMZ91" s="1055"/>
      <c r="WNA91" s="1055"/>
      <c r="WNB91" s="1055"/>
      <c r="WNC91" s="1055"/>
      <c r="WND91" s="1055"/>
      <c r="WNE91" s="1055"/>
      <c r="WNF91" s="1055"/>
      <c r="WNG91" s="1055"/>
      <c r="WNH91" s="1055"/>
      <c r="WNI91" s="1055"/>
      <c r="WNJ91" s="1055"/>
      <c r="WNK91" s="1055"/>
      <c r="WNL91" s="1055"/>
      <c r="WNM91" s="1055"/>
      <c r="WNN91" s="1055"/>
      <c r="WNO91" s="1055"/>
      <c r="WNP91" s="1055"/>
      <c r="WNQ91" s="1055"/>
      <c r="WNR91" s="1055"/>
      <c r="WNS91" s="1055"/>
      <c r="WNT91" s="1055"/>
      <c r="WNU91" s="1055"/>
      <c r="WNV91" s="1055"/>
      <c r="WNW91" s="1055"/>
      <c r="WNX91" s="1055"/>
      <c r="WNY91" s="1055"/>
      <c r="WNZ91" s="1055"/>
      <c r="WOA91" s="1055"/>
      <c r="WOB91" s="1055"/>
      <c r="WOC91" s="1055"/>
      <c r="WOD91" s="1055"/>
      <c r="WOE91" s="1055"/>
      <c r="WOF91" s="1055"/>
      <c r="WOG91" s="1055"/>
      <c r="WOH91" s="1055"/>
      <c r="WOI91" s="1055"/>
      <c r="WOJ91" s="1055"/>
      <c r="WOK91" s="1055"/>
      <c r="WOL91" s="1055"/>
      <c r="WOM91" s="1055"/>
      <c r="WON91" s="1055"/>
      <c r="WOO91" s="1055"/>
      <c r="WOP91" s="1055"/>
      <c r="WOQ91" s="1055"/>
      <c r="WOR91" s="1055"/>
      <c r="WOS91" s="1055"/>
      <c r="WOT91" s="1055"/>
      <c r="WOU91" s="1055"/>
      <c r="WOV91" s="1055"/>
      <c r="WOW91" s="1055"/>
      <c r="WOX91" s="1055"/>
      <c r="WOY91" s="1055"/>
      <c r="WOZ91" s="1055"/>
      <c r="WPA91" s="1055"/>
      <c r="WPB91" s="1055"/>
      <c r="WPC91" s="1055"/>
      <c r="WPD91" s="1055"/>
      <c r="WPE91" s="1055"/>
      <c r="WPF91" s="1055"/>
      <c r="WPG91" s="1055"/>
      <c r="WPH91" s="1055"/>
      <c r="WPI91" s="1055"/>
      <c r="WPJ91" s="1055"/>
      <c r="WPK91" s="1055"/>
      <c r="WPL91" s="1055"/>
      <c r="WPM91" s="1055"/>
      <c r="WPN91" s="1055"/>
      <c r="WPO91" s="1055"/>
      <c r="WPP91" s="1055"/>
      <c r="WPQ91" s="1055"/>
      <c r="WPR91" s="1055"/>
      <c r="WPS91" s="1055"/>
      <c r="WPT91" s="1055"/>
      <c r="WPU91" s="1055"/>
      <c r="WPV91" s="1055"/>
      <c r="WPW91" s="1055"/>
      <c r="WPX91" s="1055"/>
      <c r="WPY91" s="1055"/>
      <c r="WPZ91" s="1055"/>
      <c r="WQA91" s="1055"/>
      <c r="WQB91" s="1055"/>
      <c r="WQC91" s="1055"/>
      <c r="WQD91" s="1055"/>
      <c r="WQE91" s="1055"/>
      <c r="WQF91" s="1055"/>
      <c r="WQG91" s="1055"/>
      <c r="WQH91" s="1055"/>
      <c r="WQI91" s="1055"/>
      <c r="WQJ91" s="1055"/>
      <c r="WQK91" s="1055"/>
      <c r="WQL91" s="1055"/>
      <c r="WQM91" s="1055"/>
      <c r="WQN91" s="1055"/>
      <c r="WQO91" s="1055"/>
      <c r="WQP91" s="1055"/>
      <c r="WQQ91" s="1055"/>
      <c r="WQR91" s="1055"/>
      <c r="WQS91" s="1055"/>
      <c r="WQT91" s="1055"/>
      <c r="WQU91" s="1055"/>
      <c r="WQV91" s="1055"/>
      <c r="WQW91" s="1055"/>
      <c r="WQX91" s="1055"/>
      <c r="WQY91" s="1055"/>
      <c r="WQZ91" s="1055"/>
      <c r="WRA91" s="1055"/>
      <c r="WRB91" s="1055"/>
      <c r="WRC91" s="1055"/>
      <c r="WRD91" s="1055"/>
      <c r="WRE91" s="1055"/>
      <c r="WRF91" s="1055"/>
      <c r="WRG91" s="1055"/>
      <c r="WRH91" s="1055"/>
      <c r="WRI91" s="1055"/>
      <c r="WRJ91" s="1055"/>
      <c r="WRK91" s="1055"/>
      <c r="WRL91" s="1055"/>
      <c r="WRM91" s="1055"/>
      <c r="WRN91" s="1055"/>
      <c r="WRO91" s="1055"/>
      <c r="WRP91" s="1055"/>
      <c r="WRQ91" s="1055"/>
      <c r="WRR91" s="1055"/>
      <c r="WRS91" s="1055"/>
      <c r="WRT91" s="1055"/>
      <c r="WRU91" s="1055"/>
      <c r="WRV91" s="1055"/>
      <c r="WRW91" s="1055"/>
      <c r="WRX91" s="1055"/>
      <c r="WRY91" s="1055"/>
      <c r="WRZ91" s="1055"/>
      <c r="WSA91" s="1055"/>
      <c r="WSB91" s="1055"/>
      <c r="WSC91" s="1055"/>
      <c r="WSD91" s="1055"/>
      <c r="WSE91" s="1055"/>
      <c r="WSF91" s="1055"/>
      <c r="WSG91" s="1055"/>
      <c r="WSH91" s="1055"/>
      <c r="WSI91" s="1055"/>
      <c r="WSJ91" s="1055"/>
      <c r="WSK91" s="1055"/>
      <c r="WSL91" s="1055"/>
      <c r="WSM91" s="1055"/>
      <c r="WSN91" s="1055"/>
      <c r="WSO91" s="1055"/>
      <c r="WSP91" s="1055"/>
      <c r="WSQ91" s="1055"/>
      <c r="WSR91" s="1055"/>
      <c r="WSS91" s="1055"/>
      <c r="WST91" s="1055"/>
      <c r="WSU91" s="1055"/>
      <c r="WSV91" s="1055"/>
      <c r="WSW91" s="1055"/>
      <c r="WSX91" s="1055"/>
      <c r="WSY91" s="1055"/>
      <c r="WSZ91" s="1055"/>
      <c r="WTA91" s="1055"/>
      <c r="WTB91" s="1055"/>
      <c r="WTC91" s="1055"/>
      <c r="WTD91" s="1055"/>
      <c r="WTE91" s="1055"/>
      <c r="WTF91" s="1055"/>
      <c r="WTG91" s="1055"/>
      <c r="WTH91" s="1055"/>
      <c r="WTI91" s="1055"/>
      <c r="WTJ91" s="1055"/>
      <c r="WTK91" s="1055"/>
      <c r="WTL91" s="1055"/>
      <c r="WTM91" s="1055"/>
      <c r="WTN91" s="1055"/>
      <c r="WTO91" s="1055"/>
      <c r="WTP91" s="1055"/>
      <c r="WTQ91" s="1055"/>
      <c r="WTR91" s="1055"/>
      <c r="WTS91" s="1055"/>
      <c r="WTT91" s="1055"/>
      <c r="WTU91" s="1055"/>
      <c r="WTV91" s="1055"/>
      <c r="WTW91" s="1055"/>
      <c r="WTX91" s="1055"/>
      <c r="WTY91" s="1055"/>
      <c r="WTZ91" s="1055"/>
      <c r="WUA91" s="1055"/>
      <c r="WUB91" s="1055"/>
      <c r="WUC91" s="1055"/>
      <c r="WUD91" s="1055"/>
      <c r="WUE91" s="1055"/>
      <c r="WUF91" s="1055"/>
      <c r="WUG91" s="1055"/>
      <c r="WUH91" s="1055"/>
      <c r="WUI91" s="1055"/>
      <c r="WUJ91" s="1055"/>
      <c r="WUK91" s="1055"/>
      <c r="WUL91" s="1055"/>
      <c r="WUM91" s="1055"/>
      <c r="WUN91" s="1055"/>
      <c r="WUO91" s="1055"/>
      <c r="WUP91" s="1055"/>
      <c r="WUQ91" s="1055"/>
      <c r="WUR91" s="1055"/>
      <c r="WUS91" s="1055"/>
      <c r="WUT91" s="1055"/>
      <c r="WUU91" s="1055"/>
      <c r="WUV91" s="1055"/>
      <c r="WUW91" s="1055"/>
      <c r="WUX91" s="1055"/>
      <c r="WUY91" s="1055"/>
      <c r="WUZ91" s="1055"/>
      <c r="WVA91" s="1055"/>
      <c r="WVB91" s="1055"/>
      <c r="WVC91" s="1055"/>
      <c r="WVD91" s="1055"/>
      <c r="WVE91" s="1055"/>
      <c r="WVF91" s="1055"/>
      <c r="WVG91" s="1055"/>
      <c r="WVH91" s="1055"/>
      <c r="WVI91" s="1055"/>
      <c r="WVJ91" s="1055"/>
      <c r="WVK91" s="1055"/>
      <c r="WVL91" s="1055"/>
      <c r="WVM91" s="1055"/>
      <c r="WVN91" s="1055"/>
      <c r="WVO91" s="1055"/>
      <c r="WVP91" s="1055"/>
      <c r="WVQ91" s="1055"/>
      <c r="WVR91" s="1055"/>
      <c r="WVS91" s="1055"/>
      <c r="WVT91" s="1055"/>
      <c r="WVU91" s="1055"/>
      <c r="WVV91" s="1055"/>
      <c r="WVW91" s="1055"/>
      <c r="WVX91" s="1055"/>
      <c r="WVY91" s="1055"/>
      <c r="WVZ91" s="1055"/>
      <c r="WWA91" s="1055"/>
      <c r="WWB91" s="1055"/>
      <c r="WWC91" s="1055"/>
      <c r="WWD91" s="1055"/>
      <c r="WWE91" s="1055"/>
      <c r="WWF91" s="1055"/>
      <c r="WWG91" s="1055"/>
      <c r="WWH91" s="1055"/>
      <c r="WWI91" s="1055"/>
      <c r="WWJ91" s="1055"/>
      <c r="WWK91" s="1055"/>
      <c r="WWL91" s="1055"/>
      <c r="WWM91" s="1055"/>
      <c r="WWN91" s="1055"/>
      <c r="WWO91" s="1055"/>
      <c r="WWP91" s="1055"/>
      <c r="WWQ91" s="1055"/>
      <c r="WWR91" s="1055"/>
      <c r="WWS91" s="1055"/>
      <c r="WWT91" s="1055"/>
      <c r="WWU91" s="1055"/>
      <c r="WWV91" s="1055"/>
      <c r="WWW91" s="1055"/>
      <c r="WWX91" s="1055"/>
      <c r="WWY91" s="1055"/>
      <c r="WWZ91" s="1055"/>
      <c r="WXA91" s="1055"/>
      <c r="WXB91" s="1055"/>
      <c r="WXC91" s="1055"/>
      <c r="WXD91" s="1055"/>
      <c r="WXE91" s="1055"/>
      <c r="WXF91" s="1055"/>
      <c r="WXG91" s="1055"/>
      <c r="WXH91" s="1055"/>
      <c r="WXI91" s="1055"/>
      <c r="WXJ91" s="1055"/>
      <c r="WXK91" s="1055"/>
      <c r="WXL91" s="1055"/>
      <c r="WXM91" s="1055"/>
      <c r="WXN91" s="1055"/>
      <c r="WXO91" s="1055"/>
      <c r="WXP91" s="1055"/>
      <c r="WXQ91" s="1055"/>
      <c r="WXR91" s="1055"/>
      <c r="WXS91" s="1055"/>
      <c r="WXT91" s="1055"/>
      <c r="WXU91" s="1055"/>
      <c r="WXV91" s="1055"/>
      <c r="WXW91" s="1055"/>
      <c r="WXX91" s="1055"/>
      <c r="WXY91" s="1055"/>
      <c r="WXZ91" s="1055"/>
      <c r="WYA91" s="1055"/>
      <c r="WYB91" s="1055"/>
      <c r="WYC91" s="1055"/>
      <c r="WYD91" s="1055"/>
      <c r="WYE91" s="1055"/>
      <c r="WYF91" s="1055"/>
      <c r="WYG91" s="1055"/>
      <c r="WYH91" s="1055"/>
      <c r="WYI91" s="1055"/>
      <c r="WYJ91" s="1055"/>
      <c r="WYK91" s="1055"/>
      <c r="WYL91" s="1055"/>
      <c r="WYM91" s="1055"/>
      <c r="WYN91" s="1055"/>
      <c r="WYO91" s="1055"/>
      <c r="WYP91" s="1055"/>
      <c r="WYQ91" s="1055"/>
      <c r="WYR91" s="1055"/>
      <c r="WYS91" s="1055"/>
      <c r="WYT91" s="1055"/>
      <c r="WYU91" s="1055"/>
      <c r="WYV91" s="1055"/>
      <c r="WYW91" s="1055"/>
      <c r="WYX91" s="1055"/>
      <c r="WYY91" s="1055"/>
      <c r="WYZ91" s="1055"/>
      <c r="WZA91" s="1055"/>
      <c r="WZB91" s="1055"/>
      <c r="WZC91" s="1055"/>
      <c r="WZD91" s="1055"/>
      <c r="WZE91" s="1055"/>
      <c r="WZF91" s="1055"/>
      <c r="WZG91" s="1055"/>
      <c r="WZH91" s="1055"/>
      <c r="WZI91" s="1055"/>
      <c r="WZJ91" s="1055"/>
      <c r="WZK91" s="1055"/>
      <c r="WZL91" s="1055"/>
      <c r="WZM91" s="1055"/>
      <c r="WZN91" s="1055"/>
      <c r="WZO91" s="1055"/>
      <c r="WZP91" s="1055"/>
      <c r="WZQ91" s="1055"/>
      <c r="WZR91" s="1055"/>
      <c r="WZS91" s="1055"/>
      <c r="WZT91" s="1055"/>
      <c r="WZU91" s="1055"/>
      <c r="WZV91" s="1055"/>
      <c r="WZW91" s="1055"/>
      <c r="WZX91" s="1055"/>
      <c r="WZY91" s="1055"/>
      <c r="WZZ91" s="1055"/>
      <c r="XAA91" s="1055"/>
      <c r="XAB91" s="1055"/>
      <c r="XAC91" s="1055"/>
      <c r="XAD91" s="1055"/>
      <c r="XAE91" s="1055"/>
      <c r="XAF91" s="1055"/>
      <c r="XAG91" s="1055"/>
      <c r="XAH91" s="1055"/>
      <c r="XAI91" s="1055"/>
      <c r="XAJ91" s="1055"/>
      <c r="XAK91" s="1055"/>
      <c r="XAL91" s="1055"/>
      <c r="XAM91" s="1055"/>
      <c r="XAN91" s="1055"/>
      <c r="XAO91" s="1055"/>
      <c r="XAP91" s="1055"/>
      <c r="XAQ91" s="1055"/>
      <c r="XAR91" s="1055"/>
      <c r="XAS91" s="1055"/>
      <c r="XAT91" s="1055"/>
      <c r="XAU91" s="1055"/>
      <c r="XAV91" s="1055"/>
      <c r="XAW91" s="1055"/>
      <c r="XAX91" s="1055"/>
      <c r="XAY91" s="1055"/>
      <c r="XAZ91" s="1055"/>
      <c r="XBA91" s="1055"/>
      <c r="XBB91" s="1055"/>
      <c r="XBC91" s="1055"/>
      <c r="XBD91" s="1055"/>
      <c r="XBE91" s="1055"/>
      <c r="XBF91" s="1055"/>
      <c r="XBG91" s="1055"/>
      <c r="XBH91" s="1055"/>
      <c r="XBI91" s="1055"/>
      <c r="XBJ91" s="1055"/>
      <c r="XBK91" s="1055"/>
      <c r="XBL91" s="1055"/>
      <c r="XBM91" s="1055"/>
      <c r="XBN91" s="1055"/>
      <c r="XBO91" s="1055"/>
      <c r="XBP91" s="1055"/>
      <c r="XBQ91" s="1055"/>
      <c r="XBR91" s="1055"/>
      <c r="XBS91" s="1055"/>
      <c r="XBT91" s="1055"/>
      <c r="XBU91" s="1055"/>
      <c r="XBV91" s="1055"/>
      <c r="XBW91" s="1055"/>
      <c r="XBX91" s="1055"/>
      <c r="XBY91" s="1055"/>
      <c r="XBZ91" s="1055"/>
      <c r="XCA91" s="1055"/>
      <c r="XCB91" s="1055"/>
      <c r="XCC91" s="1055"/>
      <c r="XCD91" s="1055"/>
      <c r="XCE91" s="1055"/>
      <c r="XCF91" s="1055"/>
      <c r="XCG91" s="1055"/>
      <c r="XCH91" s="1055"/>
      <c r="XCI91" s="1055"/>
      <c r="XCJ91" s="1055"/>
      <c r="XCK91" s="1055"/>
      <c r="XCL91" s="1055"/>
      <c r="XCM91" s="1055"/>
      <c r="XCN91" s="1055"/>
      <c r="XCO91" s="1055"/>
      <c r="XCP91" s="1055"/>
      <c r="XCQ91" s="1055"/>
      <c r="XCR91" s="1055"/>
      <c r="XCS91" s="1055"/>
      <c r="XCT91" s="1055"/>
      <c r="XCU91" s="1055"/>
      <c r="XCV91" s="1055"/>
      <c r="XCW91" s="1055"/>
      <c r="XCX91" s="1055"/>
      <c r="XCY91" s="1055"/>
      <c r="XCZ91" s="1055"/>
      <c r="XDA91" s="1055"/>
      <c r="XDB91" s="1055"/>
      <c r="XDC91" s="1055"/>
      <c r="XDD91" s="1055"/>
      <c r="XDE91" s="1055"/>
      <c r="XDF91" s="1055"/>
      <c r="XDG91" s="1055"/>
      <c r="XDH91" s="1055"/>
      <c r="XDI91" s="1055"/>
      <c r="XDJ91" s="1055"/>
      <c r="XDK91" s="1055"/>
      <c r="XDL91" s="1055"/>
      <c r="XDM91" s="1055"/>
      <c r="XDN91" s="1055"/>
      <c r="XDO91" s="1055"/>
      <c r="XDP91" s="1055"/>
      <c r="XDQ91" s="1055"/>
      <c r="XDR91" s="1055"/>
      <c r="XDS91" s="1055"/>
      <c r="XDT91" s="1055"/>
      <c r="XDU91" s="1055"/>
      <c r="XDV91" s="1055"/>
      <c r="XDW91" s="1055"/>
      <c r="XDX91" s="1055"/>
      <c r="XDY91" s="1055"/>
      <c r="XDZ91" s="1055"/>
      <c r="XEA91" s="1055"/>
      <c r="XEB91" s="1055"/>
      <c r="XEC91" s="1055"/>
      <c r="XED91" s="1055"/>
      <c r="XEE91" s="1055"/>
      <c r="XEF91" s="1055"/>
      <c r="XEG91" s="1055"/>
      <c r="XEH91" s="1055"/>
      <c r="XEI91" s="1055"/>
      <c r="XEJ91" s="1055"/>
      <c r="XEK91" s="1055"/>
      <c r="XEL91" s="1055"/>
      <c r="XEM91" s="1055"/>
      <c r="XEN91" s="1055"/>
      <c r="XEO91" s="1055"/>
      <c r="XEP91" s="1055"/>
      <c r="XEQ91" s="1055"/>
      <c r="XER91" s="1055"/>
      <c r="XES91" s="1055"/>
      <c r="XET91" s="1055"/>
      <c r="XEU91" s="1055"/>
      <c r="XEV91" s="1055"/>
      <c r="XEW91" s="1055"/>
      <c r="XEX91" s="1055"/>
      <c r="XEY91" s="1055"/>
      <c r="XEZ91" s="1055"/>
      <c r="XFA91" s="1055"/>
      <c r="XFB91" s="1055"/>
      <c r="XFC91" s="1055"/>
      <c r="XFD91" s="1055"/>
    </row>
    <row r="92" spans="1:16384" s="1078" customFormat="1" ht="24.95" customHeight="1">
      <c r="A92" s="147">
        <v>8</v>
      </c>
      <c r="B92" s="103" t="s">
        <v>4193</v>
      </c>
      <c r="C92" s="103" t="s">
        <v>4194</v>
      </c>
      <c r="D92" s="103" t="s">
        <v>31</v>
      </c>
      <c r="E92" s="103">
        <v>329</v>
      </c>
      <c r="F92" s="103"/>
      <c r="G92" s="103" t="s">
        <v>32</v>
      </c>
      <c r="H92" s="103" t="s">
        <v>33</v>
      </c>
      <c r="I92" s="103"/>
      <c r="J92" s="103" t="s">
        <v>2186</v>
      </c>
      <c r="K92" s="103" t="s">
        <v>4195</v>
      </c>
      <c r="L92" s="103">
        <v>4852.75</v>
      </c>
      <c r="M92" s="103">
        <v>3041.07</v>
      </c>
      <c r="N92" s="103">
        <v>2017.11</v>
      </c>
      <c r="O92" s="1834" t="s">
        <v>4196</v>
      </c>
      <c r="P92" s="168" t="s">
        <v>4197</v>
      </c>
      <c r="Q92" s="1077">
        <v>18935151265</v>
      </c>
      <c r="R92" s="168" t="s">
        <v>4198</v>
      </c>
      <c r="S92" s="168" t="s">
        <v>4043</v>
      </c>
      <c r="T92" s="125"/>
    </row>
    <row r="93" spans="1:16384" s="1078" customFormat="1" ht="24.95" customHeight="1">
      <c r="A93" s="147">
        <v>9</v>
      </c>
      <c r="B93" s="103" t="s">
        <v>4199</v>
      </c>
      <c r="C93" s="103"/>
      <c r="D93" s="103" t="s">
        <v>31</v>
      </c>
      <c r="E93" s="103">
        <v>320</v>
      </c>
      <c r="F93" s="103"/>
      <c r="G93" s="103" t="s">
        <v>32</v>
      </c>
      <c r="H93" s="103" t="s">
        <v>33</v>
      </c>
      <c r="I93" s="103"/>
      <c r="J93" s="103"/>
      <c r="K93" s="103"/>
      <c r="L93" s="103">
        <v>3600</v>
      </c>
      <c r="M93" s="103">
        <v>2256</v>
      </c>
      <c r="N93" s="103">
        <v>2017.11</v>
      </c>
      <c r="O93" s="1835"/>
      <c r="P93" s="168" t="s">
        <v>4197</v>
      </c>
      <c r="Q93" s="1077">
        <v>18935151265</v>
      </c>
      <c r="R93" s="168" t="s">
        <v>4198</v>
      </c>
      <c r="S93" s="168" t="s">
        <v>4043</v>
      </c>
      <c r="T93" s="125"/>
    </row>
    <row r="94" spans="1:16384" s="1078" customFormat="1" ht="24.95" customHeight="1">
      <c r="A94" s="147">
        <v>10</v>
      </c>
      <c r="B94" s="103" t="s">
        <v>4200</v>
      </c>
      <c r="C94" s="103"/>
      <c r="D94" s="103" t="s">
        <v>31</v>
      </c>
      <c r="E94" s="103">
        <v>7</v>
      </c>
      <c r="F94" s="103"/>
      <c r="G94" s="103" t="s">
        <v>32</v>
      </c>
      <c r="H94" s="103" t="s">
        <v>33</v>
      </c>
      <c r="I94" s="103"/>
      <c r="J94" s="103"/>
      <c r="K94" s="103"/>
      <c r="L94" s="103">
        <v>103.25</v>
      </c>
      <c r="M94" s="103">
        <v>64.69</v>
      </c>
      <c r="N94" s="103">
        <v>2017.11</v>
      </c>
      <c r="O94" s="1835"/>
      <c r="P94" s="168" t="s">
        <v>4197</v>
      </c>
      <c r="Q94" s="1077">
        <v>18935151265</v>
      </c>
      <c r="R94" s="168" t="s">
        <v>4198</v>
      </c>
      <c r="S94" s="168" t="s">
        <v>4043</v>
      </c>
      <c r="T94" s="125"/>
    </row>
    <row r="95" spans="1:16384" s="1078" customFormat="1" ht="24.95" customHeight="1">
      <c r="A95" s="147">
        <v>11</v>
      </c>
      <c r="B95" s="103" t="s">
        <v>4201</v>
      </c>
      <c r="C95" s="103"/>
      <c r="D95" s="103" t="s">
        <v>31</v>
      </c>
      <c r="E95" s="103">
        <v>55</v>
      </c>
      <c r="F95" s="103"/>
      <c r="G95" s="103" t="s">
        <v>32</v>
      </c>
      <c r="H95" s="103" t="s">
        <v>33</v>
      </c>
      <c r="I95" s="103"/>
      <c r="J95" s="103"/>
      <c r="K95" s="103"/>
      <c r="L95" s="103">
        <v>9625</v>
      </c>
      <c r="M95" s="103">
        <v>6031.64</v>
      </c>
      <c r="N95" s="103">
        <v>2017.11</v>
      </c>
      <c r="O95" s="1836"/>
      <c r="P95" s="168" t="s">
        <v>4197</v>
      </c>
      <c r="Q95" s="1077">
        <v>18935151265</v>
      </c>
      <c r="R95" s="168" t="s">
        <v>4198</v>
      </c>
      <c r="S95" s="168" t="s">
        <v>4043</v>
      </c>
      <c r="T95" s="125"/>
    </row>
    <row r="96" spans="1:16384" s="1078" customFormat="1" ht="24.95" customHeight="1">
      <c r="A96" s="147">
        <v>12</v>
      </c>
      <c r="B96" s="103" t="s">
        <v>762</v>
      </c>
      <c r="C96" s="103" t="s">
        <v>4202</v>
      </c>
      <c r="D96" s="103" t="s">
        <v>62</v>
      </c>
      <c r="E96" s="103"/>
      <c r="F96" s="103">
        <v>0.54800000000000004</v>
      </c>
      <c r="G96" s="103" t="s">
        <v>32</v>
      </c>
      <c r="H96" s="103" t="s">
        <v>33</v>
      </c>
      <c r="I96" s="103"/>
      <c r="J96" s="103" t="s">
        <v>2186</v>
      </c>
      <c r="K96" s="103" t="s">
        <v>4203</v>
      </c>
      <c r="L96" s="103">
        <v>2794.8</v>
      </c>
      <c r="M96" s="103">
        <v>2550.2399999999998</v>
      </c>
      <c r="N96" s="103" t="s">
        <v>3706</v>
      </c>
      <c r="O96" s="1834" t="s">
        <v>4196</v>
      </c>
      <c r="P96" s="168" t="s">
        <v>4197</v>
      </c>
      <c r="Q96" s="1077">
        <v>18935151265</v>
      </c>
      <c r="R96" s="168" t="s">
        <v>4198</v>
      </c>
      <c r="S96" s="168" t="s">
        <v>4043</v>
      </c>
      <c r="T96" s="125"/>
    </row>
    <row r="97" spans="1:20" s="1078" customFormat="1" ht="24.95" customHeight="1">
      <c r="A97" s="147">
        <v>13</v>
      </c>
      <c r="B97" s="103" t="s">
        <v>762</v>
      </c>
      <c r="C97" s="103" t="s">
        <v>4204</v>
      </c>
      <c r="D97" s="103" t="s">
        <v>62</v>
      </c>
      <c r="E97" s="103"/>
      <c r="F97" s="103">
        <v>3.45</v>
      </c>
      <c r="G97" s="103" t="s">
        <v>32</v>
      </c>
      <c r="H97" s="103" t="s">
        <v>33</v>
      </c>
      <c r="I97" s="103"/>
      <c r="J97" s="103"/>
      <c r="K97" s="103"/>
      <c r="L97" s="103">
        <v>17595</v>
      </c>
      <c r="M97" s="103">
        <v>16055.43</v>
      </c>
      <c r="N97" s="103" t="s">
        <v>3706</v>
      </c>
      <c r="O97" s="1835"/>
      <c r="P97" s="168" t="s">
        <v>4197</v>
      </c>
      <c r="Q97" s="1077">
        <v>18935151265</v>
      </c>
      <c r="R97" s="168" t="s">
        <v>4198</v>
      </c>
      <c r="S97" s="168" t="s">
        <v>4043</v>
      </c>
      <c r="T97" s="125"/>
    </row>
    <row r="98" spans="1:20" s="1078" customFormat="1" ht="24.95" customHeight="1">
      <c r="A98" s="147">
        <v>14</v>
      </c>
      <c r="B98" s="103" t="s">
        <v>4205</v>
      </c>
      <c r="C98" s="103" t="s">
        <v>4206</v>
      </c>
      <c r="D98" s="103" t="s">
        <v>62</v>
      </c>
      <c r="E98" s="103"/>
      <c r="F98" s="103">
        <v>5.1999999999999998E-2</v>
      </c>
      <c r="G98" s="103" t="s">
        <v>32</v>
      </c>
      <c r="H98" s="103" t="s">
        <v>33</v>
      </c>
      <c r="I98" s="103"/>
      <c r="J98" s="103"/>
      <c r="K98" s="103"/>
      <c r="L98" s="103">
        <v>270.39999999999998</v>
      </c>
      <c r="M98" s="103">
        <v>246.73</v>
      </c>
      <c r="N98" s="103" t="s">
        <v>3706</v>
      </c>
      <c r="O98" s="1835"/>
      <c r="P98" s="168" t="s">
        <v>4197</v>
      </c>
      <c r="Q98" s="1077">
        <v>18935151265</v>
      </c>
      <c r="R98" s="168" t="s">
        <v>4198</v>
      </c>
      <c r="S98" s="168" t="s">
        <v>4043</v>
      </c>
      <c r="T98" s="125"/>
    </row>
    <row r="99" spans="1:20" s="1078" customFormat="1" ht="24.95" customHeight="1">
      <c r="A99" s="147">
        <v>15</v>
      </c>
      <c r="B99" s="103" t="s">
        <v>4207</v>
      </c>
      <c r="C99" s="103" t="s">
        <v>4208</v>
      </c>
      <c r="D99" s="103" t="s">
        <v>161</v>
      </c>
      <c r="E99" s="103"/>
      <c r="F99" s="103">
        <v>13.92</v>
      </c>
      <c r="G99" s="103" t="s">
        <v>32</v>
      </c>
      <c r="H99" s="103" t="s">
        <v>33</v>
      </c>
      <c r="I99" s="103"/>
      <c r="J99" s="103"/>
      <c r="K99" s="103"/>
      <c r="L99" s="103">
        <v>139.19999999999999</v>
      </c>
      <c r="M99" s="103">
        <v>127.02</v>
      </c>
      <c r="N99" s="103" t="s">
        <v>3706</v>
      </c>
      <c r="O99" s="1835"/>
      <c r="P99" s="168" t="s">
        <v>4197</v>
      </c>
      <c r="Q99" s="1077">
        <v>18935151265</v>
      </c>
      <c r="R99" s="168" t="s">
        <v>4198</v>
      </c>
      <c r="S99" s="168" t="s">
        <v>4043</v>
      </c>
      <c r="T99" s="125"/>
    </row>
    <row r="100" spans="1:20" s="1078" customFormat="1" ht="24.95" customHeight="1">
      <c r="A100" s="147">
        <v>16</v>
      </c>
      <c r="B100" s="103" t="s">
        <v>60</v>
      </c>
      <c r="C100" s="103" t="s">
        <v>4209</v>
      </c>
      <c r="D100" s="103" t="s">
        <v>2084</v>
      </c>
      <c r="E100" s="103"/>
      <c r="F100" s="103">
        <v>54.84</v>
      </c>
      <c r="G100" s="103" t="s">
        <v>32</v>
      </c>
      <c r="H100" s="103" t="s">
        <v>33</v>
      </c>
      <c r="I100" s="103" t="s">
        <v>4210</v>
      </c>
      <c r="J100" s="103" t="s">
        <v>4211</v>
      </c>
      <c r="K100" s="103" t="s">
        <v>3712</v>
      </c>
      <c r="L100" s="103">
        <v>335719.84649999999</v>
      </c>
      <c r="M100" s="103">
        <v>100715.7265</v>
      </c>
      <c r="N100" s="103">
        <v>2018.12</v>
      </c>
      <c r="O100" s="1055" t="s">
        <v>4212</v>
      </c>
      <c r="P100" s="1053" t="s">
        <v>4213</v>
      </c>
      <c r="Q100" s="1055">
        <v>18235424112</v>
      </c>
      <c r="R100" s="1079" t="s">
        <v>1813</v>
      </c>
      <c r="S100" s="125" t="s">
        <v>4043</v>
      </c>
      <c r="T100" s="125"/>
    </row>
    <row r="101" spans="1:20" s="1086" customFormat="1" ht="24.95" customHeight="1">
      <c r="A101" s="1080">
        <v>3</v>
      </c>
      <c r="B101" s="1081" t="s">
        <v>134</v>
      </c>
      <c r="C101" s="1081"/>
      <c r="D101" s="1081"/>
      <c r="E101" s="1082"/>
      <c r="F101" s="1082"/>
      <c r="G101" s="1081"/>
      <c r="H101" s="1081"/>
      <c r="I101" s="1080"/>
      <c r="J101" s="1081"/>
      <c r="K101" s="1081"/>
      <c r="L101" s="1081"/>
      <c r="M101" s="168"/>
      <c r="N101" s="1081"/>
      <c r="O101" s="1081"/>
      <c r="P101" s="1083"/>
      <c r="Q101" s="1081"/>
      <c r="R101" s="1081"/>
      <c r="S101" s="1084"/>
      <c r="T101" s="1085"/>
    </row>
    <row r="102" spans="1:20" s="1078" customFormat="1" ht="24.95" customHeight="1">
      <c r="A102" s="147">
        <v>1</v>
      </c>
      <c r="B102" s="103" t="s">
        <v>1981</v>
      </c>
      <c r="C102" s="103" t="s">
        <v>4214</v>
      </c>
      <c r="D102" s="103" t="s">
        <v>2084</v>
      </c>
      <c r="E102" s="103"/>
      <c r="F102" s="103">
        <v>84.05</v>
      </c>
      <c r="G102" s="103" t="s">
        <v>32</v>
      </c>
      <c r="H102" s="103" t="s">
        <v>33</v>
      </c>
      <c r="I102" s="103" t="s">
        <v>4215</v>
      </c>
      <c r="J102" s="103" t="s">
        <v>4211</v>
      </c>
      <c r="K102" s="103" t="s">
        <v>3712</v>
      </c>
      <c r="L102" s="103">
        <v>589509.31000000006</v>
      </c>
      <c r="M102" s="103">
        <v>176852.31</v>
      </c>
      <c r="N102" s="103">
        <v>2019.06</v>
      </c>
      <c r="O102" s="1055" t="s">
        <v>4212</v>
      </c>
      <c r="P102" s="1053" t="s">
        <v>4213</v>
      </c>
      <c r="Q102" s="1055">
        <v>18235424112</v>
      </c>
      <c r="R102" s="1079" t="s">
        <v>1813</v>
      </c>
      <c r="S102" s="125" t="s">
        <v>4043</v>
      </c>
      <c r="T102" s="125"/>
    </row>
    <row r="103" spans="1:20" s="1078" customFormat="1" ht="24.95" customHeight="1">
      <c r="A103" s="147">
        <v>2</v>
      </c>
      <c r="B103" s="103" t="s">
        <v>177</v>
      </c>
      <c r="C103" s="103" t="s">
        <v>4216</v>
      </c>
      <c r="D103" s="103" t="s">
        <v>2084</v>
      </c>
      <c r="E103" s="103"/>
      <c r="F103" s="103">
        <v>150.52000000000001</v>
      </c>
      <c r="G103" s="103" t="s">
        <v>32</v>
      </c>
      <c r="H103" s="103" t="s">
        <v>33</v>
      </c>
      <c r="I103" s="103" t="s">
        <v>4215</v>
      </c>
      <c r="J103" s="103" t="s">
        <v>4211</v>
      </c>
      <c r="K103" s="103" t="s">
        <v>3712</v>
      </c>
      <c r="L103" s="103">
        <v>927096.33</v>
      </c>
      <c r="M103" s="103">
        <v>278128.90000000002</v>
      </c>
      <c r="N103" s="103">
        <v>2019.09</v>
      </c>
      <c r="O103" s="1055" t="s">
        <v>4212</v>
      </c>
      <c r="P103" s="1053" t="s">
        <v>4213</v>
      </c>
      <c r="Q103" s="1055">
        <v>18235424112</v>
      </c>
      <c r="R103" s="1079" t="s">
        <v>1813</v>
      </c>
      <c r="S103" s="125" t="s">
        <v>4043</v>
      </c>
      <c r="T103" s="125"/>
    </row>
    <row r="104" spans="1:20" s="1078" customFormat="1" ht="24.95" customHeight="1">
      <c r="A104" s="147">
        <v>3</v>
      </c>
      <c r="B104" s="103" t="s">
        <v>104</v>
      </c>
      <c r="C104" s="103" t="s">
        <v>1036</v>
      </c>
      <c r="D104" s="103" t="s">
        <v>2084</v>
      </c>
      <c r="E104" s="103"/>
      <c r="F104" s="103">
        <v>114.64</v>
      </c>
      <c r="G104" s="103" t="s">
        <v>32</v>
      </c>
      <c r="H104" s="103" t="s">
        <v>33</v>
      </c>
      <c r="I104" s="103" t="s">
        <v>4217</v>
      </c>
      <c r="J104" s="103" t="s">
        <v>4211</v>
      </c>
      <c r="K104" s="103" t="s">
        <v>3712</v>
      </c>
      <c r="L104" s="103">
        <v>797894.4</v>
      </c>
      <c r="M104" s="103">
        <v>239368.4</v>
      </c>
      <c r="N104" s="103">
        <v>2021.06</v>
      </c>
      <c r="O104" s="1055" t="s">
        <v>4212</v>
      </c>
      <c r="P104" s="1053" t="s">
        <v>4213</v>
      </c>
      <c r="Q104" s="1055">
        <v>18235424112</v>
      </c>
      <c r="R104" s="1079" t="s">
        <v>1813</v>
      </c>
      <c r="S104" s="125" t="s">
        <v>4043</v>
      </c>
      <c r="T104" s="125"/>
    </row>
    <row r="105" spans="1:20" s="1056" customFormat="1" ht="24.95" customHeight="1">
      <c r="A105" s="147">
        <v>4</v>
      </c>
      <c r="B105" s="103" t="s">
        <v>134</v>
      </c>
      <c r="C105" s="103" t="s">
        <v>4218</v>
      </c>
      <c r="D105" s="103" t="s">
        <v>79</v>
      </c>
      <c r="E105" s="103">
        <v>30</v>
      </c>
      <c r="F105" s="103">
        <v>27.88</v>
      </c>
      <c r="G105" s="103" t="s">
        <v>32</v>
      </c>
      <c r="H105" s="103" t="s">
        <v>41</v>
      </c>
      <c r="I105" s="103"/>
      <c r="J105" s="103" t="s">
        <v>2413</v>
      </c>
      <c r="K105" s="103" t="s">
        <v>4052</v>
      </c>
      <c r="L105" s="103">
        <v>173776.32</v>
      </c>
      <c r="M105" s="103">
        <v>52132.896000000001</v>
      </c>
      <c r="N105" s="103">
        <v>2020.08</v>
      </c>
      <c r="O105" s="1903" t="s">
        <v>4047</v>
      </c>
      <c r="P105" s="1053" t="s">
        <v>4048</v>
      </c>
      <c r="Q105" s="1055">
        <v>19902766690</v>
      </c>
      <c r="R105" s="1055" t="s">
        <v>4049</v>
      </c>
      <c r="S105" s="125" t="s">
        <v>4043</v>
      </c>
      <c r="T105" s="125"/>
    </row>
    <row r="106" spans="1:20" s="1087" customFormat="1" ht="24.95" customHeight="1">
      <c r="A106" s="147">
        <v>5</v>
      </c>
      <c r="B106" s="103" t="s">
        <v>134</v>
      </c>
      <c r="C106" s="103" t="s">
        <v>4219</v>
      </c>
      <c r="D106" s="103" t="s">
        <v>79</v>
      </c>
      <c r="E106" s="103">
        <v>18</v>
      </c>
      <c r="F106" s="103">
        <v>29.19</v>
      </c>
      <c r="G106" s="103" t="s">
        <v>32</v>
      </c>
      <c r="H106" s="103" t="s">
        <v>41</v>
      </c>
      <c r="I106" s="103"/>
      <c r="J106" s="103" t="s">
        <v>2413</v>
      </c>
      <c r="K106" s="103" t="s">
        <v>4052</v>
      </c>
      <c r="L106" s="103">
        <v>181941.56</v>
      </c>
      <c r="M106" s="103">
        <v>54582.468000000001</v>
      </c>
      <c r="N106" s="103">
        <v>2020.08</v>
      </c>
      <c r="O106" s="1903"/>
      <c r="P106" s="1053" t="s">
        <v>4048</v>
      </c>
      <c r="Q106" s="1055">
        <v>19902766690</v>
      </c>
      <c r="R106" s="1055" t="s">
        <v>4049</v>
      </c>
      <c r="S106" s="125" t="s">
        <v>4043</v>
      </c>
      <c r="T106" s="125"/>
    </row>
    <row r="107" spans="1:20" s="1056" customFormat="1" ht="24.95" customHeight="1">
      <c r="A107" s="147">
        <v>6</v>
      </c>
      <c r="B107" s="103" t="s">
        <v>2383</v>
      </c>
      <c r="C107" s="103" t="s">
        <v>4220</v>
      </c>
      <c r="D107" s="103" t="s">
        <v>79</v>
      </c>
      <c r="E107" s="103">
        <v>2</v>
      </c>
      <c r="F107" s="103">
        <v>34.228000000000002</v>
      </c>
      <c r="G107" s="103" t="s">
        <v>32</v>
      </c>
      <c r="H107" s="103" t="s">
        <v>41</v>
      </c>
      <c r="I107" s="103" t="s">
        <v>4221</v>
      </c>
      <c r="J107" s="103" t="s">
        <v>4128</v>
      </c>
      <c r="K107" s="103" t="s">
        <v>4133</v>
      </c>
      <c r="L107" s="103">
        <v>276121.75</v>
      </c>
      <c r="M107" s="103">
        <v>58763.3</v>
      </c>
      <c r="N107" s="1066">
        <v>43770</v>
      </c>
      <c r="O107" s="1902" t="s">
        <v>4130</v>
      </c>
      <c r="P107" s="1073" t="s">
        <v>4131</v>
      </c>
      <c r="Q107" s="103">
        <v>17373170973</v>
      </c>
      <c r="R107" s="103" t="s">
        <v>4132</v>
      </c>
      <c r="S107" s="1060" t="s">
        <v>4043</v>
      </c>
      <c r="T107" s="125"/>
    </row>
    <row r="108" spans="1:20" s="1056" customFormat="1" ht="24.95" customHeight="1">
      <c r="A108" s="147">
        <v>7</v>
      </c>
      <c r="B108" s="103" t="s">
        <v>2383</v>
      </c>
      <c r="C108" s="103" t="s">
        <v>4222</v>
      </c>
      <c r="D108" s="103" t="s">
        <v>79</v>
      </c>
      <c r="E108" s="103">
        <v>2</v>
      </c>
      <c r="F108" s="103">
        <v>35.244</v>
      </c>
      <c r="G108" s="103" t="s">
        <v>32</v>
      </c>
      <c r="H108" s="103" t="s">
        <v>41</v>
      </c>
      <c r="I108" s="103" t="s">
        <v>4223</v>
      </c>
      <c r="J108" s="103" t="s">
        <v>4128</v>
      </c>
      <c r="K108" s="103" t="s">
        <v>4133</v>
      </c>
      <c r="L108" s="103">
        <v>284317.96000000002</v>
      </c>
      <c r="M108" s="103">
        <v>60507.51</v>
      </c>
      <c r="N108" s="1066">
        <v>43770</v>
      </c>
      <c r="O108" s="1899"/>
      <c r="P108" s="1073" t="s">
        <v>4131</v>
      </c>
      <c r="Q108" s="103">
        <v>17373170973</v>
      </c>
      <c r="R108" s="103" t="s">
        <v>4132</v>
      </c>
      <c r="S108" s="1060" t="s">
        <v>4043</v>
      </c>
      <c r="T108" s="125"/>
    </row>
    <row r="109" spans="1:20" s="1056" customFormat="1" ht="24.95" customHeight="1">
      <c r="A109" s="147">
        <v>8</v>
      </c>
      <c r="B109" s="103" t="s">
        <v>2383</v>
      </c>
      <c r="C109" s="103" t="s">
        <v>4224</v>
      </c>
      <c r="D109" s="103" t="s">
        <v>79</v>
      </c>
      <c r="E109" s="103">
        <v>1</v>
      </c>
      <c r="F109" s="103">
        <v>14.095000000000001</v>
      </c>
      <c r="G109" s="103" t="s">
        <v>32</v>
      </c>
      <c r="H109" s="103" t="s">
        <v>41</v>
      </c>
      <c r="I109" s="103" t="s">
        <v>4225</v>
      </c>
      <c r="J109" s="103" t="s">
        <v>4128</v>
      </c>
      <c r="K109" s="103" t="s">
        <v>4133</v>
      </c>
      <c r="L109" s="103">
        <v>113706.21</v>
      </c>
      <c r="M109" s="103">
        <v>24198.55</v>
      </c>
      <c r="N109" s="1066">
        <v>43770</v>
      </c>
      <c r="O109" s="1899"/>
      <c r="P109" s="1073" t="s">
        <v>4131</v>
      </c>
      <c r="Q109" s="103">
        <v>17373170973</v>
      </c>
      <c r="R109" s="103" t="s">
        <v>4132</v>
      </c>
      <c r="S109" s="1060" t="s">
        <v>4043</v>
      </c>
      <c r="T109" s="125"/>
    </row>
    <row r="110" spans="1:20" s="1056" customFormat="1" ht="24.95" customHeight="1">
      <c r="A110" s="147">
        <v>9</v>
      </c>
      <c r="B110" s="103" t="s">
        <v>2383</v>
      </c>
      <c r="C110" s="103" t="s">
        <v>34</v>
      </c>
      <c r="D110" s="103" t="s">
        <v>79</v>
      </c>
      <c r="E110" s="103">
        <v>1</v>
      </c>
      <c r="F110" s="103">
        <v>5.93</v>
      </c>
      <c r="G110" s="103" t="s">
        <v>32</v>
      </c>
      <c r="H110" s="103" t="s">
        <v>41</v>
      </c>
      <c r="I110" s="103" t="s">
        <v>4226</v>
      </c>
      <c r="J110" s="103" t="s">
        <v>4128</v>
      </c>
      <c r="K110" s="103" t="s">
        <v>4133</v>
      </c>
      <c r="L110" s="103">
        <v>62430.57</v>
      </c>
      <c r="M110" s="103">
        <v>14557.4900000001</v>
      </c>
      <c r="N110" s="1066">
        <v>44105</v>
      </c>
      <c r="O110" s="1899"/>
      <c r="P110" s="1073" t="s">
        <v>4131</v>
      </c>
      <c r="Q110" s="103">
        <v>17373170973</v>
      </c>
      <c r="R110" s="103" t="s">
        <v>4132</v>
      </c>
      <c r="S110" s="1060" t="s">
        <v>4043</v>
      </c>
      <c r="T110" s="125"/>
    </row>
    <row r="111" spans="1:20" s="1089" customFormat="1" ht="24.95" customHeight="1">
      <c r="A111" s="147">
        <v>10</v>
      </c>
      <c r="B111" s="103" t="s">
        <v>4227</v>
      </c>
      <c r="C111" s="103" t="s">
        <v>4228</v>
      </c>
      <c r="D111" s="103" t="s">
        <v>79</v>
      </c>
      <c r="E111" s="103">
        <v>4</v>
      </c>
      <c r="F111" s="103">
        <v>1.964</v>
      </c>
      <c r="G111" s="103" t="s">
        <v>32</v>
      </c>
      <c r="H111" s="103" t="s">
        <v>41</v>
      </c>
      <c r="I111" s="103" t="s">
        <v>4229</v>
      </c>
      <c r="J111" s="103" t="s">
        <v>4128</v>
      </c>
      <c r="K111" s="103" t="s">
        <v>4133</v>
      </c>
      <c r="L111" s="103">
        <v>15843.84</v>
      </c>
      <c r="M111" s="103">
        <v>3371.76</v>
      </c>
      <c r="N111" s="1066">
        <v>43770</v>
      </c>
      <c r="O111" s="1899"/>
      <c r="P111" s="1073" t="s">
        <v>4131</v>
      </c>
      <c r="Q111" s="103">
        <v>17373170973</v>
      </c>
      <c r="R111" s="103" t="s">
        <v>4132</v>
      </c>
      <c r="S111" s="1060" t="s">
        <v>4043</v>
      </c>
      <c r="T111" s="1088"/>
    </row>
    <row r="112" spans="1:20" s="1089" customFormat="1" ht="24.95" customHeight="1">
      <c r="A112" s="147">
        <v>11</v>
      </c>
      <c r="B112" s="103" t="s">
        <v>4230</v>
      </c>
      <c r="C112" s="103" t="s">
        <v>4231</v>
      </c>
      <c r="D112" s="103" t="s">
        <v>79</v>
      </c>
      <c r="E112" s="103">
        <v>2</v>
      </c>
      <c r="F112" s="103">
        <v>0.748</v>
      </c>
      <c r="G112" s="103" t="s">
        <v>32</v>
      </c>
      <c r="H112" s="103" t="s">
        <v>41</v>
      </c>
      <c r="I112" s="103" t="s">
        <v>4232</v>
      </c>
      <c r="J112" s="103" t="s">
        <v>4128</v>
      </c>
      <c r="K112" s="103" t="s">
        <v>4133</v>
      </c>
      <c r="L112" s="103">
        <v>6034.21</v>
      </c>
      <c r="M112" s="103">
        <v>1284.24</v>
      </c>
      <c r="N112" s="1066">
        <v>43770</v>
      </c>
      <c r="O112" s="1899"/>
      <c r="P112" s="1073" t="s">
        <v>4131</v>
      </c>
      <c r="Q112" s="103">
        <v>17373170973</v>
      </c>
      <c r="R112" s="103" t="s">
        <v>4132</v>
      </c>
      <c r="S112" s="1060" t="s">
        <v>4043</v>
      </c>
      <c r="T112" s="1088"/>
    </row>
    <row r="113" spans="1:20" s="1089" customFormat="1" ht="24.95" customHeight="1">
      <c r="A113" s="147">
        <v>12</v>
      </c>
      <c r="B113" s="103" t="s">
        <v>4233</v>
      </c>
      <c r="C113" s="103" t="s">
        <v>4231</v>
      </c>
      <c r="D113" s="103" t="s">
        <v>79</v>
      </c>
      <c r="E113" s="103">
        <v>3</v>
      </c>
      <c r="F113" s="103">
        <v>4.0940000000000003</v>
      </c>
      <c r="G113" s="103" t="s">
        <v>32</v>
      </c>
      <c r="H113" s="103" t="s">
        <v>41</v>
      </c>
      <c r="I113" s="103" t="s">
        <v>4232</v>
      </c>
      <c r="J113" s="103" t="s">
        <v>4128</v>
      </c>
      <c r="K113" s="103" t="s">
        <v>4133</v>
      </c>
      <c r="L113" s="103">
        <v>33026.83</v>
      </c>
      <c r="M113" s="103">
        <v>7028.6300000000101</v>
      </c>
      <c r="N113" s="1066">
        <v>43770</v>
      </c>
      <c r="O113" s="1899"/>
      <c r="P113" s="1073" t="s">
        <v>4131</v>
      </c>
      <c r="Q113" s="103">
        <v>17373170973</v>
      </c>
      <c r="R113" s="103" t="s">
        <v>4132</v>
      </c>
      <c r="S113" s="1060" t="s">
        <v>4043</v>
      </c>
      <c r="T113" s="1088"/>
    </row>
    <row r="114" spans="1:20" s="1089" customFormat="1" ht="24.95" customHeight="1">
      <c r="A114" s="147">
        <v>13</v>
      </c>
      <c r="B114" s="103" t="s">
        <v>4234</v>
      </c>
      <c r="C114" s="103" t="s">
        <v>4231</v>
      </c>
      <c r="D114" s="103" t="s">
        <v>79</v>
      </c>
      <c r="E114" s="103">
        <v>1</v>
      </c>
      <c r="F114" s="103">
        <v>1.4350000000000001</v>
      </c>
      <c r="G114" s="103" t="s">
        <v>32</v>
      </c>
      <c r="H114" s="103" t="s">
        <v>41</v>
      </c>
      <c r="I114" s="103" t="s">
        <v>4232</v>
      </c>
      <c r="J114" s="103" t="s">
        <v>4128</v>
      </c>
      <c r="K114" s="103" t="s">
        <v>4133</v>
      </c>
      <c r="L114" s="103">
        <v>11576.33</v>
      </c>
      <c r="M114" s="103">
        <v>2463.64</v>
      </c>
      <c r="N114" s="1066">
        <v>43770</v>
      </c>
      <c r="O114" s="1899"/>
      <c r="P114" s="1073" t="s">
        <v>4131</v>
      </c>
      <c r="Q114" s="103">
        <v>17373170973</v>
      </c>
      <c r="R114" s="103" t="s">
        <v>4132</v>
      </c>
      <c r="S114" s="1060" t="s">
        <v>4043</v>
      </c>
      <c r="T114" s="1088"/>
    </row>
    <row r="115" spans="1:20" s="1089" customFormat="1" ht="24.95" customHeight="1">
      <c r="A115" s="147">
        <v>14</v>
      </c>
      <c r="B115" s="103" t="s">
        <v>4235</v>
      </c>
      <c r="C115" s="103" t="s">
        <v>4236</v>
      </c>
      <c r="D115" s="103" t="s">
        <v>79</v>
      </c>
      <c r="E115" s="103">
        <v>3</v>
      </c>
      <c r="F115" s="103">
        <v>3.0659999999999998</v>
      </c>
      <c r="G115" s="103" t="s">
        <v>32</v>
      </c>
      <c r="H115" s="103" t="s">
        <v>41</v>
      </c>
      <c r="I115" s="103" t="s">
        <v>4232</v>
      </c>
      <c r="J115" s="103" t="s">
        <v>4128</v>
      </c>
      <c r="K115" s="103" t="s">
        <v>4133</v>
      </c>
      <c r="L115" s="103">
        <v>24733.82</v>
      </c>
      <c r="M115" s="103">
        <v>5263.8</v>
      </c>
      <c r="N115" s="1066">
        <v>43770</v>
      </c>
      <c r="O115" s="1899"/>
      <c r="P115" s="1073" t="s">
        <v>4131</v>
      </c>
      <c r="Q115" s="103">
        <v>17373170973</v>
      </c>
      <c r="R115" s="103" t="s">
        <v>4132</v>
      </c>
      <c r="S115" s="1060" t="s">
        <v>4043</v>
      </c>
      <c r="T115" s="1088"/>
    </row>
    <row r="116" spans="1:20" s="1089" customFormat="1" ht="24.95" customHeight="1">
      <c r="A116" s="147">
        <v>15</v>
      </c>
      <c r="B116" s="103" t="s">
        <v>4237</v>
      </c>
      <c r="C116" s="103"/>
      <c r="D116" s="103" t="s">
        <v>1761</v>
      </c>
      <c r="E116" s="103">
        <v>1</v>
      </c>
      <c r="F116" s="103">
        <v>1.427</v>
      </c>
      <c r="G116" s="103" t="s">
        <v>32</v>
      </c>
      <c r="H116" s="103" t="s">
        <v>41</v>
      </c>
      <c r="I116" s="103" t="s">
        <v>4238</v>
      </c>
      <c r="J116" s="103" t="s">
        <v>4128</v>
      </c>
      <c r="K116" s="103" t="s">
        <v>4133</v>
      </c>
      <c r="L116" s="103">
        <v>11511.8</v>
      </c>
      <c r="M116" s="103">
        <v>2449.94</v>
      </c>
      <c r="N116" s="1066">
        <v>43770</v>
      </c>
      <c r="O116" s="1899"/>
      <c r="P116" s="1073" t="s">
        <v>4131</v>
      </c>
      <c r="Q116" s="103">
        <v>17373170973</v>
      </c>
      <c r="R116" s="103" t="s">
        <v>4132</v>
      </c>
      <c r="S116" s="1060" t="s">
        <v>4043</v>
      </c>
      <c r="T116" s="1088"/>
    </row>
    <row r="117" spans="1:20" s="1089" customFormat="1" ht="24.95" customHeight="1">
      <c r="A117" s="147">
        <v>16</v>
      </c>
      <c r="B117" s="103" t="s">
        <v>4239</v>
      </c>
      <c r="C117" s="103"/>
      <c r="D117" s="103" t="s">
        <v>1761</v>
      </c>
      <c r="E117" s="103">
        <v>1</v>
      </c>
      <c r="F117" s="103">
        <v>1.377</v>
      </c>
      <c r="G117" s="103" t="s">
        <v>32</v>
      </c>
      <c r="H117" s="103" t="s">
        <v>41</v>
      </c>
      <c r="I117" s="103" t="s">
        <v>4238</v>
      </c>
      <c r="J117" s="103" t="s">
        <v>4128</v>
      </c>
      <c r="K117" s="103" t="s">
        <v>4133</v>
      </c>
      <c r="L117" s="103">
        <v>11108.44</v>
      </c>
      <c r="M117" s="103">
        <v>2364.08</v>
      </c>
      <c r="N117" s="1066">
        <v>43770</v>
      </c>
      <c r="O117" s="1899"/>
      <c r="P117" s="1073" t="s">
        <v>4131</v>
      </c>
      <c r="Q117" s="103">
        <v>17373170973</v>
      </c>
      <c r="R117" s="103" t="s">
        <v>4132</v>
      </c>
      <c r="S117" s="1060" t="s">
        <v>4043</v>
      </c>
      <c r="T117" s="1088"/>
    </row>
    <row r="118" spans="1:20" s="1089" customFormat="1" ht="24.95" customHeight="1">
      <c r="A118" s="147">
        <v>17</v>
      </c>
      <c r="B118" s="103" t="s">
        <v>4240</v>
      </c>
      <c r="C118" s="103" t="s">
        <v>4241</v>
      </c>
      <c r="D118" s="103" t="s">
        <v>79</v>
      </c>
      <c r="E118" s="103">
        <v>2</v>
      </c>
      <c r="F118" s="103">
        <v>0.745</v>
      </c>
      <c r="G118" s="103" t="s">
        <v>32</v>
      </c>
      <c r="H118" s="103" t="s">
        <v>41</v>
      </c>
      <c r="I118" s="103" t="s">
        <v>4242</v>
      </c>
      <c r="J118" s="103" t="s">
        <v>4128</v>
      </c>
      <c r="K118" s="103" t="s">
        <v>4133</v>
      </c>
      <c r="L118" s="103">
        <v>6010.01</v>
      </c>
      <c r="M118" s="103">
        <v>1278.96</v>
      </c>
      <c r="N118" s="1066">
        <v>43770</v>
      </c>
      <c r="O118" s="1899"/>
      <c r="P118" s="1073" t="s">
        <v>4131</v>
      </c>
      <c r="Q118" s="103">
        <v>17373170973</v>
      </c>
      <c r="R118" s="103" t="s">
        <v>4132</v>
      </c>
      <c r="S118" s="1060" t="s">
        <v>4043</v>
      </c>
      <c r="T118" s="1088"/>
    </row>
    <row r="119" spans="1:20" s="1089" customFormat="1" ht="24.95" customHeight="1">
      <c r="A119" s="147">
        <v>18</v>
      </c>
      <c r="B119" s="103" t="s">
        <v>4243</v>
      </c>
      <c r="C119" s="103" t="s">
        <v>4244</v>
      </c>
      <c r="D119" s="103" t="s">
        <v>79</v>
      </c>
      <c r="E119" s="103">
        <v>2</v>
      </c>
      <c r="F119" s="103">
        <v>3.363</v>
      </c>
      <c r="G119" s="103" t="s">
        <v>32</v>
      </c>
      <c r="H119" s="103" t="s">
        <v>41</v>
      </c>
      <c r="I119" s="103" t="s">
        <v>4242</v>
      </c>
      <c r="J119" s="103" t="s">
        <v>4128</v>
      </c>
      <c r="K119" s="103" t="s">
        <v>4133</v>
      </c>
      <c r="L119" s="103">
        <v>27129.759999999998</v>
      </c>
      <c r="M119" s="103">
        <v>5773.68</v>
      </c>
      <c r="N119" s="1066">
        <v>43770</v>
      </c>
      <c r="O119" s="1899"/>
      <c r="P119" s="1073" t="s">
        <v>4131</v>
      </c>
      <c r="Q119" s="103">
        <v>17373170973</v>
      </c>
      <c r="R119" s="103" t="s">
        <v>4132</v>
      </c>
      <c r="S119" s="1060" t="s">
        <v>4043</v>
      </c>
      <c r="T119" s="1088"/>
    </row>
    <row r="120" spans="1:20" s="1089" customFormat="1" ht="24.95" customHeight="1">
      <c r="A120" s="147">
        <v>19</v>
      </c>
      <c r="B120" s="103" t="s">
        <v>4245</v>
      </c>
      <c r="C120" s="103" t="s">
        <v>4244</v>
      </c>
      <c r="D120" s="103" t="s">
        <v>79</v>
      </c>
      <c r="E120" s="103">
        <v>1</v>
      </c>
      <c r="F120" s="103">
        <v>1.7270000000000001</v>
      </c>
      <c r="G120" s="103" t="s">
        <v>32</v>
      </c>
      <c r="H120" s="103" t="s">
        <v>41</v>
      </c>
      <c r="I120" s="103" t="s">
        <v>4242</v>
      </c>
      <c r="J120" s="103" t="s">
        <v>4128</v>
      </c>
      <c r="K120" s="103" t="s">
        <v>4133</v>
      </c>
      <c r="L120" s="103">
        <v>13931.93</v>
      </c>
      <c r="M120" s="103">
        <v>2964.97</v>
      </c>
      <c r="N120" s="1066">
        <v>43770</v>
      </c>
      <c r="O120" s="1899"/>
      <c r="P120" s="1073" t="s">
        <v>4131</v>
      </c>
      <c r="Q120" s="103">
        <v>17373170973</v>
      </c>
      <c r="R120" s="103" t="s">
        <v>4132</v>
      </c>
      <c r="S120" s="1060" t="s">
        <v>4043</v>
      </c>
      <c r="T120" s="1088"/>
    </row>
    <row r="121" spans="1:20" s="1089" customFormat="1" ht="24.95" customHeight="1">
      <c r="A121" s="147">
        <v>20</v>
      </c>
      <c r="B121" s="103" t="s">
        <v>4246</v>
      </c>
      <c r="C121" s="103" t="s">
        <v>4247</v>
      </c>
      <c r="D121" s="103" t="s">
        <v>79</v>
      </c>
      <c r="E121" s="103">
        <v>2</v>
      </c>
      <c r="F121" s="103">
        <v>2.2490000000000001</v>
      </c>
      <c r="G121" s="103" t="s">
        <v>32</v>
      </c>
      <c r="H121" s="103" t="s">
        <v>41</v>
      </c>
      <c r="I121" s="103" t="s">
        <v>4242</v>
      </c>
      <c r="J121" s="103" t="s">
        <v>4128</v>
      </c>
      <c r="K121" s="103" t="s">
        <v>4133</v>
      </c>
      <c r="L121" s="103">
        <v>18142.98</v>
      </c>
      <c r="M121" s="103">
        <v>3861.14</v>
      </c>
      <c r="N121" s="1066">
        <v>43770</v>
      </c>
      <c r="O121" s="1899"/>
      <c r="P121" s="1073" t="s">
        <v>4131</v>
      </c>
      <c r="Q121" s="103">
        <v>17373170973</v>
      </c>
      <c r="R121" s="103" t="s">
        <v>4132</v>
      </c>
      <c r="S121" s="1060" t="s">
        <v>4043</v>
      </c>
      <c r="T121" s="1088"/>
    </row>
    <row r="122" spans="1:20" s="1089" customFormat="1" ht="24.95" customHeight="1">
      <c r="A122" s="147">
        <v>21</v>
      </c>
      <c r="B122" s="103" t="s">
        <v>4248</v>
      </c>
      <c r="C122" s="103"/>
      <c r="D122" s="103" t="s">
        <v>79</v>
      </c>
      <c r="E122" s="103">
        <v>2</v>
      </c>
      <c r="F122" s="103">
        <v>4.3520000000000003</v>
      </c>
      <c r="G122" s="103" t="s">
        <v>32</v>
      </c>
      <c r="H122" s="103" t="s">
        <v>41</v>
      </c>
      <c r="I122" s="103" t="s">
        <v>4249</v>
      </c>
      <c r="J122" s="103" t="s">
        <v>4128</v>
      </c>
      <c r="K122" s="103" t="s">
        <v>4133</v>
      </c>
      <c r="L122" s="103">
        <v>35108.15</v>
      </c>
      <c r="M122" s="103">
        <v>7471.5</v>
      </c>
      <c r="N122" s="1066">
        <v>43770</v>
      </c>
      <c r="O122" s="1899"/>
      <c r="P122" s="1073" t="s">
        <v>4131</v>
      </c>
      <c r="Q122" s="103">
        <v>17373170973</v>
      </c>
      <c r="R122" s="103" t="s">
        <v>4132</v>
      </c>
      <c r="S122" s="1060" t="s">
        <v>4043</v>
      </c>
      <c r="T122" s="1088"/>
    </row>
    <row r="123" spans="1:20" s="1089" customFormat="1" ht="24.95" customHeight="1">
      <c r="A123" s="147">
        <v>22</v>
      </c>
      <c r="B123" s="103" t="s">
        <v>4250</v>
      </c>
      <c r="C123" s="103"/>
      <c r="D123" s="103" t="s">
        <v>79</v>
      </c>
      <c r="E123" s="103">
        <v>2</v>
      </c>
      <c r="F123" s="103">
        <v>3.528</v>
      </c>
      <c r="G123" s="103" t="s">
        <v>32</v>
      </c>
      <c r="H123" s="103" t="s">
        <v>41</v>
      </c>
      <c r="I123" s="103" t="s">
        <v>4249</v>
      </c>
      <c r="J123" s="103" t="s">
        <v>4128</v>
      </c>
      <c r="K123" s="103" t="s">
        <v>4133</v>
      </c>
      <c r="L123" s="103">
        <v>28460.84</v>
      </c>
      <c r="M123" s="103">
        <v>6056.9000000000096</v>
      </c>
      <c r="N123" s="1066">
        <v>43770</v>
      </c>
      <c r="O123" s="1899"/>
      <c r="P123" s="1073" t="s">
        <v>4131</v>
      </c>
      <c r="Q123" s="103">
        <v>17373170973</v>
      </c>
      <c r="R123" s="103" t="s">
        <v>4132</v>
      </c>
      <c r="S123" s="1060" t="s">
        <v>4043</v>
      </c>
      <c r="T123" s="1088"/>
    </row>
    <row r="124" spans="1:20" s="1089" customFormat="1" ht="24.95" customHeight="1">
      <c r="A124" s="147">
        <v>23</v>
      </c>
      <c r="B124" s="103" t="s">
        <v>4251</v>
      </c>
      <c r="C124" s="103"/>
      <c r="D124" s="103" t="s">
        <v>79</v>
      </c>
      <c r="E124" s="103">
        <v>5</v>
      </c>
      <c r="F124" s="103">
        <v>3.4340000000000002</v>
      </c>
      <c r="G124" s="103" t="s">
        <v>32</v>
      </c>
      <c r="H124" s="103" t="s">
        <v>41</v>
      </c>
      <c r="I124" s="103" t="s">
        <v>4249</v>
      </c>
      <c r="J124" s="103" t="s">
        <v>4128</v>
      </c>
      <c r="K124" s="103" t="s">
        <v>4133</v>
      </c>
      <c r="L124" s="103">
        <v>27702.53</v>
      </c>
      <c r="M124" s="103">
        <v>5895.49</v>
      </c>
      <c r="N124" s="1066">
        <v>43770</v>
      </c>
      <c r="O124" s="1899"/>
      <c r="P124" s="1073" t="s">
        <v>4131</v>
      </c>
      <c r="Q124" s="103">
        <v>17373170973</v>
      </c>
      <c r="R124" s="103" t="s">
        <v>4132</v>
      </c>
      <c r="S124" s="1060" t="s">
        <v>4043</v>
      </c>
      <c r="T124" s="1088"/>
    </row>
    <row r="125" spans="1:20" s="1089" customFormat="1" ht="24.95" customHeight="1">
      <c r="A125" s="147">
        <v>24</v>
      </c>
      <c r="B125" s="103" t="s">
        <v>4252</v>
      </c>
      <c r="C125" s="103"/>
      <c r="D125" s="103" t="s">
        <v>79</v>
      </c>
      <c r="E125" s="103">
        <v>0.5</v>
      </c>
      <c r="F125" s="103">
        <v>0.40100000000000002</v>
      </c>
      <c r="G125" s="103" t="s">
        <v>32</v>
      </c>
      <c r="H125" s="103" t="s">
        <v>41</v>
      </c>
      <c r="I125" s="103" t="s">
        <v>4249</v>
      </c>
      <c r="J125" s="103" t="s">
        <v>4128</v>
      </c>
      <c r="K125" s="103" t="s">
        <v>4133</v>
      </c>
      <c r="L125" s="103">
        <v>3234.92</v>
      </c>
      <c r="M125" s="103">
        <v>688.38</v>
      </c>
      <c r="N125" s="1066">
        <v>43770</v>
      </c>
      <c r="O125" s="1899"/>
      <c r="P125" s="1073" t="s">
        <v>4131</v>
      </c>
      <c r="Q125" s="103">
        <v>17373170973</v>
      </c>
      <c r="R125" s="103" t="s">
        <v>4132</v>
      </c>
      <c r="S125" s="1060" t="s">
        <v>4043</v>
      </c>
      <c r="T125" s="1088"/>
    </row>
    <row r="126" spans="1:20" s="1089" customFormat="1" ht="24.95" customHeight="1">
      <c r="A126" s="147">
        <v>25</v>
      </c>
      <c r="B126" s="103" t="s">
        <v>4253</v>
      </c>
      <c r="C126" s="103"/>
      <c r="D126" s="103" t="s">
        <v>79</v>
      </c>
      <c r="E126" s="103">
        <v>1</v>
      </c>
      <c r="F126" s="103">
        <v>2.7120000000000002</v>
      </c>
      <c r="G126" s="103" t="s">
        <v>32</v>
      </c>
      <c r="H126" s="103" t="s">
        <v>41</v>
      </c>
      <c r="I126" s="103" t="s">
        <v>4249</v>
      </c>
      <c r="J126" s="103" t="s">
        <v>4128</v>
      </c>
      <c r="K126" s="103" t="s">
        <v>4133</v>
      </c>
      <c r="L126" s="103">
        <v>21878.06</v>
      </c>
      <c r="M126" s="103">
        <v>4655.99999999999</v>
      </c>
      <c r="N126" s="1066">
        <v>43770</v>
      </c>
      <c r="O126" s="1899"/>
      <c r="P126" s="1073" t="s">
        <v>4131</v>
      </c>
      <c r="Q126" s="103">
        <v>17373170973</v>
      </c>
      <c r="R126" s="103" t="s">
        <v>4132</v>
      </c>
      <c r="S126" s="1060" t="s">
        <v>4043</v>
      </c>
      <c r="T126" s="1088"/>
    </row>
    <row r="127" spans="1:20" s="1089" customFormat="1" ht="24.95" customHeight="1">
      <c r="A127" s="147">
        <v>26</v>
      </c>
      <c r="B127" s="103" t="s">
        <v>4254</v>
      </c>
      <c r="C127" s="103"/>
      <c r="D127" s="103" t="s">
        <v>79</v>
      </c>
      <c r="E127" s="103">
        <v>1</v>
      </c>
      <c r="F127" s="103">
        <v>1.669</v>
      </c>
      <c r="G127" s="103" t="s">
        <v>32</v>
      </c>
      <c r="H127" s="103" t="s">
        <v>41</v>
      </c>
      <c r="I127" s="103" t="s">
        <v>4249</v>
      </c>
      <c r="J127" s="103" t="s">
        <v>4128</v>
      </c>
      <c r="K127" s="103" t="s">
        <v>4133</v>
      </c>
      <c r="L127" s="103">
        <v>13464.04</v>
      </c>
      <c r="M127" s="103">
        <v>2865.2799999999902</v>
      </c>
      <c r="N127" s="1066">
        <v>43770</v>
      </c>
      <c r="O127" s="1899"/>
      <c r="P127" s="1073" t="s">
        <v>4131</v>
      </c>
      <c r="Q127" s="103">
        <v>17373170973</v>
      </c>
      <c r="R127" s="103" t="s">
        <v>4132</v>
      </c>
      <c r="S127" s="1060" t="s">
        <v>4043</v>
      </c>
      <c r="T127" s="1088"/>
    </row>
    <row r="128" spans="1:20" s="1089" customFormat="1" ht="24.95" customHeight="1">
      <c r="A128" s="147">
        <v>27</v>
      </c>
      <c r="B128" s="103" t="s">
        <v>4255</v>
      </c>
      <c r="C128" s="103"/>
      <c r="D128" s="103" t="s">
        <v>79</v>
      </c>
      <c r="E128" s="103">
        <v>1</v>
      </c>
      <c r="F128" s="103">
        <v>2.4980000000000002</v>
      </c>
      <c r="G128" s="103" t="s">
        <v>32</v>
      </c>
      <c r="H128" s="103" t="s">
        <v>41</v>
      </c>
      <c r="I128" s="103" t="s">
        <v>4256</v>
      </c>
      <c r="J128" s="103" t="s">
        <v>4128</v>
      </c>
      <c r="K128" s="103" t="s">
        <v>4133</v>
      </c>
      <c r="L128" s="103">
        <v>20151.689999999999</v>
      </c>
      <c r="M128" s="103">
        <v>4288.68</v>
      </c>
      <c r="N128" s="1066">
        <v>43770</v>
      </c>
      <c r="O128" s="1899"/>
      <c r="P128" s="1073" t="s">
        <v>4131</v>
      </c>
      <c r="Q128" s="103">
        <v>17373170973</v>
      </c>
      <c r="R128" s="103" t="s">
        <v>4132</v>
      </c>
      <c r="S128" s="1060" t="s">
        <v>4043</v>
      </c>
      <c r="T128" s="1088"/>
    </row>
    <row r="129" spans="1:20" s="1089" customFormat="1" ht="24.95" customHeight="1">
      <c r="A129" s="147">
        <v>28</v>
      </c>
      <c r="B129" s="103" t="s">
        <v>4257</v>
      </c>
      <c r="C129" s="103"/>
      <c r="D129" s="103" t="s">
        <v>79</v>
      </c>
      <c r="E129" s="103">
        <v>1</v>
      </c>
      <c r="F129" s="103">
        <v>2.0150000000000001</v>
      </c>
      <c r="G129" s="103" t="s">
        <v>32</v>
      </c>
      <c r="H129" s="103" t="s">
        <v>41</v>
      </c>
      <c r="I129" s="103" t="s">
        <v>4256</v>
      </c>
      <c r="J129" s="103" t="s">
        <v>4128</v>
      </c>
      <c r="K129" s="103" t="s">
        <v>4133</v>
      </c>
      <c r="L129" s="103">
        <v>16255.27</v>
      </c>
      <c r="M129" s="103">
        <v>3459.3800000000101</v>
      </c>
      <c r="N129" s="1066">
        <v>43770</v>
      </c>
      <c r="O129" s="1899"/>
      <c r="P129" s="1073" t="s">
        <v>4131</v>
      </c>
      <c r="Q129" s="103">
        <v>17373170973</v>
      </c>
      <c r="R129" s="103" t="s">
        <v>4132</v>
      </c>
      <c r="S129" s="1060" t="s">
        <v>4043</v>
      </c>
      <c r="T129" s="1088"/>
    </row>
    <row r="130" spans="1:20" s="1089" customFormat="1" ht="24.95" customHeight="1">
      <c r="A130" s="147">
        <v>29</v>
      </c>
      <c r="B130" s="103" t="s">
        <v>4258</v>
      </c>
      <c r="C130" s="103"/>
      <c r="D130" s="103" t="s">
        <v>79</v>
      </c>
      <c r="E130" s="103">
        <v>1</v>
      </c>
      <c r="F130" s="103">
        <v>0.67200000000000004</v>
      </c>
      <c r="G130" s="103" t="s">
        <v>32</v>
      </c>
      <c r="H130" s="103" t="s">
        <v>41</v>
      </c>
      <c r="I130" s="103" t="s">
        <v>4256</v>
      </c>
      <c r="J130" s="103" t="s">
        <v>4128</v>
      </c>
      <c r="K130" s="103" t="s">
        <v>4133</v>
      </c>
      <c r="L130" s="103">
        <v>5421.11</v>
      </c>
      <c r="M130" s="103">
        <v>1153.6300000000001</v>
      </c>
      <c r="N130" s="1066">
        <v>43770</v>
      </c>
      <c r="O130" s="1899"/>
      <c r="P130" s="1073" t="s">
        <v>4131</v>
      </c>
      <c r="Q130" s="103">
        <v>17373170973</v>
      </c>
      <c r="R130" s="103" t="s">
        <v>4132</v>
      </c>
      <c r="S130" s="1060" t="s">
        <v>4043</v>
      </c>
      <c r="T130" s="1088"/>
    </row>
    <row r="131" spans="1:20" s="1089" customFormat="1" ht="24.95" customHeight="1">
      <c r="A131" s="147">
        <v>30</v>
      </c>
      <c r="B131" s="103" t="s">
        <v>4259</v>
      </c>
      <c r="C131" s="103" t="s">
        <v>4260</v>
      </c>
      <c r="D131" s="103"/>
      <c r="E131" s="103"/>
      <c r="F131" s="103">
        <v>0.28699999999999998</v>
      </c>
      <c r="G131" s="103" t="s">
        <v>32</v>
      </c>
      <c r="H131" s="103" t="s">
        <v>41</v>
      </c>
      <c r="I131" s="103" t="s">
        <v>4232</v>
      </c>
      <c r="J131" s="103" t="s">
        <v>4128</v>
      </c>
      <c r="K131" s="103" t="s">
        <v>4133</v>
      </c>
      <c r="L131" s="103">
        <v>2315.27</v>
      </c>
      <c r="M131" s="103">
        <v>492.78</v>
      </c>
      <c r="N131" s="1066">
        <v>43770</v>
      </c>
      <c r="O131" s="1899"/>
      <c r="P131" s="1073" t="s">
        <v>4131</v>
      </c>
      <c r="Q131" s="103">
        <v>17373170973</v>
      </c>
      <c r="R131" s="103" t="s">
        <v>4132</v>
      </c>
      <c r="S131" s="1060" t="s">
        <v>4043</v>
      </c>
      <c r="T131" s="1088"/>
    </row>
    <row r="132" spans="1:20" s="1089" customFormat="1" ht="24.95" customHeight="1">
      <c r="A132" s="147">
        <v>31</v>
      </c>
      <c r="B132" s="103" t="s">
        <v>4261</v>
      </c>
      <c r="C132" s="103" t="s">
        <v>4262</v>
      </c>
      <c r="D132" s="103"/>
      <c r="E132" s="103"/>
      <c r="F132" s="103">
        <v>1.3240000000000001</v>
      </c>
      <c r="G132" s="103" t="s">
        <v>32</v>
      </c>
      <c r="H132" s="103" t="s">
        <v>41</v>
      </c>
      <c r="I132" s="103" t="s">
        <v>4232</v>
      </c>
      <c r="J132" s="103" t="s">
        <v>4128</v>
      </c>
      <c r="K132" s="103" t="s">
        <v>4133</v>
      </c>
      <c r="L132" s="103">
        <v>10680.88</v>
      </c>
      <c r="M132" s="103">
        <v>2273.0700000000002</v>
      </c>
      <c r="N132" s="1066">
        <v>43770</v>
      </c>
      <c r="O132" s="1899"/>
      <c r="P132" s="1073" t="s">
        <v>4131</v>
      </c>
      <c r="Q132" s="103">
        <v>17373170973</v>
      </c>
      <c r="R132" s="103" t="s">
        <v>4132</v>
      </c>
      <c r="S132" s="1060" t="s">
        <v>4043</v>
      </c>
      <c r="T132" s="1088"/>
    </row>
    <row r="133" spans="1:20" s="1089" customFormat="1" ht="24.95" customHeight="1">
      <c r="A133" s="147">
        <v>32</v>
      </c>
      <c r="B133" s="103" t="s">
        <v>4263</v>
      </c>
      <c r="C133" s="103" t="s">
        <v>4264</v>
      </c>
      <c r="D133" s="103"/>
      <c r="E133" s="103"/>
      <c r="F133" s="103">
        <v>0.26200000000000001</v>
      </c>
      <c r="G133" s="103" t="s">
        <v>32</v>
      </c>
      <c r="H133" s="103" t="s">
        <v>41</v>
      </c>
      <c r="I133" s="103" t="s">
        <v>4242</v>
      </c>
      <c r="J133" s="103" t="s">
        <v>4128</v>
      </c>
      <c r="K133" s="103" t="s">
        <v>4133</v>
      </c>
      <c r="L133" s="103">
        <v>2113.59</v>
      </c>
      <c r="M133" s="103">
        <v>449.79</v>
      </c>
      <c r="N133" s="1066">
        <v>43770</v>
      </c>
      <c r="O133" s="1899"/>
      <c r="P133" s="1073" t="s">
        <v>4131</v>
      </c>
      <c r="Q133" s="103">
        <v>17373170973</v>
      </c>
      <c r="R133" s="103" t="s">
        <v>4132</v>
      </c>
      <c r="S133" s="1060" t="s">
        <v>4043</v>
      </c>
      <c r="T133" s="1088"/>
    </row>
    <row r="134" spans="1:20" s="1089" customFormat="1" ht="24.95" customHeight="1">
      <c r="A134" s="147">
        <v>33</v>
      </c>
      <c r="B134" s="103" t="s">
        <v>4265</v>
      </c>
      <c r="C134" s="103" t="s">
        <v>4262</v>
      </c>
      <c r="D134" s="103"/>
      <c r="E134" s="103"/>
      <c r="F134" s="103">
        <v>1.157</v>
      </c>
      <c r="G134" s="103" t="s">
        <v>32</v>
      </c>
      <c r="H134" s="103" t="s">
        <v>41</v>
      </c>
      <c r="I134" s="103" t="s">
        <v>4242</v>
      </c>
      <c r="J134" s="103" t="s">
        <v>4128</v>
      </c>
      <c r="K134" s="103" t="s">
        <v>4133</v>
      </c>
      <c r="L134" s="103">
        <v>9333.67</v>
      </c>
      <c r="M134" s="103">
        <v>1986.45</v>
      </c>
      <c r="N134" s="1066">
        <v>43770</v>
      </c>
      <c r="O134" s="1899"/>
      <c r="P134" s="1073" t="s">
        <v>4131</v>
      </c>
      <c r="Q134" s="103">
        <v>17373170973</v>
      </c>
      <c r="R134" s="103" t="s">
        <v>4132</v>
      </c>
      <c r="S134" s="1060" t="s">
        <v>4043</v>
      </c>
      <c r="T134" s="1088"/>
    </row>
    <row r="135" spans="1:20" s="1089" customFormat="1" ht="24.95" customHeight="1">
      <c r="A135" s="147">
        <v>34</v>
      </c>
      <c r="B135" s="103" t="s">
        <v>202</v>
      </c>
      <c r="C135" s="103"/>
      <c r="D135" s="103"/>
      <c r="E135" s="103"/>
      <c r="F135" s="103">
        <v>5.48</v>
      </c>
      <c r="G135" s="103" t="s">
        <v>32</v>
      </c>
      <c r="H135" s="103" t="s">
        <v>41</v>
      </c>
      <c r="I135" s="103" t="s">
        <v>4266</v>
      </c>
      <c r="J135" s="103" t="s">
        <v>4128</v>
      </c>
      <c r="K135" s="103" t="s">
        <v>4133</v>
      </c>
      <c r="L135" s="103">
        <v>49746.1</v>
      </c>
      <c r="M135" s="103">
        <v>11068.46</v>
      </c>
      <c r="N135" s="1066">
        <v>44105</v>
      </c>
      <c r="O135" s="1899"/>
      <c r="P135" s="1073" t="s">
        <v>4131</v>
      </c>
      <c r="Q135" s="103">
        <v>17373170973</v>
      </c>
      <c r="R135" s="103" t="s">
        <v>4132</v>
      </c>
      <c r="S135" s="1060" t="s">
        <v>4043</v>
      </c>
      <c r="T135" s="1088"/>
    </row>
    <row r="136" spans="1:20" s="1089" customFormat="1" ht="24.95" customHeight="1">
      <c r="A136" s="147">
        <v>35</v>
      </c>
      <c r="B136" s="103" t="s">
        <v>4267</v>
      </c>
      <c r="C136" s="103" t="s">
        <v>4268</v>
      </c>
      <c r="D136" s="103" t="s">
        <v>79</v>
      </c>
      <c r="E136" s="103">
        <v>5</v>
      </c>
      <c r="F136" s="103">
        <v>4.7610000000000001</v>
      </c>
      <c r="G136" s="103" t="s">
        <v>32</v>
      </c>
      <c r="H136" s="103" t="s">
        <v>41</v>
      </c>
      <c r="I136" s="103" t="s">
        <v>4269</v>
      </c>
      <c r="J136" s="103" t="s">
        <v>4128</v>
      </c>
      <c r="K136" s="103" t="s">
        <v>4133</v>
      </c>
      <c r="L136" s="103">
        <v>38407.61</v>
      </c>
      <c r="M136" s="103">
        <v>8173.71</v>
      </c>
      <c r="N136" s="1066">
        <v>43770</v>
      </c>
      <c r="O136" s="1899"/>
      <c r="P136" s="1073" t="s">
        <v>4131</v>
      </c>
      <c r="Q136" s="103">
        <v>17373170973</v>
      </c>
      <c r="R136" s="103" t="s">
        <v>4132</v>
      </c>
      <c r="S136" s="1060" t="s">
        <v>4043</v>
      </c>
      <c r="T136" s="1088"/>
    </row>
    <row r="137" spans="1:20" s="1089" customFormat="1" ht="24.95" customHeight="1">
      <c r="A137" s="147">
        <v>36</v>
      </c>
      <c r="B137" s="103" t="s">
        <v>4270</v>
      </c>
      <c r="C137" s="103" t="s">
        <v>4268</v>
      </c>
      <c r="D137" s="103" t="s">
        <v>79</v>
      </c>
      <c r="E137" s="103">
        <v>3</v>
      </c>
      <c r="F137" s="103">
        <v>3.1970000000000001</v>
      </c>
      <c r="G137" s="103" t="s">
        <v>32</v>
      </c>
      <c r="H137" s="103" t="s">
        <v>41</v>
      </c>
      <c r="I137" s="103" t="s">
        <v>4269</v>
      </c>
      <c r="J137" s="103" t="s">
        <v>4128</v>
      </c>
      <c r="K137" s="103" t="s">
        <v>4133</v>
      </c>
      <c r="L137" s="103">
        <v>25790.62</v>
      </c>
      <c r="M137" s="103">
        <v>5488.57</v>
      </c>
      <c r="N137" s="1066">
        <v>43770</v>
      </c>
      <c r="O137" s="1899"/>
      <c r="P137" s="1073" t="s">
        <v>4131</v>
      </c>
      <c r="Q137" s="103">
        <v>17373170973</v>
      </c>
      <c r="R137" s="103" t="s">
        <v>4132</v>
      </c>
      <c r="S137" s="1060" t="s">
        <v>4043</v>
      </c>
      <c r="T137" s="1088"/>
    </row>
    <row r="138" spans="1:20" s="1089" customFormat="1" ht="24.95" customHeight="1">
      <c r="A138" s="147">
        <v>37</v>
      </c>
      <c r="B138" s="103" t="s">
        <v>4271</v>
      </c>
      <c r="C138" s="103" t="s">
        <v>4272</v>
      </c>
      <c r="D138" s="103" t="s">
        <v>79</v>
      </c>
      <c r="E138" s="103">
        <v>1</v>
      </c>
      <c r="F138" s="103">
        <v>0.38600000000000001</v>
      </c>
      <c r="G138" s="103" t="s">
        <v>32</v>
      </c>
      <c r="H138" s="103" t="s">
        <v>41</v>
      </c>
      <c r="I138" s="103" t="s">
        <v>4269</v>
      </c>
      <c r="J138" s="103" t="s">
        <v>4128</v>
      </c>
      <c r="K138" s="103" t="s">
        <v>4133</v>
      </c>
      <c r="L138" s="103">
        <v>3113.91</v>
      </c>
      <c r="M138" s="103">
        <v>662.61000000000297</v>
      </c>
      <c r="N138" s="1066">
        <v>43770</v>
      </c>
      <c r="O138" s="1899"/>
      <c r="P138" s="1073" t="s">
        <v>4131</v>
      </c>
      <c r="Q138" s="103">
        <v>17373170973</v>
      </c>
      <c r="R138" s="103" t="s">
        <v>4132</v>
      </c>
      <c r="S138" s="1060" t="s">
        <v>4043</v>
      </c>
      <c r="T138" s="1088"/>
    </row>
    <row r="139" spans="1:20" s="1089" customFormat="1" ht="24.95" customHeight="1">
      <c r="A139" s="147">
        <v>38</v>
      </c>
      <c r="B139" s="103" t="s">
        <v>4273</v>
      </c>
      <c r="C139" s="103" t="s">
        <v>4274</v>
      </c>
      <c r="D139" s="103" t="s">
        <v>79</v>
      </c>
      <c r="E139" s="103">
        <v>2</v>
      </c>
      <c r="F139" s="103">
        <v>1.573</v>
      </c>
      <c r="G139" s="103" t="s">
        <v>32</v>
      </c>
      <c r="H139" s="103" t="s">
        <v>41</v>
      </c>
      <c r="I139" s="103" t="s">
        <v>4269</v>
      </c>
      <c r="J139" s="103" t="s">
        <v>4128</v>
      </c>
      <c r="K139" s="103" t="s">
        <v>4133</v>
      </c>
      <c r="L139" s="103">
        <v>12689.6</v>
      </c>
      <c r="M139" s="103">
        <v>2700.6000000000799</v>
      </c>
      <c r="N139" s="1066">
        <v>43770</v>
      </c>
      <c r="O139" s="1899"/>
      <c r="P139" s="1073" t="s">
        <v>4131</v>
      </c>
      <c r="Q139" s="103">
        <v>17373170973</v>
      </c>
      <c r="R139" s="103" t="s">
        <v>4132</v>
      </c>
      <c r="S139" s="1060" t="s">
        <v>4043</v>
      </c>
      <c r="T139" s="1088"/>
    </row>
    <row r="140" spans="1:20" s="1089" customFormat="1" ht="24.95" customHeight="1">
      <c r="A140" s="147">
        <v>39</v>
      </c>
      <c r="B140" s="103" t="s">
        <v>4275</v>
      </c>
      <c r="C140" s="103" t="s">
        <v>4276</v>
      </c>
      <c r="D140" s="103" t="s">
        <v>79</v>
      </c>
      <c r="E140" s="103">
        <v>2</v>
      </c>
      <c r="F140" s="103">
        <v>6.58</v>
      </c>
      <c r="G140" s="103" t="s">
        <v>32</v>
      </c>
      <c r="H140" s="103" t="s">
        <v>41</v>
      </c>
      <c r="I140" s="103" t="s">
        <v>4269</v>
      </c>
      <c r="J140" s="103" t="s">
        <v>4128</v>
      </c>
      <c r="K140" s="103" t="s">
        <v>4133</v>
      </c>
      <c r="L140" s="103">
        <v>53081.72</v>
      </c>
      <c r="M140" s="103">
        <v>11296.69</v>
      </c>
      <c r="N140" s="1066">
        <v>43770</v>
      </c>
      <c r="O140" s="1899"/>
      <c r="P140" s="1073" t="s">
        <v>4131</v>
      </c>
      <c r="Q140" s="103">
        <v>17373170973</v>
      </c>
      <c r="R140" s="103" t="s">
        <v>4132</v>
      </c>
      <c r="S140" s="1060" t="s">
        <v>4043</v>
      </c>
      <c r="T140" s="1088"/>
    </row>
    <row r="141" spans="1:20" s="1089" customFormat="1" ht="24.95" customHeight="1">
      <c r="A141" s="147">
        <v>40</v>
      </c>
      <c r="B141" s="103" t="s">
        <v>4277</v>
      </c>
      <c r="C141" s="103" t="s">
        <v>4276</v>
      </c>
      <c r="D141" s="103" t="s">
        <v>79</v>
      </c>
      <c r="E141" s="103">
        <v>2</v>
      </c>
      <c r="F141" s="103">
        <v>6.5910000000000002</v>
      </c>
      <c r="G141" s="103" t="s">
        <v>32</v>
      </c>
      <c r="H141" s="103" t="s">
        <v>41</v>
      </c>
      <c r="I141" s="103" t="s">
        <v>4269</v>
      </c>
      <c r="J141" s="103" t="s">
        <v>4128</v>
      </c>
      <c r="K141" s="103" t="s">
        <v>4133</v>
      </c>
      <c r="L141" s="103">
        <v>53170.46</v>
      </c>
      <c r="M141" s="103">
        <v>11315.55</v>
      </c>
      <c r="N141" s="1066">
        <v>43770</v>
      </c>
      <c r="O141" s="1899"/>
      <c r="P141" s="1073" t="s">
        <v>4131</v>
      </c>
      <c r="Q141" s="103">
        <v>17373170973</v>
      </c>
      <c r="R141" s="103" t="s">
        <v>4132</v>
      </c>
      <c r="S141" s="1060" t="s">
        <v>4043</v>
      </c>
      <c r="T141" s="1088"/>
    </row>
    <row r="142" spans="1:20" s="1089" customFormat="1" ht="24.95" customHeight="1">
      <c r="A142" s="147">
        <v>41</v>
      </c>
      <c r="B142" s="103" t="s">
        <v>4278</v>
      </c>
      <c r="C142" s="103" t="s">
        <v>4276</v>
      </c>
      <c r="D142" s="103" t="s">
        <v>79</v>
      </c>
      <c r="E142" s="103">
        <v>2</v>
      </c>
      <c r="F142" s="103">
        <v>1.8640000000000001</v>
      </c>
      <c r="G142" s="103" t="s">
        <v>32</v>
      </c>
      <c r="H142" s="103" t="s">
        <v>41</v>
      </c>
      <c r="I142" s="103" t="s">
        <v>4269</v>
      </c>
      <c r="J142" s="103" t="s">
        <v>4128</v>
      </c>
      <c r="K142" s="103" t="s">
        <v>4133</v>
      </c>
      <c r="L142" s="103">
        <v>15037.13</v>
      </c>
      <c r="M142" s="103">
        <v>3200.1700000000201</v>
      </c>
      <c r="N142" s="1066">
        <v>43770</v>
      </c>
      <c r="O142" s="1899"/>
      <c r="P142" s="1073" t="s">
        <v>4131</v>
      </c>
      <c r="Q142" s="103">
        <v>17373170973</v>
      </c>
      <c r="R142" s="103" t="s">
        <v>4132</v>
      </c>
      <c r="S142" s="1060" t="s">
        <v>4043</v>
      </c>
      <c r="T142" s="1088"/>
    </row>
    <row r="143" spans="1:20" s="1089" customFormat="1" ht="24.95" customHeight="1">
      <c r="A143" s="147">
        <v>42</v>
      </c>
      <c r="B143" s="103" t="s">
        <v>4279</v>
      </c>
      <c r="C143" s="103" t="s">
        <v>4276</v>
      </c>
      <c r="D143" s="103" t="s">
        <v>79</v>
      </c>
      <c r="E143" s="103">
        <v>2</v>
      </c>
      <c r="F143" s="103">
        <v>0.81299999999999994</v>
      </c>
      <c r="G143" s="103" t="s">
        <v>32</v>
      </c>
      <c r="H143" s="103" t="s">
        <v>41</v>
      </c>
      <c r="I143" s="103" t="s">
        <v>4269</v>
      </c>
      <c r="J143" s="103" t="s">
        <v>4128</v>
      </c>
      <c r="K143" s="103" t="s">
        <v>4133</v>
      </c>
      <c r="L143" s="103">
        <v>6558.58</v>
      </c>
      <c r="M143" s="103">
        <v>1395.87</v>
      </c>
      <c r="N143" s="1066">
        <v>43770</v>
      </c>
      <c r="O143" s="1899"/>
      <c r="P143" s="1073" t="s">
        <v>4131</v>
      </c>
      <c r="Q143" s="103">
        <v>17373170973</v>
      </c>
      <c r="R143" s="103" t="s">
        <v>4132</v>
      </c>
      <c r="S143" s="1060" t="s">
        <v>4043</v>
      </c>
      <c r="T143" s="1088"/>
    </row>
    <row r="144" spans="1:20" s="1089" customFormat="1" ht="24.95" customHeight="1">
      <c r="A144" s="147">
        <v>43</v>
      </c>
      <c r="B144" s="103" t="s">
        <v>4280</v>
      </c>
      <c r="C144" s="103"/>
      <c r="D144" s="103" t="s">
        <v>79</v>
      </c>
      <c r="E144" s="103">
        <v>1</v>
      </c>
      <c r="F144" s="103">
        <v>1.115</v>
      </c>
      <c r="G144" s="103" t="s">
        <v>32</v>
      </c>
      <c r="H144" s="103" t="s">
        <v>41</v>
      </c>
      <c r="I144" s="103" t="s">
        <v>4269</v>
      </c>
      <c r="J144" s="103" t="s">
        <v>4128</v>
      </c>
      <c r="K144" s="103" t="s">
        <v>4133</v>
      </c>
      <c r="L144" s="103">
        <v>8994.85</v>
      </c>
      <c r="M144" s="103">
        <v>1914.28999999998</v>
      </c>
      <c r="N144" s="1066">
        <v>43770</v>
      </c>
      <c r="O144" s="1899"/>
      <c r="P144" s="1073" t="s">
        <v>4131</v>
      </c>
      <c r="Q144" s="103">
        <v>17373170973</v>
      </c>
      <c r="R144" s="103" t="s">
        <v>4132</v>
      </c>
      <c r="S144" s="1060" t="s">
        <v>4043</v>
      </c>
      <c r="T144" s="1088"/>
    </row>
    <row r="145" spans="1:20" s="1089" customFormat="1" ht="24.95" customHeight="1">
      <c r="A145" s="147">
        <v>44</v>
      </c>
      <c r="B145" s="103" t="s">
        <v>4281</v>
      </c>
      <c r="C145" s="103"/>
      <c r="D145" s="103" t="s">
        <v>79</v>
      </c>
      <c r="E145" s="103">
        <v>1</v>
      </c>
      <c r="F145" s="103">
        <v>1.4239999999999999</v>
      </c>
      <c r="G145" s="103" t="s">
        <v>32</v>
      </c>
      <c r="H145" s="103" t="s">
        <v>41</v>
      </c>
      <c r="I145" s="103" t="s">
        <v>4269</v>
      </c>
      <c r="J145" s="103" t="s">
        <v>4128</v>
      </c>
      <c r="K145" s="103" t="s">
        <v>4133</v>
      </c>
      <c r="L145" s="103">
        <v>11487.59</v>
      </c>
      <c r="M145" s="103">
        <v>2444.7800000000002</v>
      </c>
      <c r="N145" s="1066">
        <v>43770</v>
      </c>
      <c r="O145" s="1899"/>
      <c r="P145" s="1073" t="s">
        <v>4131</v>
      </c>
      <c r="Q145" s="103">
        <v>17373170973</v>
      </c>
      <c r="R145" s="103" t="s">
        <v>4132</v>
      </c>
      <c r="S145" s="1060" t="s">
        <v>4043</v>
      </c>
      <c r="T145" s="1088"/>
    </row>
    <row r="146" spans="1:20" s="1089" customFormat="1" ht="24.95" customHeight="1">
      <c r="A146" s="147">
        <v>45</v>
      </c>
      <c r="B146" s="103" t="s">
        <v>4282</v>
      </c>
      <c r="C146" s="103"/>
      <c r="D146" s="103" t="s">
        <v>79</v>
      </c>
      <c r="E146" s="103">
        <v>3</v>
      </c>
      <c r="F146" s="103">
        <v>3.0089999999999999</v>
      </c>
      <c r="G146" s="103" t="s">
        <v>32</v>
      </c>
      <c r="H146" s="103" t="s">
        <v>41</v>
      </c>
      <c r="I146" s="103" t="s">
        <v>4269</v>
      </c>
      <c r="J146" s="103" t="s">
        <v>4128</v>
      </c>
      <c r="K146" s="103" t="s">
        <v>4133</v>
      </c>
      <c r="L146" s="103">
        <v>24274</v>
      </c>
      <c r="M146" s="103">
        <v>5165.99999999998</v>
      </c>
      <c r="N146" s="1066">
        <v>43770</v>
      </c>
      <c r="O146" s="1899"/>
      <c r="P146" s="1073" t="s">
        <v>4131</v>
      </c>
      <c r="Q146" s="103">
        <v>17373170973</v>
      </c>
      <c r="R146" s="103" t="s">
        <v>4132</v>
      </c>
      <c r="S146" s="1060" t="s">
        <v>4043</v>
      </c>
      <c r="T146" s="1088"/>
    </row>
    <row r="147" spans="1:20" s="1089" customFormat="1" ht="24.95" customHeight="1">
      <c r="A147" s="147">
        <v>46</v>
      </c>
      <c r="B147" s="103" t="s">
        <v>4283</v>
      </c>
      <c r="C147" s="103"/>
      <c r="D147" s="103" t="s">
        <v>79</v>
      </c>
      <c r="E147" s="103">
        <v>2</v>
      </c>
      <c r="F147" s="103">
        <v>4.2679999999999998</v>
      </c>
      <c r="G147" s="103" t="s">
        <v>32</v>
      </c>
      <c r="H147" s="103" t="s">
        <v>41</v>
      </c>
      <c r="I147" s="103" t="s">
        <v>4269</v>
      </c>
      <c r="J147" s="103" t="s">
        <v>4128</v>
      </c>
      <c r="K147" s="103" t="s">
        <v>4133</v>
      </c>
      <c r="L147" s="103">
        <v>34430.51</v>
      </c>
      <c r="M147" s="103">
        <v>7327.31</v>
      </c>
      <c r="N147" s="1066">
        <v>43770</v>
      </c>
      <c r="O147" s="1899"/>
      <c r="P147" s="1073" t="s">
        <v>4131</v>
      </c>
      <c r="Q147" s="103">
        <v>17373170973</v>
      </c>
      <c r="R147" s="103" t="s">
        <v>4132</v>
      </c>
      <c r="S147" s="1060" t="s">
        <v>4043</v>
      </c>
      <c r="T147" s="1088"/>
    </row>
    <row r="148" spans="1:20" s="1089" customFormat="1" ht="24.95" customHeight="1">
      <c r="A148" s="147">
        <v>47</v>
      </c>
      <c r="B148" s="103" t="s">
        <v>4284</v>
      </c>
      <c r="C148" s="103"/>
      <c r="D148" s="103" t="s">
        <v>79</v>
      </c>
      <c r="E148" s="103">
        <v>1</v>
      </c>
      <c r="F148" s="103">
        <v>0.77200000000000002</v>
      </c>
      <c r="G148" s="103" t="s">
        <v>32</v>
      </c>
      <c r="H148" s="103" t="s">
        <v>41</v>
      </c>
      <c r="I148" s="103" t="s">
        <v>4269</v>
      </c>
      <c r="J148" s="103" t="s">
        <v>4128</v>
      </c>
      <c r="K148" s="103" t="s">
        <v>4133</v>
      </c>
      <c r="L148" s="103">
        <v>6227.83</v>
      </c>
      <c r="M148" s="103">
        <v>1325.35</v>
      </c>
      <c r="N148" s="1066">
        <v>43770</v>
      </c>
      <c r="O148" s="1899"/>
      <c r="P148" s="1073" t="s">
        <v>4131</v>
      </c>
      <c r="Q148" s="103">
        <v>17373170973</v>
      </c>
      <c r="R148" s="103" t="s">
        <v>4132</v>
      </c>
      <c r="S148" s="1060" t="s">
        <v>4043</v>
      </c>
      <c r="T148" s="1088"/>
    </row>
    <row r="149" spans="1:20" s="1089" customFormat="1" ht="24.95" customHeight="1">
      <c r="A149" s="147">
        <v>48</v>
      </c>
      <c r="B149" s="103" t="s">
        <v>4285</v>
      </c>
      <c r="C149" s="103"/>
      <c r="D149" s="103" t="s">
        <v>79</v>
      </c>
      <c r="E149" s="103">
        <v>1</v>
      </c>
      <c r="F149" s="103">
        <v>0.442</v>
      </c>
      <c r="G149" s="103" t="s">
        <v>32</v>
      </c>
      <c r="H149" s="103" t="s">
        <v>41</v>
      </c>
      <c r="I149" s="103" t="s">
        <v>4269</v>
      </c>
      <c r="J149" s="103" t="s">
        <v>4128</v>
      </c>
      <c r="K149" s="103" t="s">
        <v>4133</v>
      </c>
      <c r="L149" s="103">
        <v>3565.67</v>
      </c>
      <c r="M149" s="103">
        <v>758.77999999999599</v>
      </c>
      <c r="N149" s="1066">
        <v>43770</v>
      </c>
      <c r="O149" s="1899"/>
      <c r="P149" s="1073" t="s">
        <v>4131</v>
      </c>
      <c r="Q149" s="103">
        <v>17373170973</v>
      </c>
      <c r="R149" s="103" t="s">
        <v>4132</v>
      </c>
      <c r="S149" s="1060" t="s">
        <v>4043</v>
      </c>
      <c r="T149" s="1088"/>
    </row>
    <row r="150" spans="1:20" s="1089" customFormat="1" ht="24.95" customHeight="1">
      <c r="A150" s="147">
        <v>49</v>
      </c>
      <c r="B150" s="103" t="s">
        <v>4286</v>
      </c>
      <c r="C150" s="103"/>
      <c r="D150" s="103" t="s">
        <v>79</v>
      </c>
      <c r="E150" s="103">
        <v>3</v>
      </c>
      <c r="F150" s="103">
        <v>3.6480000000000001</v>
      </c>
      <c r="G150" s="103" t="s">
        <v>32</v>
      </c>
      <c r="H150" s="103" t="s">
        <v>41</v>
      </c>
      <c r="I150" s="103" t="s">
        <v>4287</v>
      </c>
      <c r="J150" s="103" t="s">
        <v>4128</v>
      </c>
      <c r="K150" s="103" t="s">
        <v>4133</v>
      </c>
      <c r="L150" s="103">
        <v>29428.89</v>
      </c>
      <c r="M150" s="103">
        <v>6263.0600000000104</v>
      </c>
      <c r="N150" s="1066">
        <v>43770</v>
      </c>
      <c r="O150" s="1899"/>
      <c r="P150" s="1073" t="s">
        <v>4131</v>
      </c>
      <c r="Q150" s="103">
        <v>17373170973</v>
      </c>
      <c r="R150" s="103" t="s">
        <v>4132</v>
      </c>
      <c r="S150" s="1060" t="s">
        <v>4043</v>
      </c>
      <c r="T150" s="1088"/>
    </row>
    <row r="151" spans="1:20" s="1089" customFormat="1" ht="24.95" customHeight="1">
      <c r="A151" s="147">
        <v>50</v>
      </c>
      <c r="B151" s="103" t="s">
        <v>4288</v>
      </c>
      <c r="C151" s="103"/>
      <c r="D151" s="103" t="s">
        <v>79</v>
      </c>
      <c r="E151" s="103">
        <v>3</v>
      </c>
      <c r="F151" s="103">
        <v>5.1870000000000003</v>
      </c>
      <c r="G151" s="103" t="s">
        <v>32</v>
      </c>
      <c r="H151" s="103" t="s">
        <v>41</v>
      </c>
      <c r="I151" s="103" t="s">
        <v>4287</v>
      </c>
      <c r="J151" s="103" t="s">
        <v>4128</v>
      </c>
      <c r="K151" s="103" t="s">
        <v>4133</v>
      </c>
      <c r="L151" s="103">
        <v>41844.21</v>
      </c>
      <c r="M151" s="103">
        <v>8905.08</v>
      </c>
      <c r="N151" s="1066">
        <v>43770</v>
      </c>
      <c r="O151" s="1899"/>
      <c r="P151" s="1073" t="s">
        <v>4131</v>
      </c>
      <c r="Q151" s="103">
        <v>17373170973</v>
      </c>
      <c r="R151" s="103" t="s">
        <v>4132</v>
      </c>
      <c r="S151" s="1060" t="s">
        <v>4043</v>
      </c>
      <c r="T151" s="1088"/>
    </row>
    <row r="152" spans="1:20" s="1089" customFormat="1" ht="24.95" customHeight="1">
      <c r="A152" s="147">
        <v>51</v>
      </c>
      <c r="B152" s="103" t="s">
        <v>4289</v>
      </c>
      <c r="C152" s="103"/>
      <c r="D152" s="103" t="s">
        <v>79</v>
      </c>
      <c r="E152" s="103">
        <v>2</v>
      </c>
      <c r="F152" s="103">
        <v>1.3859999999999999</v>
      </c>
      <c r="G152" s="103" t="s">
        <v>32</v>
      </c>
      <c r="H152" s="103" t="s">
        <v>41</v>
      </c>
      <c r="I152" s="103" t="s">
        <v>4287</v>
      </c>
      <c r="J152" s="103" t="s">
        <v>4128</v>
      </c>
      <c r="K152" s="103" t="s">
        <v>4133</v>
      </c>
      <c r="L152" s="103">
        <v>11181.04</v>
      </c>
      <c r="M152" s="103">
        <v>2379.54</v>
      </c>
      <c r="N152" s="1066">
        <v>43770</v>
      </c>
      <c r="O152" s="1899"/>
      <c r="P152" s="1073" t="s">
        <v>4131</v>
      </c>
      <c r="Q152" s="103">
        <v>17373170973</v>
      </c>
      <c r="R152" s="103" t="s">
        <v>4132</v>
      </c>
      <c r="S152" s="1060" t="s">
        <v>4043</v>
      </c>
      <c r="T152" s="1088"/>
    </row>
    <row r="153" spans="1:20" s="1056" customFormat="1" ht="24.95" customHeight="1">
      <c r="A153" s="147">
        <v>52</v>
      </c>
      <c r="B153" s="103" t="s">
        <v>4290</v>
      </c>
      <c r="C153" s="103"/>
      <c r="D153" s="103" t="s">
        <v>79</v>
      </c>
      <c r="E153" s="103">
        <v>1</v>
      </c>
      <c r="F153" s="103">
        <v>1.147</v>
      </c>
      <c r="G153" s="103" t="s">
        <v>32</v>
      </c>
      <c r="H153" s="103" t="s">
        <v>41</v>
      </c>
      <c r="I153" s="103" t="s">
        <v>4287</v>
      </c>
      <c r="J153" s="103" t="s">
        <v>4128</v>
      </c>
      <c r="K153" s="103" t="s">
        <v>4133</v>
      </c>
      <c r="L153" s="103">
        <v>9253</v>
      </c>
      <c r="M153" s="103">
        <v>1969.23000000001</v>
      </c>
      <c r="N153" s="1066">
        <v>43770</v>
      </c>
      <c r="O153" s="1899"/>
      <c r="P153" s="1073" t="s">
        <v>4131</v>
      </c>
      <c r="Q153" s="103">
        <v>17373170973</v>
      </c>
      <c r="R153" s="103" t="s">
        <v>4132</v>
      </c>
      <c r="S153" s="1060" t="s">
        <v>4043</v>
      </c>
      <c r="T153" s="125"/>
    </row>
    <row r="154" spans="1:20" s="1056" customFormat="1" ht="24.95" customHeight="1">
      <c r="A154" s="147">
        <v>53</v>
      </c>
      <c r="B154" s="103" t="s">
        <v>4291</v>
      </c>
      <c r="C154" s="103"/>
      <c r="D154" s="103" t="s">
        <v>79</v>
      </c>
      <c r="E154" s="103">
        <v>1</v>
      </c>
      <c r="F154" s="103">
        <v>1.7130000000000001</v>
      </c>
      <c r="G154" s="103" t="s">
        <v>32</v>
      </c>
      <c r="H154" s="103" t="s">
        <v>41</v>
      </c>
      <c r="I154" s="103" t="s">
        <v>4287</v>
      </c>
      <c r="J154" s="103" t="s">
        <v>4128</v>
      </c>
      <c r="K154" s="103" t="s">
        <v>4133</v>
      </c>
      <c r="L154" s="103">
        <v>13819</v>
      </c>
      <c r="M154" s="103">
        <v>2940.8299999999799</v>
      </c>
      <c r="N154" s="1066">
        <v>43770</v>
      </c>
      <c r="O154" s="1899"/>
      <c r="P154" s="1073" t="s">
        <v>4131</v>
      </c>
      <c r="Q154" s="103">
        <v>17373170973</v>
      </c>
      <c r="R154" s="103" t="s">
        <v>4132</v>
      </c>
      <c r="S154" s="1060" t="s">
        <v>4043</v>
      </c>
      <c r="T154" s="125"/>
    </row>
    <row r="155" spans="1:20" s="1056" customFormat="1" ht="24.95" customHeight="1">
      <c r="A155" s="147">
        <v>54</v>
      </c>
      <c r="B155" s="103" t="s">
        <v>4292</v>
      </c>
      <c r="C155" s="103"/>
      <c r="D155" s="103" t="s">
        <v>79</v>
      </c>
      <c r="E155" s="103">
        <v>2</v>
      </c>
      <c r="F155" s="103">
        <v>0.86599999999999999</v>
      </c>
      <c r="G155" s="103" t="s">
        <v>32</v>
      </c>
      <c r="H155" s="103" t="s">
        <v>41</v>
      </c>
      <c r="I155" s="103" t="s">
        <v>4287</v>
      </c>
      <c r="J155" s="103" t="s">
        <v>4128</v>
      </c>
      <c r="K155" s="103" t="s">
        <v>4133</v>
      </c>
      <c r="L155" s="103">
        <v>6986.14</v>
      </c>
      <c r="M155" s="103">
        <v>1486.76</v>
      </c>
      <c r="N155" s="1066">
        <v>43770</v>
      </c>
      <c r="O155" s="1899"/>
      <c r="P155" s="1073" t="s">
        <v>4131</v>
      </c>
      <c r="Q155" s="103">
        <v>17373170973</v>
      </c>
      <c r="R155" s="103" t="s">
        <v>4132</v>
      </c>
      <c r="S155" s="1060" t="s">
        <v>4043</v>
      </c>
      <c r="T155" s="125"/>
    </row>
    <row r="156" spans="1:20" s="1056" customFormat="1" ht="24.95" customHeight="1">
      <c r="A156" s="147">
        <v>55</v>
      </c>
      <c r="B156" s="103" t="s">
        <v>4293</v>
      </c>
      <c r="C156" s="103" t="s">
        <v>4294</v>
      </c>
      <c r="D156" s="103" t="s">
        <v>79</v>
      </c>
      <c r="E156" s="103">
        <v>4</v>
      </c>
      <c r="F156" s="103">
        <v>6.8609999999999998</v>
      </c>
      <c r="G156" s="103" t="s">
        <v>32</v>
      </c>
      <c r="H156" s="103" t="s">
        <v>41</v>
      </c>
      <c r="I156" s="103" t="s">
        <v>4295</v>
      </c>
      <c r="J156" s="103" t="s">
        <v>4128</v>
      </c>
      <c r="K156" s="103" t="s">
        <v>4133</v>
      </c>
      <c r="L156" s="103">
        <v>55348.58</v>
      </c>
      <c r="M156" s="103">
        <v>11779.16</v>
      </c>
      <c r="N156" s="1066">
        <v>43770</v>
      </c>
      <c r="O156" s="1899"/>
      <c r="P156" s="1073" t="s">
        <v>4131</v>
      </c>
      <c r="Q156" s="103">
        <v>17373170973</v>
      </c>
      <c r="R156" s="103" t="s">
        <v>4132</v>
      </c>
      <c r="S156" s="1060" t="s">
        <v>4043</v>
      </c>
      <c r="T156" s="125"/>
    </row>
    <row r="157" spans="1:20" s="1056" customFormat="1" ht="24.95" customHeight="1">
      <c r="A157" s="147">
        <v>56</v>
      </c>
      <c r="B157" s="103" t="s">
        <v>4296</v>
      </c>
      <c r="C157" s="103"/>
      <c r="D157" s="103" t="s">
        <v>79</v>
      </c>
      <c r="E157" s="103">
        <v>1</v>
      </c>
      <c r="F157" s="103">
        <v>0.78300000000000003</v>
      </c>
      <c r="G157" s="103" t="s">
        <v>32</v>
      </c>
      <c r="H157" s="103" t="s">
        <v>41</v>
      </c>
      <c r="I157" s="103" t="s">
        <v>4295</v>
      </c>
      <c r="J157" s="103" t="s">
        <v>4128</v>
      </c>
      <c r="K157" s="103" t="s">
        <v>4133</v>
      </c>
      <c r="L157" s="103">
        <v>6316.56</v>
      </c>
      <c r="M157" s="103">
        <v>1344.33</v>
      </c>
      <c r="N157" s="1066">
        <v>43770</v>
      </c>
      <c r="O157" s="1899"/>
      <c r="P157" s="1073" t="s">
        <v>4131</v>
      </c>
      <c r="Q157" s="103">
        <v>17373170973</v>
      </c>
      <c r="R157" s="103" t="s">
        <v>4132</v>
      </c>
      <c r="S157" s="1060" t="s">
        <v>4043</v>
      </c>
      <c r="T157" s="125"/>
    </row>
    <row r="158" spans="1:20" s="1056" customFormat="1" ht="24.95" customHeight="1">
      <c r="A158" s="147">
        <v>57</v>
      </c>
      <c r="B158" s="103" t="s">
        <v>4297</v>
      </c>
      <c r="C158" s="103"/>
      <c r="D158" s="103" t="s">
        <v>79</v>
      </c>
      <c r="E158" s="103">
        <v>1</v>
      </c>
      <c r="F158" s="103">
        <v>0.72499999999999998</v>
      </c>
      <c r="G158" s="103" t="s">
        <v>32</v>
      </c>
      <c r="H158" s="103" t="s">
        <v>41</v>
      </c>
      <c r="I158" s="103" t="s">
        <v>4295</v>
      </c>
      <c r="J158" s="103" t="s">
        <v>4128</v>
      </c>
      <c r="K158" s="103" t="s">
        <v>4133</v>
      </c>
      <c r="L158" s="103">
        <v>5848.67</v>
      </c>
      <c r="M158" s="103">
        <v>1244.6400000000001</v>
      </c>
      <c r="N158" s="1066">
        <v>43770</v>
      </c>
      <c r="O158" s="1899"/>
      <c r="P158" s="1073" t="s">
        <v>4131</v>
      </c>
      <c r="Q158" s="103">
        <v>17373170973</v>
      </c>
      <c r="R158" s="103" t="s">
        <v>4132</v>
      </c>
      <c r="S158" s="1060" t="s">
        <v>4043</v>
      </c>
      <c r="T158" s="125"/>
    </row>
    <row r="159" spans="1:20" s="1056" customFormat="1" ht="24.95" customHeight="1">
      <c r="A159" s="147">
        <v>58</v>
      </c>
      <c r="B159" s="103" t="s">
        <v>4298</v>
      </c>
      <c r="C159" s="103"/>
      <c r="D159" s="103" t="s">
        <v>79</v>
      </c>
      <c r="E159" s="103">
        <v>2</v>
      </c>
      <c r="F159" s="103">
        <v>1.2110000000000001</v>
      </c>
      <c r="G159" s="103" t="s">
        <v>32</v>
      </c>
      <c r="H159" s="103" t="s">
        <v>41</v>
      </c>
      <c r="I159" s="103" t="s">
        <v>4295</v>
      </c>
      <c r="J159" s="103" t="s">
        <v>4128</v>
      </c>
      <c r="K159" s="103" t="s">
        <v>4133</v>
      </c>
      <c r="L159" s="103">
        <v>9769.2999999999993</v>
      </c>
      <c r="M159" s="103">
        <v>2079.0999999999899</v>
      </c>
      <c r="N159" s="1066">
        <v>43770</v>
      </c>
      <c r="O159" s="1899"/>
      <c r="P159" s="1073" t="s">
        <v>4131</v>
      </c>
      <c r="Q159" s="103">
        <v>17373170973</v>
      </c>
      <c r="R159" s="103" t="s">
        <v>4132</v>
      </c>
      <c r="S159" s="1060" t="s">
        <v>4043</v>
      </c>
      <c r="T159" s="125"/>
    </row>
    <row r="160" spans="1:20" s="1056" customFormat="1" ht="24.95" customHeight="1">
      <c r="A160" s="147">
        <v>59</v>
      </c>
      <c r="B160" s="103" t="s">
        <v>4299</v>
      </c>
      <c r="C160" s="103"/>
      <c r="D160" s="103" t="s">
        <v>79</v>
      </c>
      <c r="E160" s="103">
        <v>2</v>
      </c>
      <c r="F160" s="103">
        <v>4.21</v>
      </c>
      <c r="G160" s="103" t="s">
        <v>32</v>
      </c>
      <c r="H160" s="103" t="s">
        <v>41</v>
      </c>
      <c r="I160" s="103" t="s">
        <v>4295</v>
      </c>
      <c r="J160" s="103" t="s">
        <v>4128</v>
      </c>
      <c r="K160" s="103" t="s">
        <v>4133</v>
      </c>
      <c r="L160" s="103">
        <v>33962.620000000003</v>
      </c>
      <c r="M160" s="103">
        <v>7227.75000000002</v>
      </c>
      <c r="N160" s="1066">
        <v>43770</v>
      </c>
      <c r="O160" s="1899"/>
      <c r="P160" s="1073" t="s">
        <v>4131</v>
      </c>
      <c r="Q160" s="103">
        <v>17373170973</v>
      </c>
      <c r="R160" s="103" t="s">
        <v>4132</v>
      </c>
      <c r="S160" s="1060" t="s">
        <v>4043</v>
      </c>
      <c r="T160" s="125"/>
    </row>
    <row r="161" spans="1:20" s="1056" customFormat="1" ht="24.95" customHeight="1">
      <c r="A161" s="147">
        <v>60</v>
      </c>
      <c r="B161" s="103" t="s">
        <v>4300</v>
      </c>
      <c r="C161" s="103" t="s">
        <v>4301</v>
      </c>
      <c r="D161" s="103" t="s">
        <v>79</v>
      </c>
      <c r="E161" s="103">
        <v>1</v>
      </c>
      <c r="F161" s="103">
        <v>0.92100000000000004</v>
      </c>
      <c r="G161" s="103" t="s">
        <v>32</v>
      </c>
      <c r="H161" s="103" t="s">
        <v>41</v>
      </c>
      <c r="I161" s="103" t="s">
        <v>4269</v>
      </c>
      <c r="J161" s="103" t="s">
        <v>4128</v>
      </c>
      <c r="K161" s="103" t="s">
        <v>4133</v>
      </c>
      <c r="L161" s="103">
        <v>7429.83</v>
      </c>
      <c r="M161" s="103">
        <v>1581.28999999999</v>
      </c>
      <c r="N161" s="1066">
        <v>43770</v>
      </c>
      <c r="O161" s="1899"/>
      <c r="P161" s="1073" t="s">
        <v>4131</v>
      </c>
      <c r="Q161" s="103">
        <v>17373170973</v>
      </c>
      <c r="R161" s="103" t="s">
        <v>4132</v>
      </c>
      <c r="S161" s="1060" t="s">
        <v>4043</v>
      </c>
      <c r="T161" s="125"/>
    </row>
    <row r="162" spans="1:20" s="1056" customFormat="1" ht="24.95" customHeight="1">
      <c r="A162" s="147">
        <v>61</v>
      </c>
      <c r="B162" s="103" t="s">
        <v>4302</v>
      </c>
      <c r="C162" s="103" t="s">
        <v>4303</v>
      </c>
      <c r="D162" s="103" t="s">
        <v>79</v>
      </c>
      <c r="E162" s="103">
        <v>1</v>
      </c>
      <c r="F162" s="103">
        <v>1.3480000000000001</v>
      </c>
      <c r="G162" s="103" t="s">
        <v>32</v>
      </c>
      <c r="H162" s="103" t="s">
        <v>41</v>
      </c>
      <c r="I162" s="103" t="s">
        <v>4269</v>
      </c>
      <c r="J162" s="103" t="s">
        <v>4128</v>
      </c>
      <c r="K162" s="103" t="s">
        <v>4133</v>
      </c>
      <c r="L162" s="103">
        <v>10874.49</v>
      </c>
      <c r="M162" s="103">
        <v>2314.3000000000102</v>
      </c>
      <c r="N162" s="1066">
        <v>43770</v>
      </c>
      <c r="O162" s="1899"/>
      <c r="P162" s="1073" t="s">
        <v>4131</v>
      </c>
      <c r="Q162" s="103">
        <v>17373170973</v>
      </c>
      <c r="R162" s="103" t="s">
        <v>4132</v>
      </c>
      <c r="S162" s="1060" t="s">
        <v>4043</v>
      </c>
      <c r="T162" s="125"/>
    </row>
    <row r="163" spans="1:20" s="1056" customFormat="1" ht="24.95" customHeight="1">
      <c r="A163" s="147">
        <v>62</v>
      </c>
      <c r="B163" s="103" t="s">
        <v>4304</v>
      </c>
      <c r="C163" s="103" t="s">
        <v>4305</v>
      </c>
      <c r="D163" s="103" t="s">
        <v>79</v>
      </c>
      <c r="E163" s="103">
        <v>1</v>
      </c>
      <c r="F163" s="103">
        <v>0.59099999999999997</v>
      </c>
      <c r="G163" s="103" t="s">
        <v>32</v>
      </c>
      <c r="H163" s="103" t="s">
        <v>41</v>
      </c>
      <c r="I163" s="103" t="s">
        <v>4269</v>
      </c>
      <c r="J163" s="103" t="s">
        <v>4128</v>
      </c>
      <c r="K163" s="103" t="s">
        <v>4133</v>
      </c>
      <c r="L163" s="103">
        <v>4767.67</v>
      </c>
      <c r="M163" s="103">
        <v>1014.72</v>
      </c>
      <c r="N163" s="1066">
        <v>43770</v>
      </c>
      <c r="O163" s="1899"/>
      <c r="P163" s="1073" t="s">
        <v>4131</v>
      </c>
      <c r="Q163" s="103">
        <v>17373170973</v>
      </c>
      <c r="R163" s="103" t="s">
        <v>4132</v>
      </c>
      <c r="S163" s="1060" t="s">
        <v>4043</v>
      </c>
      <c r="T163" s="125"/>
    </row>
    <row r="164" spans="1:20" s="1056" customFormat="1" ht="24.95" customHeight="1">
      <c r="A164" s="147">
        <v>63</v>
      </c>
      <c r="B164" s="103" t="s">
        <v>4306</v>
      </c>
      <c r="C164" s="103" t="s">
        <v>4307</v>
      </c>
      <c r="D164" s="103" t="s">
        <v>79</v>
      </c>
      <c r="E164" s="103">
        <v>1</v>
      </c>
      <c r="F164" s="103">
        <v>0.17799999999999999</v>
      </c>
      <c r="G164" s="103" t="s">
        <v>32</v>
      </c>
      <c r="H164" s="103" t="s">
        <v>41</v>
      </c>
      <c r="I164" s="103" t="s">
        <v>4269</v>
      </c>
      <c r="J164" s="103" t="s">
        <v>4128</v>
      </c>
      <c r="K164" s="103" t="s">
        <v>4133</v>
      </c>
      <c r="L164" s="103">
        <v>1435.95</v>
      </c>
      <c r="M164" s="103">
        <v>305.59999999999798</v>
      </c>
      <c r="N164" s="1066">
        <v>43770</v>
      </c>
      <c r="O164" s="1899"/>
      <c r="P164" s="1073" t="s">
        <v>4131</v>
      </c>
      <c r="Q164" s="103">
        <v>17373170973</v>
      </c>
      <c r="R164" s="103" t="s">
        <v>4132</v>
      </c>
      <c r="S164" s="1060" t="s">
        <v>4043</v>
      </c>
      <c r="T164" s="125"/>
    </row>
    <row r="165" spans="1:20" s="1056" customFormat="1" ht="24.95" customHeight="1">
      <c r="A165" s="147">
        <v>64</v>
      </c>
      <c r="B165" s="103" t="s">
        <v>4304</v>
      </c>
      <c r="C165" s="103" t="s">
        <v>4308</v>
      </c>
      <c r="D165" s="103" t="s">
        <v>79</v>
      </c>
      <c r="E165" s="103">
        <v>1</v>
      </c>
      <c r="F165" s="103">
        <v>0.86699999999999999</v>
      </c>
      <c r="G165" s="103" t="s">
        <v>32</v>
      </c>
      <c r="H165" s="103" t="s">
        <v>41</v>
      </c>
      <c r="I165" s="103" t="s">
        <v>4269</v>
      </c>
      <c r="J165" s="103" t="s">
        <v>4128</v>
      </c>
      <c r="K165" s="103" t="s">
        <v>4133</v>
      </c>
      <c r="L165" s="103">
        <v>6994.2</v>
      </c>
      <c r="M165" s="103">
        <v>1488.51999999998</v>
      </c>
      <c r="N165" s="1066">
        <v>43770</v>
      </c>
      <c r="O165" s="1899"/>
      <c r="P165" s="1073" t="s">
        <v>4131</v>
      </c>
      <c r="Q165" s="103">
        <v>17373170973</v>
      </c>
      <c r="R165" s="103" t="s">
        <v>4132</v>
      </c>
      <c r="S165" s="1060" t="s">
        <v>4043</v>
      </c>
      <c r="T165" s="125"/>
    </row>
    <row r="166" spans="1:20" s="1056" customFormat="1" ht="24.95" customHeight="1">
      <c r="A166" s="147">
        <v>65</v>
      </c>
      <c r="B166" s="103" t="s">
        <v>4306</v>
      </c>
      <c r="C166" s="103" t="s">
        <v>4309</v>
      </c>
      <c r="D166" s="103" t="s">
        <v>79</v>
      </c>
      <c r="E166" s="103">
        <v>1</v>
      </c>
      <c r="F166" s="103">
        <v>0.42799999999999999</v>
      </c>
      <c r="G166" s="103" t="s">
        <v>32</v>
      </c>
      <c r="H166" s="103" t="s">
        <v>41</v>
      </c>
      <c r="I166" s="103" t="s">
        <v>4269</v>
      </c>
      <c r="J166" s="103" t="s">
        <v>4128</v>
      </c>
      <c r="K166" s="103" t="s">
        <v>4133</v>
      </c>
      <c r="L166" s="103">
        <v>3452.73</v>
      </c>
      <c r="M166" s="103">
        <v>734.76999999999396</v>
      </c>
      <c r="N166" s="1066">
        <v>43770</v>
      </c>
      <c r="O166" s="1899"/>
      <c r="P166" s="1073" t="s">
        <v>4131</v>
      </c>
      <c r="Q166" s="103">
        <v>17373170973</v>
      </c>
      <c r="R166" s="103" t="s">
        <v>4132</v>
      </c>
      <c r="S166" s="1060" t="s">
        <v>4043</v>
      </c>
      <c r="T166" s="125"/>
    </row>
    <row r="167" spans="1:20" s="1056" customFormat="1" ht="24.95" customHeight="1">
      <c r="A167" s="147">
        <v>66</v>
      </c>
      <c r="B167" s="103" t="s">
        <v>4302</v>
      </c>
      <c r="C167" s="103" t="s">
        <v>4310</v>
      </c>
      <c r="D167" s="103" t="s">
        <v>79</v>
      </c>
      <c r="E167" s="103">
        <v>1</v>
      </c>
      <c r="F167" s="103">
        <v>1.494</v>
      </c>
      <c r="G167" s="103" t="s">
        <v>32</v>
      </c>
      <c r="H167" s="103" t="s">
        <v>41</v>
      </c>
      <c r="I167" s="103" t="s">
        <v>4269</v>
      </c>
      <c r="J167" s="103" t="s">
        <v>4128</v>
      </c>
      <c r="K167" s="103" t="s">
        <v>4133</v>
      </c>
      <c r="L167" s="103">
        <v>12052.29</v>
      </c>
      <c r="M167" s="103">
        <v>2564.95999999999</v>
      </c>
      <c r="N167" s="1066">
        <v>43770</v>
      </c>
      <c r="O167" s="1899"/>
      <c r="P167" s="1073" t="s">
        <v>4131</v>
      </c>
      <c r="Q167" s="103">
        <v>17373170973</v>
      </c>
      <c r="R167" s="103" t="s">
        <v>4132</v>
      </c>
      <c r="S167" s="1060" t="s">
        <v>4043</v>
      </c>
      <c r="T167" s="125"/>
    </row>
    <row r="168" spans="1:20" s="1056" customFormat="1" ht="24.95" customHeight="1">
      <c r="A168" s="147">
        <v>67</v>
      </c>
      <c r="B168" s="103" t="s">
        <v>4311</v>
      </c>
      <c r="C168" s="103" t="s">
        <v>4301</v>
      </c>
      <c r="D168" s="103" t="s">
        <v>79</v>
      </c>
      <c r="E168" s="103">
        <v>1</v>
      </c>
      <c r="F168" s="103">
        <v>0.92100000000000004</v>
      </c>
      <c r="G168" s="103" t="s">
        <v>32</v>
      </c>
      <c r="H168" s="103" t="s">
        <v>41</v>
      </c>
      <c r="I168" s="103" t="s">
        <v>4269</v>
      </c>
      <c r="J168" s="103" t="s">
        <v>4128</v>
      </c>
      <c r="K168" s="103" t="s">
        <v>4133</v>
      </c>
      <c r="L168" s="103">
        <v>7429.83</v>
      </c>
      <c r="M168" s="103">
        <v>1581.28999999999</v>
      </c>
      <c r="N168" s="1066">
        <v>43770</v>
      </c>
      <c r="O168" s="1899"/>
      <c r="P168" s="1073" t="s">
        <v>4131</v>
      </c>
      <c r="Q168" s="103">
        <v>17373170973</v>
      </c>
      <c r="R168" s="103" t="s">
        <v>4132</v>
      </c>
      <c r="S168" s="1060" t="s">
        <v>4043</v>
      </c>
      <c r="T168" s="125"/>
    </row>
    <row r="169" spans="1:20" s="1056" customFormat="1" ht="24.95" customHeight="1">
      <c r="A169" s="147">
        <v>68</v>
      </c>
      <c r="B169" s="103" t="s">
        <v>4311</v>
      </c>
      <c r="C169" s="103" t="s">
        <v>4312</v>
      </c>
      <c r="D169" s="103" t="s">
        <v>79</v>
      </c>
      <c r="E169" s="103">
        <v>1</v>
      </c>
      <c r="F169" s="103">
        <v>0.35</v>
      </c>
      <c r="G169" s="103" t="s">
        <v>32</v>
      </c>
      <c r="H169" s="103" t="s">
        <v>41</v>
      </c>
      <c r="I169" s="103" t="s">
        <v>4269</v>
      </c>
      <c r="J169" s="103" t="s">
        <v>4128</v>
      </c>
      <c r="K169" s="103" t="s">
        <v>4133</v>
      </c>
      <c r="L169" s="103">
        <v>2823.5</v>
      </c>
      <c r="M169" s="103">
        <v>600.88999999999805</v>
      </c>
      <c r="N169" s="1066">
        <v>43770</v>
      </c>
      <c r="O169" s="1899"/>
      <c r="P169" s="1073" t="s">
        <v>4131</v>
      </c>
      <c r="Q169" s="103">
        <v>17373170973</v>
      </c>
      <c r="R169" s="103" t="s">
        <v>4132</v>
      </c>
      <c r="S169" s="1060" t="s">
        <v>4043</v>
      </c>
      <c r="T169" s="125"/>
    </row>
    <row r="170" spans="1:20" s="1056" customFormat="1" ht="24.95" customHeight="1">
      <c r="A170" s="147">
        <v>69</v>
      </c>
      <c r="B170" s="103" t="s">
        <v>4313</v>
      </c>
      <c r="C170" s="103" t="s">
        <v>4314</v>
      </c>
      <c r="D170" s="103" t="s">
        <v>79</v>
      </c>
      <c r="E170" s="103">
        <v>1</v>
      </c>
      <c r="F170" s="103">
        <v>4.9189999999999996</v>
      </c>
      <c r="G170" s="103" t="s">
        <v>32</v>
      </c>
      <c r="H170" s="103" t="s">
        <v>41</v>
      </c>
      <c r="I170" s="103" t="s">
        <v>4269</v>
      </c>
      <c r="J170" s="103" t="s">
        <v>4128</v>
      </c>
      <c r="K170" s="103" t="s">
        <v>4133</v>
      </c>
      <c r="L170" s="103">
        <v>39682.22</v>
      </c>
      <c r="M170" s="103">
        <v>8444.9900000000198</v>
      </c>
      <c r="N170" s="1066">
        <v>43770</v>
      </c>
      <c r="O170" s="1899"/>
      <c r="P170" s="1073" t="s">
        <v>4131</v>
      </c>
      <c r="Q170" s="103">
        <v>17373170973</v>
      </c>
      <c r="R170" s="103" t="s">
        <v>4132</v>
      </c>
      <c r="S170" s="1060" t="s">
        <v>4043</v>
      </c>
      <c r="T170" s="125"/>
    </row>
    <row r="171" spans="1:20" s="1056" customFormat="1" ht="24.95" customHeight="1">
      <c r="A171" s="147">
        <v>70</v>
      </c>
      <c r="B171" s="103" t="s">
        <v>4313</v>
      </c>
      <c r="C171" s="103" t="s">
        <v>4303</v>
      </c>
      <c r="D171" s="103" t="s">
        <v>79</v>
      </c>
      <c r="E171" s="103">
        <v>1</v>
      </c>
      <c r="F171" s="103">
        <v>1.3480000000000001</v>
      </c>
      <c r="G171" s="103" t="s">
        <v>32</v>
      </c>
      <c r="H171" s="103" t="s">
        <v>41</v>
      </c>
      <c r="I171" s="103" t="s">
        <v>4269</v>
      </c>
      <c r="J171" s="103" t="s">
        <v>4128</v>
      </c>
      <c r="K171" s="103" t="s">
        <v>4133</v>
      </c>
      <c r="L171" s="103">
        <v>10874.49</v>
      </c>
      <c r="M171" s="103">
        <v>2314.3000000000102</v>
      </c>
      <c r="N171" s="1066">
        <v>43770</v>
      </c>
      <c r="O171" s="1899"/>
      <c r="P171" s="1073" t="s">
        <v>4131</v>
      </c>
      <c r="Q171" s="103">
        <v>17373170973</v>
      </c>
      <c r="R171" s="103" t="s">
        <v>4132</v>
      </c>
      <c r="S171" s="1060" t="s">
        <v>4043</v>
      </c>
      <c r="T171" s="125"/>
    </row>
    <row r="172" spans="1:20" s="1056" customFormat="1" ht="24.95" customHeight="1">
      <c r="A172" s="147">
        <v>71</v>
      </c>
      <c r="B172" s="103" t="s">
        <v>4315</v>
      </c>
      <c r="C172" s="103" t="s">
        <v>4308</v>
      </c>
      <c r="D172" s="103" t="s">
        <v>79</v>
      </c>
      <c r="E172" s="103">
        <v>1</v>
      </c>
      <c r="F172" s="103">
        <v>0.86699999999999999</v>
      </c>
      <c r="G172" s="103" t="s">
        <v>32</v>
      </c>
      <c r="H172" s="103" t="s">
        <v>41</v>
      </c>
      <c r="I172" s="103" t="s">
        <v>4269</v>
      </c>
      <c r="J172" s="103" t="s">
        <v>4128</v>
      </c>
      <c r="K172" s="103" t="s">
        <v>4133</v>
      </c>
      <c r="L172" s="103">
        <v>6994.2</v>
      </c>
      <c r="M172" s="103">
        <v>1488.51999999998</v>
      </c>
      <c r="N172" s="1066">
        <v>43770</v>
      </c>
      <c r="O172" s="1899"/>
      <c r="P172" s="1073" t="s">
        <v>4131</v>
      </c>
      <c r="Q172" s="103">
        <v>17373170973</v>
      </c>
      <c r="R172" s="103" t="s">
        <v>4132</v>
      </c>
      <c r="S172" s="1060" t="s">
        <v>4043</v>
      </c>
      <c r="T172" s="125"/>
    </row>
    <row r="173" spans="1:20" s="1056" customFormat="1" ht="24.95" customHeight="1">
      <c r="A173" s="147">
        <v>72</v>
      </c>
      <c r="B173" s="103" t="s">
        <v>4315</v>
      </c>
      <c r="C173" s="103" t="s">
        <v>4305</v>
      </c>
      <c r="D173" s="103" t="s">
        <v>79</v>
      </c>
      <c r="E173" s="103">
        <v>1</v>
      </c>
      <c r="F173" s="103">
        <v>0.59099999999999997</v>
      </c>
      <c r="G173" s="103" t="s">
        <v>32</v>
      </c>
      <c r="H173" s="103" t="s">
        <v>41</v>
      </c>
      <c r="I173" s="103" t="s">
        <v>4269</v>
      </c>
      <c r="J173" s="103" t="s">
        <v>4128</v>
      </c>
      <c r="K173" s="103" t="s">
        <v>4133</v>
      </c>
      <c r="L173" s="103">
        <v>4767.67</v>
      </c>
      <c r="M173" s="103">
        <v>1014.72</v>
      </c>
      <c r="N173" s="1066">
        <v>43770</v>
      </c>
      <c r="O173" s="1899"/>
      <c r="P173" s="1073" t="s">
        <v>4131</v>
      </c>
      <c r="Q173" s="103">
        <v>17373170973</v>
      </c>
      <c r="R173" s="103" t="s">
        <v>4132</v>
      </c>
      <c r="S173" s="1060" t="s">
        <v>4043</v>
      </c>
      <c r="T173" s="125"/>
    </row>
    <row r="174" spans="1:20" s="1056" customFormat="1" ht="24.95" customHeight="1">
      <c r="A174" s="147">
        <v>73</v>
      </c>
      <c r="B174" s="103" t="s">
        <v>243</v>
      </c>
      <c r="C174" s="103"/>
      <c r="D174" s="103"/>
      <c r="E174" s="103"/>
      <c r="F174" s="103">
        <v>25.143999999999998</v>
      </c>
      <c r="G174" s="103" t="s">
        <v>32</v>
      </c>
      <c r="H174" s="103" t="s">
        <v>41</v>
      </c>
      <c r="I174" s="103" t="s">
        <v>4269</v>
      </c>
      <c r="J174" s="103" t="s">
        <v>4128</v>
      </c>
      <c r="K174" s="103" t="s">
        <v>4133</v>
      </c>
      <c r="L174" s="103">
        <v>228251.08</v>
      </c>
      <c r="M174" s="103">
        <v>50785.739999999903</v>
      </c>
      <c r="N174" s="1066">
        <v>44105</v>
      </c>
      <c r="O174" s="1899"/>
      <c r="P174" s="1073" t="s">
        <v>4131</v>
      </c>
      <c r="Q174" s="103">
        <v>17373170973</v>
      </c>
      <c r="R174" s="103" t="s">
        <v>4132</v>
      </c>
      <c r="S174" s="1060" t="s">
        <v>4043</v>
      </c>
      <c r="T174" s="125"/>
    </row>
    <row r="175" spans="1:20" s="1056" customFormat="1" ht="24.95" customHeight="1">
      <c r="A175" s="147">
        <v>74</v>
      </c>
      <c r="B175" s="103" t="s">
        <v>164</v>
      </c>
      <c r="C175" s="103"/>
      <c r="D175" s="103" t="s">
        <v>79</v>
      </c>
      <c r="E175" s="103">
        <v>2</v>
      </c>
      <c r="F175" s="103">
        <v>85.516000000000005</v>
      </c>
      <c r="G175" s="103" t="s">
        <v>32</v>
      </c>
      <c r="H175" s="103" t="s">
        <v>41</v>
      </c>
      <c r="I175" s="103" t="s">
        <v>4316</v>
      </c>
      <c r="J175" s="103" t="s">
        <v>4128</v>
      </c>
      <c r="K175" s="103" t="s">
        <v>4133</v>
      </c>
      <c r="L175" s="103">
        <v>1434761.11</v>
      </c>
      <c r="M175" s="103">
        <v>258608.84</v>
      </c>
      <c r="N175" s="1066">
        <v>44105</v>
      </c>
      <c r="O175" s="1899"/>
      <c r="P175" s="1073" t="s">
        <v>4131</v>
      </c>
      <c r="Q175" s="103">
        <v>17373170973</v>
      </c>
      <c r="R175" s="103" t="s">
        <v>4132</v>
      </c>
      <c r="S175" s="1060" t="s">
        <v>4043</v>
      </c>
      <c r="T175" s="125"/>
    </row>
    <row r="176" spans="1:20" s="1056" customFormat="1" ht="24.95" customHeight="1">
      <c r="A176" s="147">
        <v>75</v>
      </c>
      <c r="B176" s="103" t="s">
        <v>4317</v>
      </c>
      <c r="C176" s="103"/>
      <c r="D176" s="103" t="s">
        <v>79</v>
      </c>
      <c r="E176" s="103">
        <v>1</v>
      </c>
      <c r="F176" s="103">
        <v>67.069999999999993</v>
      </c>
      <c r="G176" s="103" t="s">
        <v>32</v>
      </c>
      <c r="H176" s="103" t="s">
        <v>41</v>
      </c>
      <c r="I176" s="103" t="s">
        <v>4269</v>
      </c>
      <c r="J176" s="103" t="s">
        <v>4128</v>
      </c>
      <c r="K176" s="103" t="s">
        <v>4133</v>
      </c>
      <c r="L176" s="103">
        <v>435574.69</v>
      </c>
      <c r="M176" s="103">
        <v>13513.53</v>
      </c>
      <c r="N176" s="1066">
        <v>44105</v>
      </c>
      <c r="O176" s="1899"/>
      <c r="P176" s="1073" t="s">
        <v>4131</v>
      </c>
      <c r="Q176" s="103">
        <v>17373170973</v>
      </c>
      <c r="R176" s="103" t="s">
        <v>4132</v>
      </c>
      <c r="S176" s="1060" t="s">
        <v>4043</v>
      </c>
      <c r="T176" s="125"/>
    </row>
    <row r="177" spans="1:20" s="1056" customFormat="1" ht="24.95" customHeight="1">
      <c r="A177" s="147">
        <v>76</v>
      </c>
      <c r="B177" s="103" t="s">
        <v>4318</v>
      </c>
      <c r="C177" s="103"/>
      <c r="D177" s="103" t="s">
        <v>79</v>
      </c>
      <c r="E177" s="103">
        <v>3</v>
      </c>
      <c r="F177" s="103">
        <v>30.166</v>
      </c>
      <c r="G177" s="103" t="s">
        <v>32</v>
      </c>
      <c r="H177" s="103" t="s">
        <v>41</v>
      </c>
      <c r="I177" s="103" t="s">
        <v>4319</v>
      </c>
      <c r="J177" s="103" t="s">
        <v>4128</v>
      </c>
      <c r="K177" s="103" t="s">
        <v>4133</v>
      </c>
      <c r="L177" s="103">
        <v>243353.08</v>
      </c>
      <c r="M177" s="103">
        <v>51789.610000000102</v>
      </c>
      <c r="N177" s="1066">
        <v>43891</v>
      </c>
      <c r="O177" s="1899"/>
      <c r="P177" s="1073" t="s">
        <v>4131</v>
      </c>
      <c r="Q177" s="103">
        <v>17373170973</v>
      </c>
      <c r="R177" s="103" t="s">
        <v>4132</v>
      </c>
      <c r="S177" s="1060" t="s">
        <v>4043</v>
      </c>
      <c r="T177" s="125" t="s">
        <v>4320</v>
      </c>
    </row>
    <row r="178" spans="1:20" s="1056" customFormat="1" ht="24.95" customHeight="1">
      <c r="A178" s="147">
        <v>77</v>
      </c>
      <c r="B178" s="103" t="s">
        <v>4318</v>
      </c>
      <c r="C178" s="103"/>
      <c r="D178" s="103" t="s">
        <v>79</v>
      </c>
      <c r="E178" s="103">
        <v>3</v>
      </c>
      <c r="F178" s="103">
        <v>32.97</v>
      </c>
      <c r="G178" s="103" t="s">
        <v>32</v>
      </c>
      <c r="H178" s="103" t="s">
        <v>41</v>
      </c>
      <c r="I178" s="103" t="s">
        <v>4319</v>
      </c>
      <c r="J178" s="103" t="s">
        <v>4128</v>
      </c>
      <c r="K178" s="103" t="s">
        <v>4133</v>
      </c>
      <c r="L178" s="103">
        <v>299293.59000000003</v>
      </c>
      <c r="M178" s="103">
        <v>66592.63</v>
      </c>
      <c r="N178" s="1066">
        <v>44105</v>
      </c>
      <c r="O178" s="1899"/>
      <c r="P178" s="1073" t="s">
        <v>4131</v>
      </c>
      <c r="Q178" s="103">
        <v>17373170973</v>
      </c>
      <c r="R178" s="103" t="s">
        <v>4132</v>
      </c>
      <c r="S178" s="1060" t="s">
        <v>4043</v>
      </c>
      <c r="T178" s="125"/>
    </row>
    <row r="179" spans="1:20" s="1056" customFormat="1" ht="24.95" customHeight="1">
      <c r="A179" s="147">
        <v>78</v>
      </c>
      <c r="B179" s="103" t="s">
        <v>4318</v>
      </c>
      <c r="C179" s="103"/>
      <c r="D179" s="103" t="s">
        <v>79</v>
      </c>
      <c r="E179" s="103">
        <v>6</v>
      </c>
      <c r="F179" s="103">
        <v>85.89</v>
      </c>
      <c r="G179" s="103"/>
      <c r="H179" s="103" t="s">
        <v>41</v>
      </c>
      <c r="I179" s="103"/>
      <c r="J179" s="103"/>
      <c r="K179" s="103"/>
      <c r="L179" s="103">
        <v>296842.74</v>
      </c>
      <c r="M179" s="103">
        <v>23785.040000000001</v>
      </c>
      <c r="N179" s="1066">
        <v>44197</v>
      </c>
      <c r="O179" s="1905"/>
      <c r="P179" s="1073" t="s">
        <v>4131</v>
      </c>
      <c r="Q179" s="103">
        <v>17373170973</v>
      </c>
      <c r="R179" s="103" t="s">
        <v>4132</v>
      </c>
      <c r="S179" s="1060" t="s">
        <v>4043</v>
      </c>
      <c r="T179" s="125"/>
    </row>
    <row r="180" spans="1:20" s="1056" customFormat="1" ht="24.95" customHeight="1">
      <c r="A180" s="1070">
        <v>4</v>
      </c>
      <c r="B180" s="1071" t="s">
        <v>353</v>
      </c>
      <c r="C180" s="103"/>
      <c r="D180" s="103"/>
      <c r="E180" s="103"/>
      <c r="F180" s="103"/>
      <c r="G180" s="103"/>
      <c r="H180" s="103"/>
      <c r="I180" s="103"/>
      <c r="J180" s="103"/>
      <c r="K180" s="103"/>
      <c r="L180" s="103"/>
      <c r="M180" s="103"/>
      <c r="N180" s="103"/>
      <c r="O180" s="1055"/>
      <c r="P180" s="1053"/>
      <c r="Q180" s="1055"/>
      <c r="R180" s="1055"/>
      <c r="S180" s="1055"/>
      <c r="T180" s="125"/>
    </row>
    <row r="181" spans="1:20" s="1056" customFormat="1" ht="24.95" customHeight="1">
      <c r="A181" s="1053">
        <v>1</v>
      </c>
      <c r="B181" s="103" t="s">
        <v>398</v>
      </c>
      <c r="C181" s="103" t="s">
        <v>4321</v>
      </c>
      <c r="D181" s="103" t="s">
        <v>62</v>
      </c>
      <c r="E181" s="103">
        <v>6</v>
      </c>
      <c r="F181" s="103">
        <v>318.32</v>
      </c>
      <c r="G181" s="103" t="s">
        <v>32</v>
      </c>
      <c r="H181" s="103" t="s">
        <v>33</v>
      </c>
      <c r="I181" s="103" t="s">
        <v>4322</v>
      </c>
      <c r="J181" s="103" t="s">
        <v>4088</v>
      </c>
      <c r="K181" s="103" t="s">
        <v>137</v>
      </c>
      <c r="L181" s="103">
        <v>2087390.53</v>
      </c>
      <c r="M181" s="103">
        <v>626217.15899999999</v>
      </c>
      <c r="N181" s="103" t="s">
        <v>4323</v>
      </c>
      <c r="O181" s="1903" t="s">
        <v>4090</v>
      </c>
      <c r="P181" s="103" t="s">
        <v>4091</v>
      </c>
      <c r="Q181" s="103">
        <v>19906957772</v>
      </c>
      <c r="R181" s="103" t="s">
        <v>4092</v>
      </c>
      <c r="S181" s="125" t="s">
        <v>4043</v>
      </c>
      <c r="T181" s="125"/>
    </row>
    <row r="182" spans="1:20" s="1056" customFormat="1" ht="24.95" customHeight="1">
      <c r="A182" s="1053">
        <v>2</v>
      </c>
      <c r="B182" s="103" t="s">
        <v>398</v>
      </c>
      <c r="C182" s="103" t="s">
        <v>4324</v>
      </c>
      <c r="D182" s="103" t="s">
        <v>62</v>
      </c>
      <c r="E182" s="103">
        <v>2</v>
      </c>
      <c r="F182" s="103">
        <v>93.68</v>
      </c>
      <c r="G182" s="103" t="s">
        <v>32</v>
      </c>
      <c r="H182" s="103" t="s">
        <v>33</v>
      </c>
      <c r="I182" s="103" t="s">
        <v>4325</v>
      </c>
      <c r="J182" s="103"/>
      <c r="K182" s="103"/>
      <c r="L182" s="103">
        <v>601873.29</v>
      </c>
      <c r="M182" s="103">
        <v>180561.98699999999</v>
      </c>
      <c r="N182" s="103" t="s">
        <v>4326</v>
      </c>
      <c r="O182" s="1903"/>
      <c r="P182" s="103" t="s">
        <v>4091</v>
      </c>
      <c r="Q182" s="103">
        <v>19906957772</v>
      </c>
      <c r="R182" s="103" t="s">
        <v>4092</v>
      </c>
      <c r="S182" s="125" t="s">
        <v>4043</v>
      </c>
      <c r="T182" s="125"/>
    </row>
    <row r="183" spans="1:20" s="1056" customFormat="1" ht="24.95" customHeight="1">
      <c r="A183" s="1053">
        <v>3</v>
      </c>
      <c r="B183" s="103" t="s">
        <v>398</v>
      </c>
      <c r="C183" s="103" t="s">
        <v>4324</v>
      </c>
      <c r="D183" s="103" t="s">
        <v>62</v>
      </c>
      <c r="E183" s="103">
        <v>2</v>
      </c>
      <c r="F183" s="103">
        <v>55.7</v>
      </c>
      <c r="G183" s="103" t="s">
        <v>32</v>
      </c>
      <c r="H183" s="103" t="s">
        <v>33</v>
      </c>
      <c r="I183" s="103" t="s">
        <v>4322</v>
      </c>
      <c r="J183" s="103"/>
      <c r="K183" s="103"/>
      <c r="L183" s="103">
        <v>361803.52000000002</v>
      </c>
      <c r="M183" s="103">
        <v>108541.056</v>
      </c>
      <c r="N183" s="103" t="s">
        <v>4326</v>
      </c>
      <c r="O183" s="1903"/>
      <c r="P183" s="103" t="s">
        <v>4091</v>
      </c>
      <c r="Q183" s="103">
        <v>19906957772</v>
      </c>
      <c r="R183" s="103" t="s">
        <v>4092</v>
      </c>
      <c r="S183" s="125" t="s">
        <v>4043</v>
      </c>
      <c r="T183" s="125"/>
    </row>
    <row r="184" spans="1:20" s="1056" customFormat="1" ht="24.95" customHeight="1">
      <c r="A184" s="1070">
        <v>5</v>
      </c>
      <c r="B184" s="1071" t="s">
        <v>510</v>
      </c>
      <c r="C184" s="103"/>
      <c r="D184" s="103"/>
      <c r="E184" s="103"/>
      <c r="F184" s="103"/>
      <c r="G184" s="103"/>
      <c r="H184" s="103"/>
      <c r="I184" s="103"/>
      <c r="J184" s="103"/>
      <c r="K184" s="103"/>
      <c r="L184" s="103"/>
      <c r="M184" s="103"/>
      <c r="N184" s="103"/>
      <c r="O184" s="1055"/>
      <c r="P184" s="1053"/>
      <c r="Q184" s="1055"/>
      <c r="R184" s="1055"/>
      <c r="S184" s="125"/>
      <c r="T184" s="125"/>
    </row>
    <row r="185" spans="1:20" s="1056" customFormat="1" ht="24.95" customHeight="1">
      <c r="A185" s="1053">
        <v>1</v>
      </c>
      <c r="B185" s="103" t="s">
        <v>4327</v>
      </c>
      <c r="C185" s="103" t="s">
        <v>4328</v>
      </c>
      <c r="D185" s="103" t="s">
        <v>62</v>
      </c>
      <c r="E185" s="103">
        <v>1</v>
      </c>
      <c r="F185" s="103">
        <v>25</v>
      </c>
      <c r="G185" s="103" t="s">
        <v>32</v>
      </c>
      <c r="H185" s="103" t="s">
        <v>41</v>
      </c>
      <c r="I185" s="103" t="s">
        <v>34</v>
      </c>
      <c r="J185" s="103" t="s">
        <v>4329</v>
      </c>
      <c r="K185" s="103" t="s">
        <v>4330</v>
      </c>
      <c r="L185" s="103">
        <v>136061.95000000001</v>
      </c>
      <c r="M185" s="103">
        <v>40818.589999999997</v>
      </c>
      <c r="N185" s="103">
        <v>2019.7</v>
      </c>
      <c r="O185" s="1903" t="s">
        <v>4331</v>
      </c>
      <c r="P185" s="1090" t="s">
        <v>4332</v>
      </c>
      <c r="Q185" s="951">
        <v>17335084560</v>
      </c>
      <c r="R185" s="1055" t="s">
        <v>4333</v>
      </c>
      <c r="S185" s="103" t="s">
        <v>4043</v>
      </c>
      <c r="T185" s="125"/>
    </row>
    <row r="186" spans="1:20" s="1056" customFormat="1" ht="24.95" customHeight="1">
      <c r="A186" s="1053">
        <v>2</v>
      </c>
      <c r="B186" s="103" t="s">
        <v>4327</v>
      </c>
      <c r="C186" s="103" t="s">
        <v>4334</v>
      </c>
      <c r="D186" s="103" t="s">
        <v>62</v>
      </c>
      <c r="E186" s="103">
        <v>1</v>
      </c>
      <c r="F186" s="103">
        <v>46</v>
      </c>
      <c r="G186" s="103" t="s">
        <v>32</v>
      </c>
      <c r="H186" s="103" t="s">
        <v>41</v>
      </c>
      <c r="I186" s="103" t="s">
        <v>34</v>
      </c>
      <c r="J186" s="103" t="s">
        <v>4329</v>
      </c>
      <c r="K186" s="103" t="s">
        <v>4330</v>
      </c>
      <c r="L186" s="103">
        <v>250353.98</v>
      </c>
      <c r="M186" s="103">
        <v>75106.19</v>
      </c>
      <c r="N186" s="103">
        <v>2019.7</v>
      </c>
      <c r="O186" s="1903"/>
      <c r="P186" s="1090" t="s">
        <v>4332</v>
      </c>
      <c r="Q186" s="951">
        <v>17335084560</v>
      </c>
      <c r="R186" s="1055" t="s">
        <v>4333</v>
      </c>
      <c r="S186" s="103" t="s">
        <v>4043</v>
      </c>
      <c r="T186" s="125"/>
    </row>
    <row r="187" spans="1:20" s="1056" customFormat="1" ht="24.95" customHeight="1">
      <c r="A187" s="1053">
        <v>3</v>
      </c>
      <c r="B187" s="103" t="s">
        <v>4327</v>
      </c>
      <c r="C187" s="103" t="s">
        <v>4335</v>
      </c>
      <c r="D187" s="103" t="s">
        <v>62</v>
      </c>
      <c r="E187" s="103"/>
      <c r="F187" s="103">
        <v>5</v>
      </c>
      <c r="G187" s="103" t="s">
        <v>32</v>
      </c>
      <c r="H187" s="103" t="s">
        <v>41</v>
      </c>
      <c r="I187" s="103" t="s">
        <v>34</v>
      </c>
      <c r="J187" s="103" t="s">
        <v>4329</v>
      </c>
      <c r="K187" s="103" t="s">
        <v>4330</v>
      </c>
      <c r="L187" s="103">
        <v>27212.41</v>
      </c>
      <c r="M187" s="103">
        <v>8163.72</v>
      </c>
      <c r="N187" s="103">
        <v>2019.7</v>
      </c>
      <c r="O187" s="1903"/>
      <c r="P187" s="1090" t="s">
        <v>4332</v>
      </c>
      <c r="Q187" s="951">
        <v>17335084560</v>
      </c>
      <c r="R187" s="1055" t="s">
        <v>4333</v>
      </c>
      <c r="S187" s="103" t="s">
        <v>4043</v>
      </c>
      <c r="T187" s="125"/>
    </row>
    <row r="188" spans="1:20" s="1056" customFormat="1" ht="24.95" customHeight="1">
      <c r="A188" s="1053">
        <v>4</v>
      </c>
      <c r="B188" s="103" t="s">
        <v>4327</v>
      </c>
      <c r="C188" s="103" t="s">
        <v>4336</v>
      </c>
      <c r="D188" s="103" t="s">
        <v>62</v>
      </c>
      <c r="E188" s="103"/>
      <c r="F188" s="103">
        <v>4</v>
      </c>
      <c r="G188" s="103" t="s">
        <v>32</v>
      </c>
      <c r="H188" s="103" t="s">
        <v>41</v>
      </c>
      <c r="I188" s="103" t="s">
        <v>34</v>
      </c>
      <c r="J188" s="103" t="s">
        <v>4329</v>
      </c>
      <c r="K188" s="103" t="s">
        <v>4330</v>
      </c>
      <c r="L188" s="103">
        <v>21769.91</v>
      </c>
      <c r="M188" s="103">
        <v>6530.97</v>
      </c>
      <c r="N188" s="103">
        <v>2019.7</v>
      </c>
      <c r="O188" s="1903"/>
      <c r="P188" s="1090" t="s">
        <v>4332</v>
      </c>
      <c r="Q188" s="951">
        <v>17335084560</v>
      </c>
      <c r="R188" s="1055" t="s">
        <v>4333</v>
      </c>
      <c r="S188" s="103" t="s">
        <v>4043</v>
      </c>
      <c r="T188" s="125"/>
    </row>
    <row r="189" spans="1:20" s="1056" customFormat="1" ht="24.95" customHeight="1">
      <c r="A189" s="1070">
        <v>6</v>
      </c>
      <c r="B189" s="1071" t="s">
        <v>4337</v>
      </c>
      <c r="C189" s="103"/>
      <c r="D189" s="103"/>
      <c r="E189" s="103"/>
      <c r="F189" s="103"/>
      <c r="G189" s="103"/>
      <c r="H189" s="103"/>
      <c r="I189" s="103"/>
      <c r="J189" s="103"/>
      <c r="K189" s="103"/>
      <c r="L189" s="103"/>
      <c r="M189" s="103"/>
      <c r="N189" s="103"/>
      <c r="O189" s="1055"/>
      <c r="P189" s="1053"/>
      <c r="Q189" s="1055"/>
      <c r="R189" s="1055"/>
      <c r="S189" s="125"/>
      <c r="T189" s="125"/>
    </row>
    <row r="190" spans="1:20" s="1056" customFormat="1" ht="24.95" customHeight="1">
      <c r="A190" s="1053">
        <v>1</v>
      </c>
      <c r="B190" s="103" t="s">
        <v>164</v>
      </c>
      <c r="C190" s="103" t="s">
        <v>172</v>
      </c>
      <c r="D190" s="103" t="s">
        <v>79</v>
      </c>
      <c r="E190" s="103">
        <v>2.5</v>
      </c>
      <c r="F190" s="103">
        <v>2.5</v>
      </c>
      <c r="G190" s="103" t="s">
        <v>32</v>
      </c>
      <c r="H190" s="103" t="s">
        <v>33</v>
      </c>
      <c r="I190" s="103" t="s">
        <v>4037</v>
      </c>
      <c r="J190" s="103" t="s">
        <v>4038</v>
      </c>
      <c r="K190" s="103" t="s">
        <v>4338</v>
      </c>
      <c r="L190" s="103">
        <v>465742.55</v>
      </c>
      <c r="M190" s="103">
        <v>93148.51</v>
      </c>
      <c r="N190" s="103">
        <v>2016.2</v>
      </c>
      <c r="O190" s="1903" t="s">
        <v>4040</v>
      </c>
      <c r="P190" s="1053" t="s">
        <v>4041</v>
      </c>
      <c r="Q190" s="1055">
        <v>18881106155</v>
      </c>
      <c r="R190" s="1055" t="s">
        <v>4042</v>
      </c>
      <c r="S190" s="125" t="s">
        <v>4043</v>
      </c>
      <c r="T190" s="125"/>
    </row>
    <row r="191" spans="1:20" s="1056" customFormat="1" ht="24.95" customHeight="1">
      <c r="A191" s="1053">
        <v>2</v>
      </c>
      <c r="B191" s="103" t="s">
        <v>164</v>
      </c>
      <c r="C191" s="103" t="s">
        <v>174</v>
      </c>
      <c r="D191" s="103" t="s">
        <v>79</v>
      </c>
      <c r="E191" s="103">
        <v>2</v>
      </c>
      <c r="F191" s="103">
        <v>2</v>
      </c>
      <c r="G191" s="103" t="s">
        <v>32</v>
      </c>
      <c r="H191" s="103" t="s">
        <v>33</v>
      </c>
      <c r="I191" s="103" t="s">
        <v>4037</v>
      </c>
      <c r="J191" s="103"/>
      <c r="K191" s="103"/>
      <c r="L191" s="103">
        <v>465742.55</v>
      </c>
      <c r="M191" s="103">
        <v>93148.51</v>
      </c>
      <c r="N191" s="103">
        <v>2016.2</v>
      </c>
      <c r="O191" s="1903"/>
      <c r="P191" s="1053" t="s">
        <v>4041</v>
      </c>
      <c r="Q191" s="1055">
        <v>18881106155</v>
      </c>
      <c r="R191" s="1055" t="s">
        <v>4042</v>
      </c>
      <c r="S191" s="125" t="s">
        <v>4043</v>
      </c>
      <c r="T191" s="125"/>
    </row>
    <row r="192" spans="1:20" s="250" customFormat="1" ht="24.95" customHeight="1">
      <c r="A192" s="328" t="s">
        <v>511</v>
      </c>
      <c r="B192" s="1071" t="s">
        <v>512</v>
      </c>
      <c r="C192" s="103"/>
      <c r="D192" s="103"/>
      <c r="E192" s="103"/>
      <c r="F192" s="103"/>
      <c r="G192" s="103"/>
      <c r="H192" s="103"/>
      <c r="I192" s="103"/>
      <c r="J192" s="103"/>
      <c r="K192" s="103"/>
      <c r="L192" s="103"/>
      <c r="M192" s="103"/>
      <c r="N192" s="103"/>
      <c r="O192" s="147"/>
      <c r="P192" s="147"/>
      <c r="Q192" s="147"/>
      <c r="R192" s="147"/>
      <c r="S192" s="147"/>
      <c r="T192" s="147"/>
    </row>
    <row r="193" spans="1:16384" s="250" customFormat="1" ht="24.95" customHeight="1">
      <c r="A193" s="328">
        <v>1</v>
      </c>
      <c r="B193" s="1071" t="s">
        <v>513</v>
      </c>
      <c r="C193" s="103"/>
      <c r="D193" s="103"/>
      <c r="E193" s="103"/>
      <c r="F193" s="103"/>
      <c r="G193" s="103"/>
      <c r="H193" s="103"/>
      <c r="I193" s="103"/>
      <c r="J193" s="103"/>
      <c r="K193" s="103"/>
      <c r="L193" s="103"/>
      <c r="M193" s="103"/>
      <c r="N193" s="103"/>
      <c r="O193" s="147"/>
      <c r="P193" s="147"/>
      <c r="Q193" s="147"/>
      <c r="R193" s="147"/>
      <c r="S193" s="147"/>
      <c r="T193" s="147"/>
    </row>
    <row r="194" spans="1:16384" s="1091" customFormat="1" ht="24.95" customHeight="1">
      <c r="A194" s="327">
        <v>1</v>
      </c>
      <c r="B194" s="103" t="s">
        <v>513</v>
      </c>
      <c r="C194" s="103" t="s">
        <v>4339</v>
      </c>
      <c r="D194" s="103" t="s">
        <v>2084</v>
      </c>
      <c r="E194" s="103"/>
      <c r="F194" s="103">
        <v>390.93</v>
      </c>
      <c r="G194" s="103" t="s">
        <v>32</v>
      </c>
      <c r="H194" s="103"/>
      <c r="I194" s="103"/>
      <c r="J194" s="103" t="s">
        <v>4211</v>
      </c>
      <c r="K194" s="103" t="s">
        <v>2753</v>
      </c>
      <c r="L194" s="103">
        <v>2135560.7400000002</v>
      </c>
      <c r="M194" s="103">
        <v>640668.22199999995</v>
      </c>
      <c r="N194" s="103">
        <v>2021.1</v>
      </c>
      <c r="O194" s="168" t="s">
        <v>4212</v>
      </c>
      <c r="P194" s="1053" t="s">
        <v>4213</v>
      </c>
      <c r="Q194" s="1055">
        <v>18235424112</v>
      </c>
      <c r="R194" s="1079" t="s">
        <v>1813</v>
      </c>
      <c r="S194" s="147" t="s">
        <v>4043</v>
      </c>
      <c r="T194" s="351"/>
    </row>
    <row r="195" spans="1:16384" s="250" customFormat="1" ht="24.95" customHeight="1">
      <c r="A195" s="327">
        <v>2</v>
      </c>
      <c r="B195" s="103" t="s">
        <v>526</v>
      </c>
      <c r="C195" s="103" t="s">
        <v>4340</v>
      </c>
      <c r="D195" s="103" t="s">
        <v>62</v>
      </c>
      <c r="E195" s="103"/>
      <c r="F195" s="103">
        <v>11.65</v>
      </c>
      <c r="G195" s="103" t="s">
        <v>32</v>
      </c>
      <c r="H195" s="103" t="s">
        <v>41</v>
      </c>
      <c r="I195" s="103" t="s">
        <v>34</v>
      </c>
      <c r="J195" s="103" t="s">
        <v>34</v>
      </c>
      <c r="K195" s="103" t="s">
        <v>34</v>
      </c>
      <c r="L195" s="103">
        <f>F195*4570</f>
        <v>53240.5</v>
      </c>
      <c r="M195" s="103" t="s">
        <v>34</v>
      </c>
      <c r="N195" s="103">
        <v>2012.6</v>
      </c>
      <c r="O195" s="1906" t="s">
        <v>4341</v>
      </c>
      <c r="P195" s="147" t="s">
        <v>4342</v>
      </c>
      <c r="Q195" s="951">
        <v>18388135681</v>
      </c>
      <c r="R195" s="147" t="s">
        <v>4343</v>
      </c>
      <c r="S195" s="147" t="s">
        <v>4043</v>
      </c>
      <c r="T195" s="147"/>
    </row>
    <row r="196" spans="1:16384" s="250" customFormat="1" ht="24.95" customHeight="1">
      <c r="A196" s="327">
        <v>3</v>
      </c>
      <c r="B196" s="103" t="s">
        <v>526</v>
      </c>
      <c r="C196" s="103" t="s">
        <v>4344</v>
      </c>
      <c r="D196" s="103" t="s">
        <v>62</v>
      </c>
      <c r="E196" s="103"/>
      <c r="F196" s="103">
        <v>8.1999999999999993</v>
      </c>
      <c r="G196" s="103" t="s">
        <v>32</v>
      </c>
      <c r="H196" s="103" t="s">
        <v>41</v>
      </c>
      <c r="I196" s="103" t="s">
        <v>34</v>
      </c>
      <c r="J196" s="103" t="s">
        <v>34</v>
      </c>
      <c r="K196" s="103" t="s">
        <v>34</v>
      </c>
      <c r="L196" s="103">
        <f>F196*5300</f>
        <v>43459.999999999993</v>
      </c>
      <c r="M196" s="103" t="s">
        <v>34</v>
      </c>
      <c r="N196" s="103">
        <v>2012.6</v>
      </c>
      <c r="O196" s="1906"/>
      <c r="P196" s="147" t="s">
        <v>4342</v>
      </c>
      <c r="Q196" s="951">
        <v>18388135681</v>
      </c>
      <c r="R196" s="147" t="s">
        <v>4343</v>
      </c>
      <c r="S196" s="147" t="s">
        <v>4043</v>
      </c>
      <c r="T196" s="147"/>
    </row>
    <row r="197" spans="1:16384" s="1091" customFormat="1" ht="24.95" customHeight="1">
      <c r="A197" s="327">
        <v>4</v>
      </c>
      <c r="B197" s="103" t="s">
        <v>526</v>
      </c>
      <c r="C197" s="103" t="s">
        <v>601</v>
      </c>
      <c r="D197" s="103" t="s">
        <v>62</v>
      </c>
      <c r="E197" s="103"/>
      <c r="F197" s="103">
        <v>1.177</v>
      </c>
      <c r="G197" s="103" t="s">
        <v>32</v>
      </c>
      <c r="H197" s="103" t="s">
        <v>33</v>
      </c>
      <c r="I197" s="103"/>
      <c r="J197" s="103" t="s">
        <v>2186</v>
      </c>
      <c r="K197" s="103" t="s">
        <v>4203</v>
      </c>
      <c r="L197" s="103">
        <v>5457.9469026548704</v>
      </c>
      <c r="M197" s="103">
        <v>3070.0964306784599</v>
      </c>
      <c r="N197" s="103">
        <v>2020.03</v>
      </c>
      <c r="O197" s="1834" t="s">
        <v>4196</v>
      </c>
      <c r="P197" s="168" t="s">
        <v>4197</v>
      </c>
      <c r="Q197" s="1077">
        <v>18935151265</v>
      </c>
      <c r="R197" s="168" t="s">
        <v>4198</v>
      </c>
      <c r="S197" s="168" t="s">
        <v>4043</v>
      </c>
      <c r="T197" s="351"/>
    </row>
    <row r="198" spans="1:16384" s="1091" customFormat="1" ht="24.95" customHeight="1">
      <c r="A198" s="327">
        <v>5</v>
      </c>
      <c r="B198" s="103" t="s">
        <v>526</v>
      </c>
      <c r="C198" s="103" t="s">
        <v>1868</v>
      </c>
      <c r="D198" s="103" t="s">
        <v>62</v>
      </c>
      <c r="E198" s="103"/>
      <c r="F198" s="103">
        <v>6.5819999999999999</v>
      </c>
      <c r="G198" s="103" t="s">
        <v>32</v>
      </c>
      <c r="H198" s="103" t="s">
        <v>33</v>
      </c>
      <c r="I198" s="103"/>
      <c r="J198" s="103"/>
      <c r="K198" s="103"/>
      <c r="L198" s="103">
        <v>29997.610619469</v>
      </c>
      <c r="M198" s="103">
        <v>16873.659380531</v>
      </c>
      <c r="N198" s="103">
        <v>2020.03</v>
      </c>
      <c r="O198" s="1842"/>
      <c r="P198" s="168" t="s">
        <v>4197</v>
      </c>
      <c r="Q198" s="1077">
        <v>18935151265</v>
      </c>
      <c r="R198" s="168" t="s">
        <v>4198</v>
      </c>
      <c r="S198" s="168" t="s">
        <v>4043</v>
      </c>
      <c r="T198" s="351"/>
    </row>
    <row r="199" spans="1:16384" s="1091" customFormat="1" ht="24.95" customHeight="1">
      <c r="A199" s="327">
        <v>6</v>
      </c>
      <c r="B199" s="103" t="s">
        <v>526</v>
      </c>
      <c r="C199" s="103" t="s">
        <v>4345</v>
      </c>
      <c r="D199" s="103" t="s">
        <v>62</v>
      </c>
      <c r="E199" s="103"/>
      <c r="F199" s="103">
        <v>33.241</v>
      </c>
      <c r="G199" s="103" t="s">
        <v>32</v>
      </c>
      <c r="H199" s="103" t="s">
        <v>33</v>
      </c>
      <c r="I199" s="103"/>
      <c r="J199" s="103"/>
      <c r="K199" s="103"/>
      <c r="L199" s="103">
        <v>155026.61061946899</v>
      </c>
      <c r="M199" s="103">
        <v>87202.462713864195</v>
      </c>
      <c r="N199" s="103">
        <v>2020.03</v>
      </c>
      <c r="O199" s="1843"/>
      <c r="P199" s="168" t="s">
        <v>4197</v>
      </c>
      <c r="Q199" s="1077">
        <v>18935151265</v>
      </c>
      <c r="R199" s="168" t="s">
        <v>4198</v>
      </c>
      <c r="S199" s="168" t="s">
        <v>4043</v>
      </c>
      <c r="T199" s="351"/>
    </row>
    <row r="200" spans="1:16384" s="1091" customFormat="1" ht="24.95" customHeight="1">
      <c r="A200" s="327">
        <v>7</v>
      </c>
      <c r="B200" s="103" t="s">
        <v>526</v>
      </c>
      <c r="C200" s="103" t="s">
        <v>2664</v>
      </c>
      <c r="D200" s="103" t="s">
        <v>62</v>
      </c>
      <c r="E200" s="103"/>
      <c r="F200" s="103">
        <v>1.77</v>
      </c>
      <c r="G200" s="103" t="s">
        <v>32</v>
      </c>
      <c r="H200" s="103" t="s">
        <v>33</v>
      </c>
      <c r="I200" s="103"/>
      <c r="J200" s="103"/>
      <c r="K200" s="103"/>
      <c r="L200" s="103">
        <v>8195.1</v>
      </c>
      <c r="M200" s="103">
        <v>3733.3</v>
      </c>
      <c r="N200" s="103">
        <v>2020.03</v>
      </c>
      <c r="O200" s="174" t="s">
        <v>4196</v>
      </c>
      <c r="P200" s="168" t="s">
        <v>4197</v>
      </c>
      <c r="Q200" s="1077">
        <v>18935151265</v>
      </c>
      <c r="R200" s="168" t="s">
        <v>4198</v>
      </c>
      <c r="S200" s="168" t="s">
        <v>4043</v>
      </c>
      <c r="T200" s="351"/>
    </row>
    <row r="201" spans="1:16384" s="1091" customFormat="1" ht="24.95" customHeight="1">
      <c r="A201" s="327">
        <v>8</v>
      </c>
      <c r="B201" s="103" t="s">
        <v>526</v>
      </c>
      <c r="C201" s="103" t="s">
        <v>4346</v>
      </c>
      <c r="D201" s="103" t="s">
        <v>62</v>
      </c>
      <c r="E201" s="103"/>
      <c r="F201" s="103">
        <v>45.142000000000003</v>
      </c>
      <c r="G201" s="103" t="s">
        <v>32</v>
      </c>
      <c r="H201" s="103" t="s">
        <v>33</v>
      </c>
      <c r="I201" s="103"/>
      <c r="J201" s="103"/>
      <c r="K201" s="103" t="s">
        <v>4347</v>
      </c>
      <c r="L201" s="103">
        <v>116675.82</v>
      </c>
      <c r="M201" s="103">
        <v>35002.745999999999</v>
      </c>
      <c r="N201" s="561">
        <v>44531</v>
      </c>
      <c r="O201" s="140" t="s">
        <v>4348</v>
      </c>
      <c r="P201" s="147" t="s">
        <v>4349</v>
      </c>
      <c r="Q201" s="147">
        <v>19987808108</v>
      </c>
      <c r="R201" s="168" t="s">
        <v>4350</v>
      </c>
      <c r="S201" s="147" t="s">
        <v>4043</v>
      </c>
      <c r="T201" s="147"/>
      <c r="U201" s="147"/>
      <c r="V201" s="147"/>
      <c r="W201" s="147"/>
      <c r="X201" s="147"/>
      <c r="Y201" s="147"/>
      <c r="Z201" s="147"/>
      <c r="AA201" s="147"/>
      <c r="AB201" s="147"/>
      <c r="AC201" s="147"/>
      <c r="AD201" s="147"/>
      <c r="AE201" s="147"/>
      <c r="AF201" s="147"/>
      <c r="AG201" s="147"/>
      <c r="AH201" s="147"/>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c r="BI201" s="147"/>
      <c r="BJ201" s="147"/>
      <c r="BK201" s="147"/>
      <c r="BL201" s="147"/>
      <c r="BM201" s="147"/>
      <c r="BN201" s="147"/>
      <c r="BO201" s="147"/>
      <c r="BP201" s="147"/>
      <c r="BQ201" s="147"/>
      <c r="BR201" s="147"/>
      <c r="BS201" s="147"/>
      <c r="BT201" s="147"/>
      <c r="BU201" s="147"/>
      <c r="BV201" s="147"/>
      <c r="BW201" s="147"/>
      <c r="BX201" s="147"/>
      <c r="BY201" s="147"/>
      <c r="BZ201" s="147"/>
      <c r="CA201" s="147"/>
      <c r="CB201" s="147"/>
      <c r="CC201" s="147"/>
      <c r="CD201" s="147"/>
      <c r="CE201" s="147"/>
      <c r="CF201" s="147"/>
      <c r="CG201" s="147"/>
      <c r="CH201" s="147"/>
      <c r="CI201" s="147"/>
      <c r="CJ201" s="147"/>
      <c r="CK201" s="147"/>
      <c r="CL201" s="147"/>
      <c r="CM201" s="147"/>
      <c r="CN201" s="147"/>
      <c r="CO201" s="147"/>
      <c r="CP201" s="147"/>
      <c r="CQ201" s="147"/>
      <c r="CR201" s="147"/>
      <c r="CS201" s="147"/>
      <c r="CT201" s="147"/>
      <c r="CU201" s="147"/>
      <c r="CV201" s="147"/>
      <c r="CW201" s="147"/>
      <c r="CX201" s="147"/>
      <c r="CY201" s="147"/>
      <c r="CZ201" s="147"/>
      <c r="DA201" s="147"/>
      <c r="DB201" s="147"/>
      <c r="DC201" s="147"/>
      <c r="DD201" s="147"/>
      <c r="DE201" s="147"/>
      <c r="DF201" s="147"/>
      <c r="DG201" s="147"/>
      <c r="DH201" s="147"/>
      <c r="DI201" s="147"/>
      <c r="DJ201" s="147"/>
      <c r="DK201" s="147"/>
      <c r="DL201" s="147"/>
      <c r="DM201" s="147"/>
      <c r="DN201" s="147"/>
      <c r="DO201" s="147"/>
      <c r="DP201" s="147"/>
      <c r="DQ201" s="147"/>
      <c r="DR201" s="147"/>
      <c r="DS201" s="147"/>
      <c r="DT201" s="147"/>
      <c r="DU201" s="147"/>
      <c r="DV201" s="147"/>
      <c r="DW201" s="147"/>
      <c r="DX201" s="147"/>
      <c r="DY201" s="147"/>
      <c r="DZ201" s="147"/>
      <c r="EA201" s="147"/>
      <c r="EB201" s="147"/>
      <c r="EC201" s="147"/>
      <c r="ED201" s="147"/>
      <c r="EE201" s="147"/>
      <c r="EF201" s="147"/>
      <c r="EG201" s="147"/>
      <c r="EH201" s="147"/>
      <c r="EI201" s="147"/>
      <c r="EJ201" s="147"/>
      <c r="EK201" s="147"/>
      <c r="EL201" s="147"/>
      <c r="EM201" s="147"/>
      <c r="EN201" s="147"/>
      <c r="EO201" s="147"/>
      <c r="EP201" s="147"/>
      <c r="EQ201" s="147"/>
      <c r="ER201" s="147"/>
      <c r="ES201" s="147"/>
      <c r="ET201" s="147"/>
      <c r="EU201" s="147"/>
      <c r="EV201" s="147"/>
      <c r="EW201" s="147"/>
      <c r="EX201" s="147"/>
      <c r="EY201" s="147"/>
      <c r="EZ201" s="147"/>
      <c r="FA201" s="147"/>
      <c r="FB201" s="147"/>
      <c r="FC201" s="147"/>
      <c r="FD201" s="147"/>
      <c r="FE201" s="147"/>
      <c r="FF201" s="147"/>
      <c r="FG201" s="147"/>
      <c r="FH201" s="147"/>
      <c r="FI201" s="147"/>
      <c r="FJ201" s="147"/>
      <c r="FK201" s="147"/>
      <c r="FL201" s="147"/>
      <c r="FM201" s="147"/>
      <c r="FN201" s="147"/>
      <c r="FO201" s="147"/>
      <c r="FP201" s="147"/>
      <c r="FQ201" s="147"/>
      <c r="FR201" s="147"/>
      <c r="FS201" s="147"/>
      <c r="FT201" s="147"/>
      <c r="FU201" s="147"/>
      <c r="FV201" s="147"/>
      <c r="FW201" s="147"/>
      <c r="FX201" s="147"/>
      <c r="FY201" s="147"/>
      <c r="FZ201" s="147"/>
      <c r="GA201" s="147"/>
      <c r="GB201" s="147"/>
      <c r="GC201" s="147"/>
      <c r="GD201" s="147"/>
      <c r="GE201" s="147"/>
      <c r="GF201" s="147"/>
      <c r="GG201" s="147"/>
      <c r="GH201" s="147"/>
      <c r="GI201" s="147"/>
      <c r="GJ201" s="147"/>
      <c r="GK201" s="147"/>
      <c r="GL201" s="147"/>
      <c r="GM201" s="147"/>
      <c r="GN201" s="147"/>
      <c r="GO201" s="147"/>
      <c r="GP201" s="147"/>
      <c r="GQ201" s="147"/>
      <c r="GR201" s="147"/>
      <c r="GS201" s="147"/>
      <c r="GT201" s="147"/>
      <c r="GU201" s="147"/>
      <c r="GV201" s="147"/>
      <c r="GW201" s="147"/>
      <c r="GX201" s="147"/>
      <c r="GY201" s="147"/>
      <c r="GZ201" s="147"/>
      <c r="HA201" s="147"/>
      <c r="HB201" s="147"/>
      <c r="HC201" s="147"/>
      <c r="HD201" s="147"/>
      <c r="HE201" s="147"/>
      <c r="HF201" s="147"/>
      <c r="HG201" s="147"/>
      <c r="HH201" s="147"/>
      <c r="HI201" s="147"/>
      <c r="HJ201" s="147"/>
      <c r="HK201" s="147"/>
      <c r="HL201" s="147"/>
      <c r="HM201" s="147"/>
      <c r="HN201" s="147"/>
      <c r="HO201" s="147"/>
      <c r="HP201" s="147"/>
      <c r="HQ201" s="147"/>
      <c r="HR201" s="147"/>
      <c r="HS201" s="147"/>
      <c r="HT201" s="147"/>
      <c r="HU201" s="147"/>
      <c r="HV201" s="147"/>
      <c r="HW201" s="147"/>
      <c r="HX201" s="147"/>
      <c r="HY201" s="147"/>
      <c r="HZ201" s="147"/>
      <c r="IA201" s="147"/>
      <c r="IB201" s="147"/>
      <c r="IC201" s="147"/>
      <c r="ID201" s="147"/>
      <c r="IE201" s="147"/>
      <c r="IF201" s="147"/>
      <c r="IG201" s="147"/>
      <c r="IH201" s="147"/>
      <c r="II201" s="147"/>
      <c r="IJ201" s="147"/>
      <c r="IK201" s="147"/>
      <c r="IL201" s="147"/>
      <c r="IM201" s="147"/>
      <c r="IN201" s="147"/>
      <c r="IO201" s="147"/>
      <c r="IP201" s="147"/>
      <c r="IQ201" s="147"/>
      <c r="IR201" s="147"/>
      <c r="IS201" s="147"/>
      <c r="IT201" s="147"/>
      <c r="IU201" s="147"/>
      <c r="IV201" s="147"/>
      <c r="IW201" s="147"/>
      <c r="IX201" s="147"/>
      <c r="IY201" s="147"/>
      <c r="IZ201" s="147"/>
      <c r="JA201" s="147"/>
      <c r="JB201" s="147"/>
      <c r="JC201" s="147"/>
      <c r="JD201" s="147"/>
      <c r="JE201" s="147"/>
      <c r="JF201" s="147"/>
      <c r="JG201" s="147"/>
      <c r="JH201" s="147"/>
      <c r="JI201" s="147"/>
      <c r="JJ201" s="147"/>
      <c r="JK201" s="147"/>
      <c r="JL201" s="147"/>
      <c r="JM201" s="147"/>
      <c r="JN201" s="147"/>
      <c r="JO201" s="147"/>
      <c r="JP201" s="147"/>
      <c r="JQ201" s="147"/>
      <c r="JR201" s="147"/>
      <c r="JS201" s="147"/>
      <c r="JT201" s="147"/>
      <c r="JU201" s="147"/>
      <c r="JV201" s="147"/>
      <c r="JW201" s="147"/>
      <c r="JX201" s="147"/>
      <c r="JY201" s="147"/>
      <c r="JZ201" s="147"/>
      <c r="KA201" s="147"/>
      <c r="KB201" s="147"/>
      <c r="KC201" s="147"/>
      <c r="KD201" s="147"/>
      <c r="KE201" s="147"/>
      <c r="KF201" s="147"/>
      <c r="KG201" s="147"/>
      <c r="KH201" s="147"/>
      <c r="KI201" s="147"/>
      <c r="KJ201" s="147"/>
      <c r="KK201" s="147"/>
      <c r="KL201" s="147"/>
      <c r="KM201" s="147"/>
      <c r="KN201" s="147"/>
      <c r="KO201" s="147"/>
      <c r="KP201" s="147"/>
      <c r="KQ201" s="147"/>
      <c r="KR201" s="147"/>
      <c r="KS201" s="147"/>
      <c r="KT201" s="147"/>
      <c r="KU201" s="147"/>
      <c r="KV201" s="147"/>
      <c r="KW201" s="147"/>
      <c r="KX201" s="147"/>
      <c r="KY201" s="147"/>
      <c r="KZ201" s="147"/>
      <c r="LA201" s="147"/>
      <c r="LB201" s="147"/>
      <c r="LC201" s="147"/>
      <c r="LD201" s="147"/>
      <c r="LE201" s="147"/>
      <c r="LF201" s="147"/>
      <c r="LG201" s="147"/>
      <c r="LH201" s="147"/>
      <c r="LI201" s="147"/>
      <c r="LJ201" s="147"/>
      <c r="LK201" s="147"/>
      <c r="LL201" s="147"/>
      <c r="LM201" s="147"/>
      <c r="LN201" s="147"/>
      <c r="LO201" s="147"/>
      <c r="LP201" s="147"/>
      <c r="LQ201" s="147"/>
      <c r="LR201" s="147"/>
      <c r="LS201" s="147"/>
      <c r="LT201" s="147"/>
      <c r="LU201" s="147"/>
      <c r="LV201" s="147"/>
      <c r="LW201" s="147"/>
      <c r="LX201" s="147"/>
      <c r="LY201" s="147"/>
      <c r="LZ201" s="147"/>
      <c r="MA201" s="147"/>
      <c r="MB201" s="147"/>
      <c r="MC201" s="147"/>
      <c r="MD201" s="147"/>
      <c r="ME201" s="147"/>
      <c r="MF201" s="147"/>
      <c r="MG201" s="147"/>
      <c r="MH201" s="147"/>
      <c r="MI201" s="147"/>
      <c r="MJ201" s="147"/>
      <c r="MK201" s="147"/>
      <c r="ML201" s="147"/>
      <c r="MM201" s="147"/>
      <c r="MN201" s="147"/>
      <c r="MO201" s="147"/>
      <c r="MP201" s="147"/>
      <c r="MQ201" s="147"/>
      <c r="MR201" s="147"/>
      <c r="MS201" s="147"/>
      <c r="MT201" s="147"/>
      <c r="MU201" s="147"/>
      <c r="MV201" s="147"/>
      <c r="MW201" s="147"/>
      <c r="MX201" s="147"/>
      <c r="MY201" s="147"/>
      <c r="MZ201" s="147"/>
      <c r="NA201" s="147"/>
      <c r="NB201" s="147"/>
      <c r="NC201" s="147"/>
      <c r="ND201" s="147"/>
      <c r="NE201" s="147"/>
      <c r="NF201" s="147"/>
      <c r="NG201" s="147"/>
      <c r="NH201" s="147"/>
      <c r="NI201" s="147"/>
      <c r="NJ201" s="147"/>
      <c r="NK201" s="147"/>
      <c r="NL201" s="147"/>
      <c r="NM201" s="147"/>
      <c r="NN201" s="147"/>
      <c r="NO201" s="147"/>
      <c r="NP201" s="147"/>
      <c r="NQ201" s="147"/>
      <c r="NR201" s="147"/>
      <c r="NS201" s="147"/>
      <c r="NT201" s="147"/>
      <c r="NU201" s="147"/>
      <c r="NV201" s="147"/>
      <c r="NW201" s="147"/>
      <c r="NX201" s="147"/>
      <c r="NY201" s="147"/>
      <c r="NZ201" s="147"/>
      <c r="OA201" s="147"/>
      <c r="OB201" s="147"/>
      <c r="OC201" s="147"/>
      <c r="OD201" s="147"/>
      <c r="OE201" s="147"/>
      <c r="OF201" s="147"/>
      <c r="OG201" s="147"/>
      <c r="OH201" s="147"/>
      <c r="OI201" s="147"/>
      <c r="OJ201" s="147"/>
      <c r="OK201" s="147"/>
      <c r="OL201" s="147"/>
      <c r="OM201" s="147"/>
      <c r="ON201" s="147"/>
      <c r="OO201" s="147"/>
      <c r="OP201" s="147"/>
      <c r="OQ201" s="147"/>
      <c r="OR201" s="147"/>
      <c r="OS201" s="147"/>
      <c r="OT201" s="147"/>
      <c r="OU201" s="147"/>
      <c r="OV201" s="147"/>
      <c r="OW201" s="147"/>
      <c r="OX201" s="147"/>
      <c r="OY201" s="147"/>
      <c r="OZ201" s="147"/>
      <c r="PA201" s="147"/>
      <c r="PB201" s="147"/>
      <c r="PC201" s="147"/>
      <c r="PD201" s="147"/>
      <c r="PE201" s="147"/>
      <c r="PF201" s="147"/>
      <c r="PG201" s="147"/>
      <c r="PH201" s="147"/>
      <c r="PI201" s="147"/>
      <c r="PJ201" s="147"/>
      <c r="PK201" s="147"/>
      <c r="PL201" s="147"/>
      <c r="PM201" s="147"/>
      <c r="PN201" s="147"/>
      <c r="PO201" s="147"/>
      <c r="PP201" s="147"/>
      <c r="PQ201" s="147"/>
      <c r="PR201" s="147"/>
      <c r="PS201" s="147"/>
      <c r="PT201" s="147"/>
      <c r="PU201" s="147"/>
      <c r="PV201" s="147"/>
      <c r="PW201" s="147"/>
      <c r="PX201" s="147"/>
      <c r="PY201" s="147"/>
      <c r="PZ201" s="147"/>
      <c r="QA201" s="147"/>
      <c r="QB201" s="147"/>
      <c r="QC201" s="147"/>
      <c r="QD201" s="147"/>
      <c r="QE201" s="147"/>
      <c r="QF201" s="147"/>
      <c r="QG201" s="147"/>
      <c r="QH201" s="147"/>
      <c r="QI201" s="147"/>
      <c r="QJ201" s="147"/>
      <c r="QK201" s="147"/>
      <c r="QL201" s="147"/>
      <c r="QM201" s="147"/>
      <c r="QN201" s="147"/>
      <c r="QO201" s="147"/>
      <c r="QP201" s="147"/>
      <c r="QQ201" s="147"/>
      <c r="QR201" s="147"/>
      <c r="QS201" s="147"/>
      <c r="QT201" s="147"/>
      <c r="QU201" s="147"/>
      <c r="QV201" s="147"/>
      <c r="QW201" s="147"/>
      <c r="QX201" s="147"/>
      <c r="QY201" s="147"/>
      <c r="QZ201" s="147"/>
      <c r="RA201" s="147"/>
      <c r="RB201" s="147"/>
      <c r="RC201" s="147"/>
      <c r="RD201" s="147"/>
      <c r="RE201" s="147"/>
      <c r="RF201" s="147"/>
      <c r="RG201" s="147"/>
      <c r="RH201" s="147"/>
      <c r="RI201" s="147"/>
      <c r="RJ201" s="147"/>
      <c r="RK201" s="147"/>
      <c r="RL201" s="147"/>
      <c r="RM201" s="147"/>
      <c r="RN201" s="147"/>
      <c r="RO201" s="147"/>
      <c r="RP201" s="147"/>
      <c r="RQ201" s="147"/>
      <c r="RR201" s="147"/>
      <c r="RS201" s="147"/>
      <c r="RT201" s="147"/>
      <c r="RU201" s="147"/>
      <c r="RV201" s="147"/>
      <c r="RW201" s="147"/>
      <c r="RX201" s="147"/>
      <c r="RY201" s="147"/>
      <c r="RZ201" s="147"/>
      <c r="SA201" s="147"/>
      <c r="SB201" s="147"/>
      <c r="SC201" s="147"/>
      <c r="SD201" s="147"/>
      <c r="SE201" s="147"/>
      <c r="SF201" s="147"/>
      <c r="SG201" s="147"/>
      <c r="SH201" s="147"/>
      <c r="SI201" s="147"/>
      <c r="SJ201" s="147"/>
      <c r="SK201" s="147"/>
      <c r="SL201" s="147"/>
      <c r="SM201" s="147"/>
      <c r="SN201" s="147"/>
      <c r="SO201" s="147"/>
      <c r="SP201" s="147"/>
      <c r="SQ201" s="147"/>
      <c r="SR201" s="147"/>
      <c r="SS201" s="147"/>
      <c r="ST201" s="147"/>
      <c r="SU201" s="147"/>
      <c r="SV201" s="147"/>
      <c r="SW201" s="147"/>
      <c r="SX201" s="147"/>
      <c r="SY201" s="147"/>
      <c r="SZ201" s="147"/>
      <c r="TA201" s="147"/>
      <c r="TB201" s="147"/>
      <c r="TC201" s="147"/>
      <c r="TD201" s="147"/>
      <c r="TE201" s="147"/>
      <c r="TF201" s="147"/>
      <c r="TG201" s="147"/>
      <c r="TH201" s="147"/>
      <c r="TI201" s="147"/>
      <c r="TJ201" s="147"/>
      <c r="TK201" s="147"/>
      <c r="TL201" s="147"/>
      <c r="TM201" s="147"/>
      <c r="TN201" s="147"/>
      <c r="TO201" s="147"/>
      <c r="TP201" s="147"/>
      <c r="TQ201" s="147"/>
      <c r="TR201" s="147"/>
      <c r="TS201" s="147"/>
      <c r="TT201" s="147"/>
      <c r="TU201" s="147"/>
      <c r="TV201" s="147"/>
      <c r="TW201" s="147"/>
      <c r="TX201" s="147"/>
      <c r="TY201" s="147"/>
      <c r="TZ201" s="147"/>
      <c r="UA201" s="147"/>
      <c r="UB201" s="147"/>
      <c r="UC201" s="147"/>
      <c r="UD201" s="147"/>
      <c r="UE201" s="147"/>
      <c r="UF201" s="147"/>
      <c r="UG201" s="147"/>
      <c r="UH201" s="147"/>
      <c r="UI201" s="147"/>
      <c r="UJ201" s="147"/>
      <c r="UK201" s="147"/>
      <c r="UL201" s="147"/>
      <c r="UM201" s="147"/>
      <c r="UN201" s="147"/>
      <c r="UO201" s="147"/>
      <c r="UP201" s="147"/>
      <c r="UQ201" s="147"/>
      <c r="UR201" s="147"/>
      <c r="US201" s="147"/>
      <c r="UT201" s="147"/>
      <c r="UU201" s="147"/>
      <c r="UV201" s="147"/>
      <c r="UW201" s="147"/>
      <c r="UX201" s="147"/>
      <c r="UY201" s="147"/>
      <c r="UZ201" s="147"/>
      <c r="VA201" s="147"/>
      <c r="VB201" s="147"/>
      <c r="VC201" s="147"/>
      <c r="VD201" s="147"/>
      <c r="VE201" s="147"/>
      <c r="VF201" s="147"/>
      <c r="VG201" s="147"/>
      <c r="VH201" s="147"/>
      <c r="VI201" s="147"/>
      <c r="VJ201" s="147"/>
      <c r="VK201" s="147"/>
      <c r="VL201" s="147"/>
      <c r="VM201" s="147"/>
      <c r="VN201" s="147"/>
      <c r="VO201" s="147"/>
      <c r="VP201" s="147"/>
      <c r="VQ201" s="147"/>
      <c r="VR201" s="147"/>
      <c r="VS201" s="147"/>
      <c r="VT201" s="147"/>
      <c r="VU201" s="147"/>
      <c r="VV201" s="147"/>
      <c r="VW201" s="147"/>
      <c r="VX201" s="147"/>
      <c r="VY201" s="147"/>
      <c r="VZ201" s="147"/>
      <c r="WA201" s="147"/>
      <c r="WB201" s="147"/>
      <c r="WC201" s="147"/>
      <c r="WD201" s="147"/>
      <c r="WE201" s="147"/>
      <c r="WF201" s="147"/>
      <c r="WG201" s="147"/>
      <c r="WH201" s="147"/>
      <c r="WI201" s="147"/>
      <c r="WJ201" s="147"/>
      <c r="WK201" s="147"/>
      <c r="WL201" s="147"/>
      <c r="WM201" s="147"/>
      <c r="WN201" s="147"/>
      <c r="WO201" s="147"/>
      <c r="WP201" s="147"/>
      <c r="WQ201" s="147"/>
      <c r="WR201" s="147"/>
      <c r="WS201" s="147"/>
      <c r="WT201" s="147"/>
      <c r="WU201" s="147"/>
      <c r="WV201" s="147"/>
      <c r="WW201" s="147"/>
      <c r="WX201" s="147"/>
      <c r="WY201" s="147"/>
      <c r="WZ201" s="147"/>
      <c r="XA201" s="147"/>
      <c r="XB201" s="147"/>
      <c r="XC201" s="147"/>
      <c r="XD201" s="147"/>
      <c r="XE201" s="147"/>
      <c r="XF201" s="147"/>
      <c r="XG201" s="147"/>
      <c r="XH201" s="147"/>
      <c r="XI201" s="147"/>
      <c r="XJ201" s="147"/>
      <c r="XK201" s="147"/>
      <c r="XL201" s="147"/>
      <c r="XM201" s="147"/>
      <c r="XN201" s="147"/>
      <c r="XO201" s="147"/>
      <c r="XP201" s="147"/>
      <c r="XQ201" s="147"/>
      <c r="XR201" s="147"/>
      <c r="XS201" s="147"/>
      <c r="XT201" s="147"/>
      <c r="XU201" s="147"/>
      <c r="XV201" s="147"/>
      <c r="XW201" s="147"/>
      <c r="XX201" s="147"/>
      <c r="XY201" s="147"/>
      <c r="XZ201" s="147"/>
      <c r="YA201" s="147"/>
      <c r="YB201" s="147"/>
      <c r="YC201" s="147"/>
      <c r="YD201" s="147"/>
      <c r="YE201" s="147"/>
      <c r="YF201" s="147"/>
      <c r="YG201" s="147"/>
      <c r="YH201" s="147"/>
      <c r="YI201" s="147"/>
      <c r="YJ201" s="147"/>
      <c r="YK201" s="147"/>
      <c r="YL201" s="147"/>
      <c r="YM201" s="147"/>
      <c r="YN201" s="147"/>
      <c r="YO201" s="147"/>
      <c r="YP201" s="147"/>
      <c r="YQ201" s="147"/>
      <c r="YR201" s="147"/>
      <c r="YS201" s="147"/>
      <c r="YT201" s="147"/>
      <c r="YU201" s="147"/>
      <c r="YV201" s="147"/>
      <c r="YW201" s="147"/>
      <c r="YX201" s="147"/>
      <c r="YY201" s="147"/>
      <c r="YZ201" s="147"/>
      <c r="ZA201" s="147"/>
      <c r="ZB201" s="147"/>
      <c r="ZC201" s="147"/>
      <c r="ZD201" s="147"/>
      <c r="ZE201" s="147"/>
      <c r="ZF201" s="147"/>
      <c r="ZG201" s="147"/>
      <c r="ZH201" s="147"/>
      <c r="ZI201" s="147"/>
      <c r="ZJ201" s="147"/>
      <c r="ZK201" s="147"/>
      <c r="ZL201" s="147"/>
      <c r="ZM201" s="147"/>
      <c r="ZN201" s="147"/>
      <c r="ZO201" s="147"/>
      <c r="ZP201" s="147"/>
      <c r="ZQ201" s="147"/>
      <c r="ZR201" s="147"/>
      <c r="ZS201" s="147"/>
      <c r="ZT201" s="147"/>
      <c r="ZU201" s="147"/>
      <c r="ZV201" s="147"/>
      <c r="ZW201" s="147"/>
      <c r="ZX201" s="147"/>
      <c r="ZY201" s="147"/>
      <c r="ZZ201" s="147"/>
      <c r="AAA201" s="147"/>
      <c r="AAB201" s="147"/>
      <c r="AAC201" s="147"/>
      <c r="AAD201" s="147"/>
      <c r="AAE201" s="147"/>
      <c r="AAF201" s="147"/>
      <c r="AAG201" s="147"/>
      <c r="AAH201" s="147"/>
      <c r="AAI201" s="147"/>
      <c r="AAJ201" s="147"/>
      <c r="AAK201" s="147"/>
      <c r="AAL201" s="147"/>
      <c r="AAM201" s="147"/>
      <c r="AAN201" s="147"/>
      <c r="AAO201" s="147"/>
      <c r="AAP201" s="147"/>
      <c r="AAQ201" s="147"/>
      <c r="AAR201" s="147"/>
      <c r="AAS201" s="147"/>
      <c r="AAT201" s="147"/>
      <c r="AAU201" s="147"/>
      <c r="AAV201" s="147"/>
      <c r="AAW201" s="147"/>
      <c r="AAX201" s="147"/>
      <c r="AAY201" s="147"/>
      <c r="AAZ201" s="147"/>
      <c r="ABA201" s="147"/>
      <c r="ABB201" s="147"/>
      <c r="ABC201" s="147"/>
      <c r="ABD201" s="147"/>
      <c r="ABE201" s="147"/>
      <c r="ABF201" s="147"/>
      <c r="ABG201" s="147"/>
      <c r="ABH201" s="147"/>
      <c r="ABI201" s="147"/>
      <c r="ABJ201" s="147"/>
      <c r="ABK201" s="147"/>
      <c r="ABL201" s="147"/>
      <c r="ABM201" s="147"/>
      <c r="ABN201" s="147"/>
      <c r="ABO201" s="147"/>
      <c r="ABP201" s="147"/>
      <c r="ABQ201" s="147"/>
      <c r="ABR201" s="147"/>
      <c r="ABS201" s="147"/>
      <c r="ABT201" s="147"/>
      <c r="ABU201" s="147"/>
      <c r="ABV201" s="147"/>
      <c r="ABW201" s="147"/>
      <c r="ABX201" s="147"/>
      <c r="ABY201" s="147"/>
      <c r="ABZ201" s="147"/>
      <c r="ACA201" s="147"/>
      <c r="ACB201" s="147"/>
      <c r="ACC201" s="147"/>
      <c r="ACD201" s="147"/>
      <c r="ACE201" s="147"/>
      <c r="ACF201" s="147"/>
      <c r="ACG201" s="147"/>
      <c r="ACH201" s="147"/>
      <c r="ACI201" s="147"/>
      <c r="ACJ201" s="147"/>
      <c r="ACK201" s="147"/>
      <c r="ACL201" s="147"/>
      <c r="ACM201" s="147"/>
      <c r="ACN201" s="147"/>
      <c r="ACO201" s="147"/>
      <c r="ACP201" s="147"/>
      <c r="ACQ201" s="147"/>
      <c r="ACR201" s="147"/>
      <c r="ACS201" s="147"/>
      <c r="ACT201" s="147"/>
      <c r="ACU201" s="147"/>
      <c r="ACV201" s="147"/>
      <c r="ACW201" s="147"/>
      <c r="ACX201" s="147"/>
      <c r="ACY201" s="147"/>
      <c r="ACZ201" s="147"/>
      <c r="ADA201" s="147"/>
      <c r="ADB201" s="147"/>
      <c r="ADC201" s="147"/>
      <c r="ADD201" s="147"/>
      <c r="ADE201" s="147"/>
      <c r="ADF201" s="147"/>
      <c r="ADG201" s="147"/>
      <c r="ADH201" s="147"/>
      <c r="ADI201" s="147"/>
      <c r="ADJ201" s="147"/>
      <c r="ADK201" s="147"/>
      <c r="ADL201" s="147"/>
      <c r="ADM201" s="147"/>
      <c r="ADN201" s="147"/>
      <c r="ADO201" s="147"/>
      <c r="ADP201" s="147"/>
      <c r="ADQ201" s="147"/>
      <c r="ADR201" s="147"/>
      <c r="ADS201" s="147"/>
      <c r="ADT201" s="147"/>
      <c r="ADU201" s="147"/>
      <c r="ADV201" s="147"/>
      <c r="ADW201" s="147"/>
      <c r="ADX201" s="147"/>
      <c r="ADY201" s="147"/>
      <c r="ADZ201" s="147"/>
      <c r="AEA201" s="147"/>
      <c r="AEB201" s="147"/>
      <c r="AEC201" s="147"/>
      <c r="AED201" s="147"/>
      <c r="AEE201" s="147"/>
      <c r="AEF201" s="147"/>
      <c r="AEG201" s="147"/>
      <c r="AEH201" s="147"/>
      <c r="AEI201" s="147"/>
      <c r="AEJ201" s="147"/>
      <c r="AEK201" s="147"/>
      <c r="AEL201" s="147"/>
      <c r="AEM201" s="147"/>
      <c r="AEN201" s="147"/>
      <c r="AEO201" s="147"/>
      <c r="AEP201" s="147"/>
      <c r="AEQ201" s="147"/>
      <c r="AER201" s="147"/>
      <c r="AES201" s="147"/>
      <c r="AET201" s="147"/>
      <c r="AEU201" s="147"/>
      <c r="AEV201" s="147"/>
      <c r="AEW201" s="147"/>
      <c r="AEX201" s="147"/>
      <c r="AEY201" s="147"/>
      <c r="AEZ201" s="147"/>
      <c r="AFA201" s="147"/>
      <c r="AFB201" s="147"/>
      <c r="AFC201" s="147"/>
      <c r="AFD201" s="147"/>
      <c r="AFE201" s="147"/>
      <c r="AFF201" s="147"/>
      <c r="AFG201" s="147"/>
      <c r="AFH201" s="147"/>
      <c r="AFI201" s="147"/>
      <c r="AFJ201" s="147"/>
      <c r="AFK201" s="147"/>
      <c r="AFL201" s="147"/>
      <c r="AFM201" s="147"/>
      <c r="AFN201" s="147"/>
      <c r="AFO201" s="147"/>
      <c r="AFP201" s="147"/>
      <c r="AFQ201" s="147"/>
      <c r="AFR201" s="147"/>
      <c r="AFS201" s="147"/>
      <c r="AFT201" s="147"/>
      <c r="AFU201" s="147"/>
      <c r="AFV201" s="147"/>
      <c r="AFW201" s="147"/>
      <c r="AFX201" s="147"/>
      <c r="AFY201" s="147"/>
      <c r="AFZ201" s="147"/>
      <c r="AGA201" s="147"/>
      <c r="AGB201" s="147"/>
      <c r="AGC201" s="147"/>
      <c r="AGD201" s="147"/>
      <c r="AGE201" s="147"/>
      <c r="AGF201" s="147"/>
      <c r="AGG201" s="147"/>
      <c r="AGH201" s="147"/>
      <c r="AGI201" s="147"/>
      <c r="AGJ201" s="147"/>
      <c r="AGK201" s="147"/>
      <c r="AGL201" s="147"/>
      <c r="AGM201" s="147"/>
      <c r="AGN201" s="147"/>
      <c r="AGO201" s="147"/>
      <c r="AGP201" s="147"/>
      <c r="AGQ201" s="147"/>
      <c r="AGR201" s="147"/>
      <c r="AGS201" s="147"/>
      <c r="AGT201" s="147"/>
      <c r="AGU201" s="147"/>
      <c r="AGV201" s="147"/>
      <c r="AGW201" s="147"/>
      <c r="AGX201" s="147"/>
      <c r="AGY201" s="147"/>
      <c r="AGZ201" s="147"/>
      <c r="AHA201" s="147"/>
      <c r="AHB201" s="147"/>
      <c r="AHC201" s="147"/>
      <c r="AHD201" s="147"/>
      <c r="AHE201" s="147"/>
      <c r="AHF201" s="147"/>
      <c r="AHG201" s="147"/>
      <c r="AHH201" s="147"/>
      <c r="AHI201" s="147"/>
      <c r="AHJ201" s="147"/>
      <c r="AHK201" s="147"/>
      <c r="AHL201" s="147"/>
      <c r="AHM201" s="147"/>
      <c r="AHN201" s="147"/>
      <c r="AHO201" s="147"/>
      <c r="AHP201" s="147"/>
      <c r="AHQ201" s="147"/>
      <c r="AHR201" s="147"/>
      <c r="AHS201" s="147"/>
      <c r="AHT201" s="147"/>
      <c r="AHU201" s="147"/>
      <c r="AHV201" s="147"/>
      <c r="AHW201" s="147"/>
      <c r="AHX201" s="147"/>
      <c r="AHY201" s="147"/>
      <c r="AHZ201" s="147"/>
      <c r="AIA201" s="147"/>
      <c r="AIB201" s="147"/>
      <c r="AIC201" s="147"/>
      <c r="AID201" s="147"/>
      <c r="AIE201" s="147"/>
      <c r="AIF201" s="147"/>
      <c r="AIG201" s="147"/>
      <c r="AIH201" s="147"/>
      <c r="AII201" s="147"/>
      <c r="AIJ201" s="147"/>
      <c r="AIK201" s="147"/>
      <c r="AIL201" s="147"/>
      <c r="AIM201" s="147"/>
      <c r="AIN201" s="147"/>
      <c r="AIO201" s="147"/>
      <c r="AIP201" s="147"/>
      <c r="AIQ201" s="147"/>
      <c r="AIR201" s="147"/>
      <c r="AIS201" s="147"/>
      <c r="AIT201" s="147"/>
      <c r="AIU201" s="147"/>
      <c r="AIV201" s="147"/>
      <c r="AIW201" s="147"/>
      <c r="AIX201" s="147"/>
      <c r="AIY201" s="147"/>
      <c r="AIZ201" s="147"/>
      <c r="AJA201" s="147"/>
      <c r="AJB201" s="147"/>
      <c r="AJC201" s="147"/>
      <c r="AJD201" s="147"/>
      <c r="AJE201" s="147"/>
      <c r="AJF201" s="147"/>
      <c r="AJG201" s="147"/>
      <c r="AJH201" s="147"/>
      <c r="AJI201" s="147"/>
      <c r="AJJ201" s="147"/>
      <c r="AJK201" s="147"/>
      <c r="AJL201" s="147"/>
      <c r="AJM201" s="147"/>
      <c r="AJN201" s="147"/>
      <c r="AJO201" s="147"/>
      <c r="AJP201" s="147"/>
      <c r="AJQ201" s="147"/>
      <c r="AJR201" s="147"/>
      <c r="AJS201" s="147"/>
      <c r="AJT201" s="147"/>
      <c r="AJU201" s="147"/>
      <c r="AJV201" s="147"/>
      <c r="AJW201" s="147"/>
      <c r="AJX201" s="147"/>
      <c r="AJY201" s="147"/>
      <c r="AJZ201" s="147"/>
      <c r="AKA201" s="147"/>
      <c r="AKB201" s="147"/>
      <c r="AKC201" s="147"/>
      <c r="AKD201" s="147"/>
      <c r="AKE201" s="147"/>
      <c r="AKF201" s="147"/>
      <c r="AKG201" s="147"/>
      <c r="AKH201" s="147"/>
      <c r="AKI201" s="147"/>
      <c r="AKJ201" s="147"/>
      <c r="AKK201" s="147"/>
      <c r="AKL201" s="147"/>
      <c r="AKM201" s="147"/>
      <c r="AKN201" s="147"/>
      <c r="AKO201" s="147"/>
      <c r="AKP201" s="147"/>
      <c r="AKQ201" s="147"/>
      <c r="AKR201" s="147"/>
      <c r="AKS201" s="147"/>
      <c r="AKT201" s="147"/>
      <c r="AKU201" s="147"/>
      <c r="AKV201" s="147"/>
      <c r="AKW201" s="147"/>
      <c r="AKX201" s="147"/>
      <c r="AKY201" s="147"/>
      <c r="AKZ201" s="147"/>
      <c r="ALA201" s="147"/>
      <c r="ALB201" s="147"/>
      <c r="ALC201" s="147"/>
      <c r="ALD201" s="147"/>
      <c r="ALE201" s="147"/>
      <c r="ALF201" s="147"/>
      <c r="ALG201" s="147"/>
      <c r="ALH201" s="147"/>
      <c r="ALI201" s="147"/>
      <c r="ALJ201" s="147"/>
      <c r="ALK201" s="147"/>
      <c r="ALL201" s="147"/>
      <c r="ALM201" s="147"/>
      <c r="ALN201" s="147"/>
      <c r="ALO201" s="147"/>
      <c r="ALP201" s="147"/>
      <c r="ALQ201" s="147"/>
      <c r="ALR201" s="147"/>
      <c r="ALS201" s="147"/>
      <c r="ALT201" s="147"/>
      <c r="ALU201" s="147"/>
      <c r="ALV201" s="147"/>
      <c r="ALW201" s="147"/>
      <c r="ALX201" s="147"/>
      <c r="ALY201" s="147"/>
      <c r="ALZ201" s="147"/>
      <c r="AMA201" s="147"/>
      <c r="AMB201" s="147"/>
      <c r="AMC201" s="147"/>
      <c r="AMD201" s="147"/>
      <c r="AME201" s="147"/>
      <c r="AMF201" s="147"/>
      <c r="AMG201" s="147"/>
      <c r="AMH201" s="147"/>
      <c r="AMI201" s="147"/>
      <c r="AMJ201" s="147"/>
      <c r="AMK201" s="147"/>
      <c r="AML201" s="147"/>
      <c r="AMM201" s="147"/>
      <c r="AMN201" s="147"/>
      <c r="AMO201" s="147"/>
      <c r="AMP201" s="147"/>
      <c r="AMQ201" s="147"/>
      <c r="AMR201" s="147"/>
      <c r="AMS201" s="147"/>
      <c r="AMT201" s="147"/>
      <c r="AMU201" s="147"/>
      <c r="AMV201" s="147"/>
      <c r="AMW201" s="147"/>
      <c r="AMX201" s="147"/>
      <c r="AMY201" s="147"/>
      <c r="AMZ201" s="147"/>
      <c r="ANA201" s="147"/>
      <c r="ANB201" s="147"/>
      <c r="ANC201" s="147"/>
      <c r="AND201" s="147"/>
      <c r="ANE201" s="147"/>
      <c r="ANF201" s="147"/>
      <c r="ANG201" s="147"/>
      <c r="ANH201" s="147"/>
      <c r="ANI201" s="147"/>
      <c r="ANJ201" s="147"/>
      <c r="ANK201" s="147"/>
      <c r="ANL201" s="147"/>
      <c r="ANM201" s="147"/>
      <c r="ANN201" s="147"/>
      <c r="ANO201" s="147"/>
      <c r="ANP201" s="147"/>
      <c r="ANQ201" s="147"/>
      <c r="ANR201" s="147"/>
      <c r="ANS201" s="147"/>
      <c r="ANT201" s="147"/>
      <c r="ANU201" s="147"/>
      <c r="ANV201" s="147"/>
      <c r="ANW201" s="147"/>
      <c r="ANX201" s="147"/>
      <c r="ANY201" s="147"/>
      <c r="ANZ201" s="147"/>
      <c r="AOA201" s="147"/>
      <c r="AOB201" s="147"/>
      <c r="AOC201" s="147"/>
      <c r="AOD201" s="147"/>
      <c r="AOE201" s="147"/>
      <c r="AOF201" s="147"/>
      <c r="AOG201" s="147"/>
      <c r="AOH201" s="147"/>
      <c r="AOI201" s="147"/>
      <c r="AOJ201" s="147"/>
      <c r="AOK201" s="147"/>
      <c r="AOL201" s="147"/>
      <c r="AOM201" s="147"/>
      <c r="AON201" s="147"/>
      <c r="AOO201" s="147"/>
      <c r="AOP201" s="147"/>
      <c r="AOQ201" s="147"/>
      <c r="AOR201" s="147"/>
      <c r="AOS201" s="147"/>
      <c r="AOT201" s="147"/>
      <c r="AOU201" s="147"/>
      <c r="AOV201" s="147"/>
      <c r="AOW201" s="147"/>
      <c r="AOX201" s="147"/>
      <c r="AOY201" s="147"/>
      <c r="AOZ201" s="147"/>
      <c r="APA201" s="147"/>
      <c r="APB201" s="147"/>
      <c r="APC201" s="147"/>
      <c r="APD201" s="147"/>
      <c r="APE201" s="147"/>
      <c r="APF201" s="147"/>
      <c r="APG201" s="147"/>
      <c r="APH201" s="147"/>
      <c r="API201" s="147"/>
      <c r="APJ201" s="147"/>
      <c r="APK201" s="147"/>
      <c r="APL201" s="147"/>
      <c r="APM201" s="147"/>
      <c r="APN201" s="147"/>
      <c r="APO201" s="147"/>
      <c r="APP201" s="147"/>
      <c r="APQ201" s="147"/>
      <c r="APR201" s="147"/>
      <c r="APS201" s="147"/>
      <c r="APT201" s="147"/>
      <c r="APU201" s="147"/>
      <c r="APV201" s="147"/>
      <c r="APW201" s="147"/>
      <c r="APX201" s="147"/>
      <c r="APY201" s="147"/>
      <c r="APZ201" s="147"/>
      <c r="AQA201" s="147"/>
      <c r="AQB201" s="147"/>
      <c r="AQC201" s="147"/>
      <c r="AQD201" s="147"/>
      <c r="AQE201" s="147"/>
      <c r="AQF201" s="147"/>
      <c r="AQG201" s="147"/>
      <c r="AQH201" s="147"/>
      <c r="AQI201" s="147"/>
      <c r="AQJ201" s="147"/>
      <c r="AQK201" s="147"/>
      <c r="AQL201" s="147"/>
      <c r="AQM201" s="147"/>
      <c r="AQN201" s="147"/>
      <c r="AQO201" s="147"/>
      <c r="AQP201" s="147"/>
      <c r="AQQ201" s="147"/>
      <c r="AQR201" s="147"/>
      <c r="AQS201" s="147"/>
      <c r="AQT201" s="147"/>
      <c r="AQU201" s="147"/>
      <c r="AQV201" s="147"/>
      <c r="AQW201" s="147"/>
      <c r="AQX201" s="147"/>
      <c r="AQY201" s="147"/>
      <c r="AQZ201" s="147"/>
      <c r="ARA201" s="147"/>
      <c r="ARB201" s="147"/>
      <c r="ARC201" s="147"/>
      <c r="ARD201" s="147"/>
      <c r="ARE201" s="147"/>
      <c r="ARF201" s="147"/>
      <c r="ARG201" s="147"/>
      <c r="ARH201" s="147"/>
      <c r="ARI201" s="147"/>
      <c r="ARJ201" s="147"/>
      <c r="ARK201" s="147"/>
      <c r="ARL201" s="147"/>
      <c r="ARM201" s="147"/>
      <c r="ARN201" s="147"/>
      <c r="ARO201" s="147"/>
      <c r="ARP201" s="147"/>
      <c r="ARQ201" s="147"/>
      <c r="ARR201" s="147"/>
      <c r="ARS201" s="147"/>
      <c r="ART201" s="147"/>
      <c r="ARU201" s="147"/>
      <c r="ARV201" s="147"/>
      <c r="ARW201" s="147"/>
      <c r="ARX201" s="147"/>
      <c r="ARY201" s="147"/>
      <c r="ARZ201" s="147"/>
      <c r="ASA201" s="147"/>
      <c r="ASB201" s="147"/>
      <c r="ASC201" s="147"/>
      <c r="ASD201" s="147"/>
      <c r="ASE201" s="147"/>
      <c r="ASF201" s="147"/>
      <c r="ASG201" s="147"/>
      <c r="ASH201" s="147"/>
      <c r="ASI201" s="147"/>
      <c r="ASJ201" s="147"/>
      <c r="ASK201" s="147"/>
      <c r="ASL201" s="147"/>
      <c r="ASM201" s="147"/>
      <c r="ASN201" s="147"/>
      <c r="ASO201" s="147"/>
      <c r="ASP201" s="147"/>
      <c r="ASQ201" s="147"/>
      <c r="ASR201" s="147"/>
      <c r="ASS201" s="147"/>
      <c r="AST201" s="147"/>
      <c r="ASU201" s="147"/>
      <c r="ASV201" s="147"/>
      <c r="ASW201" s="147"/>
      <c r="ASX201" s="147"/>
      <c r="ASY201" s="147"/>
      <c r="ASZ201" s="147"/>
      <c r="ATA201" s="147"/>
      <c r="ATB201" s="147"/>
      <c r="ATC201" s="147"/>
      <c r="ATD201" s="147"/>
      <c r="ATE201" s="147"/>
      <c r="ATF201" s="147"/>
      <c r="ATG201" s="147"/>
      <c r="ATH201" s="147"/>
      <c r="ATI201" s="147"/>
      <c r="ATJ201" s="147"/>
      <c r="ATK201" s="147"/>
      <c r="ATL201" s="147"/>
      <c r="ATM201" s="147"/>
      <c r="ATN201" s="147"/>
      <c r="ATO201" s="147"/>
      <c r="ATP201" s="147"/>
      <c r="ATQ201" s="147"/>
      <c r="ATR201" s="147"/>
      <c r="ATS201" s="147"/>
      <c r="ATT201" s="147"/>
      <c r="ATU201" s="147"/>
      <c r="ATV201" s="147"/>
      <c r="ATW201" s="147"/>
      <c r="ATX201" s="147"/>
      <c r="ATY201" s="147"/>
      <c r="ATZ201" s="147"/>
      <c r="AUA201" s="147"/>
      <c r="AUB201" s="147"/>
      <c r="AUC201" s="147"/>
      <c r="AUD201" s="147"/>
      <c r="AUE201" s="147"/>
      <c r="AUF201" s="147"/>
      <c r="AUG201" s="147"/>
      <c r="AUH201" s="147"/>
      <c r="AUI201" s="147"/>
      <c r="AUJ201" s="147"/>
      <c r="AUK201" s="147"/>
      <c r="AUL201" s="147"/>
      <c r="AUM201" s="147"/>
      <c r="AUN201" s="147"/>
      <c r="AUO201" s="147"/>
      <c r="AUP201" s="147"/>
      <c r="AUQ201" s="147"/>
      <c r="AUR201" s="147"/>
      <c r="AUS201" s="147"/>
      <c r="AUT201" s="147"/>
      <c r="AUU201" s="147"/>
      <c r="AUV201" s="147"/>
      <c r="AUW201" s="147"/>
      <c r="AUX201" s="147"/>
      <c r="AUY201" s="147"/>
      <c r="AUZ201" s="147"/>
      <c r="AVA201" s="147"/>
      <c r="AVB201" s="147"/>
      <c r="AVC201" s="147"/>
      <c r="AVD201" s="147"/>
      <c r="AVE201" s="147"/>
      <c r="AVF201" s="147"/>
      <c r="AVG201" s="147"/>
      <c r="AVH201" s="147"/>
      <c r="AVI201" s="147"/>
      <c r="AVJ201" s="147"/>
      <c r="AVK201" s="147"/>
      <c r="AVL201" s="147"/>
      <c r="AVM201" s="147"/>
      <c r="AVN201" s="147"/>
      <c r="AVO201" s="147"/>
      <c r="AVP201" s="147"/>
      <c r="AVQ201" s="147"/>
      <c r="AVR201" s="147"/>
      <c r="AVS201" s="147"/>
      <c r="AVT201" s="147"/>
      <c r="AVU201" s="147"/>
      <c r="AVV201" s="147"/>
      <c r="AVW201" s="147"/>
      <c r="AVX201" s="147"/>
      <c r="AVY201" s="147"/>
      <c r="AVZ201" s="147"/>
      <c r="AWA201" s="147"/>
      <c r="AWB201" s="147"/>
      <c r="AWC201" s="147"/>
      <c r="AWD201" s="147"/>
      <c r="AWE201" s="147"/>
      <c r="AWF201" s="147"/>
      <c r="AWG201" s="147"/>
      <c r="AWH201" s="147"/>
      <c r="AWI201" s="147"/>
      <c r="AWJ201" s="147"/>
      <c r="AWK201" s="147"/>
      <c r="AWL201" s="147"/>
      <c r="AWM201" s="147"/>
      <c r="AWN201" s="147"/>
      <c r="AWO201" s="147"/>
      <c r="AWP201" s="147"/>
      <c r="AWQ201" s="147"/>
      <c r="AWR201" s="147"/>
      <c r="AWS201" s="147"/>
      <c r="AWT201" s="147"/>
      <c r="AWU201" s="147"/>
      <c r="AWV201" s="147"/>
      <c r="AWW201" s="147"/>
      <c r="AWX201" s="147"/>
      <c r="AWY201" s="147"/>
      <c r="AWZ201" s="147"/>
      <c r="AXA201" s="147"/>
      <c r="AXB201" s="147"/>
      <c r="AXC201" s="147"/>
      <c r="AXD201" s="147"/>
      <c r="AXE201" s="147"/>
      <c r="AXF201" s="147"/>
      <c r="AXG201" s="147"/>
      <c r="AXH201" s="147"/>
      <c r="AXI201" s="147"/>
      <c r="AXJ201" s="147"/>
      <c r="AXK201" s="147"/>
      <c r="AXL201" s="147"/>
      <c r="AXM201" s="147"/>
      <c r="AXN201" s="147"/>
      <c r="AXO201" s="147"/>
      <c r="AXP201" s="147"/>
      <c r="AXQ201" s="147"/>
      <c r="AXR201" s="147"/>
      <c r="AXS201" s="147"/>
      <c r="AXT201" s="147"/>
      <c r="AXU201" s="147"/>
      <c r="AXV201" s="147"/>
      <c r="AXW201" s="147"/>
      <c r="AXX201" s="147"/>
      <c r="AXY201" s="147"/>
      <c r="AXZ201" s="147"/>
      <c r="AYA201" s="147"/>
      <c r="AYB201" s="147"/>
      <c r="AYC201" s="147"/>
      <c r="AYD201" s="147"/>
      <c r="AYE201" s="147"/>
      <c r="AYF201" s="147"/>
      <c r="AYG201" s="147"/>
      <c r="AYH201" s="147"/>
      <c r="AYI201" s="147"/>
      <c r="AYJ201" s="147"/>
      <c r="AYK201" s="147"/>
      <c r="AYL201" s="147"/>
      <c r="AYM201" s="147"/>
      <c r="AYN201" s="147"/>
      <c r="AYO201" s="147"/>
      <c r="AYP201" s="147"/>
      <c r="AYQ201" s="147"/>
      <c r="AYR201" s="147"/>
      <c r="AYS201" s="147"/>
      <c r="AYT201" s="147"/>
      <c r="AYU201" s="147"/>
      <c r="AYV201" s="147"/>
      <c r="AYW201" s="147"/>
      <c r="AYX201" s="147"/>
      <c r="AYY201" s="147"/>
      <c r="AYZ201" s="147"/>
      <c r="AZA201" s="147"/>
      <c r="AZB201" s="147"/>
      <c r="AZC201" s="147"/>
      <c r="AZD201" s="147"/>
      <c r="AZE201" s="147"/>
      <c r="AZF201" s="147"/>
      <c r="AZG201" s="147"/>
      <c r="AZH201" s="147"/>
      <c r="AZI201" s="147"/>
      <c r="AZJ201" s="147"/>
      <c r="AZK201" s="147"/>
      <c r="AZL201" s="147"/>
      <c r="AZM201" s="147"/>
      <c r="AZN201" s="147"/>
      <c r="AZO201" s="147"/>
      <c r="AZP201" s="147"/>
      <c r="AZQ201" s="147"/>
      <c r="AZR201" s="147"/>
      <c r="AZS201" s="147"/>
      <c r="AZT201" s="147"/>
      <c r="AZU201" s="147"/>
      <c r="AZV201" s="147"/>
      <c r="AZW201" s="147"/>
      <c r="AZX201" s="147"/>
      <c r="AZY201" s="147"/>
      <c r="AZZ201" s="147"/>
      <c r="BAA201" s="147"/>
      <c r="BAB201" s="147"/>
      <c r="BAC201" s="147"/>
      <c r="BAD201" s="147"/>
      <c r="BAE201" s="147"/>
      <c r="BAF201" s="147"/>
      <c r="BAG201" s="147"/>
      <c r="BAH201" s="147"/>
      <c r="BAI201" s="147"/>
      <c r="BAJ201" s="147"/>
      <c r="BAK201" s="147"/>
      <c r="BAL201" s="147"/>
      <c r="BAM201" s="147"/>
      <c r="BAN201" s="147"/>
      <c r="BAO201" s="147"/>
      <c r="BAP201" s="147"/>
      <c r="BAQ201" s="147"/>
      <c r="BAR201" s="147"/>
      <c r="BAS201" s="147"/>
      <c r="BAT201" s="147"/>
      <c r="BAU201" s="147"/>
      <c r="BAV201" s="147"/>
      <c r="BAW201" s="147"/>
      <c r="BAX201" s="147"/>
      <c r="BAY201" s="147"/>
      <c r="BAZ201" s="147"/>
      <c r="BBA201" s="147"/>
      <c r="BBB201" s="147"/>
      <c r="BBC201" s="147"/>
      <c r="BBD201" s="147"/>
      <c r="BBE201" s="147"/>
      <c r="BBF201" s="147"/>
      <c r="BBG201" s="147"/>
      <c r="BBH201" s="147"/>
      <c r="BBI201" s="147"/>
      <c r="BBJ201" s="147"/>
      <c r="BBK201" s="147"/>
      <c r="BBL201" s="147"/>
      <c r="BBM201" s="147"/>
      <c r="BBN201" s="147"/>
      <c r="BBO201" s="147"/>
      <c r="BBP201" s="147"/>
      <c r="BBQ201" s="147"/>
      <c r="BBR201" s="147"/>
      <c r="BBS201" s="147"/>
      <c r="BBT201" s="147"/>
      <c r="BBU201" s="147"/>
      <c r="BBV201" s="147"/>
      <c r="BBW201" s="147"/>
      <c r="BBX201" s="147"/>
      <c r="BBY201" s="147"/>
      <c r="BBZ201" s="147"/>
      <c r="BCA201" s="147"/>
      <c r="BCB201" s="147"/>
      <c r="BCC201" s="147"/>
      <c r="BCD201" s="147"/>
      <c r="BCE201" s="147"/>
      <c r="BCF201" s="147"/>
      <c r="BCG201" s="147"/>
      <c r="BCH201" s="147"/>
      <c r="BCI201" s="147"/>
      <c r="BCJ201" s="147"/>
      <c r="BCK201" s="147"/>
      <c r="BCL201" s="147"/>
      <c r="BCM201" s="147"/>
      <c r="BCN201" s="147"/>
      <c r="BCO201" s="147"/>
      <c r="BCP201" s="147"/>
      <c r="BCQ201" s="147"/>
      <c r="BCR201" s="147"/>
      <c r="BCS201" s="147"/>
      <c r="BCT201" s="147"/>
      <c r="BCU201" s="147"/>
      <c r="BCV201" s="147"/>
      <c r="BCW201" s="147"/>
      <c r="BCX201" s="147"/>
      <c r="BCY201" s="147"/>
      <c r="BCZ201" s="147"/>
      <c r="BDA201" s="147"/>
      <c r="BDB201" s="147"/>
      <c r="BDC201" s="147"/>
      <c r="BDD201" s="147"/>
      <c r="BDE201" s="147"/>
      <c r="BDF201" s="147"/>
      <c r="BDG201" s="147"/>
      <c r="BDH201" s="147"/>
      <c r="BDI201" s="147"/>
      <c r="BDJ201" s="147"/>
      <c r="BDK201" s="147"/>
      <c r="BDL201" s="147"/>
      <c r="BDM201" s="147"/>
      <c r="BDN201" s="147"/>
      <c r="BDO201" s="147"/>
      <c r="BDP201" s="147"/>
      <c r="BDQ201" s="147"/>
      <c r="BDR201" s="147"/>
      <c r="BDS201" s="147"/>
      <c r="BDT201" s="147"/>
      <c r="BDU201" s="147"/>
      <c r="BDV201" s="147"/>
      <c r="BDW201" s="147"/>
      <c r="BDX201" s="147"/>
      <c r="BDY201" s="147"/>
      <c r="BDZ201" s="147"/>
      <c r="BEA201" s="147"/>
      <c r="BEB201" s="147"/>
      <c r="BEC201" s="147"/>
      <c r="BED201" s="147"/>
      <c r="BEE201" s="147"/>
      <c r="BEF201" s="147"/>
      <c r="BEG201" s="147"/>
      <c r="BEH201" s="147"/>
      <c r="BEI201" s="147"/>
      <c r="BEJ201" s="147"/>
      <c r="BEK201" s="147"/>
      <c r="BEL201" s="147"/>
      <c r="BEM201" s="147"/>
      <c r="BEN201" s="147"/>
      <c r="BEO201" s="147"/>
      <c r="BEP201" s="147"/>
      <c r="BEQ201" s="147"/>
      <c r="BER201" s="147"/>
      <c r="BES201" s="147"/>
      <c r="BET201" s="147"/>
      <c r="BEU201" s="147"/>
      <c r="BEV201" s="147"/>
      <c r="BEW201" s="147"/>
      <c r="BEX201" s="147"/>
      <c r="BEY201" s="147"/>
      <c r="BEZ201" s="147"/>
      <c r="BFA201" s="147"/>
      <c r="BFB201" s="147"/>
      <c r="BFC201" s="147"/>
      <c r="BFD201" s="147"/>
      <c r="BFE201" s="147"/>
      <c r="BFF201" s="147"/>
      <c r="BFG201" s="147"/>
      <c r="BFH201" s="147"/>
      <c r="BFI201" s="147"/>
      <c r="BFJ201" s="147"/>
      <c r="BFK201" s="147"/>
      <c r="BFL201" s="147"/>
      <c r="BFM201" s="147"/>
      <c r="BFN201" s="147"/>
      <c r="BFO201" s="147"/>
      <c r="BFP201" s="147"/>
      <c r="BFQ201" s="147"/>
      <c r="BFR201" s="147"/>
      <c r="BFS201" s="147"/>
      <c r="BFT201" s="147"/>
      <c r="BFU201" s="147"/>
      <c r="BFV201" s="147"/>
      <c r="BFW201" s="147"/>
      <c r="BFX201" s="147"/>
      <c r="BFY201" s="147"/>
      <c r="BFZ201" s="147"/>
      <c r="BGA201" s="147"/>
      <c r="BGB201" s="147"/>
      <c r="BGC201" s="147"/>
      <c r="BGD201" s="147"/>
      <c r="BGE201" s="147"/>
      <c r="BGF201" s="147"/>
      <c r="BGG201" s="147"/>
      <c r="BGH201" s="147"/>
      <c r="BGI201" s="147"/>
      <c r="BGJ201" s="147"/>
      <c r="BGK201" s="147"/>
      <c r="BGL201" s="147"/>
      <c r="BGM201" s="147"/>
      <c r="BGN201" s="147"/>
      <c r="BGO201" s="147"/>
      <c r="BGP201" s="147"/>
      <c r="BGQ201" s="147"/>
      <c r="BGR201" s="147"/>
      <c r="BGS201" s="147"/>
      <c r="BGT201" s="147"/>
      <c r="BGU201" s="147"/>
      <c r="BGV201" s="147"/>
      <c r="BGW201" s="147"/>
      <c r="BGX201" s="147"/>
      <c r="BGY201" s="147"/>
      <c r="BGZ201" s="147"/>
      <c r="BHA201" s="147"/>
      <c r="BHB201" s="147"/>
      <c r="BHC201" s="147"/>
      <c r="BHD201" s="147"/>
      <c r="BHE201" s="147"/>
      <c r="BHF201" s="147"/>
      <c r="BHG201" s="147"/>
      <c r="BHH201" s="147"/>
      <c r="BHI201" s="147"/>
      <c r="BHJ201" s="147"/>
      <c r="BHK201" s="147"/>
      <c r="BHL201" s="147"/>
      <c r="BHM201" s="147"/>
      <c r="BHN201" s="147"/>
      <c r="BHO201" s="147"/>
      <c r="BHP201" s="147"/>
      <c r="BHQ201" s="147"/>
      <c r="BHR201" s="147"/>
      <c r="BHS201" s="147"/>
      <c r="BHT201" s="147"/>
      <c r="BHU201" s="147"/>
      <c r="BHV201" s="147"/>
      <c r="BHW201" s="147"/>
      <c r="BHX201" s="147"/>
      <c r="BHY201" s="147"/>
      <c r="BHZ201" s="147"/>
      <c r="BIA201" s="147"/>
      <c r="BIB201" s="147"/>
      <c r="BIC201" s="147"/>
      <c r="BID201" s="147"/>
      <c r="BIE201" s="147"/>
      <c r="BIF201" s="147"/>
      <c r="BIG201" s="147"/>
      <c r="BIH201" s="147"/>
      <c r="BII201" s="147"/>
      <c r="BIJ201" s="147"/>
      <c r="BIK201" s="147"/>
      <c r="BIL201" s="147"/>
      <c r="BIM201" s="147"/>
      <c r="BIN201" s="147"/>
      <c r="BIO201" s="147"/>
      <c r="BIP201" s="147"/>
      <c r="BIQ201" s="147"/>
      <c r="BIR201" s="147"/>
      <c r="BIS201" s="147"/>
      <c r="BIT201" s="147"/>
      <c r="BIU201" s="147"/>
      <c r="BIV201" s="147"/>
      <c r="BIW201" s="147"/>
      <c r="BIX201" s="147"/>
      <c r="BIY201" s="147"/>
      <c r="BIZ201" s="147"/>
      <c r="BJA201" s="147"/>
      <c r="BJB201" s="147"/>
      <c r="BJC201" s="147"/>
      <c r="BJD201" s="147"/>
      <c r="BJE201" s="147"/>
      <c r="BJF201" s="147"/>
      <c r="BJG201" s="147"/>
      <c r="BJH201" s="147"/>
      <c r="BJI201" s="147"/>
      <c r="BJJ201" s="147"/>
      <c r="BJK201" s="147"/>
      <c r="BJL201" s="147"/>
      <c r="BJM201" s="147"/>
      <c r="BJN201" s="147"/>
      <c r="BJO201" s="147"/>
      <c r="BJP201" s="147"/>
      <c r="BJQ201" s="147"/>
      <c r="BJR201" s="147"/>
      <c r="BJS201" s="147"/>
      <c r="BJT201" s="147"/>
      <c r="BJU201" s="147"/>
      <c r="BJV201" s="147"/>
      <c r="BJW201" s="147"/>
      <c r="BJX201" s="147"/>
      <c r="BJY201" s="147"/>
      <c r="BJZ201" s="147"/>
      <c r="BKA201" s="147"/>
      <c r="BKB201" s="147"/>
      <c r="BKC201" s="147"/>
      <c r="BKD201" s="147"/>
      <c r="BKE201" s="147"/>
      <c r="BKF201" s="147"/>
      <c r="BKG201" s="147"/>
      <c r="BKH201" s="147"/>
      <c r="BKI201" s="147"/>
      <c r="BKJ201" s="147"/>
      <c r="BKK201" s="147"/>
      <c r="BKL201" s="147"/>
      <c r="BKM201" s="147"/>
      <c r="BKN201" s="147"/>
      <c r="BKO201" s="147"/>
      <c r="BKP201" s="147"/>
      <c r="BKQ201" s="147"/>
      <c r="BKR201" s="147"/>
      <c r="BKS201" s="147"/>
      <c r="BKT201" s="147"/>
      <c r="BKU201" s="147"/>
      <c r="BKV201" s="147"/>
      <c r="BKW201" s="147"/>
      <c r="BKX201" s="147"/>
      <c r="BKY201" s="147"/>
      <c r="BKZ201" s="147"/>
      <c r="BLA201" s="147"/>
      <c r="BLB201" s="147"/>
      <c r="BLC201" s="147"/>
      <c r="BLD201" s="147"/>
      <c r="BLE201" s="147"/>
      <c r="BLF201" s="147"/>
      <c r="BLG201" s="147"/>
      <c r="BLH201" s="147"/>
      <c r="BLI201" s="147"/>
      <c r="BLJ201" s="147"/>
      <c r="BLK201" s="147"/>
      <c r="BLL201" s="147"/>
      <c r="BLM201" s="147"/>
      <c r="BLN201" s="147"/>
      <c r="BLO201" s="147"/>
      <c r="BLP201" s="147"/>
      <c r="BLQ201" s="147"/>
      <c r="BLR201" s="147"/>
      <c r="BLS201" s="147"/>
      <c r="BLT201" s="147"/>
      <c r="BLU201" s="147"/>
      <c r="BLV201" s="147"/>
      <c r="BLW201" s="147"/>
      <c r="BLX201" s="147"/>
      <c r="BLY201" s="147"/>
      <c r="BLZ201" s="147"/>
      <c r="BMA201" s="147"/>
      <c r="BMB201" s="147"/>
      <c r="BMC201" s="147"/>
      <c r="BMD201" s="147"/>
      <c r="BME201" s="147"/>
      <c r="BMF201" s="147"/>
      <c r="BMG201" s="147"/>
      <c r="BMH201" s="147"/>
      <c r="BMI201" s="147"/>
      <c r="BMJ201" s="147"/>
      <c r="BMK201" s="147"/>
      <c r="BML201" s="147"/>
      <c r="BMM201" s="147"/>
      <c r="BMN201" s="147"/>
      <c r="BMO201" s="147"/>
      <c r="BMP201" s="147"/>
      <c r="BMQ201" s="147"/>
      <c r="BMR201" s="147"/>
      <c r="BMS201" s="147"/>
      <c r="BMT201" s="147"/>
      <c r="BMU201" s="147"/>
      <c r="BMV201" s="147"/>
      <c r="BMW201" s="147"/>
      <c r="BMX201" s="147"/>
      <c r="BMY201" s="147"/>
      <c r="BMZ201" s="147"/>
      <c r="BNA201" s="147"/>
      <c r="BNB201" s="147"/>
      <c r="BNC201" s="147"/>
      <c r="BND201" s="147"/>
      <c r="BNE201" s="147"/>
      <c r="BNF201" s="147"/>
      <c r="BNG201" s="147"/>
      <c r="BNH201" s="147"/>
      <c r="BNI201" s="147"/>
      <c r="BNJ201" s="147"/>
      <c r="BNK201" s="147"/>
      <c r="BNL201" s="147"/>
      <c r="BNM201" s="147"/>
      <c r="BNN201" s="147"/>
      <c r="BNO201" s="147"/>
      <c r="BNP201" s="147"/>
      <c r="BNQ201" s="147"/>
      <c r="BNR201" s="147"/>
      <c r="BNS201" s="147"/>
      <c r="BNT201" s="147"/>
      <c r="BNU201" s="147"/>
      <c r="BNV201" s="147"/>
      <c r="BNW201" s="147"/>
      <c r="BNX201" s="147"/>
      <c r="BNY201" s="147"/>
      <c r="BNZ201" s="147"/>
      <c r="BOA201" s="147"/>
      <c r="BOB201" s="147"/>
      <c r="BOC201" s="147"/>
      <c r="BOD201" s="147"/>
      <c r="BOE201" s="147"/>
      <c r="BOF201" s="147"/>
      <c r="BOG201" s="147"/>
      <c r="BOH201" s="147"/>
      <c r="BOI201" s="147"/>
      <c r="BOJ201" s="147"/>
      <c r="BOK201" s="147"/>
      <c r="BOL201" s="147"/>
      <c r="BOM201" s="147"/>
      <c r="BON201" s="147"/>
      <c r="BOO201" s="147"/>
      <c r="BOP201" s="147"/>
      <c r="BOQ201" s="147"/>
      <c r="BOR201" s="147"/>
      <c r="BOS201" s="147"/>
      <c r="BOT201" s="147"/>
      <c r="BOU201" s="147"/>
      <c r="BOV201" s="147"/>
      <c r="BOW201" s="147"/>
      <c r="BOX201" s="147"/>
      <c r="BOY201" s="147"/>
      <c r="BOZ201" s="147"/>
      <c r="BPA201" s="147"/>
      <c r="BPB201" s="147"/>
      <c r="BPC201" s="147"/>
      <c r="BPD201" s="147"/>
      <c r="BPE201" s="147"/>
      <c r="BPF201" s="147"/>
      <c r="BPG201" s="147"/>
      <c r="BPH201" s="147"/>
      <c r="BPI201" s="147"/>
      <c r="BPJ201" s="147"/>
      <c r="BPK201" s="147"/>
      <c r="BPL201" s="147"/>
      <c r="BPM201" s="147"/>
      <c r="BPN201" s="147"/>
      <c r="BPO201" s="147"/>
      <c r="BPP201" s="147"/>
      <c r="BPQ201" s="147"/>
      <c r="BPR201" s="147"/>
      <c r="BPS201" s="147"/>
      <c r="BPT201" s="147"/>
      <c r="BPU201" s="147"/>
      <c r="BPV201" s="147"/>
      <c r="BPW201" s="147"/>
      <c r="BPX201" s="147"/>
      <c r="BPY201" s="147"/>
      <c r="BPZ201" s="147"/>
      <c r="BQA201" s="147"/>
      <c r="BQB201" s="147"/>
      <c r="BQC201" s="147"/>
      <c r="BQD201" s="147"/>
      <c r="BQE201" s="147"/>
      <c r="BQF201" s="147"/>
      <c r="BQG201" s="147"/>
      <c r="BQH201" s="147"/>
      <c r="BQI201" s="147"/>
      <c r="BQJ201" s="147"/>
      <c r="BQK201" s="147"/>
      <c r="BQL201" s="147"/>
      <c r="BQM201" s="147"/>
      <c r="BQN201" s="147"/>
      <c r="BQO201" s="147"/>
      <c r="BQP201" s="147"/>
      <c r="BQQ201" s="147"/>
      <c r="BQR201" s="147"/>
      <c r="BQS201" s="147"/>
      <c r="BQT201" s="147"/>
      <c r="BQU201" s="147"/>
      <c r="BQV201" s="147"/>
      <c r="BQW201" s="147"/>
      <c r="BQX201" s="147"/>
      <c r="BQY201" s="147"/>
      <c r="BQZ201" s="147"/>
      <c r="BRA201" s="147"/>
      <c r="BRB201" s="147"/>
      <c r="BRC201" s="147"/>
      <c r="BRD201" s="147"/>
      <c r="BRE201" s="147"/>
      <c r="BRF201" s="147"/>
      <c r="BRG201" s="147"/>
      <c r="BRH201" s="147"/>
      <c r="BRI201" s="147"/>
      <c r="BRJ201" s="147"/>
      <c r="BRK201" s="147"/>
      <c r="BRL201" s="147"/>
      <c r="BRM201" s="147"/>
      <c r="BRN201" s="147"/>
      <c r="BRO201" s="147"/>
      <c r="BRP201" s="147"/>
      <c r="BRQ201" s="147"/>
      <c r="BRR201" s="147"/>
      <c r="BRS201" s="147"/>
      <c r="BRT201" s="147"/>
      <c r="BRU201" s="147"/>
      <c r="BRV201" s="147"/>
      <c r="BRW201" s="147"/>
      <c r="BRX201" s="147"/>
      <c r="BRY201" s="147"/>
      <c r="BRZ201" s="147"/>
      <c r="BSA201" s="147"/>
      <c r="BSB201" s="147"/>
      <c r="BSC201" s="147"/>
      <c r="BSD201" s="147"/>
      <c r="BSE201" s="147"/>
      <c r="BSF201" s="147"/>
      <c r="BSG201" s="147"/>
      <c r="BSH201" s="147"/>
      <c r="BSI201" s="147"/>
      <c r="BSJ201" s="147"/>
      <c r="BSK201" s="147"/>
      <c r="BSL201" s="147"/>
      <c r="BSM201" s="147"/>
      <c r="BSN201" s="147"/>
      <c r="BSO201" s="147"/>
      <c r="BSP201" s="147"/>
      <c r="BSQ201" s="147"/>
      <c r="BSR201" s="147"/>
      <c r="BSS201" s="147"/>
      <c r="BST201" s="147"/>
      <c r="BSU201" s="147"/>
      <c r="BSV201" s="147"/>
      <c r="BSW201" s="147"/>
      <c r="BSX201" s="147"/>
      <c r="BSY201" s="147"/>
      <c r="BSZ201" s="147"/>
      <c r="BTA201" s="147"/>
      <c r="BTB201" s="147"/>
      <c r="BTC201" s="147"/>
      <c r="BTD201" s="147"/>
      <c r="BTE201" s="147"/>
      <c r="BTF201" s="147"/>
      <c r="BTG201" s="147"/>
      <c r="BTH201" s="147"/>
      <c r="BTI201" s="147"/>
      <c r="BTJ201" s="147"/>
      <c r="BTK201" s="147"/>
      <c r="BTL201" s="147"/>
      <c r="BTM201" s="147"/>
      <c r="BTN201" s="147"/>
      <c r="BTO201" s="147"/>
      <c r="BTP201" s="147"/>
      <c r="BTQ201" s="147"/>
      <c r="BTR201" s="147"/>
      <c r="BTS201" s="147"/>
      <c r="BTT201" s="147"/>
      <c r="BTU201" s="147"/>
      <c r="BTV201" s="147"/>
      <c r="BTW201" s="147"/>
      <c r="BTX201" s="147"/>
      <c r="BTY201" s="147"/>
      <c r="BTZ201" s="147"/>
      <c r="BUA201" s="147"/>
      <c r="BUB201" s="147"/>
      <c r="BUC201" s="147"/>
      <c r="BUD201" s="147"/>
      <c r="BUE201" s="147"/>
      <c r="BUF201" s="147"/>
      <c r="BUG201" s="147"/>
      <c r="BUH201" s="147"/>
      <c r="BUI201" s="147"/>
      <c r="BUJ201" s="147"/>
      <c r="BUK201" s="147"/>
      <c r="BUL201" s="147"/>
      <c r="BUM201" s="147"/>
      <c r="BUN201" s="147"/>
      <c r="BUO201" s="147"/>
      <c r="BUP201" s="147"/>
      <c r="BUQ201" s="147"/>
      <c r="BUR201" s="147"/>
      <c r="BUS201" s="147"/>
      <c r="BUT201" s="147"/>
      <c r="BUU201" s="147"/>
      <c r="BUV201" s="147"/>
      <c r="BUW201" s="147"/>
      <c r="BUX201" s="147"/>
      <c r="BUY201" s="147"/>
      <c r="BUZ201" s="147"/>
      <c r="BVA201" s="147"/>
      <c r="BVB201" s="147"/>
      <c r="BVC201" s="147"/>
      <c r="BVD201" s="147"/>
      <c r="BVE201" s="147"/>
      <c r="BVF201" s="147"/>
      <c r="BVG201" s="147"/>
      <c r="BVH201" s="147"/>
      <c r="BVI201" s="147"/>
      <c r="BVJ201" s="147"/>
      <c r="BVK201" s="147"/>
      <c r="BVL201" s="147"/>
      <c r="BVM201" s="147"/>
      <c r="BVN201" s="147"/>
      <c r="BVO201" s="147"/>
      <c r="BVP201" s="147"/>
      <c r="BVQ201" s="147"/>
      <c r="BVR201" s="147"/>
      <c r="BVS201" s="147"/>
      <c r="BVT201" s="147"/>
      <c r="BVU201" s="147"/>
      <c r="BVV201" s="147"/>
      <c r="BVW201" s="147"/>
      <c r="BVX201" s="147"/>
      <c r="BVY201" s="147"/>
      <c r="BVZ201" s="147"/>
      <c r="BWA201" s="147"/>
      <c r="BWB201" s="147"/>
      <c r="BWC201" s="147"/>
      <c r="BWD201" s="147"/>
      <c r="BWE201" s="147"/>
      <c r="BWF201" s="147"/>
      <c r="BWG201" s="147"/>
      <c r="BWH201" s="147"/>
      <c r="BWI201" s="147"/>
      <c r="BWJ201" s="147"/>
      <c r="BWK201" s="147"/>
      <c r="BWL201" s="147"/>
      <c r="BWM201" s="147"/>
      <c r="BWN201" s="147"/>
      <c r="BWO201" s="147"/>
      <c r="BWP201" s="147"/>
      <c r="BWQ201" s="147"/>
      <c r="BWR201" s="147"/>
      <c r="BWS201" s="147"/>
      <c r="BWT201" s="147"/>
      <c r="BWU201" s="147"/>
      <c r="BWV201" s="147"/>
      <c r="BWW201" s="147"/>
      <c r="BWX201" s="147"/>
      <c r="BWY201" s="147"/>
      <c r="BWZ201" s="147"/>
      <c r="BXA201" s="147"/>
      <c r="BXB201" s="147"/>
      <c r="BXC201" s="147"/>
      <c r="BXD201" s="147"/>
      <c r="BXE201" s="147"/>
      <c r="BXF201" s="147"/>
      <c r="BXG201" s="147"/>
      <c r="BXH201" s="147"/>
      <c r="BXI201" s="147"/>
      <c r="BXJ201" s="147"/>
      <c r="BXK201" s="147"/>
      <c r="BXL201" s="147"/>
      <c r="BXM201" s="147"/>
      <c r="BXN201" s="147"/>
      <c r="BXO201" s="147"/>
      <c r="BXP201" s="147"/>
      <c r="BXQ201" s="147"/>
      <c r="BXR201" s="147"/>
      <c r="BXS201" s="147"/>
      <c r="BXT201" s="147"/>
      <c r="BXU201" s="147"/>
      <c r="BXV201" s="147"/>
      <c r="BXW201" s="147"/>
      <c r="BXX201" s="147"/>
      <c r="BXY201" s="147"/>
      <c r="BXZ201" s="147"/>
      <c r="BYA201" s="147"/>
      <c r="BYB201" s="147"/>
      <c r="BYC201" s="147"/>
      <c r="BYD201" s="147"/>
      <c r="BYE201" s="147"/>
      <c r="BYF201" s="147"/>
      <c r="BYG201" s="147"/>
      <c r="BYH201" s="147"/>
      <c r="BYI201" s="147"/>
      <c r="BYJ201" s="147"/>
      <c r="BYK201" s="147"/>
      <c r="BYL201" s="147"/>
      <c r="BYM201" s="147"/>
      <c r="BYN201" s="147"/>
      <c r="BYO201" s="147"/>
      <c r="BYP201" s="147"/>
      <c r="BYQ201" s="147"/>
      <c r="BYR201" s="147"/>
      <c r="BYS201" s="147"/>
      <c r="BYT201" s="147"/>
      <c r="BYU201" s="147"/>
      <c r="BYV201" s="147"/>
      <c r="BYW201" s="147"/>
      <c r="BYX201" s="147"/>
      <c r="BYY201" s="147"/>
      <c r="BYZ201" s="147"/>
      <c r="BZA201" s="147"/>
      <c r="BZB201" s="147"/>
      <c r="BZC201" s="147"/>
      <c r="BZD201" s="147"/>
      <c r="BZE201" s="147"/>
      <c r="BZF201" s="147"/>
      <c r="BZG201" s="147"/>
      <c r="BZH201" s="147"/>
      <c r="BZI201" s="147"/>
      <c r="BZJ201" s="147"/>
      <c r="BZK201" s="147"/>
      <c r="BZL201" s="147"/>
      <c r="BZM201" s="147"/>
      <c r="BZN201" s="147"/>
      <c r="BZO201" s="147"/>
      <c r="BZP201" s="147"/>
      <c r="BZQ201" s="147"/>
      <c r="BZR201" s="147"/>
      <c r="BZS201" s="147"/>
      <c r="BZT201" s="147"/>
      <c r="BZU201" s="147"/>
      <c r="BZV201" s="147"/>
      <c r="BZW201" s="147"/>
      <c r="BZX201" s="147"/>
      <c r="BZY201" s="147"/>
      <c r="BZZ201" s="147"/>
      <c r="CAA201" s="147"/>
      <c r="CAB201" s="147"/>
      <c r="CAC201" s="147"/>
      <c r="CAD201" s="147"/>
      <c r="CAE201" s="147"/>
      <c r="CAF201" s="147"/>
      <c r="CAG201" s="147"/>
      <c r="CAH201" s="147"/>
      <c r="CAI201" s="147"/>
      <c r="CAJ201" s="147"/>
      <c r="CAK201" s="147"/>
      <c r="CAL201" s="147"/>
      <c r="CAM201" s="147"/>
      <c r="CAN201" s="147"/>
      <c r="CAO201" s="147"/>
      <c r="CAP201" s="147"/>
      <c r="CAQ201" s="147"/>
      <c r="CAR201" s="147"/>
      <c r="CAS201" s="147"/>
      <c r="CAT201" s="147"/>
      <c r="CAU201" s="147"/>
      <c r="CAV201" s="147"/>
      <c r="CAW201" s="147"/>
      <c r="CAX201" s="147"/>
      <c r="CAY201" s="147"/>
      <c r="CAZ201" s="147"/>
      <c r="CBA201" s="147"/>
      <c r="CBB201" s="147"/>
      <c r="CBC201" s="147"/>
      <c r="CBD201" s="147"/>
      <c r="CBE201" s="147"/>
      <c r="CBF201" s="147"/>
      <c r="CBG201" s="147"/>
      <c r="CBH201" s="147"/>
      <c r="CBI201" s="147"/>
      <c r="CBJ201" s="147"/>
      <c r="CBK201" s="147"/>
      <c r="CBL201" s="147"/>
      <c r="CBM201" s="147"/>
      <c r="CBN201" s="147"/>
      <c r="CBO201" s="147"/>
      <c r="CBP201" s="147"/>
      <c r="CBQ201" s="147"/>
      <c r="CBR201" s="147"/>
      <c r="CBS201" s="147"/>
      <c r="CBT201" s="147"/>
      <c r="CBU201" s="147"/>
      <c r="CBV201" s="147"/>
      <c r="CBW201" s="147"/>
      <c r="CBX201" s="147"/>
      <c r="CBY201" s="147"/>
      <c r="CBZ201" s="147"/>
      <c r="CCA201" s="147"/>
      <c r="CCB201" s="147"/>
      <c r="CCC201" s="147"/>
      <c r="CCD201" s="147"/>
      <c r="CCE201" s="147"/>
      <c r="CCF201" s="147"/>
      <c r="CCG201" s="147"/>
      <c r="CCH201" s="147"/>
      <c r="CCI201" s="147"/>
      <c r="CCJ201" s="147"/>
      <c r="CCK201" s="147"/>
      <c r="CCL201" s="147"/>
      <c r="CCM201" s="147"/>
      <c r="CCN201" s="147"/>
      <c r="CCO201" s="147"/>
      <c r="CCP201" s="147"/>
      <c r="CCQ201" s="147"/>
      <c r="CCR201" s="147"/>
      <c r="CCS201" s="147"/>
      <c r="CCT201" s="147"/>
      <c r="CCU201" s="147"/>
      <c r="CCV201" s="147"/>
      <c r="CCW201" s="147"/>
      <c r="CCX201" s="147"/>
      <c r="CCY201" s="147"/>
      <c r="CCZ201" s="147"/>
      <c r="CDA201" s="147"/>
      <c r="CDB201" s="147"/>
      <c r="CDC201" s="147"/>
      <c r="CDD201" s="147"/>
      <c r="CDE201" s="147"/>
      <c r="CDF201" s="147"/>
      <c r="CDG201" s="147"/>
      <c r="CDH201" s="147"/>
      <c r="CDI201" s="147"/>
      <c r="CDJ201" s="147"/>
      <c r="CDK201" s="147"/>
      <c r="CDL201" s="147"/>
      <c r="CDM201" s="147"/>
      <c r="CDN201" s="147"/>
      <c r="CDO201" s="147"/>
      <c r="CDP201" s="147"/>
      <c r="CDQ201" s="147"/>
      <c r="CDR201" s="147"/>
      <c r="CDS201" s="147"/>
      <c r="CDT201" s="147"/>
      <c r="CDU201" s="147"/>
      <c r="CDV201" s="147"/>
      <c r="CDW201" s="147"/>
      <c r="CDX201" s="147"/>
      <c r="CDY201" s="147"/>
      <c r="CDZ201" s="147"/>
      <c r="CEA201" s="147"/>
      <c r="CEB201" s="147"/>
      <c r="CEC201" s="147"/>
      <c r="CED201" s="147"/>
      <c r="CEE201" s="147"/>
      <c r="CEF201" s="147"/>
      <c r="CEG201" s="147"/>
      <c r="CEH201" s="147"/>
      <c r="CEI201" s="147"/>
      <c r="CEJ201" s="147"/>
      <c r="CEK201" s="147"/>
      <c r="CEL201" s="147"/>
      <c r="CEM201" s="147"/>
      <c r="CEN201" s="147"/>
      <c r="CEO201" s="147"/>
      <c r="CEP201" s="147"/>
      <c r="CEQ201" s="147"/>
      <c r="CER201" s="147"/>
      <c r="CES201" s="147"/>
      <c r="CET201" s="147"/>
      <c r="CEU201" s="147"/>
      <c r="CEV201" s="147"/>
      <c r="CEW201" s="147"/>
      <c r="CEX201" s="147"/>
      <c r="CEY201" s="147"/>
      <c r="CEZ201" s="147"/>
      <c r="CFA201" s="147"/>
      <c r="CFB201" s="147"/>
      <c r="CFC201" s="147"/>
      <c r="CFD201" s="147"/>
      <c r="CFE201" s="147"/>
      <c r="CFF201" s="147"/>
      <c r="CFG201" s="147"/>
      <c r="CFH201" s="147"/>
      <c r="CFI201" s="147"/>
      <c r="CFJ201" s="147"/>
      <c r="CFK201" s="147"/>
      <c r="CFL201" s="147"/>
      <c r="CFM201" s="147"/>
      <c r="CFN201" s="147"/>
      <c r="CFO201" s="147"/>
      <c r="CFP201" s="147"/>
      <c r="CFQ201" s="147"/>
      <c r="CFR201" s="147"/>
      <c r="CFS201" s="147"/>
      <c r="CFT201" s="147"/>
      <c r="CFU201" s="147"/>
      <c r="CFV201" s="147"/>
      <c r="CFW201" s="147"/>
      <c r="CFX201" s="147"/>
      <c r="CFY201" s="147"/>
      <c r="CFZ201" s="147"/>
      <c r="CGA201" s="147"/>
      <c r="CGB201" s="147"/>
      <c r="CGC201" s="147"/>
      <c r="CGD201" s="147"/>
      <c r="CGE201" s="147"/>
      <c r="CGF201" s="147"/>
      <c r="CGG201" s="147"/>
      <c r="CGH201" s="147"/>
      <c r="CGI201" s="147"/>
      <c r="CGJ201" s="147"/>
      <c r="CGK201" s="147"/>
      <c r="CGL201" s="147"/>
      <c r="CGM201" s="147"/>
      <c r="CGN201" s="147"/>
      <c r="CGO201" s="147"/>
      <c r="CGP201" s="147"/>
      <c r="CGQ201" s="147"/>
      <c r="CGR201" s="147"/>
      <c r="CGS201" s="147"/>
      <c r="CGT201" s="147"/>
      <c r="CGU201" s="147"/>
      <c r="CGV201" s="147"/>
      <c r="CGW201" s="147"/>
      <c r="CGX201" s="147"/>
      <c r="CGY201" s="147"/>
      <c r="CGZ201" s="147"/>
      <c r="CHA201" s="147"/>
      <c r="CHB201" s="147"/>
      <c r="CHC201" s="147"/>
      <c r="CHD201" s="147"/>
      <c r="CHE201" s="147"/>
      <c r="CHF201" s="147"/>
      <c r="CHG201" s="147"/>
      <c r="CHH201" s="147"/>
      <c r="CHI201" s="147"/>
      <c r="CHJ201" s="147"/>
      <c r="CHK201" s="147"/>
      <c r="CHL201" s="147"/>
      <c r="CHM201" s="147"/>
      <c r="CHN201" s="147"/>
      <c r="CHO201" s="147"/>
      <c r="CHP201" s="147"/>
      <c r="CHQ201" s="147"/>
      <c r="CHR201" s="147"/>
      <c r="CHS201" s="147"/>
      <c r="CHT201" s="147"/>
      <c r="CHU201" s="147"/>
      <c r="CHV201" s="147"/>
      <c r="CHW201" s="147"/>
      <c r="CHX201" s="147"/>
      <c r="CHY201" s="147"/>
      <c r="CHZ201" s="147"/>
      <c r="CIA201" s="147"/>
      <c r="CIB201" s="147"/>
      <c r="CIC201" s="147"/>
      <c r="CID201" s="147"/>
      <c r="CIE201" s="147"/>
      <c r="CIF201" s="147"/>
      <c r="CIG201" s="147"/>
      <c r="CIH201" s="147"/>
      <c r="CII201" s="147"/>
      <c r="CIJ201" s="147"/>
      <c r="CIK201" s="147"/>
      <c r="CIL201" s="147"/>
      <c r="CIM201" s="147"/>
      <c r="CIN201" s="147"/>
      <c r="CIO201" s="147"/>
      <c r="CIP201" s="147"/>
      <c r="CIQ201" s="147"/>
      <c r="CIR201" s="147"/>
      <c r="CIS201" s="147"/>
      <c r="CIT201" s="147"/>
      <c r="CIU201" s="147"/>
      <c r="CIV201" s="147"/>
      <c r="CIW201" s="147"/>
      <c r="CIX201" s="147"/>
      <c r="CIY201" s="147"/>
      <c r="CIZ201" s="147"/>
      <c r="CJA201" s="147"/>
      <c r="CJB201" s="147"/>
      <c r="CJC201" s="147"/>
      <c r="CJD201" s="147"/>
      <c r="CJE201" s="147"/>
      <c r="CJF201" s="147"/>
      <c r="CJG201" s="147"/>
      <c r="CJH201" s="147"/>
      <c r="CJI201" s="147"/>
      <c r="CJJ201" s="147"/>
      <c r="CJK201" s="147"/>
      <c r="CJL201" s="147"/>
      <c r="CJM201" s="147"/>
      <c r="CJN201" s="147"/>
      <c r="CJO201" s="147"/>
      <c r="CJP201" s="147"/>
      <c r="CJQ201" s="147"/>
      <c r="CJR201" s="147"/>
      <c r="CJS201" s="147"/>
      <c r="CJT201" s="147"/>
      <c r="CJU201" s="147"/>
      <c r="CJV201" s="147"/>
      <c r="CJW201" s="147"/>
      <c r="CJX201" s="147"/>
      <c r="CJY201" s="147"/>
      <c r="CJZ201" s="147"/>
      <c r="CKA201" s="147"/>
      <c r="CKB201" s="147"/>
      <c r="CKC201" s="147"/>
      <c r="CKD201" s="147"/>
      <c r="CKE201" s="147"/>
      <c r="CKF201" s="147"/>
      <c r="CKG201" s="147"/>
      <c r="CKH201" s="147"/>
      <c r="CKI201" s="147"/>
      <c r="CKJ201" s="147"/>
      <c r="CKK201" s="147"/>
      <c r="CKL201" s="147"/>
      <c r="CKM201" s="147"/>
      <c r="CKN201" s="147"/>
      <c r="CKO201" s="147"/>
      <c r="CKP201" s="147"/>
      <c r="CKQ201" s="147"/>
      <c r="CKR201" s="147"/>
      <c r="CKS201" s="147"/>
      <c r="CKT201" s="147"/>
      <c r="CKU201" s="147"/>
      <c r="CKV201" s="147"/>
      <c r="CKW201" s="147"/>
      <c r="CKX201" s="147"/>
      <c r="CKY201" s="147"/>
      <c r="CKZ201" s="147"/>
      <c r="CLA201" s="147"/>
      <c r="CLB201" s="147"/>
      <c r="CLC201" s="147"/>
      <c r="CLD201" s="147"/>
      <c r="CLE201" s="147"/>
      <c r="CLF201" s="147"/>
      <c r="CLG201" s="147"/>
      <c r="CLH201" s="147"/>
      <c r="CLI201" s="147"/>
      <c r="CLJ201" s="147"/>
      <c r="CLK201" s="147"/>
      <c r="CLL201" s="147"/>
      <c r="CLM201" s="147"/>
      <c r="CLN201" s="147"/>
      <c r="CLO201" s="147"/>
      <c r="CLP201" s="147"/>
      <c r="CLQ201" s="147"/>
      <c r="CLR201" s="147"/>
      <c r="CLS201" s="147"/>
      <c r="CLT201" s="147"/>
      <c r="CLU201" s="147"/>
      <c r="CLV201" s="147"/>
      <c r="CLW201" s="147"/>
      <c r="CLX201" s="147"/>
      <c r="CLY201" s="147"/>
      <c r="CLZ201" s="147"/>
      <c r="CMA201" s="147"/>
      <c r="CMB201" s="147"/>
      <c r="CMC201" s="147"/>
      <c r="CMD201" s="147"/>
      <c r="CME201" s="147"/>
      <c r="CMF201" s="147"/>
      <c r="CMG201" s="147"/>
      <c r="CMH201" s="147"/>
      <c r="CMI201" s="147"/>
      <c r="CMJ201" s="147"/>
      <c r="CMK201" s="147"/>
      <c r="CML201" s="147"/>
      <c r="CMM201" s="147"/>
      <c r="CMN201" s="147"/>
      <c r="CMO201" s="147"/>
      <c r="CMP201" s="147"/>
      <c r="CMQ201" s="147"/>
      <c r="CMR201" s="147"/>
      <c r="CMS201" s="147"/>
      <c r="CMT201" s="147"/>
      <c r="CMU201" s="147"/>
      <c r="CMV201" s="147"/>
      <c r="CMW201" s="147"/>
      <c r="CMX201" s="147"/>
      <c r="CMY201" s="147"/>
      <c r="CMZ201" s="147"/>
      <c r="CNA201" s="147"/>
      <c r="CNB201" s="147"/>
      <c r="CNC201" s="147"/>
      <c r="CND201" s="147"/>
      <c r="CNE201" s="147"/>
      <c r="CNF201" s="147"/>
      <c r="CNG201" s="147"/>
      <c r="CNH201" s="147"/>
      <c r="CNI201" s="147"/>
      <c r="CNJ201" s="147"/>
      <c r="CNK201" s="147"/>
      <c r="CNL201" s="147"/>
      <c r="CNM201" s="147"/>
      <c r="CNN201" s="147"/>
      <c r="CNO201" s="147"/>
      <c r="CNP201" s="147"/>
      <c r="CNQ201" s="147"/>
      <c r="CNR201" s="147"/>
      <c r="CNS201" s="147"/>
      <c r="CNT201" s="147"/>
      <c r="CNU201" s="147"/>
      <c r="CNV201" s="147"/>
      <c r="CNW201" s="147"/>
      <c r="CNX201" s="147"/>
      <c r="CNY201" s="147"/>
      <c r="CNZ201" s="147"/>
      <c r="COA201" s="147"/>
      <c r="COB201" s="147"/>
      <c r="COC201" s="147"/>
      <c r="COD201" s="147"/>
      <c r="COE201" s="147"/>
      <c r="COF201" s="147"/>
      <c r="COG201" s="147"/>
      <c r="COH201" s="147"/>
      <c r="COI201" s="147"/>
      <c r="COJ201" s="147"/>
      <c r="COK201" s="147"/>
      <c r="COL201" s="147"/>
      <c r="COM201" s="147"/>
      <c r="CON201" s="147"/>
      <c r="COO201" s="147"/>
      <c r="COP201" s="147"/>
      <c r="COQ201" s="147"/>
      <c r="COR201" s="147"/>
      <c r="COS201" s="147"/>
      <c r="COT201" s="147"/>
      <c r="COU201" s="147"/>
      <c r="COV201" s="147"/>
      <c r="COW201" s="147"/>
      <c r="COX201" s="147"/>
      <c r="COY201" s="147"/>
      <c r="COZ201" s="147"/>
      <c r="CPA201" s="147"/>
      <c r="CPB201" s="147"/>
      <c r="CPC201" s="147"/>
      <c r="CPD201" s="147"/>
      <c r="CPE201" s="147"/>
      <c r="CPF201" s="147"/>
      <c r="CPG201" s="147"/>
      <c r="CPH201" s="147"/>
      <c r="CPI201" s="147"/>
      <c r="CPJ201" s="147"/>
      <c r="CPK201" s="147"/>
      <c r="CPL201" s="147"/>
      <c r="CPM201" s="147"/>
      <c r="CPN201" s="147"/>
      <c r="CPO201" s="147"/>
      <c r="CPP201" s="147"/>
      <c r="CPQ201" s="147"/>
      <c r="CPR201" s="147"/>
      <c r="CPS201" s="147"/>
      <c r="CPT201" s="147"/>
      <c r="CPU201" s="147"/>
      <c r="CPV201" s="147"/>
      <c r="CPW201" s="147"/>
      <c r="CPX201" s="147"/>
      <c r="CPY201" s="147"/>
      <c r="CPZ201" s="147"/>
      <c r="CQA201" s="147"/>
      <c r="CQB201" s="147"/>
      <c r="CQC201" s="147"/>
      <c r="CQD201" s="147"/>
      <c r="CQE201" s="147"/>
      <c r="CQF201" s="147"/>
      <c r="CQG201" s="147"/>
      <c r="CQH201" s="147"/>
      <c r="CQI201" s="147"/>
      <c r="CQJ201" s="147"/>
      <c r="CQK201" s="147"/>
      <c r="CQL201" s="147"/>
      <c r="CQM201" s="147"/>
      <c r="CQN201" s="147"/>
      <c r="CQO201" s="147"/>
      <c r="CQP201" s="147"/>
      <c r="CQQ201" s="147"/>
      <c r="CQR201" s="147"/>
      <c r="CQS201" s="147"/>
      <c r="CQT201" s="147"/>
      <c r="CQU201" s="147"/>
      <c r="CQV201" s="147"/>
      <c r="CQW201" s="147"/>
      <c r="CQX201" s="147"/>
      <c r="CQY201" s="147"/>
      <c r="CQZ201" s="147"/>
      <c r="CRA201" s="147"/>
      <c r="CRB201" s="147"/>
      <c r="CRC201" s="147"/>
      <c r="CRD201" s="147"/>
      <c r="CRE201" s="147"/>
      <c r="CRF201" s="147"/>
      <c r="CRG201" s="147"/>
      <c r="CRH201" s="147"/>
      <c r="CRI201" s="147"/>
      <c r="CRJ201" s="147"/>
      <c r="CRK201" s="147"/>
      <c r="CRL201" s="147"/>
      <c r="CRM201" s="147"/>
      <c r="CRN201" s="147"/>
      <c r="CRO201" s="147"/>
      <c r="CRP201" s="147"/>
      <c r="CRQ201" s="147"/>
      <c r="CRR201" s="147"/>
      <c r="CRS201" s="147"/>
      <c r="CRT201" s="147"/>
      <c r="CRU201" s="147"/>
      <c r="CRV201" s="147"/>
      <c r="CRW201" s="147"/>
      <c r="CRX201" s="147"/>
      <c r="CRY201" s="147"/>
      <c r="CRZ201" s="147"/>
      <c r="CSA201" s="147"/>
      <c r="CSB201" s="147"/>
      <c r="CSC201" s="147"/>
      <c r="CSD201" s="147"/>
      <c r="CSE201" s="147"/>
      <c r="CSF201" s="147"/>
      <c r="CSG201" s="147"/>
      <c r="CSH201" s="147"/>
      <c r="CSI201" s="147"/>
      <c r="CSJ201" s="147"/>
      <c r="CSK201" s="147"/>
      <c r="CSL201" s="147"/>
      <c r="CSM201" s="147"/>
      <c r="CSN201" s="147"/>
      <c r="CSO201" s="147"/>
      <c r="CSP201" s="147"/>
      <c r="CSQ201" s="147"/>
      <c r="CSR201" s="147"/>
      <c r="CSS201" s="147"/>
      <c r="CST201" s="147"/>
      <c r="CSU201" s="147"/>
      <c r="CSV201" s="147"/>
      <c r="CSW201" s="147"/>
      <c r="CSX201" s="147"/>
      <c r="CSY201" s="147"/>
      <c r="CSZ201" s="147"/>
      <c r="CTA201" s="147"/>
      <c r="CTB201" s="147"/>
      <c r="CTC201" s="147"/>
      <c r="CTD201" s="147"/>
      <c r="CTE201" s="147"/>
      <c r="CTF201" s="147"/>
      <c r="CTG201" s="147"/>
      <c r="CTH201" s="147"/>
      <c r="CTI201" s="147"/>
      <c r="CTJ201" s="147"/>
      <c r="CTK201" s="147"/>
      <c r="CTL201" s="147"/>
      <c r="CTM201" s="147"/>
      <c r="CTN201" s="147"/>
      <c r="CTO201" s="147"/>
      <c r="CTP201" s="147"/>
      <c r="CTQ201" s="147"/>
      <c r="CTR201" s="147"/>
      <c r="CTS201" s="147"/>
      <c r="CTT201" s="147"/>
      <c r="CTU201" s="147"/>
      <c r="CTV201" s="147"/>
      <c r="CTW201" s="147"/>
      <c r="CTX201" s="147"/>
      <c r="CTY201" s="147"/>
      <c r="CTZ201" s="147"/>
      <c r="CUA201" s="147"/>
      <c r="CUB201" s="147"/>
      <c r="CUC201" s="147"/>
      <c r="CUD201" s="147"/>
      <c r="CUE201" s="147"/>
      <c r="CUF201" s="147"/>
      <c r="CUG201" s="147"/>
      <c r="CUH201" s="147"/>
      <c r="CUI201" s="147"/>
      <c r="CUJ201" s="147"/>
      <c r="CUK201" s="147"/>
      <c r="CUL201" s="147"/>
      <c r="CUM201" s="147"/>
      <c r="CUN201" s="147"/>
      <c r="CUO201" s="147"/>
      <c r="CUP201" s="147"/>
      <c r="CUQ201" s="147"/>
      <c r="CUR201" s="147"/>
      <c r="CUS201" s="147"/>
      <c r="CUT201" s="147"/>
      <c r="CUU201" s="147"/>
      <c r="CUV201" s="147"/>
      <c r="CUW201" s="147"/>
      <c r="CUX201" s="147"/>
      <c r="CUY201" s="147"/>
      <c r="CUZ201" s="147"/>
      <c r="CVA201" s="147"/>
      <c r="CVB201" s="147"/>
      <c r="CVC201" s="147"/>
      <c r="CVD201" s="147"/>
      <c r="CVE201" s="147"/>
      <c r="CVF201" s="147"/>
      <c r="CVG201" s="147"/>
      <c r="CVH201" s="147"/>
      <c r="CVI201" s="147"/>
      <c r="CVJ201" s="147"/>
      <c r="CVK201" s="147"/>
      <c r="CVL201" s="147"/>
      <c r="CVM201" s="147"/>
      <c r="CVN201" s="147"/>
      <c r="CVO201" s="147"/>
      <c r="CVP201" s="147"/>
      <c r="CVQ201" s="147"/>
      <c r="CVR201" s="147"/>
      <c r="CVS201" s="147"/>
      <c r="CVT201" s="147"/>
      <c r="CVU201" s="147"/>
      <c r="CVV201" s="147"/>
      <c r="CVW201" s="147"/>
      <c r="CVX201" s="147"/>
      <c r="CVY201" s="147"/>
      <c r="CVZ201" s="147"/>
      <c r="CWA201" s="147"/>
      <c r="CWB201" s="147"/>
      <c r="CWC201" s="147"/>
      <c r="CWD201" s="147"/>
      <c r="CWE201" s="147"/>
      <c r="CWF201" s="147"/>
      <c r="CWG201" s="147"/>
      <c r="CWH201" s="147"/>
      <c r="CWI201" s="147"/>
      <c r="CWJ201" s="147"/>
      <c r="CWK201" s="147"/>
      <c r="CWL201" s="147"/>
      <c r="CWM201" s="147"/>
      <c r="CWN201" s="147"/>
      <c r="CWO201" s="147"/>
      <c r="CWP201" s="147"/>
      <c r="CWQ201" s="147"/>
      <c r="CWR201" s="147"/>
      <c r="CWS201" s="147"/>
      <c r="CWT201" s="147"/>
      <c r="CWU201" s="147"/>
      <c r="CWV201" s="147"/>
      <c r="CWW201" s="147"/>
      <c r="CWX201" s="147"/>
      <c r="CWY201" s="147"/>
      <c r="CWZ201" s="147"/>
      <c r="CXA201" s="147"/>
      <c r="CXB201" s="147"/>
      <c r="CXC201" s="147"/>
      <c r="CXD201" s="147"/>
      <c r="CXE201" s="147"/>
      <c r="CXF201" s="147"/>
      <c r="CXG201" s="147"/>
      <c r="CXH201" s="147"/>
      <c r="CXI201" s="147"/>
      <c r="CXJ201" s="147"/>
      <c r="CXK201" s="147"/>
      <c r="CXL201" s="147"/>
      <c r="CXM201" s="147"/>
      <c r="CXN201" s="147"/>
      <c r="CXO201" s="147"/>
      <c r="CXP201" s="147"/>
      <c r="CXQ201" s="147"/>
      <c r="CXR201" s="147"/>
      <c r="CXS201" s="147"/>
      <c r="CXT201" s="147"/>
      <c r="CXU201" s="147"/>
      <c r="CXV201" s="147"/>
      <c r="CXW201" s="147"/>
      <c r="CXX201" s="147"/>
      <c r="CXY201" s="147"/>
      <c r="CXZ201" s="147"/>
      <c r="CYA201" s="147"/>
      <c r="CYB201" s="147"/>
      <c r="CYC201" s="147"/>
      <c r="CYD201" s="147"/>
      <c r="CYE201" s="147"/>
      <c r="CYF201" s="147"/>
      <c r="CYG201" s="147"/>
      <c r="CYH201" s="147"/>
      <c r="CYI201" s="147"/>
      <c r="CYJ201" s="147"/>
      <c r="CYK201" s="147"/>
      <c r="CYL201" s="147"/>
      <c r="CYM201" s="147"/>
      <c r="CYN201" s="147"/>
      <c r="CYO201" s="147"/>
      <c r="CYP201" s="147"/>
      <c r="CYQ201" s="147"/>
      <c r="CYR201" s="147"/>
      <c r="CYS201" s="147"/>
      <c r="CYT201" s="147"/>
      <c r="CYU201" s="147"/>
      <c r="CYV201" s="147"/>
      <c r="CYW201" s="147"/>
      <c r="CYX201" s="147"/>
      <c r="CYY201" s="147"/>
      <c r="CYZ201" s="147"/>
      <c r="CZA201" s="147"/>
      <c r="CZB201" s="147"/>
      <c r="CZC201" s="147"/>
      <c r="CZD201" s="147"/>
      <c r="CZE201" s="147"/>
      <c r="CZF201" s="147"/>
      <c r="CZG201" s="147"/>
      <c r="CZH201" s="147"/>
      <c r="CZI201" s="147"/>
      <c r="CZJ201" s="147"/>
      <c r="CZK201" s="147"/>
      <c r="CZL201" s="147"/>
      <c r="CZM201" s="147"/>
      <c r="CZN201" s="147"/>
      <c r="CZO201" s="147"/>
      <c r="CZP201" s="147"/>
      <c r="CZQ201" s="147"/>
      <c r="CZR201" s="147"/>
      <c r="CZS201" s="147"/>
      <c r="CZT201" s="147"/>
      <c r="CZU201" s="147"/>
      <c r="CZV201" s="147"/>
      <c r="CZW201" s="147"/>
      <c r="CZX201" s="147"/>
      <c r="CZY201" s="147"/>
      <c r="CZZ201" s="147"/>
      <c r="DAA201" s="147"/>
      <c r="DAB201" s="147"/>
      <c r="DAC201" s="147"/>
      <c r="DAD201" s="147"/>
      <c r="DAE201" s="147"/>
      <c r="DAF201" s="147"/>
      <c r="DAG201" s="147"/>
      <c r="DAH201" s="147"/>
      <c r="DAI201" s="147"/>
      <c r="DAJ201" s="147"/>
      <c r="DAK201" s="147"/>
      <c r="DAL201" s="147"/>
      <c r="DAM201" s="147"/>
      <c r="DAN201" s="147"/>
      <c r="DAO201" s="147"/>
      <c r="DAP201" s="147"/>
      <c r="DAQ201" s="147"/>
      <c r="DAR201" s="147"/>
      <c r="DAS201" s="147"/>
      <c r="DAT201" s="147"/>
      <c r="DAU201" s="147"/>
      <c r="DAV201" s="147"/>
      <c r="DAW201" s="147"/>
      <c r="DAX201" s="147"/>
      <c r="DAY201" s="147"/>
      <c r="DAZ201" s="147"/>
      <c r="DBA201" s="147"/>
      <c r="DBB201" s="147"/>
      <c r="DBC201" s="147"/>
      <c r="DBD201" s="147"/>
      <c r="DBE201" s="147"/>
      <c r="DBF201" s="147"/>
      <c r="DBG201" s="147"/>
      <c r="DBH201" s="147"/>
      <c r="DBI201" s="147"/>
      <c r="DBJ201" s="147"/>
      <c r="DBK201" s="147"/>
      <c r="DBL201" s="147"/>
      <c r="DBM201" s="147"/>
      <c r="DBN201" s="147"/>
      <c r="DBO201" s="147"/>
      <c r="DBP201" s="147"/>
      <c r="DBQ201" s="147"/>
      <c r="DBR201" s="147"/>
      <c r="DBS201" s="147"/>
      <c r="DBT201" s="147"/>
      <c r="DBU201" s="147"/>
      <c r="DBV201" s="147"/>
      <c r="DBW201" s="147"/>
      <c r="DBX201" s="147"/>
      <c r="DBY201" s="147"/>
      <c r="DBZ201" s="147"/>
      <c r="DCA201" s="147"/>
      <c r="DCB201" s="147"/>
      <c r="DCC201" s="147"/>
      <c r="DCD201" s="147"/>
      <c r="DCE201" s="147"/>
      <c r="DCF201" s="147"/>
      <c r="DCG201" s="147"/>
      <c r="DCH201" s="147"/>
      <c r="DCI201" s="147"/>
      <c r="DCJ201" s="147"/>
      <c r="DCK201" s="147"/>
      <c r="DCL201" s="147"/>
      <c r="DCM201" s="147"/>
      <c r="DCN201" s="147"/>
      <c r="DCO201" s="147"/>
      <c r="DCP201" s="147"/>
      <c r="DCQ201" s="147"/>
      <c r="DCR201" s="147"/>
      <c r="DCS201" s="147"/>
      <c r="DCT201" s="147"/>
      <c r="DCU201" s="147"/>
      <c r="DCV201" s="147"/>
      <c r="DCW201" s="147"/>
      <c r="DCX201" s="147"/>
      <c r="DCY201" s="147"/>
      <c r="DCZ201" s="147"/>
      <c r="DDA201" s="147"/>
      <c r="DDB201" s="147"/>
      <c r="DDC201" s="147"/>
      <c r="DDD201" s="147"/>
      <c r="DDE201" s="147"/>
      <c r="DDF201" s="147"/>
      <c r="DDG201" s="147"/>
      <c r="DDH201" s="147"/>
      <c r="DDI201" s="147"/>
      <c r="DDJ201" s="147"/>
      <c r="DDK201" s="147"/>
      <c r="DDL201" s="147"/>
      <c r="DDM201" s="147"/>
      <c r="DDN201" s="147"/>
      <c r="DDO201" s="147"/>
      <c r="DDP201" s="147"/>
      <c r="DDQ201" s="147"/>
      <c r="DDR201" s="147"/>
      <c r="DDS201" s="147"/>
      <c r="DDT201" s="147"/>
      <c r="DDU201" s="147"/>
      <c r="DDV201" s="147"/>
      <c r="DDW201" s="147"/>
      <c r="DDX201" s="147"/>
      <c r="DDY201" s="147"/>
      <c r="DDZ201" s="147"/>
      <c r="DEA201" s="147"/>
      <c r="DEB201" s="147"/>
      <c r="DEC201" s="147"/>
      <c r="DED201" s="147"/>
      <c r="DEE201" s="147"/>
      <c r="DEF201" s="147"/>
      <c r="DEG201" s="147"/>
      <c r="DEH201" s="147"/>
      <c r="DEI201" s="147"/>
      <c r="DEJ201" s="147"/>
      <c r="DEK201" s="147"/>
      <c r="DEL201" s="147"/>
      <c r="DEM201" s="147"/>
      <c r="DEN201" s="147"/>
      <c r="DEO201" s="147"/>
      <c r="DEP201" s="147"/>
      <c r="DEQ201" s="147"/>
      <c r="DER201" s="147"/>
      <c r="DES201" s="147"/>
      <c r="DET201" s="147"/>
      <c r="DEU201" s="147"/>
      <c r="DEV201" s="147"/>
      <c r="DEW201" s="147"/>
      <c r="DEX201" s="147"/>
      <c r="DEY201" s="147"/>
      <c r="DEZ201" s="147"/>
      <c r="DFA201" s="147"/>
      <c r="DFB201" s="147"/>
      <c r="DFC201" s="147"/>
      <c r="DFD201" s="147"/>
      <c r="DFE201" s="147"/>
      <c r="DFF201" s="147"/>
      <c r="DFG201" s="147"/>
      <c r="DFH201" s="147"/>
      <c r="DFI201" s="147"/>
      <c r="DFJ201" s="147"/>
      <c r="DFK201" s="147"/>
      <c r="DFL201" s="147"/>
      <c r="DFM201" s="147"/>
      <c r="DFN201" s="147"/>
      <c r="DFO201" s="147"/>
      <c r="DFP201" s="147"/>
      <c r="DFQ201" s="147"/>
      <c r="DFR201" s="147"/>
      <c r="DFS201" s="147"/>
      <c r="DFT201" s="147"/>
      <c r="DFU201" s="147"/>
      <c r="DFV201" s="147"/>
      <c r="DFW201" s="147"/>
      <c r="DFX201" s="147"/>
      <c r="DFY201" s="147"/>
      <c r="DFZ201" s="147"/>
      <c r="DGA201" s="147"/>
      <c r="DGB201" s="147"/>
      <c r="DGC201" s="147"/>
      <c r="DGD201" s="147"/>
      <c r="DGE201" s="147"/>
      <c r="DGF201" s="147"/>
      <c r="DGG201" s="147"/>
      <c r="DGH201" s="147"/>
      <c r="DGI201" s="147"/>
      <c r="DGJ201" s="147"/>
      <c r="DGK201" s="147"/>
      <c r="DGL201" s="147"/>
      <c r="DGM201" s="147"/>
      <c r="DGN201" s="147"/>
      <c r="DGO201" s="147"/>
      <c r="DGP201" s="147"/>
      <c r="DGQ201" s="147"/>
      <c r="DGR201" s="147"/>
      <c r="DGS201" s="147"/>
      <c r="DGT201" s="147"/>
      <c r="DGU201" s="147"/>
      <c r="DGV201" s="147"/>
      <c r="DGW201" s="147"/>
      <c r="DGX201" s="147"/>
      <c r="DGY201" s="147"/>
      <c r="DGZ201" s="147"/>
      <c r="DHA201" s="147"/>
      <c r="DHB201" s="147"/>
      <c r="DHC201" s="147"/>
      <c r="DHD201" s="147"/>
      <c r="DHE201" s="147"/>
      <c r="DHF201" s="147"/>
      <c r="DHG201" s="147"/>
      <c r="DHH201" s="147"/>
      <c r="DHI201" s="147"/>
      <c r="DHJ201" s="147"/>
      <c r="DHK201" s="147"/>
      <c r="DHL201" s="147"/>
      <c r="DHM201" s="147"/>
      <c r="DHN201" s="147"/>
      <c r="DHO201" s="147"/>
      <c r="DHP201" s="147"/>
      <c r="DHQ201" s="147"/>
      <c r="DHR201" s="147"/>
      <c r="DHS201" s="147"/>
      <c r="DHT201" s="147"/>
      <c r="DHU201" s="147"/>
      <c r="DHV201" s="147"/>
      <c r="DHW201" s="147"/>
      <c r="DHX201" s="147"/>
      <c r="DHY201" s="147"/>
      <c r="DHZ201" s="147"/>
      <c r="DIA201" s="147"/>
      <c r="DIB201" s="147"/>
      <c r="DIC201" s="147"/>
      <c r="DID201" s="147"/>
      <c r="DIE201" s="147"/>
      <c r="DIF201" s="147"/>
      <c r="DIG201" s="147"/>
      <c r="DIH201" s="147"/>
      <c r="DII201" s="147"/>
      <c r="DIJ201" s="147"/>
      <c r="DIK201" s="147"/>
      <c r="DIL201" s="147"/>
      <c r="DIM201" s="147"/>
      <c r="DIN201" s="147"/>
      <c r="DIO201" s="147"/>
      <c r="DIP201" s="147"/>
      <c r="DIQ201" s="147"/>
      <c r="DIR201" s="147"/>
      <c r="DIS201" s="147"/>
      <c r="DIT201" s="147"/>
      <c r="DIU201" s="147"/>
      <c r="DIV201" s="147"/>
      <c r="DIW201" s="147"/>
      <c r="DIX201" s="147"/>
      <c r="DIY201" s="147"/>
      <c r="DIZ201" s="147"/>
      <c r="DJA201" s="147"/>
      <c r="DJB201" s="147"/>
      <c r="DJC201" s="147"/>
      <c r="DJD201" s="147"/>
      <c r="DJE201" s="147"/>
      <c r="DJF201" s="147"/>
      <c r="DJG201" s="147"/>
      <c r="DJH201" s="147"/>
      <c r="DJI201" s="147"/>
      <c r="DJJ201" s="147"/>
      <c r="DJK201" s="147"/>
      <c r="DJL201" s="147"/>
      <c r="DJM201" s="147"/>
      <c r="DJN201" s="147"/>
      <c r="DJO201" s="147"/>
      <c r="DJP201" s="147"/>
      <c r="DJQ201" s="147"/>
      <c r="DJR201" s="147"/>
      <c r="DJS201" s="147"/>
      <c r="DJT201" s="147"/>
      <c r="DJU201" s="147"/>
      <c r="DJV201" s="147"/>
      <c r="DJW201" s="147"/>
      <c r="DJX201" s="147"/>
      <c r="DJY201" s="147"/>
      <c r="DJZ201" s="147"/>
      <c r="DKA201" s="147"/>
      <c r="DKB201" s="147"/>
      <c r="DKC201" s="147"/>
      <c r="DKD201" s="147"/>
      <c r="DKE201" s="147"/>
      <c r="DKF201" s="147"/>
      <c r="DKG201" s="147"/>
      <c r="DKH201" s="147"/>
      <c r="DKI201" s="147"/>
      <c r="DKJ201" s="147"/>
      <c r="DKK201" s="147"/>
      <c r="DKL201" s="147"/>
      <c r="DKM201" s="147"/>
      <c r="DKN201" s="147"/>
      <c r="DKO201" s="147"/>
      <c r="DKP201" s="147"/>
      <c r="DKQ201" s="147"/>
      <c r="DKR201" s="147"/>
      <c r="DKS201" s="147"/>
      <c r="DKT201" s="147"/>
      <c r="DKU201" s="147"/>
      <c r="DKV201" s="147"/>
      <c r="DKW201" s="147"/>
      <c r="DKX201" s="147"/>
      <c r="DKY201" s="147"/>
      <c r="DKZ201" s="147"/>
      <c r="DLA201" s="147"/>
      <c r="DLB201" s="147"/>
      <c r="DLC201" s="147"/>
      <c r="DLD201" s="147"/>
      <c r="DLE201" s="147"/>
      <c r="DLF201" s="147"/>
      <c r="DLG201" s="147"/>
      <c r="DLH201" s="147"/>
      <c r="DLI201" s="147"/>
      <c r="DLJ201" s="147"/>
      <c r="DLK201" s="147"/>
      <c r="DLL201" s="147"/>
      <c r="DLM201" s="147"/>
      <c r="DLN201" s="147"/>
      <c r="DLO201" s="147"/>
      <c r="DLP201" s="147"/>
      <c r="DLQ201" s="147"/>
      <c r="DLR201" s="147"/>
      <c r="DLS201" s="147"/>
      <c r="DLT201" s="147"/>
      <c r="DLU201" s="147"/>
      <c r="DLV201" s="147"/>
      <c r="DLW201" s="147"/>
      <c r="DLX201" s="147"/>
      <c r="DLY201" s="147"/>
      <c r="DLZ201" s="147"/>
      <c r="DMA201" s="147"/>
      <c r="DMB201" s="147"/>
      <c r="DMC201" s="147"/>
      <c r="DMD201" s="147"/>
      <c r="DME201" s="147"/>
      <c r="DMF201" s="147"/>
      <c r="DMG201" s="147"/>
      <c r="DMH201" s="147"/>
      <c r="DMI201" s="147"/>
      <c r="DMJ201" s="147"/>
      <c r="DMK201" s="147"/>
      <c r="DML201" s="147"/>
      <c r="DMM201" s="147"/>
      <c r="DMN201" s="147"/>
      <c r="DMO201" s="147"/>
      <c r="DMP201" s="147"/>
      <c r="DMQ201" s="147"/>
      <c r="DMR201" s="147"/>
      <c r="DMS201" s="147"/>
      <c r="DMT201" s="147"/>
      <c r="DMU201" s="147"/>
      <c r="DMV201" s="147"/>
      <c r="DMW201" s="147"/>
      <c r="DMX201" s="147"/>
      <c r="DMY201" s="147"/>
      <c r="DMZ201" s="147"/>
      <c r="DNA201" s="147"/>
      <c r="DNB201" s="147"/>
      <c r="DNC201" s="147"/>
      <c r="DND201" s="147"/>
      <c r="DNE201" s="147"/>
      <c r="DNF201" s="147"/>
      <c r="DNG201" s="147"/>
      <c r="DNH201" s="147"/>
      <c r="DNI201" s="147"/>
      <c r="DNJ201" s="147"/>
      <c r="DNK201" s="147"/>
      <c r="DNL201" s="147"/>
      <c r="DNM201" s="147"/>
      <c r="DNN201" s="147"/>
      <c r="DNO201" s="147"/>
      <c r="DNP201" s="147"/>
      <c r="DNQ201" s="147"/>
      <c r="DNR201" s="147"/>
      <c r="DNS201" s="147"/>
      <c r="DNT201" s="147"/>
      <c r="DNU201" s="147"/>
      <c r="DNV201" s="147"/>
      <c r="DNW201" s="147"/>
      <c r="DNX201" s="147"/>
      <c r="DNY201" s="147"/>
      <c r="DNZ201" s="147"/>
      <c r="DOA201" s="147"/>
      <c r="DOB201" s="147"/>
      <c r="DOC201" s="147"/>
      <c r="DOD201" s="147"/>
      <c r="DOE201" s="147"/>
      <c r="DOF201" s="147"/>
      <c r="DOG201" s="147"/>
      <c r="DOH201" s="147"/>
      <c r="DOI201" s="147"/>
      <c r="DOJ201" s="147"/>
      <c r="DOK201" s="147"/>
      <c r="DOL201" s="147"/>
      <c r="DOM201" s="147"/>
      <c r="DON201" s="147"/>
      <c r="DOO201" s="147"/>
      <c r="DOP201" s="147"/>
      <c r="DOQ201" s="147"/>
      <c r="DOR201" s="147"/>
      <c r="DOS201" s="147"/>
      <c r="DOT201" s="147"/>
      <c r="DOU201" s="147"/>
      <c r="DOV201" s="147"/>
      <c r="DOW201" s="147"/>
      <c r="DOX201" s="147"/>
      <c r="DOY201" s="147"/>
      <c r="DOZ201" s="147"/>
      <c r="DPA201" s="147"/>
      <c r="DPB201" s="147"/>
      <c r="DPC201" s="147"/>
      <c r="DPD201" s="147"/>
      <c r="DPE201" s="147"/>
      <c r="DPF201" s="147"/>
      <c r="DPG201" s="147"/>
      <c r="DPH201" s="147"/>
      <c r="DPI201" s="147"/>
      <c r="DPJ201" s="147"/>
      <c r="DPK201" s="147"/>
      <c r="DPL201" s="147"/>
      <c r="DPM201" s="147"/>
      <c r="DPN201" s="147"/>
      <c r="DPO201" s="147"/>
      <c r="DPP201" s="147"/>
      <c r="DPQ201" s="147"/>
      <c r="DPR201" s="147"/>
      <c r="DPS201" s="147"/>
      <c r="DPT201" s="147"/>
      <c r="DPU201" s="147"/>
      <c r="DPV201" s="147"/>
      <c r="DPW201" s="147"/>
      <c r="DPX201" s="147"/>
      <c r="DPY201" s="147"/>
      <c r="DPZ201" s="147"/>
      <c r="DQA201" s="147"/>
      <c r="DQB201" s="147"/>
      <c r="DQC201" s="147"/>
      <c r="DQD201" s="147"/>
      <c r="DQE201" s="147"/>
      <c r="DQF201" s="147"/>
      <c r="DQG201" s="147"/>
      <c r="DQH201" s="147"/>
      <c r="DQI201" s="147"/>
      <c r="DQJ201" s="147"/>
      <c r="DQK201" s="147"/>
      <c r="DQL201" s="147"/>
      <c r="DQM201" s="147"/>
      <c r="DQN201" s="147"/>
      <c r="DQO201" s="147"/>
      <c r="DQP201" s="147"/>
      <c r="DQQ201" s="147"/>
      <c r="DQR201" s="147"/>
      <c r="DQS201" s="147"/>
      <c r="DQT201" s="147"/>
      <c r="DQU201" s="147"/>
      <c r="DQV201" s="147"/>
      <c r="DQW201" s="147"/>
      <c r="DQX201" s="147"/>
      <c r="DQY201" s="147"/>
      <c r="DQZ201" s="147"/>
      <c r="DRA201" s="147"/>
      <c r="DRB201" s="147"/>
      <c r="DRC201" s="147"/>
      <c r="DRD201" s="147"/>
      <c r="DRE201" s="147"/>
      <c r="DRF201" s="147"/>
      <c r="DRG201" s="147"/>
      <c r="DRH201" s="147"/>
      <c r="DRI201" s="147"/>
      <c r="DRJ201" s="147"/>
      <c r="DRK201" s="147"/>
      <c r="DRL201" s="147"/>
      <c r="DRM201" s="147"/>
      <c r="DRN201" s="147"/>
      <c r="DRO201" s="147"/>
      <c r="DRP201" s="147"/>
      <c r="DRQ201" s="147"/>
      <c r="DRR201" s="147"/>
      <c r="DRS201" s="147"/>
      <c r="DRT201" s="147"/>
      <c r="DRU201" s="147"/>
      <c r="DRV201" s="147"/>
      <c r="DRW201" s="147"/>
      <c r="DRX201" s="147"/>
      <c r="DRY201" s="147"/>
      <c r="DRZ201" s="147"/>
      <c r="DSA201" s="147"/>
      <c r="DSB201" s="147"/>
      <c r="DSC201" s="147"/>
      <c r="DSD201" s="147"/>
      <c r="DSE201" s="147"/>
      <c r="DSF201" s="147"/>
      <c r="DSG201" s="147"/>
      <c r="DSH201" s="147"/>
      <c r="DSI201" s="147"/>
      <c r="DSJ201" s="147"/>
      <c r="DSK201" s="147"/>
      <c r="DSL201" s="147"/>
      <c r="DSM201" s="147"/>
      <c r="DSN201" s="147"/>
      <c r="DSO201" s="147"/>
      <c r="DSP201" s="147"/>
      <c r="DSQ201" s="147"/>
      <c r="DSR201" s="147"/>
      <c r="DSS201" s="147"/>
      <c r="DST201" s="147"/>
      <c r="DSU201" s="147"/>
      <c r="DSV201" s="147"/>
      <c r="DSW201" s="147"/>
      <c r="DSX201" s="147"/>
      <c r="DSY201" s="147"/>
      <c r="DSZ201" s="147"/>
      <c r="DTA201" s="147"/>
      <c r="DTB201" s="147"/>
      <c r="DTC201" s="147"/>
      <c r="DTD201" s="147"/>
      <c r="DTE201" s="147"/>
      <c r="DTF201" s="147"/>
      <c r="DTG201" s="147"/>
      <c r="DTH201" s="147"/>
      <c r="DTI201" s="147"/>
      <c r="DTJ201" s="147"/>
      <c r="DTK201" s="147"/>
      <c r="DTL201" s="147"/>
      <c r="DTM201" s="147"/>
      <c r="DTN201" s="147"/>
      <c r="DTO201" s="147"/>
      <c r="DTP201" s="147"/>
      <c r="DTQ201" s="147"/>
      <c r="DTR201" s="147"/>
      <c r="DTS201" s="147"/>
      <c r="DTT201" s="147"/>
      <c r="DTU201" s="147"/>
      <c r="DTV201" s="147"/>
      <c r="DTW201" s="147"/>
      <c r="DTX201" s="147"/>
      <c r="DTY201" s="147"/>
      <c r="DTZ201" s="147"/>
      <c r="DUA201" s="147"/>
      <c r="DUB201" s="147"/>
      <c r="DUC201" s="147"/>
      <c r="DUD201" s="147"/>
      <c r="DUE201" s="147"/>
      <c r="DUF201" s="147"/>
      <c r="DUG201" s="147"/>
      <c r="DUH201" s="147"/>
      <c r="DUI201" s="147"/>
      <c r="DUJ201" s="147"/>
      <c r="DUK201" s="147"/>
      <c r="DUL201" s="147"/>
      <c r="DUM201" s="147"/>
      <c r="DUN201" s="147"/>
      <c r="DUO201" s="147"/>
      <c r="DUP201" s="147"/>
      <c r="DUQ201" s="147"/>
      <c r="DUR201" s="147"/>
      <c r="DUS201" s="147"/>
      <c r="DUT201" s="147"/>
      <c r="DUU201" s="147"/>
      <c r="DUV201" s="147"/>
      <c r="DUW201" s="147"/>
      <c r="DUX201" s="147"/>
      <c r="DUY201" s="147"/>
      <c r="DUZ201" s="147"/>
      <c r="DVA201" s="147"/>
      <c r="DVB201" s="147"/>
      <c r="DVC201" s="147"/>
      <c r="DVD201" s="147"/>
      <c r="DVE201" s="147"/>
      <c r="DVF201" s="147"/>
      <c r="DVG201" s="147"/>
      <c r="DVH201" s="147"/>
      <c r="DVI201" s="147"/>
      <c r="DVJ201" s="147"/>
      <c r="DVK201" s="147"/>
      <c r="DVL201" s="147"/>
      <c r="DVM201" s="147"/>
      <c r="DVN201" s="147"/>
      <c r="DVO201" s="147"/>
      <c r="DVP201" s="147"/>
      <c r="DVQ201" s="147"/>
      <c r="DVR201" s="147"/>
      <c r="DVS201" s="147"/>
      <c r="DVT201" s="147"/>
      <c r="DVU201" s="147"/>
      <c r="DVV201" s="147"/>
      <c r="DVW201" s="147"/>
      <c r="DVX201" s="147"/>
      <c r="DVY201" s="147"/>
      <c r="DVZ201" s="147"/>
      <c r="DWA201" s="147"/>
      <c r="DWB201" s="147"/>
      <c r="DWC201" s="147"/>
      <c r="DWD201" s="147"/>
      <c r="DWE201" s="147"/>
      <c r="DWF201" s="147"/>
      <c r="DWG201" s="147"/>
      <c r="DWH201" s="147"/>
      <c r="DWI201" s="147"/>
      <c r="DWJ201" s="147"/>
      <c r="DWK201" s="147"/>
      <c r="DWL201" s="147"/>
      <c r="DWM201" s="147"/>
      <c r="DWN201" s="147"/>
      <c r="DWO201" s="147"/>
      <c r="DWP201" s="147"/>
      <c r="DWQ201" s="147"/>
      <c r="DWR201" s="147"/>
      <c r="DWS201" s="147"/>
      <c r="DWT201" s="147"/>
      <c r="DWU201" s="147"/>
      <c r="DWV201" s="147"/>
      <c r="DWW201" s="147"/>
      <c r="DWX201" s="147"/>
      <c r="DWY201" s="147"/>
      <c r="DWZ201" s="147"/>
      <c r="DXA201" s="147"/>
      <c r="DXB201" s="147"/>
      <c r="DXC201" s="147"/>
      <c r="DXD201" s="147"/>
      <c r="DXE201" s="147"/>
      <c r="DXF201" s="147"/>
      <c r="DXG201" s="147"/>
      <c r="DXH201" s="147"/>
      <c r="DXI201" s="147"/>
      <c r="DXJ201" s="147"/>
      <c r="DXK201" s="147"/>
      <c r="DXL201" s="147"/>
      <c r="DXM201" s="147"/>
      <c r="DXN201" s="147"/>
      <c r="DXO201" s="147"/>
      <c r="DXP201" s="147"/>
      <c r="DXQ201" s="147"/>
      <c r="DXR201" s="147"/>
      <c r="DXS201" s="147"/>
      <c r="DXT201" s="147"/>
      <c r="DXU201" s="147"/>
      <c r="DXV201" s="147"/>
      <c r="DXW201" s="147"/>
      <c r="DXX201" s="147"/>
      <c r="DXY201" s="147"/>
      <c r="DXZ201" s="147"/>
      <c r="DYA201" s="147"/>
      <c r="DYB201" s="147"/>
      <c r="DYC201" s="147"/>
      <c r="DYD201" s="147"/>
      <c r="DYE201" s="147"/>
      <c r="DYF201" s="147"/>
      <c r="DYG201" s="147"/>
      <c r="DYH201" s="147"/>
      <c r="DYI201" s="147"/>
      <c r="DYJ201" s="147"/>
      <c r="DYK201" s="147"/>
      <c r="DYL201" s="147"/>
      <c r="DYM201" s="147"/>
      <c r="DYN201" s="147"/>
      <c r="DYO201" s="147"/>
      <c r="DYP201" s="147"/>
      <c r="DYQ201" s="147"/>
      <c r="DYR201" s="147"/>
      <c r="DYS201" s="147"/>
      <c r="DYT201" s="147"/>
      <c r="DYU201" s="147"/>
      <c r="DYV201" s="147"/>
      <c r="DYW201" s="147"/>
      <c r="DYX201" s="147"/>
      <c r="DYY201" s="147"/>
      <c r="DYZ201" s="147"/>
      <c r="DZA201" s="147"/>
      <c r="DZB201" s="147"/>
      <c r="DZC201" s="147"/>
      <c r="DZD201" s="147"/>
      <c r="DZE201" s="147"/>
      <c r="DZF201" s="147"/>
      <c r="DZG201" s="147"/>
      <c r="DZH201" s="147"/>
      <c r="DZI201" s="147"/>
      <c r="DZJ201" s="147"/>
      <c r="DZK201" s="147"/>
      <c r="DZL201" s="147"/>
      <c r="DZM201" s="147"/>
      <c r="DZN201" s="147"/>
      <c r="DZO201" s="147"/>
      <c r="DZP201" s="147"/>
      <c r="DZQ201" s="147"/>
      <c r="DZR201" s="147"/>
      <c r="DZS201" s="147"/>
      <c r="DZT201" s="147"/>
      <c r="DZU201" s="147"/>
      <c r="DZV201" s="147"/>
      <c r="DZW201" s="147"/>
      <c r="DZX201" s="147"/>
      <c r="DZY201" s="147"/>
      <c r="DZZ201" s="147"/>
      <c r="EAA201" s="147"/>
      <c r="EAB201" s="147"/>
      <c r="EAC201" s="147"/>
      <c r="EAD201" s="147"/>
      <c r="EAE201" s="147"/>
      <c r="EAF201" s="147"/>
      <c r="EAG201" s="147"/>
      <c r="EAH201" s="147"/>
      <c r="EAI201" s="147"/>
      <c r="EAJ201" s="147"/>
      <c r="EAK201" s="147"/>
      <c r="EAL201" s="147"/>
      <c r="EAM201" s="147"/>
      <c r="EAN201" s="147"/>
      <c r="EAO201" s="147"/>
      <c r="EAP201" s="147"/>
      <c r="EAQ201" s="147"/>
      <c r="EAR201" s="147"/>
      <c r="EAS201" s="147"/>
      <c r="EAT201" s="147"/>
      <c r="EAU201" s="147"/>
      <c r="EAV201" s="147"/>
      <c r="EAW201" s="147"/>
      <c r="EAX201" s="147"/>
      <c r="EAY201" s="147"/>
      <c r="EAZ201" s="147"/>
      <c r="EBA201" s="147"/>
      <c r="EBB201" s="147"/>
      <c r="EBC201" s="147"/>
      <c r="EBD201" s="147"/>
      <c r="EBE201" s="147"/>
      <c r="EBF201" s="147"/>
      <c r="EBG201" s="147"/>
      <c r="EBH201" s="147"/>
      <c r="EBI201" s="147"/>
      <c r="EBJ201" s="147"/>
      <c r="EBK201" s="147"/>
      <c r="EBL201" s="147"/>
      <c r="EBM201" s="147"/>
      <c r="EBN201" s="147"/>
      <c r="EBO201" s="147"/>
      <c r="EBP201" s="147"/>
      <c r="EBQ201" s="147"/>
      <c r="EBR201" s="147"/>
      <c r="EBS201" s="147"/>
      <c r="EBT201" s="147"/>
      <c r="EBU201" s="147"/>
      <c r="EBV201" s="147"/>
      <c r="EBW201" s="147"/>
      <c r="EBX201" s="147"/>
      <c r="EBY201" s="147"/>
      <c r="EBZ201" s="147"/>
      <c r="ECA201" s="147"/>
      <c r="ECB201" s="147"/>
      <c r="ECC201" s="147"/>
      <c r="ECD201" s="147"/>
      <c r="ECE201" s="147"/>
      <c r="ECF201" s="147"/>
      <c r="ECG201" s="147"/>
      <c r="ECH201" s="147"/>
      <c r="ECI201" s="147"/>
      <c r="ECJ201" s="147"/>
      <c r="ECK201" s="147"/>
      <c r="ECL201" s="147"/>
      <c r="ECM201" s="147"/>
      <c r="ECN201" s="147"/>
      <c r="ECO201" s="147"/>
      <c r="ECP201" s="147"/>
      <c r="ECQ201" s="147"/>
      <c r="ECR201" s="147"/>
      <c r="ECS201" s="147"/>
      <c r="ECT201" s="147"/>
      <c r="ECU201" s="147"/>
      <c r="ECV201" s="147"/>
      <c r="ECW201" s="147"/>
      <c r="ECX201" s="147"/>
      <c r="ECY201" s="147"/>
      <c r="ECZ201" s="147"/>
      <c r="EDA201" s="147"/>
      <c r="EDB201" s="147"/>
      <c r="EDC201" s="147"/>
      <c r="EDD201" s="147"/>
      <c r="EDE201" s="147"/>
      <c r="EDF201" s="147"/>
      <c r="EDG201" s="147"/>
      <c r="EDH201" s="147"/>
      <c r="EDI201" s="147"/>
      <c r="EDJ201" s="147"/>
      <c r="EDK201" s="147"/>
      <c r="EDL201" s="147"/>
      <c r="EDM201" s="147"/>
      <c r="EDN201" s="147"/>
      <c r="EDO201" s="147"/>
      <c r="EDP201" s="147"/>
      <c r="EDQ201" s="147"/>
      <c r="EDR201" s="147"/>
      <c r="EDS201" s="147"/>
      <c r="EDT201" s="147"/>
      <c r="EDU201" s="147"/>
      <c r="EDV201" s="147"/>
      <c r="EDW201" s="147"/>
      <c r="EDX201" s="147"/>
      <c r="EDY201" s="147"/>
      <c r="EDZ201" s="147"/>
      <c r="EEA201" s="147"/>
      <c r="EEB201" s="147"/>
      <c r="EEC201" s="147"/>
      <c r="EED201" s="147"/>
      <c r="EEE201" s="147"/>
      <c r="EEF201" s="147"/>
      <c r="EEG201" s="147"/>
      <c r="EEH201" s="147"/>
      <c r="EEI201" s="147"/>
      <c r="EEJ201" s="147"/>
      <c r="EEK201" s="147"/>
      <c r="EEL201" s="147"/>
      <c r="EEM201" s="147"/>
      <c r="EEN201" s="147"/>
      <c r="EEO201" s="147"/>
      <c r="EEP201" s="147"/>
      <c r="EEQ201" s="147"/>
      <c r="EER201" s="147"/>
      <c r="EES201" s="147"/>
      <c r="EET201" s="147"/>
      <c r="EEU201" s="147"/>
      <c r="EEV201" s="147"/>
      <c r="EEW201" s="147"/>
      <c r="EEX201" s="147"/>
      <c r="EEY201" s="147"/>
      <c r="EEZ201" s="147"/>
      <c r="EFA201" s="147"/>
      <c r="EFB201" s="147"/>
      <c r="EFC201" s="147"/>
      <c r="EFD201" s="147"/>
      <c r="EFE201" s="147"/>
      <c r="EFF201" s="147"/>
      <c r="EFG201" s="147"/>
      <c r="EFH201" s="147"/>
      <c r="EFI201" s="147"/>
      <c r="EFJ201" s="147"/>
      <c r="EFK201" s="147"/>
      <c r="EFL201" s="147"/>
      <c r="EFM201" s="147"/>
      <c r="EFN201" s="147"/>
      <c r="EFO201" s="147"/>
      <c r="EFP201" s="147"/>
      <c r="EFQ201" s="147"/>
      <c r="EFR201" s="147"/>
      <c r="EFS201" s="147"/>
      <c r="EFT201" s="147"/>
      <c r="EFU201" s="147"/>
      <c r="EFV201" s="147"/>
      <c r="EFW201" s="147"/>
      <c r="EFX201" s="147"/>
      <c r="EFY201" s="147"/>
      <c r="EFZ201" s="147"/>
      <c r="EGA201" s="147"/>
      <c r="EGB201" s="147"/>
      <c r="EGC201" s="147"/>
      <c r="EGD201" s="147"/>
      <c r="EGE201" s="147"/>
      <c r="EGF201" s="147"/>
      <c r="EGG201" s="147"/>
      <c r="EGH201" s="147"/>
      <c r="EGI201" s="147"/>
      <c r="EGJ201" s="147"/>
      <c r="EGK201" s="147"/>
      <c r="EGL201" s="147"/>
      <c r="EGM201" s="147"/>
      <c r="EGN201" s="147"/>
      <c r="EGO201" s="147"/>
      <c r="EGP201" s="147"/>
      <c r="EGQ201" s="147"/>
      <c r="EGR201" s="147"/>
      <c r="EGS201" s="147"/>
      <c r="EGT201" s="147"/>
      <c r="EGU201" s="147"/>
      <c r="EGV201" s="147"/>
      <c r="EGW201" s="147"/>
      <c r="EGX201" s="147"/>
      <c r="EGY201" s="147"/>
      <c r="EGZ201" s="147"/>
      <c r="EHA201" s="147"/>
      <c r="EHB201" s="147"/>
      <c r="EHC201" s="147"/>
      <c r="EHD201" s="147"/>
      <c r="EHE201" s="147"/>
      <c r="EHF201" s="147"/>
      <c r="EHG201" s="147"/>
      <c r="EHH201" s="147"/>
      <c r="EHI201" s="147"/>
      <c r="EHJ201" s="147"/>
      <c r="EHK201" s="147"/>
      <c r="EHL201" s="147"/>
      <c r="EHM201" s="147"/>
      <c r="EHN201" s="147"/>
      <c r="EHO201" s="147"/>
      <c r="EHP201" s="147"/>
      <c r="EHQ201" s="147"/>
      <c r="EHR201" s="147"/>
      <c r="EHS201" s="147"/>
      <c r="EHT201" s="147"/>
      <c r="EHU201" s="147"/>
      <c r="EHV201" s="147"/>
      <c r="EHW201" s="147"/>
      <c r="EHX201" s="147"/>
      <c r="EHY201" s="147"/>
      <c r="EHZ201" s="147"/>
      <c r="EIA201" s="147"/>
      <c r="EIB201" s="147"/>
      <c r="EIC201" s="147"/>
      <c r="EID201" s="147"/>
      <c r="EIE201" s="147"/>
      <c r="EIF201" s="147"/>
      <c r="EIG201" s="147"/>
      <c r="EIH201" s="147"/>
      <c r="EII201" s="147"/>
      <c r="EIJ201" s="147"/>
      <c r="EIK201" s="147"/>
      <c r="EIL201" s="147"/>
      <c r="EIM201" s="147"/>
      <c r="EIN201" s="147"/>
      <c r="EIO201" s="147"/>
      <c r="EIP201" s="147"/>
      <c r="EIQ201" s="147"/>
      <c r="EIR201" s="147"/>
      <c r="EIS201" s="147"/>
      <c r="EIT201" s="147"/>
      <c r="EIU201" s="147"/>
      <c r="EIV201" s="147"/>
      <c r="EIW201" s="147"/>
      <c r="EIX201" s="147"/>
      <c r="EIY201" s="147"/>
      <c r="EIZ201" s="147"/>
      <c r="EJA201" s="147"/>
      <c r="EJB201" s="147"/>
      <c r="EJC201" s="147"/>
      <c r="EJD201" s="147"/>
      <c r="EJE201" s="147"/>
      <c r="EJF201" s="147"/>
      <c r="EJG201" s="147"/>
      <c r="EJH201" s="147"/>
      <c r="EJI201" s="147"/>
      <c r="EJJ201" s="147"/>
      <c r="EJK201" s="147"/>
      <c r="EJL201" s="147"/>
      <c r="EJM201" s="147"/>
      <c r="EJN201" s="147"/>
      <c r="EJO201" s="147"/>
      <c r="EJP201" s="147"/>
      <c r="EJQ201" s="147"/>
      <c r="EJR201" s="147"/>
      <c r="EJS201" s="147"/>
      <c r="EJT201" s="147"/>
      <c r="EJU201" s="147"/>
      <c r="EJV201" s="147"/>
      <c r="EJW201" s="147"/>
      <c r="EJX201" s="147"/>
      <c r="EJY201" s="147"/>
      <c r="EJZ201" s="147"/>
      <c r="EKA201" s="147"/>
      <c r="EKB201" s="147"/>
      <c r="EKC201" s="147"/>
      <c r="EKD201" s="147"/>
      <c r="EKE201" s="147"/>
      <c r="EKF201" s="147"/>
      <c r="EKG201" s="147"/>
      <c r="EKH201" s="147"/>
      <c r="EKI201" s="147"/>
      <c r="EKJ201" s="147"/>
      <c r="EKK201" s="147"/>
      <c r="EKL201" s="147"/>
      <c r="EKM201" s="147"/>
      <c r="EKN201" s="147"/>
      <c r="EKO201" s="147"/>
      <c r="EKP201" s="147"/>
      <c r="EKQ201" s="147"/>
      <c r="EKR201" s="147"/>
      <c r="EKS201" s="147"/>
      <c r="EKT201" s="147"/>
      <c r="EKU201" s="147"/>
      <c r="EKV201" s="147"/>
      <c r="EKW201" s="147"/>
      <c r="EKX201" s="147"/>
      <c r="EKY201" s="147"/>
      <c r="EKZ201" s="147"/>
      <c r="ELA201" s="147"/>
      <c r="ELB201" s="147"/>
      <c r="ELC201" s="147"/>
      <c r="ELD201" s="147"/>
      <c r="ELE201" s="147"/>
      <c r="ELF201" s="147"/>
      <c r="ELG201" s="147"/>
      <c r="ELH201" s="147"/>
      <c r="ELI201" s="147"/>
      <c r="ELJ201" s="147"/>
      <c r="ELK201" s="147"/>
      <c r="ELL201" s="147"/>
      <c r="ELM201" s="147"/>
      <c r="ELN201" s="147"/>
      <c r="ELO201" s="147"/>
      <c r="ELP201" s="147"/>
      <c r="ELQ201" s="147"/>
      <c r="ELR201" s="147"/>
      <c r="ELS201" s="147"/>
      <c r="ELT201" s="147"/>
      <c r="ELU201" s="147"/>
      <c r="ELV201" s="147"/>
      <c r="ELW201" s="147"/>
      <c r="ELX201" s="147"/>
      <c r="ELY201" s="147"/>
      <c r="ELZ201" s="147"/>
      <c r="EMA201" s="147"/>
      <c r="EMB201" s="147"/>
      <c r="EMC201" s="147"/>
      <c r="EMD201" s="147"/>
      <c r="EME201" s="147"/>
      <c r="EMF201" s="147"/>
      <c r="EMG201" s="147"/>
      <c r="EMH201" s="147"/>
      <c r="EMI201" s="147"/>
      <c r="EMJ201" s="147"/>
      <c r="EMK201" s="147"/>
      <c r="EML201" s="147"/>
      <c r="EMM201" s="147"/>
      <c r="EMN201" s="147"/>
      <c r="EMO201" s="147"/>
      <c r="EMP201" s="147"/>
      <c r="EMQ201" s="147"/>
      <c r="EMR201" s="147"/>
      <c r="EMS201" s="147"/>
      <c r="EMT201" s="147"/>
      <c r="EMU201" s="147"/>
      <c r="EMV201" s="147"/>
      <c r="EMW201" s="147"/>
      <c r="EMX201" s="147"/>
      <c r="EMY201" s="147"/>
      <c r="EMZ201" s="147"/>
      <c r="ENA201" s="147"/>
      <c r="ENB201" s="147"/>
      <c r="ENC201" s="147"/>
      <c r="END201" s="147"/>
      <c r="ENE201" s="147"/>
      <c r="ENF201" s="147"/>
      <c r="ENG201" s="147"/>
      <c r="ENH201" s="147"/>
      <c r="ENI201" s="147"/>
      <c r="ENJ201" s="147"/>
      <c r="ENK201" s="147"/>
      <c r="ENL201" s="147"/>
      <c r="ENM201" s="147"/>
      <c r="ENN201" s="147"/>
      <c r="ENO201" s="147"/>
      <c r="ENP201" s="147"/>
      <c r="ENQ201" s="147"/>
      <c r="ENR201" s="147"/>
      <c r="ENS201" s="147"/>
      <c r="ENT201" s="147"/>
      <c r="ENU201" s="147"/>
      <c r="ENV201" s="147"/>
      <c r="ENW201" s="147"/>
      <c r="ENX201" s="147"/>
      <c r="ENY201" s="147"/>
      <c r="ENZ201" s="147"/>
      <c r="EOA201" s="147"/>
      <c r="EOB201" s="147"/>
      <c r="EOC201" s="147"/>
      <c r="EOD201" s="147"/>
      <c r="EOE201" s="147"/>
      <c r="EOF201" s="147"/>
      <c r="EOG201" s="147"/>
      <c r="EOH201" s="147"/>
      <c r="EOI201" s="147"/>
      <c r="EOJ201" s="147"/>
      <c r="EOK201" s="147"/>
      <c r="EOL201" s="147"/>
      <c r="EOM201" s="147"/>
      <c r="EON201" s="147"/>
      <c r="EOO201" s="147"/>
      <c r="EOP201" s="147"/>
      <c r="EOQ201" s="147"/>
      <c r="EOR201" s="147"/>
      <c r="EOS201" s="147"/>
      <c r="EOT201" s="147"/>
      <c r="EOU201" s="147"/>
      <c r="EOV201" s="147"/>
      <c r="EOW201" s="147"/>
      <c r="EOX201" s="147"/>
      <c r="EOY201" s="147"/>
      <c r="EOZ201" s="147"/>
      <c r="EPA201" s="147"/>
      <c r="EPB201" s="147"/>
      <c r="EPC201" s="147"/>
      <c r="EPD201" s="147"/>
      <c r="EPE201" s="147"/>
      <c r="EPF201" s="147"/>
      <c r="EPG201" s="147"/>
      <c r="EPH201" s="147"/>
      <c r="EPI201" s="147"/>
      <c r="EPJ201" s="147"/>
      <c r="EPK201" s="147"/>
      <c r="EPL201" s="147"/>
      <c r="EPM201" s="147"/>
      <c r="EPN201" s="147"/>
      <c r="EPO201" s="147"/>
      <c r="EPP201" s="147"/>
      <c r="EPQ201" s="147"/>
      <c r="EPR201" s="147"/>
      <c r="EPS201" s="147"/>
      <c r="EPT201" s="147"/>
      <c r="EPU201" s="147"/>
      <c r="EPV201" s="147"/>
      <c r="EPW201" s="147"/>
      <c r="EPX201" s="147"/>
      <c r="EPY201" s="147"/>
      <c r="EPZ201" s="147"/>
      <c r="EQA201" s="147"/>
      <c r="EQB201" s="147"/>
      <c r="EQC201" s="147"/>
      <c r="EQD201" s="147"/>
      <c r="EQE201" s="147"/>
      <c r="EQF201" s="147"/>
      <c r="EQG201" s="147"/>
      <c r="EQH201" s="147"/>
      <c r="EQI201" s="147"/>
      <c r="EQJ201" s="147"/>
      <c r="EQK201" s="147"/>
      <c r="EQL201" s="147"/>
      <c r="EQM201" s="147"/>
      <c r="EQN201" s="147"/>
      <c r="EQO201" s="147"/>
      <c r="EQP201" s="147"/>
      <c r="EQQ201" s="147"/>
      <c r="EQR201" s="147"/>
      <c r="EQS201" s="147"/>
      <c r="EQT201" s="147"/>
      <c r="EQU201" s="147"/>
      <c r="EQV201" s="147"/>
      <c r="EQW201" s="147"/>
      <c r="EQX201" s="147"/>
      <c r="EQY201" s="147"/>
      <c r="EQZ201" s="147"/>
      <c r="ERA201" s="147"/>
      <c r="ERB201" s="147"/>
      <c r="ERC201" s="147"/>
      <c r="ERD201" s="147"/>
      <c r="ERE201" s="147"/>
      <c r="ERF201" s="147"/>
      <c r="ERG201" s="147"/>
      <c r="ERH201" s="147"/>
      <c r="ERI201" s="147"/>
      <c r="ERJ201" s="147"/>
      <c r="ERK201" s="147"/>
      <c r="ERL201" s="147"/>
      <c r="ERM201" s="147"/>
      <c r="ERN201" s="147"/>
      <c r="ERO201" s="147"/>
      <c r="ERP201" s="147"/>
      <c r="ERQ201" s="147"/>
      <c r="ERR201" s="147"/>
      <c r="ERS201" s="147"/>
      <c r="ERT201" s="147"/>
      <c r="ERU201" s="147"/>
      <c r="ERV201" s="147"/>
      <c r="ERW201" s="147"/>
      <c r="ERX201" s="147"/>
      <c r="ERY201" s="147"/>
      <c r="ERZ201" s="147"/>
      <c r="ESA201" s="147"/>
      <c r="ESB201" s="147"/>
      <c r="ESC201" s="147"/>
      <c r="ESD201" s="147"/>
      <c r="ESE201" s="147"/>
      <c r="ESF201" s="147"/>
      <c r="ESG201" s="147"/>
      <c r="ESH201" s="147"/>
      <c r="ESI201" s="147"/>
      <c r="ESJ201" s="147"/>
      <c r="ESK201" s="147"/>
      <c r="ESL201" s="147"/>
      <c r="ESM201" s="147"/>
      <c r="ESN201" s="147"/>
      <c r="ESO201" s="147"/>
      <c r="ESP201" s="147"/>
      <c r="ESQ201" s="147"/>
      <c r="ESR201" s="147"/>
      <c r="ESS201" s="147"/>
      <c r="EST201" s="147"/>
      <c r="ESU201" s="147"/>
      <c r="ESV201" s="147"/>
      <c r="ESW201" s="147"/>
      <c r="ESX201" s="147"/>
      <c r="ESY201" s="147"/>
      <c r="ESZ201" s="147"/>
      <c r="ETA201" s="147"/>
      <c r="ETB201" s="147"/>
      <c r="ETC201" s="147"/>
      <c r="ETD201" s="147"/>
      <c r="ETE201" s="147"/>
      <c r="ETF201" s="147"/>
      <c r="ETG201" s="147"/>
      <c r="ETH201" s="147"/>
      <c r="ETI201" s="147"/>
      <c r="ETJ201" s="147"/>
      <c r="ETK201" s="147"/>
      <c r="ETL201" s="147"/>
      <c r="ETM201" s="147"/>
      <c r="ETN201" s="147"/>
      <c r="ETO201" s="147"/>
      <c r="ETP201" s="147"/>
      <c r="ETQ201" s="147"/>
      <c r="ETR201" s="147"/>
      <c r="ETS201" s="147"/>
      <c r="ETT201" s="147"/>
      <c r="ETU201" s="147"/>
      <c r="ETV201" s="147"/>
      <c r="ETW201" s="147"/>
      <c r="ETX201" s="147"/>
      <c r="ETY201" s="147"/>
      <c r="ETZ201" s="147"/>
      <c r="EUA201" s="147"/>
      <c r="EUB201" s="147"/>
      <c r="EUC201" s="147"/>
      <c r="EUD201" s="147"/>
      <c r="EUE201" s="147"/>
      <c r="EUF201" s="147"/>
      <c r="EUG201" s="147"/>
      <c r="EUH201" s="147"/>
      <c r="EUI201" s="147"/>
      <c r="EUJ201" s="147"/>
      <c r="EUK201" s="147"/>
      <c r="EUL201" s="147"/>
      <c r="EUM201" s="147"/>
      <c r="EUN201" s="147"/>
      <c r="EUO201" s="147"/>
      <c r="EUP201" s="147"/>
      <c r="EUQ201" s="147"/>
      <c r="EUR201" s="147"/>
      <c r="EUS201" s="147"/>
      <c r="EUT201" s="147"/>
      <c r="EUU201" s="147"/>
      <c r="EUV201" s="147"/>
      <c r="EUW201" s="147"/>
      <c r="EUX201" s="147"/>
      <c r="EUY201" s="147"/>
      <c r="EUZ201" s="147"/>
      <c r="EVA201" s="147"/>
      <c r="EVB201" s="147"/>
      <c r="EVC201" s="147"/>
      <c r="EVD201" s="147"/>
      <c r="EVE201" s="147"/>
      <c r="EVF201" s="147"/>
      <c r="EVG201" s="147"/>
      <c r="EVH201" s="147"/>
      <c r="EVI201" s="147"/>
      <c r="EVJ201" s="147"/>
      <c r="EVK201" s="147"/>
      <c r="EVL201" s="147"/>
      <c r="EVM201" s="147"/>
      <c r="EVN201" s="147"/>
      <c r="EVO201" s="147"/>
      <c r="EVP201" s="147"/>
      <c r="EVQ201" s="147"/>
      <c r="EVR201" s="147"/>
      <c r="EVS201" s="147"/>
      <c r="EVT201" s="147"/>
      <c r="EVU201" s="147"/>
      <c r="EVV201" s="147"/>
      <c r="EVW201" s="147"/>
      <c r="EVX201" s="147"/>
      <c r="EVY201" s="147"/>
      <c r="EVZ201" s="147"/>
      <c r="EWA201" s="147"/>
      <c r="EWB201" s="147"/>
      <c r="EWC201" s="147"/>
      <c r="EWD201" s="147"/>
      <c r="EWE201" s="147"/>
      <c r="EWF201" s="147"/>
      <c r="EWG201" s="147"/>
      <c r="EWH201" s="147"/>
      <c r="EWI201" s="147"/>
      <c r="EWJ201" s="147"/>
      <c r="EWK201" s="147"/>
      <c r="EWL201" s="147"/>
      <c r="EWM201" s="147"/>
      <c r="EWN201" s="147"/>
      <c r="EWO201" s="147"/>
      <c r="EWP201" s="147"/>
      <c r="EWQ201" s="147"/>
      <c r="EWR201" s="147"/>
      <c r="EWS201" s="147"/>
      <c r="EWT201" s="147"/>
      <c r="EWU201" s="147"/>
      <c r="EWV201" s="147"/>
      <c r="EWW201" s="147"/>
      <c r="EWX201" s="147"/>
      <c r="EWY201" s="147"/>
      <c r="EWZ201" s="147"/>
      <c r="EXA201" s="147"/>
      <c r="EXB201" s="147"/>
      <c r="EXC201" s="147"/>
      <c r="EXD201" s="147"/>
      <c r="EXE201" s="147"/>
      <c r="EXF201" s="147"/>
      <c r="EXG201" s="147"/>
      <c r="EXH201" s="147"/>
      <c r="EXI201" s="147"/>
      <c r="EXJ201" s="147"/>
      <c r="EXK201" s="147"/>
      <c r="EXL201" s="147"/>
      <c r="EXM201" s="147"/>
      <c r="EXN201" s="147"/>
      <c r="EXO201" s="147"/>
      <c r="EXP201" s="147"/>
      <c r="EXQ201" s="147"/>
      <c r="EXR201" s="147"/>
      <c r="EXS201" s="147"/>
      <c r="EXT201" s="147"/>
      <c r="EXU201" s="147"/>
      <c r="EXV201" s="147"/>
      <c r="EXW201" s="147"/>
      <c r="EXX201" s="147"/>
      <c r="EXY201" s="147"/>
      <c r="EXZ201" s="147"/>
      <c r="EYA201" s="147"/>
      <c r="EYB201" s="147"/>
      <c r="EYC201" s="147"/>
      <c r="EYD201" s="147"/>
      <c r="EYE201" s="147"/>
      <c r="EYF201" s="147"/>
      <c r="EYG201" s="147"/>
      <c r="EYH201" s="147"/>
      <c r="EYI201" s="147"/>
      <c r="EYJ201" s="147"/>
      <c r="EYK201" s="147"/>
      <c r="EYL201" s="147"/>
      <c r="EYM201" s="147"/>
      <c r="EYN201" s="147"/>
      <c r="EYO201" s="147"/>
      <c r="EYP201" s="147"/>
      <c r="EYQ201" s="147"/>
      <c r="EYR201" s="147"/>
      <c r="EYS201" s="147"/>
      <c r="EYT201" s="147"/>
      <c r="EYU201" s="147"/>
      <c r="EYV201" s="147"/>
      <c r="EYW201" s="147"/>
      <c r="EYX201" s="147"/>
      <c r="EYY201" s="147"/>
      <c r="EYZ201" s="147"/>
      <c r="EZA201" s="147"/>
      <c r="EZB201" s="147"/>
      <c r="EZC201" s="147"/>
      <c r="EZD201" s="147"/>
      <c r="EZE201" s="147"/>
      <c r="EZF201" s="147"/>
      <c r="EZG201" s="147"/>
      <c r="EZH201" s="147"/>
      <c r="EZI201" s="147"/>
      <c r="EZJ201" s="147"/>
      <c r="EZK201" s="147"/>
      <c r="EZL201" s="147"/>
      <c r="EZM201" s="147"/>
      <c r="EZN201" s="147"/>
      <c r="EZO201" s="147"/>
      <c r="EZP201" s="147"/>
      <c r="EZQ201" s="147"/>
      <c r="EZR201" s="147"/>
      <c r="EZS201" s="147"/>
      <c r="EZT201" s="147"/>
      <c r="EZU201" s="147"/>
      <c r="EZV201" s="147"/>
      <c r="EZW201" s="147"/>
      <c r="EZX201" s="147"/>
      <c r="EZY201" s="147"/>
      <c r="EZZ201" s="147"/>
      <c r="FAA201" s="147"/>
      <c r="FAB201" s="147"/>
      <c r="FAC201" s="147"/>
      <c r="FAD201" s="147"/>
      <c r="FAE201" s="147"/>
      <c r="FAF201" s="147"/>
      <c r="FAG201" s="147"/>
      <c r="FAH201" s="147"/>
      <c r="FAI201" s="147"/>
      <c r="FAJ201" s="147"/>
      <c r="FAK201" s="147"/>
      <c r="FAL201" s="147"/>
      <c r="FAM201" s="147"/>
      <c r="FAN201" s="147"/>
      <c r="FAO201" s="147"/>
      <c r="FAP201" s="147"/>
      <c r="FAQ201" s="147"/>
      <c r="FAR201" s="147"/>
      <c r="FAS201" s="147"/>
      <c r="FAT201" s="147"/>
      <c r="FAU201" s="147"/>
      <c r="FAV201" s="147"/>
      <c r="FAW201" s="147"/>
      <c r="FAX201" s="147"/>
      <c r="FAY201" s="147"/>
      <c r="FAZ201" s="147"/>
      <c r="FBA201" s="147"/>
      <c r="FBB201" s="147"/>
      <c r="FBC201" s="147"/>
      <c r="FBD201" s="147"/>
      <c r="FBE201" s="147"/>
      <c r="FBF201" s="147"/>
      <c r="FBG201" s="147"/>
      <c r="FBH201" s="147"/>
      <c r="FBI201" s="147"/>
      <c r="FBJ201" s="147"/>
      <c r="FBK201" s="147"/>
      <c r="FBL201" s="147"/>
      <c r="FBM201" s="147"/>
      <c r="FBN201" s="147"/>
      <c r="FBO201" s="147"/>
      <c r="FBP201" s="147"/>
      <c r="FBQ201" s="147"/>
      <c r="FBR201" s="147"/>
      <c r="FBS201" s="147"/>
      <c r="FBT201" s="147"/>
      <c r="FBU201" s="147"/>
      <c r="FBV201" s="147"/>
      <c r="FBW201" s="147"/>
      <c r="FBX201" s="147"/>
      <c r="FBY201" s="147"/>
      <c r="FBZ201" s="147"/>
      <c r="FCA201" s="147"/>
      <c r="FCB201" s="147"/>
      <c r="FCC201" s="147"/>
      <c r="FCD201" s="147"/>
      <c r="FCE201" s="147"/>
      <c r="FCF201" s="147"/>
      <c r="FCG201" s="147"/>
      <c r="FCH201" s="147"/>
      <c r="FCI201" s="147"/>
      <c r="FCJ201" s="147"/>
      <c r="FCK201" s="147"/>
      <c r="FCL201" s="147"/>
      <c r="FCM201" s="147"/>
      <c r="FCN201" s="147"/>
      <c r="FCO201" s="147"/>
      <c r="FCP201" s="147"/>
      <c r="FCQ201" s="147"/>
      <c r="FCR201" s="147"/>
      <c r="FCS201" s="147"/>
      <c r="FCT201" s="147"/>
      <c r="FCU201" s="147"/>
      <c r="FCV201" s="147"/>
      <c r="FCW201" s="147"/>
      <c r="FCX201" s="147"/>
      <c r="FCY201" s="147"/>
      <c r="FCZ201" s="147"/>
      <c r="FDA201" s="147"/>
      <c r="FDB201" s="147"/>
      <c r="FDC201" s="147"/>
      <c r="FDD201" s="147"/>
      <c r="FDE201" s="147"/>
      <c r="FDF201" s="147"/>
      <c r="FDG201" s="147"/>
      <c r="FDH201" s="147"/>
      <c r="FDI201" s="147"/>
      <c r="FDJ201" s="147"/>
      <c r="FDK201" s="147"/>
      <c r="FDL201" s="147"/>
      <c r="FDM201" s="147"/>
      <c r="FDN201" s="147"/>
      <c r="FDO201" s="147"/>
      <c r="FDP201" s="147"/>
      <c r="FDQ201" s="147"/>
      <c r="FDR201" s="147"/>
      <c r="FDS201" s="147"/>
      <c r="FDT201" s="147"/>
      <c r="FDU201" s="147"/>
      <c r="FDV201" s="147"/>
      <c r="FDW201" s="147"/>
      <c r="FDX201" s="147"/>
      <c r="FDY201" s="147"/>
      <c r="FDZ201" s="147"/>
      <c r="FEA201" s="147"/>
      <c r="FEB201" s="147"/>
      <c r="FEC201" s="147"/>
      <c r="FED201" s="147"/>
      <c r="FEE201" s="147"/>
      <c r="FEF201" s="147"/>
      <c r="FEG201" s="147"/>
      <c r="FEH201" s="147"/>
      <c r="FEI201" s="147"/>
      <c r="FEJ201" s="147"/>
      <c r="FEK201" s="147"/>
      <c r="FEL201" s="147"/>
      <c r="FEM201" s="147"/>
      <c r="FEN201" s="147"/>
      <c r="FEO201" s="147"/>
      <c r="FEP201" s="147"/>
      <c r="FEQ201" s="147"/>
      <c r="FER201" s="147"/>
      <c r="FES201" s="147"/>
      <c r="FET201" s="147"/>
      <c r="FEU201" s="147"/>
      <c r="FEV201" s="147"/>
      <c r="FEW201" s="147"/>
      <c r="FEX201" s="147"/>
      <c r="FEY201" s="147"/>
      <c r="FEZ201" s="147"/>
      <c r="FFA201" s="147"/>
      <c r="FFB201" s="147"/>
      <c r="FFC201" s="147"/>
      <c r="FFD201" s="147"/>
      <c r="FFE201" s="147"/>
      <c r="FFF201" s="147"/>
      <c r="FFG201" s="147"/>
      <c r="FFH201" s="147"/>
      <c r="FFI201" s="147"/>
      <c r="FFJ201" s="147"/>
      <c r="FFK201" s="147"/>
      <c r="FFL201" s="147"/>
      <c r="FFM201" s="147"/>
      <c r="FFN201" s="147"/>
      <c r="FFO201" s="147"/>
      <c r="FFP201" s="147"/>
      <c r="FFQ201" s="147"/>
      <c r="FFR201" s="147"/>
      <c r="FFS201" s="147"/>
      <c r="FFT201" s="147"/>
      <c r="FFU201" s="147"/>
      <c r="FFV201" s="147"/>
      <c r="FFW201" s="147"/>
      <c r="FFX201" s="147"/>
      <c r="FFY201" s="147"/>
      <c r="FFZ201" s="147"/>
      <c r="FGA201" s="147"/>
      <c r="FGB201" s="147"/>
      <c r="FGC201" s="147"/>
      <c r="FGD201" s="147"/>
      <c r="FGE201" s="147"/>
      <c r="FGF201" s="147"/>
      <c r="FGG201" s="147"/>
      <c r="FGH201" s="147"/>
      <c r="FGI201" s="147"/>
      <c r="FGJ201" s="147"/>
      <c r="FGK201" s="147"/>
      <c r="FGL201" s="147"/>
      <c r="FGM201" s="147"/>
      <c r="FGN201" s="147"/>
      <c r="FGO201" s="147"/>
      <c r="FGP201" s="147"/>
      <c r="FGQ201" s="147"/>
      <c r="FGR201" s="147"/>
      <c r="FGS201" s="147"/>
      <c r="FGT201" s="147"/>
      <c r="FGU201" s="147"/>
      <c r="FGV201" s="147"/>
      <c r="FGW201" s="147"/>
      <c r="FGX201" s="147"/>
      <c r="FGY201" s="147"/>
      <c r="FGZ201" s="147"/>
      <c r="FHA201" s="147"/>
      <c r="FHB201" s="147"/>
      <c r="FHC201" s="147"/>
      <c r="FHD201" s="147"/>
      <c r="FHE201" s="147"/>
      <c r="FHF201" s="147"/>
      <c r="FHG201" s="147"/>
      <c r="FHH201" s="147"/>
      <c r="FHI201" s="147"/>
      <c r="FHJ201" s="147"/>
      <c r="FHK201" s="147"/>
      <c r="FHL201" s="147"/>
      <c r="FHM201" s="147"/>
      <c r="FHN201" s="147"/>
      <c r="FHO201" s="147"/>
      <c r="FHP201" s="147"/>
      <c r="FHQ201" s="147"/>
      <c r="FHR201" s="147"/>
      <c r="FHS201" s="147"/>
      <c r="FHT201" s="147"/>
      <c r="FHU201" s="147"/>
      <c r="FHV201" s="147"/>
      <c r="FHW201" s="147"/>
      <c r="FHX201" s="147"/>
      <c r="FHY201" s="147"/>
      <c r="FHZ201" s="147"/>
      <c r="FIA201" s="147"/>
      <c r="FIB201" s="147"/>
      <c r="FIC201" s="147"/>
      <c r="FID201" s="147"/>
      <c r="FIE201" s="147"/>
      <c r="FIF201" s="147"/>
      <c r="FIG201" s="147"/>
      <c r="FIH201" s="147"/>
      <c r="FII201" s="147"/>
      <c r="FIJ201" s="147"/>
      <c r="FIK201" s="147"/>
      <c r="FIL201" s="147"/>
      <c r="FIM201" s="147"/>
      <c r="FIN201" s="147"/>
      <c r="FIO201" s="147"/>
      <c r="FIP201" s="147"/>
      <c r="FIQ201" s="147"/>
      <c r="FIR201" s="147"/>
      <c r="FIS201" s="147"/>
      <c r="FIT201" s="147"/>
      <c r="FIU201" s="147"/>
      <c r="FIV201" s="147"/>
      <c r="FIW201" s="147"/>
      <c r="FIX201" s="147"/>
      <c r="FIY201" s="147"/>
      <c r="FIZ201" s="147"/>
      <c r="FJA201" s="147"/>
      <c r="FJB201" s="147"/>
      <c r="FJC201" s="147"/>
      <c r="FJD201" s="147"/>
      <c r="FJE201" s="147"/>
      <c r="FJF201" s="147"/>
      <c r="FJG201" s="147"/>
      <c r="FJH201" s="147"/>
      <c r="FJI201" s="147"/>
      <c r="FJJ201" s="147"/>
      <c r="FJK201" s="147"/>
      <c r="FJL201" s="147"/>
      <c r="FJM201" s="147"/>
      <c r="FJN201" s="147"/>
      <c r="FJO201" s="147"/>
      <c r="FJP201" s="147"/>
      <c r="FJQ201" s="147"/>
      <c r="FJR201" s="147"/>
      <c r="FJS201" s="147"/>
      <c r="FJT201" s="147"/>
      <c r="FJU201" s="147"/>
      <c r="FJV201" s="147"/>
      <c r="FJW201" s="147"/>
      <c r="FJX201" s="147"/>
      <c r="FJY201" s="147"/>
      <c r="FJZ201" s="147"/>
      <c r="FKA201" s="147"/>
      <c r="FKB201" s="147"/>
      <c r="FKC201" s="147"/>
      <c r="FKD201" s="147"/>
      <c r="FKE201" s="147"/>
      <c r="FKF201" s="147"/>
      <c r="FKG201" s="147"/>
      <c r="FKH201" s="147"/>
      <c r="FKI201" s="147"/>
      <c r="FKJ201" s="147"/>
      <c r="FKK201" s="147"/>
      <c r="FKL201" s="147"/>
      <c r="FKM201" s="147"/>
      <c r="FKN201" s="147"/>
      <c r="FKO201" s="147"/>
      <c r="FKP201" s="147"/>
      <c r="FKQ201" s="147"/>
      <c r="FKR201" s="147"/>
      <c r="FKS201" s="147"/>
      <c r="FKT201" s="147"/>
      <c r="FKU201" s="147"/>
      <c r="FKV201" s="147"/>
      <c r="FKW201" s="147"/>
      <c r="FKX201" s="147"/>
      <c r="FKY201" s="147"/>
      <c r="FKZ201" s="147"/>
      <c r="FLA201" s="147"/>
      <c r="FLB201" s="147"/>
      <c r="FLC201" s="147"/>
      <c r="FLD201" s="147"/>
      <c r="FLE201" s="147"/>
      <c r="FLF201" s="147"/>
      <c r="FLG201" s="147"/>
      <c r="FLH201" s="147"/>
      <c r="FLI201" s="147"/>
      <c r="FLJ201" s="147"/>
      <c r="FLK201" s="147"/>
      <c r="FLL201" s="147"/>
      <c r="FLM201" s="147"/>
      <c r="FLN201" s="147"/>
      <c r="FLO201" s="147"/>
      <c r="FLP201" s="147"/>
      <c r="FLQ201" s="147"/>
      <c r="FLR201" s="147"/>
      <c r="FLS201" s="147"/>
      <c r="FLT201" s="147"/>
      <c r="FLU201" s="147"/>
      <c r="FLV201" s="147"/>
      <c r="FLW201" s="147"/>
      <c r="FLX201" s="147"/>
      <c r="FLY201" s="147"/>
      <c r="FLZ201" s="147"/>
      <c r="FMA201" s="147"/>
      <c r="FMB201" s="147"/>
      <c r="FMC201" s="147"/>
      <c r="FMD201" s="147"/>
      <c r="FME201" s="147"/>
      <c r="FMF201" s="147"/>
      <c r="FMG201" s="147"/>
      <c r="FMH201" s="147"/>
      <c r="FMI201" s="147"/>
      <c r="FMJ201" s="147"/>
      <c r="FMK201" s="147"/>
      <c r="FML201" s="147"/>
      <c r="FMM201" s="147"/>
      <c r="FMN201" s="147"/>
      <c r="FMO201" s="147"/>
      <c r="FMP201" s="147"/>
      <c r="FMQ201" s="147"/>
      <c r="FMR201" s="147"/>
      <c r="FMS201" s="147"/>
      <c r="FMT201" s="147"/>
      <c r="FMU201" s="147"/>
      <c r="FMV201" s="147"/>
      <c r="FMW201" s="147"/>
      <c r="FMX201" s="147"/>
      <c r="FMY201" s="147"/>
      <c r="FMZ201" s="147"/>
      <c r="FNA201" s="147"/>
      <c r="FNB201" s="147"/>
      <c r="FNC201" s="147"/>
      <c r="FND201" s="147"/>
      <c r="FNE201" s="147"/>
      <c r="FNF201" s="147"/>
      <c r="FNG201" s="147"/>
      <c r="FNH201" s="147"/>
      <c r="FNI201" s="147"/>
      <c r="FNJ201" s="147"/>
      <c r="FNK201" s="147"/>
      <c r="FNL201" s="147"/>
      <c r="FNM201" s="147"/>
      <c r="FNN201" s="147"/>
      <c r="FNO201" s="147"/>
      <c r="FNP201" s="147"/>
      <c r="FNQ201" s="147"/>
      <c r="FNR201" s="147"/>
      <c r="FNS201" s="147"/>
      <c r="FNT201" s="147"/>
      <c r="FNU201" s="147"/>
      <c r="FNV201" s="147"/>
      <c r="FNW201" s="147"/>
      <c r="FNX201" s="147"/>
      <c r="FNY201" s="147"/>
      <c r="FNZ201" s="147"/>
      <c r="FOA201" s="147"/>
      <c r="FOB201" s="147"/>
      <c r="FOC201" s="147"/>
      <c r="FOD201" s="147"/>
      <c r="FOE201" s="147"/>
      <c r="FOF201" s="147"/>
      <c r="FOG201" s="147"/>
      <c r="FOH201" s="147"/>
      <c r="FOI201" s="147"/>
      <c r="FOJ201" s="147"/>
      <c r="FOK201" s="147"/>
      <c r="FOL201" s="147"/>
      <c r="FOM201" s="147"/>
      <c r="FON201" s="147"/>
      <c r="FOO201" s="147"/>
      <c r="FOP201" s="147"/>
      <c r="FOQ201" s="147"/>
      <c r="FOR201" s="147"/>
      <c r="FOS201" s="147"/>
      <c r="FOT201" s="147"/>
      <c r="FOU201" s="147"/>
      <c r="FOV201" s="147"/>
      <c r="FOW201" s="147"/>
      <c r="FOX201" s="147"/>
      <c r="FOY201" s="147"/>
      <c r="FOZ201" s="147"/>
      <c r="FPA201" s="147"/>
      <c r="FPB201" s="147"/>
      <c r="FPC201" s="147"/>
      <c r="FPD201" s="147"/>
      <c r="FPE201" s="147"/>
      <c r="FPF201" s="147"/>
      <c r="FPG201" s="147"/>
      <c r="FPH201" s="147"/>
      <c r="FPI201" s="147"/>
      <c r="FPJ201" s="147"/>
      <c r="FPK201" s="147"/>
      <c r="FPL201" s="147"/>
      <c r="FPM201" s="147"/>
      <c r="FPN201" s="147"/>
      <c r="FPO201" s="147"/>
      <c r="FPP201" s="147"/>
      <c r="FPQ201" s="147"/>
      <c r="FPR201" s="147"/>
      <c r="FPS201" s="147"/>
      <c r="FPT201" s="147"/>
      <c r="FPU201" s="147"/>
      <c r="FPV201" s="147"/>
      <c r="FPW201" s="147"/>
      <c r="FPX201" s="147"/>
      <c r="FPY201" s="147"/>
      <c r="FPZ201" s="147"/>
      <c r="FQA201" s="147"/>
      <c r="FQB201" s="147"/>
      <c r="FQC201" s="147"/>
      <c r="FQD201" s="147"/>
      <c r="FQE201" s="147"/>
      <c r="FQF201" s="147"/>
      <c r="FQG201" s="147"/>
      <c r="FQH201" s="147"/>
      <c r="FQI201" s="147"/>
      <c r="FQJ201" s="147"/>
      <c r="FQK201" s="147"/>
      <c r="FQL201" s="147"/>
      <c r="FQM201" s="147"/>
      <c r="FQN201" s="147"/>
      <c r="FQO201" s="147"/>
      <c r="FQP201" s="147"/>
      <c r="FQQ201" s="147"/>
      <c r="FQR201" s="147"/>
      <c r="FQS201" s="147"/>
      <c r="FQT201" s="147"/>
      <c r="FQU201" s="147"/>
      <c r="FQV201" s="147"/>
      <c r="FQW201" s="147"/>
      <c r="FQX201" s="147"/>
      <c r="FQY201" s="147"/>
      <c r="FQZ201" s="147"/>
      <c r="FRA201" s="147"/>
      <c r="FRB201" s="147"/>
      <c r="FRC201" s="147"/>
      <c r="FRD201" s="147"/>
      <c r="FRE201" s="147"/>
      <c r="FRF201" s="147"/>
      <c r="FRG201" s="147"/>
      <c r="FRH201" s="147"/>
      <c r="FRI201" s="147"/>
      <c r="FRJ201" s="147"/>
      <c r="FRK201" s="147"/>
      <c r="FRL201" s="147"/>
      <c r="FRM201" s="147"/>
      <c r="FRN201" s="147"/>
      <c r="FRO201" s="147"/>
      <c r="FRP201" s="147"/>
      <c r="FRQ201" s="147"/>
      <c r="FRR201" s="147"/>
      <c r="FRS201" s="147"/>
      <c r="FRT201" s="147"/>
      <c r="FRU201" s="147"/>
      <c r="FRV201" s="147"/>
      <c r="FRW201" s="147"/>
      <c r="FRX201" s="147"/>
      <c r="FRY201" s="147"/>
      <c r="FRZ201" s="147"/>
      <c r="FSA201" s="147"/>
      <c r="FSB201" s="147"/>
      <c r="FSC201" s="147"/>
      <c r="FSD201" s="147"/>
      <c r="FSE201" s="147"/>
      <c r="FSF201" s="147"/>
      <c r="FSG201" s="147"/>
      <c r="FSH201" s="147"/>
      <c r="FSI201" s="147"/>
      <c r="FSJ201" s="147"/>
      <c r="FSK201" s="147"/>
      <c r="FSL201" s="147"/>
      <c r="FSM201" s="147"/>
      <c r="FSN201" s="147"/>
      <c r="FSO201" s="147"/>
      <c r="FSP201" s="147"/>
      <c r="FSQ201" s="147"/>
      <c r="FSR201" s="147"/>
      <c r="FSS201" s="147"/>
      <c r="FST201" s="147"/>
      <c r="FSU201" s="147"/>
      <c r="FSV201" s="147"/>
      <c r="FSW201" s="147"/>
      <c r="FSX201" s="147"/>
      <c r="FSY201" s="147"/>
      <c r="FSZ201" s="147"/>
      <c r="FTA201" s="147"/>
      <c r="FTB201" s="147"/>
      <c r="FTC201" s="147"/>
      <c r="FTD201" s="147"/>
      <c r="FTE201" s="147"/>
      <c r="FTF201" s="147"/>
      <c r="FTG201" s="147"/>
      <c r="FTH201" s="147"/>
      <c r="FTI201" s="147"/>
      <c r="FTJ201" s="147"/>
      <c r="FTK201" s="147"/>
      <c r="FTL201" s="147"/>
      <c r="FTM201" s="147"/>
      <c r="FTN201" s="147"/>
      <c r="FTO201" s="147"/>
      <c r="FTP201" s="147"/>
      <c r="FTQ201" s="147"/>
      <c r="FTR201" s="147"/>
      <c r="FTS201" s="147"/>
      <c r="FTT201" s="147"/>
      <c r="FTU201" s="147"/>
      <c r="FTV201" s="147"/>
      <c r="FTW201" s="147"/>
      <c r="FTX201" s="147"/>
      <c r="FTY201" s="147"/>
      <c r="FTZ201" s="147"/>
      <c r="FUA201" s="147"/>
      <c r="FUB201" s="147"/>
      <c r="FUC201" s="147"/>
      <c r="FUD201" s="147"/>
      <c r="FUE201" s="147"/>
      <c r="FUF201" s="147"/>
      <c r="FUG201" s="147"/>
      <c r="FUH201" s="147"/>
      <c r="FUI201" s="147"/>
      <c r="FUJ201" s="147"/>
      <c r="FUK201" s="147"/>
      <c r="FUL201" s="147"/>
      <c r="FUM201" s="147"/>
      <c r="FUN201" s="147"/>
      <c r="FUO201" s="147"/>
      <c r="FUP201" s="147"/>
      <c r="FUQ201" s="147"/>
      <c r="FUR201" s="147"/>
      <c r="FUS201" s="147"/>
      <c r="FUT201" s="147"/>
      <c r="FUU201" s="147"/>
      <c r="FUV201" s="147"/>
      <c r="FUW201" s="147"/>
      <c r="FUX201" s="147"/>
      <c r="FUY201" s="147"/>
      <c r="FUZ201" s="147"/>
      <c r="FVA201" s="147"/>
      <c r="FVB201" s="147"/>
      <c r="FVC201" s="147"/>
      <c r="FVD201" s="147"/>
      <c r="FVE201" s="147"/>
      <c r="FVF201" s="147"/>
      <c r="FVG201" s="147"/>
      <c r="FVH201" s="147"/>
      <c r="FVI201" s="147"/>
      <c r="FVJ201" s="147"/>
      <c r="FVK201" s="147"/>
      <c r="FVL201" s="147"/>
      <c r="FVM201" s="147"/>
      <c r="FVN201" s="147"/>
      <c r="FVO201" s="147"/>
      <c r="FVP201" s="147"/>
      <c r="FVQ201" s="147"/>
      <c r="FVR201" s="147"/>
      <c r="FVS201" s="147"/>
      <c r="FVT201" s="147"/>
      <c r="FVU201" s="147"/>
      <c r="FVV201" s="147"/>
      <c r="FVW201" s="147"/>
      <c r="FVX201" s="147"/>
      <c r="FVY201" s="147"/>
      <c r="FVZ201" s="147"/>
      <c r="FWA201" s="147"/>
      <c r="FWB201" s="147"/>
      <c r="FWC201" s="147"/>
      <c r="FWD201" s="147"/>
      <c r="FWE201" s="147"/>
      <c r="FWF201" s="147"/>
      <c r="FWG201" s="147"/>
      <c r="FWH201" s="147"/>
      <c r="FWI201" s="147"/>
      <c r="FWJ201" s="147"/>
      <c r="FWK201" s="147"/>
      <c r="FWL201" s="147"/>
      <c r="FWM201" s="147"/>
      <c r="FWN201" s="147"/>
      <c r="FWO201" s="147"/>
      <c r="FWP201" s="147"/>
      <c r="FWQ201" s="147"/>
      <c r="FWR201" s="147"/>
      <c r="FWS201" s="147"/>
      <c r="FWT201" s="147"/>
      <c r="FWU201" s="147"/>
      <c r="FWV201" s="147"/>
      <c r="FWW201" s="147"/>
      <c r="FWX201" s="147"/>
      <c r="FWY201" s="147"/>
      <c r="FWZ201" s="147"/>
      <c r="FXA201" s="147"/>
      <c r="FXB201" s="147"/>
      <c r="FXC201" s="147"/>
      <c r="FXD201" s="147"/>
      <c r="FXE201" s="147"/>
      <c r="FXF201" s="147"/>
      <c r="FXG201" s="147"/>
      <c r="FXH201" s="147"/>
      <c r="FXI201" s="147"/>
      <c r="FXJ201" s="147"/>
      <c r="FXK201" s="147"/>
      <c r="FXL201" s="147"/>
      <c r="FXM201" s="147"/>
      <c r="FXN201" s="147"/>
      <c r="FXO201" s="147"/>
      <c r="FXP201" s="147"/>
      <c r="FXQ201" s="147"/>
      <c r="FXR201" s="147"/>
      <c r="FXS201" s="147"/>
      <c r="FXT201" s="147"/>
      <c r="FXU201" s="147"/>
      <c r="FXV201" s="147"/>
      <c r="FXW201" s="147"/>
      <c r="FXX201" s="147"/>
      <c r="FXY201" s="147"/>
      <c r="FXZ201" s="147"/>
      <c r="FYA201" s="147"/>
      <c r="FYB201" s="147"/>
      <c r="FYC201" s="147"/>
      <c r="FYD201" s="147"/>
      <c r="FYE201" s="147"/>
      <c r="FYF201" s="147"/>
      <c r="FYG201" s="147"/>
      <c r="FYH201" s="147"/>
      <c r="FYI201" s="147"/>
      <c r="FYJ201" s="147"/>
      <c r="FYK201" s="147"/>
      <c r="FYL201" s="147"/>
      <c r="FYM201" s="147"/>
      <c r="FYN201" s="147"/>
      <c r="FYO201" s="147"/>
      <c r="FYP201" s="147"/>
      <c r="FYQ201" s="147"/>
      <c r="FYR201" s="147"/>
      <c r="FYS201" s="147"/>
      <c r="FYT201" s="147"/>
      <c r="FYU201" s="147"/>
      <c r="FYV201" s="147"/>
      <c r="FYW201" s="147"/>
      <c r="FYX201" s="147"/>
      <c r="FYY201" s="147"/>
      <c r="FYZ201" s="147"/>
      <c r="FZA201" s="147"/>
      <c r="FZB201" s="147"/>
      <c r="FZC201" s="147"/>
      <c r="FZD201" s="147"/>
      <c r="FZE201" s="147"/>
      <c r="FZF201" s="147"/>
      <c r="FZG201" s="147"/>
      <c r="FZH201" s="147"/>
      <c r="FZI201" s="147"/>
      <c r="FZJ201" s="147"/>
      <c r="FZK201" s="147"/>
      <c r="FZL201" s="147"/>
      <c r="FZM201" s="147"/>
      <c r="FZN201" s="147"/>
      <c r="FZO201" s="147"/>
      <c r="FZP201" s="147"/>
      <c r="FZQ201" s="147"/>
      <c r="FZR201" s="147"/>
      <c r="FZS201" s="147"/>
      <c r="FZT201" s="147"/>
      <c r="FZU201" s="147"/>
      <c r="FZV201" s="147"/>
      <c r="FZW201" s="147"/>
      <c r="FZX201" s="147"/>
      <c r="FZY201" s="147"/>
      <c r="FZZ201" s="147"/>
      <c r="GAA201" s="147"/>
      <c r="GAB201" s="147"/>
      <c r="GAC201" s="147"/>
      <c r="GAD201" s="147"/>
      <c r="GAE201" s="147"/>
      <c r="GAF201" s="147"/>
      <c r="GAG201" s="147"/>
      <c r="GAH201" s="147"/>
      <c r="GAI201" s="147"/>
      <c r="GAJ201" s="147"/>
      <c r="GAK201" s="147"/>
      <c r="GAL201" s="147"/>
      <c r="GAM201" s="147"/>
      <c r="GAN201" s="147"/>
      <c r="GAO201" s="147"/>
      <c r="GAP201" s="147"/>
      <c r="GAQ201" s="147"/>
      <c r="GAR201" s="147"/>
      <c r="GAS201" s="147"/>
      <c r="GAT201" s="147"/>
      <c r="GAU201" s="147"/>
      <c r="GAV201" s="147"/>
      <c r="GAW201" s="147"/>
      <c r="GAX201" s="147"/>
      <c r="GAY201" s="147"/>
      <c r="GAZ201" s="147"/>
      <c r="GBA201" s="147"/>
      <c r="GBB201" s="147"/>
      <c r="GBC201" s="147"/>
      <c r="GBD201" s="147"/>
      <c r="GBE201" s="147"/>
      <c r="GBF201" s="147"/>
      <c r="GBG201" s="147"/>
      <c r="GBH201" s="147"/>
      <c r="GBI201" s="147"/>
      <c r="GBJ201" s="147"/>
      <c r="GBK201" s="147"/>
      <c r="GBL201" s="147"/>
      <c r="GBM201" s="147"/>
      <c r="GBN201" s="147"/>
      <c r="GBO201" s="147"/>
      <c r="GBP201" s="147"/>
      <c r="GBQ201" s="147"/>
      <c r="GBR201" s="147"/>
      <c r="GBS201" s="147"/>
      <c r="GBT201" s="147"/>
      <c r="GBU201" s="147"/>
      <c r="GBV201" s="147"/>
      <c r="GBW201" s="147"/>
      <c r="GBX201" s="147"/>
      <c r="GBY201" s="147"/>
      <c r="GBZ201" s="147"/>
      <c r="GCA201" s="147"/>
      <c r="GCB201" s="147"/>
      <c r="GCC201" s="147"/>
      <c r="GCD201" s="147"/>
      <c r="GCE201" s="147"/>
      <c r="GCF201" s="147"/>
      <c r="GCG201" s="147"/>
      <c r="GCH201" s="147"/>
      <c r="GCI201" s="147"/>
      <c r="GCJ201" s="147"/>
      <c r="GCK201" s="147"/>
      <c r="GCL201" s="147"/>
      <c r="GCM201" s="147"/>
      <c r="GCN201" s="147"/>
      <c r="GCO201" s="147"/>
      <c r="GCP201" s="147"/>
      <c r="GCQ201" s="147"/>
      <c r="GCR201" s="147"/>
      <c r="GCS201" s="147"/>
      <c r="GCT201" s="147"/>
      <c r="GCU201" s="147"/>
      <c r="GCV201" s="147"/>
      <c r="GCW201" s="147"/>
      <c r="GCX201" s="147"/>
      <c r="GCY201" s="147"/>
      <c r="GCZ201" s="147"/>
      <c r="GDA201" s="147"/>
      <c r="GDB201" s="147"/>
      <c r="GDC201" s="147"/>
      <c r="GDD201" s="147"/>
      <c r="GDE201" s="147"/>
      <c r="GDF201" s="147"/>
      <c r="GDG201" s="147"/>
      <c r="GDH201" s="147"/>
      <c r="GDI201" s="147"/>
      <c r="GDJ201" s="147"/>
      <c r="GDK201" s="147"/>
      <c r="GDL201" s="147"/>
      <c r="GDM201" s="147"/>
      <c r="GDN201" s="147"/>
      <c r="GDO201" s="147"/>
      <c r="GDP201" s="147"/>
      <c r="GDQ201" s="147"/>
      <c r="GDR201" s="147"/>
      <c r="GDS201" s="147"/>
      <c r="GDT201" s="147"/>
      <c r="GDU201" s="147"/>
      <c r="GDV201" s="147"/>
      <c r="GDW201" s="147"/>
      <c r="GDX201" s="147"/>
      <c r="GDY201" s="147"/>
      <c r="GDZ201" s="147"/>
      <c r="GEA201" s="147"/>
      <c r="GEB201" s="147"/>
      <c r="GEC201" s="147"/>
      <c r="GED201" s="147"/>
      <c r="GEE201" s="147"/>
      <c r="GEF201" s="147"/>
      <c r="GEG201" s="147"/>
      <c r="GEH201" s="147"/>
      <c r="GEI201" s="147"/>
      <c r="GEJ201" s="147"/>
      <c r="GEK201" s="147"/>
      <c r="GEL201" s="147"/>
      <c r="GEM201" s="147"/>
      <c r="GEN201" s="147"/>
      <c r="GEO201" s="147"/>
      <c r="GEP201" s="147"/>
      <c r="GEQ201" s="147"/>
      <c r="GER201" s="147"/>
      <c r="GES201" s="147"/>
      <c r="GET201" s="147"/>
      <c r="GEU201" s="147"/>
      <c r="GEV201" s="147"/>
      <c r="GEW201" s="147"/>
      <c r="GEX201" s="147"/>
      <c r="GEY201" s="147"/>
      <c r="GEZ201" s="147"/>
      <c r="GFA201" s="147"/>
      <c r="GFB201" s="147"/>
      <c r="GFC201" s="147"/>
      <c r="GFD201" s="147"/>
      <c r="GFE201" s="147"/>
      <c r="GFF201" s="147"/>
      <c r="GFG201" s="147"/>
      <c r="GFH201" s="147"/>
      <c r="GFI201" s="147"/>
      <c r="GFJ201" s="147"/>
      <c r="GFK201" s="147"/>
      <c r="GFL201" s="147"/>
      <c r="GFM201" s="147"/>
      <c r="GFN201" s="147"/>
      <c r="GFO201" s="147"/>
      <c r="GFP201" s="147"/>
      <c r="GFQ201" s="147"/>
      <c r="GFR201" s="147"/>
      <c r="GFS201" s="147"/>
      <c r="GFT201" s="147"/>
      <c r="GFU201" s="147"/>
      <c r="GFV201" s="147"/>
      <c r="GFW201" s="147"/>
      <c r="GFX201" s="147"/>
      <c r="GFY201" s="147"/>
      <c r="GFZ201" s="147"/>
      <c r="GGA201" s="147"/>
      <c r="GGB201" s="147"/>
      <c r="GGC201" s="147"/>
      <c r="GGD201" s="147"/>
      <c r="GGE201" s="147"/>
      <c r="GGF201" s="147"/>
      <c r="GGG201" s="147"/>
      <c r="GGH201" s="147"/>
      <c r="GGI201" s="147"/>
      <c r="GGJ201" s="147"/>
      <c r="GGK201" s="147"/>
      <c r="GGL201" s="147"/>
      <c r="GGM201" s="147"/>
      <c r="GGN201" s="147"/>
      <c r="GGO201" s="147"/>
      <c r="GGP201" s="147"/>
      <c r="GGQ201" s="147"/>
      <c r="GGR201" s="147"/>
      <c r="GGS201" s="147"/>
      <c r="GGT201" s="147"/>
      <c r="GGU201" s="147"/>
      <c r="GGV201" s="147"/>
      <c r="GGW201" s="147"/>
      <c r="GGX201" s="147"/>
      <c r="GGY201" s="147"/>
      <c r="GGZ201" s="147"/>
      <c r="GHA201" s="147"/>
      <c r="GHB201" s="147"/>
      <c r="GHC201" s="147"/>
      <c r="GHD201" s="147"/>
      <c r="GHE201" s="147"/>
      <c r="GHF201" s="147"/>
      <c r="GHG201" s="147"/>
      <c r="GHH201" s="147"/>
      <c r="GHI201" s="147"/>
      <c r="GHJ201" s="147"/>
      <c r="GHK201" s="147"/>
      <c r="GHL201" s="147"/>
      <c r="GHM201" s="147"/>
      <c r="GHN201" s="147"/>
      <c r="GHO201" s="147"/>
      <c r="GHP201" s="147"/>
      <c r="GHQ201" s="147"/>
      <c r="GHR201" s="147"/>
      <c r="GHS201" s="147"/>
      <c r="GHT201" s="147"/>
      <c r="GHU201" s="147"/>
      <c r="GHV201" s="147"/>
      <c r="GHW201" s="147"/>
      <c r="GHX201" s="147"/>
      <c r="GHY201" s="147"/>
      <c r="GHZ201" s="147"/>
      <c r="GIA201" s="147"/>
      <c r="GIB201" s="147"/>
      <c r="GIC201" s="147"/>
      <c r="GID201" s="147"/>
      <c r="GIE201" s="147"/>
      <c r="GIF201" s="147"/>
      <c r="GIG201" s="147"/>
      <c r="GIH201" s="147"/>
      <c r="GII201" s="147"/>
      <c r="GIJ201" s="147"/>
      <c r="GIK201" s="147"/>
      <c r="GIL201" s="147"/>
      <c r="GIM201" s="147"/>
      <c r="GIN201" s="147"/>
      <c r="GIO201" s="147"/>
      <c r="GIP201" s="147"/>
      <c r="GIQ201" s="147"/>
      <c r="GIR201" s="147"/>
      <c r="GIS201" s="147"/>
      <c r="GIT201" s="147"/>
      <c r="GIU201" s="147"/>
      <c r="GIV201" s="147"/>
      <c r="GIW201" s="147"/>
      <c r="GIX201" s="147"/>
      <c r="GIY201" s="147"/>
      <c r="GIZ201" s="147"/>
      <c r="GJA201" s="147"/>
      <c r="GJB201" s="147"/>
      <c r="GJC201" s="147"/>
      <c r="GJD201" s="147"/>
      <c r="GJE201" s="147"/>
      <c r="GJF201" s="147"/>
      <c r="GJG201" s="147"/>
      <c r="GJH201" s="147"/>
      <c r="GJI201" s="147"/>
      <c r="GJJ201" s="147"/>
      <c r="GJK201" s="147"/>
      <c r="GJL201" s="147"/>
      <c r="GJM201" s="147"/>
      <c r="GJN201" s="147"/>
      <c r="GJO201" s="147"/>
      <c r="GJP201" s="147"/>
      <c r="GJQ201" s="147"/>
      <c r="GJR201" s="147"/>
      <c r="GJS201" s="147"/>
      <c r="GJT201" s="147"/>
      <c r="GJU201" s="147"/>
      <c r="GJV201" s="147"/>
      <c r="GJW201" s="147"/>
      <c r="GJX201" s="147"/>
      <c r="GJY201" s="147"/>
      <c r="GJZ201" s="147"/>
      <c r="GKA201" s="147"/>
      <c r="GKB201" s="147"/>
      <c r="GKC201" s="147"/>
      <c r="GKD201" s="147"/>
      <c r="GKE201" s="147"/>
      <c r="GKF201" s="147"/>
      <c r="GKG201" s="147"/>
      <c r="GKH201" s="147"/>
      <c r="GKI201" s="147"/>
      <c r="GKJ201" s="147"/>
      <c r="GKK201" s="147"/>
      <c r="GKL201" s="147"/>
      <c r="GKM201" s="147"/>
      <c r="GKN201" s="147"/>
      <c r="GKO201" s="147"/>
      <c r="GKP201" s="147"/>
      <c r="GKQ201" s="147"/>
      <c r="GKR201" s="147"/>
      <c r="GKS201" s="147"/>
      <c r="GKT201" s="147"/>
      <c r="GKU201" s="147"/>
      <c r="GKV201" s="147"/>
      <c r="GKW201" s="147"/>
      <c r="GKX201" s="147"/>
      <c r="GKY201" s="147"/>
      <c r="GKZ201" s="147"/>
      <c r="GLA201" s="147"/>
      <c r="GLB201" s="147"/>
      <c r="GLC201" s="147"/>
      <c r="GLD201" s="147"/>
      <c r="GLE201" s="147"/>
      <c r="GLF201" s="147"/>
      <c r="GLG201" s="147"/>
      <c r="GLH201" s="147"/>
      <c r="GLI201" s="147"/>
      <c r="GLJ201" s="147"/>
      <c r="GLK201" s="147"/>
      <c r="GLL201" s="147"/>
      <c r="GLM201" s="147"/>
      <c r="GLN201" s="147"/>
      <c r="GLO201" s="147"/>
      <c r="GLP201" s="147"/>
      <c r="GLQ201" s="147"/>
      <c r="GLR201" s="147"/>
      <c r="GLS201" s="147"/>
      <c r="GLT201" s="147"/>
      <c r="GLU201" s="147"/>
      <c r="GLV201" s="147"/>
      <c r="GLW201" s="147"/>
      <c r="GLX201" s="147"/>
      <c r="GLY201" s="147"/>
      <c r="GLZ201" s="147"/>
      <c r="GMA201" s="147"/>
      <c r="GMB201" s="147"/>
      <c r="GMC201" s="147"/>
      <c r="GMD201" s="147"/>
      <c r="GME201" s="147"/>
      <c r="GMF201" s="147"/>
      <c r="GMG201" s="147"/>
      <c r="GMH201" s="147"/>
      <c r="GMI201" s="147"/>
      <c r="GMJ201" s="147"/>
      <c r="GMK201" s="147"/>
      <c r="GML201" s="147"/>
      <c r="GMM201" s="147"/>
      <c r="GMN201" s="147"/>
      <c r="GMO201" s="147"/>
      <c r="GMP201" s="147"/>
      <c r="GMQ201" s="147"/>
      <c r="GMR201" s="147"/>
      <c r="GMS201" s="147"/>
      <c r="GMT201" s="147"/>
      <c r="GMU201" s="147"/>
      <c r="GMV201" s="147"/>
      <c r="GMW201" s="147"/>
      <c r="GMX201" s="147"/>
      <c r="GMY201" s="147"/>
      <c r="GMZ201" s="147"/>
      <c r="GNA201" s="147"/>
      <c r="GNB201" s="147"/>
      <c r="GNC201" s="147"/>
      <c r="GND201" s="147"/>
      <c r="GNE201" s="147"/>
      <c r="GNF201" s="147"/>
      <c r="GNG201" s="147"/>
      <c r="GNH201" s="147"/>
      <c r="GNI201" s="147"/>
      <c r="GNJ201" s="147"/>
      <c r="GNK201" s="147"/>
      <c r="GNL201" s="147"/>
      <c r="GNM201" s="147"/>
      <c r="GNN201" s="147"/>
      <c r="GNO201" s="147"/>
      <c r="GNP201" s="147"/>
      <c r="GNQ201" s="147"/>
      <c r="GNR201" s="147"/>
      <c r="GNS201" s="147"/>
      <c r="GNT201" s="147"/>
      <c r="GNU201" s="147"/>
      <c r="GNV201" s="147"/>
      <c r="GNW201" s="147"/>
      <c r="GNX201" s="147"/>
      <c r="GNY201" s="147"/>
      <c r="GNZ201" s="147"/>
      <c r="GOA201" s="147"/>
      <c r="GOB201" s="147"/>
      <c r="GOC201" s="147"/>
      <c r="GOD201" s="147"/>
      <c r="GOE201" s="147"/>
      <c r="GOF201" s="147"/>
      <c r="GOG201" s="147"/>
      <c r="GOH201" s="147"/>
      <c r="GOI201" s="147"/>
      <c r="GOJ201" s="147"/>
      <c r="GOK201" s="147"/>
      <c r="GOL201" s="147"/>
      <c r="GOM201" s="147"/>
      <c r="GON201" s="147"/>
      <c r="GOO201" s="147"/>
      <c r="GOP201" s="147"/>
      <c r="GOQ201" s="147"/>
      <c r="GOR201" s="147"/>
      <c r="GOS201" s="147"/>
      <c r="GOT201" s="147"/>
      <c r="GOU201" s="147"/>
      <c r="GOV201" s="147"/>
      <c r="GOW201" s="147"/>
      <c r="GOX201" s="147"/>
      <c r="GOY201" s="147"/>
      <c r="GOZ201" s="147"/>
      <c r="GPA201" s="147"/>
      <c r="GPB201" s="147"/>
      <c r="GPC201" s="147"/>
      <c r="GPD201" s="147"/>
      <c r="GPE201" s="147"/>
      <c r="GPF201" s="147"/>
      <c r="GPG201" s="147"/>
      <c r="GPH201" s="147"/>
      <c r="GPI201" s="147"/>
      <c r="GPJ201" s="147"/>
      <c r="GPK201" s="147"/>
      <c r="GPL201" s="147"/>
      <c r="GPM201" s="147"/>
      <c r="GPN201" s="147"/>
      <c r="GPO201" s="147"/>
      <c r="GPP201" s="147"/>
      <c r="GPQ201" s="147"/>
      <c r="GPR201" s="147"/>
      <c r="GPS201" s="147"/>
      <c r="GPT201" s="147"/>
      <c r="GPU201" s="147"/>
      <c r="GPV201" s="147"/>
      <c r="GPW201" s="147"/>
      <c r="GPX201" s="147"/>
      <c r="GPY201" s="147"/>
      <c r="GPZ201" s="147"/>
      <c r="GQA201" s="147"/>
      <c r="GQB201" s="147"/>
      <c r="GQC201" s="147"/>
      <c r="GQD201" s="147"/>
      <c r="GQE201" s="147"/>
      <c r="GQF201" s="147"/>
      <c r="GQG201" s="147"/>
      <c r="GQH201" s="147"/>
      <c r="GQI201" s="147"/>
      <c r="GQJ201" s="147"/>
      <c r="GQK201" s="147"/>
      <c r="GQL201" s="147"/>
      <c r="GQM201" s="147"/>
      <c r="GQN201" s="147"/>
      <c r="GQO201" s="147"/>
      <c r="GQP201" s="147"/>
      <c r="GQQ201" s="147"/>
      <c r="GQR201" s="147"/>
      <c r="GQS201" s="147"/>
      <c r="GQT201" s="147"/>
      <c r="GQU201" s="147"/>
      <c r="GQV201" s="147"/>
      <c r="GQW201" s="147"/>
      <c r="GQX201" s="147"/>
      <c r="GQY201" s="147"/>
      <c r="GQZ201" s="147"/>
      <c r="GRA201" s="147"/>
      <c r="GRB201" s="147"/>
      <c r="GRC201" s="147"/>
      <c r="GRD201" s="147"/>
      <c r="GRE201" s="147"/>
      <c r="GRF201" s="147"/>
      <c r="GRG201" s="147"/>
      <c r="GRH201" s="147"/>
      <c r="GRI201" s="147"/>
      <c r="GRJ201" s="147"/>
      <c r="GRK201" s="147"/>
      <c r="GRL201" s="147"/>
      <c r="GRM201" s="147"/>
      <c r="GRN201" s="147"/>
      <c r="GRO201" s="147"/>
      <c r="GRP201" s="147"/>
      <c r="GRQ201" s="147"/>
      <c r="GRR201" s="147"/>
      <c r="GRS201" s="147"/>
      <c r="GRT201" s="147"/>
      <c r="GRU201" s="147"/>
      <c r="GRV201" s="147"/>
      <c r="GRW201" s="147"/>
      <c r="GRX201" s="147"/>
      <c r="GRY201" s="147"/>
      <c r="GRZ201" s="147"/>
      <c r="GSA201" s="147"/>
      <c r="GSB201" s="147"/>
      <c r="GSC201" s="147"/>
      <c r="GSD201" s="147"/>
      <c r="GSE201" s="147"/>
      <c r="GSF201" s="147"/>
      <c r="GSG201" s="147"/>
      <c r="GSH201" s="147"/>
      <c r="GSI201" s="147"/>
      <c r="GSJ201" s="147"/>
      <c r="GSK201" s="147"/>
      <c r="GSL201" s="147"/>
      <c r="GSM201" s="147"/>
      <c r="GSN201" s="147"/>
      <c r="GSO201" s="147"/>
      <c r="GSP201" s="147"/>
      <c r="GSQ201" s="147"/>
      <c r="GSR201" s="147"/>
      <c r="GSS201" s="147"/>
      <c r="GST201" s="147"/>
      <c r="GSU201" s="147"/>
      <c r="GSV201" s="147"/>
      <c r="GSW201" s="147"/>
      <c r="GSX201" s="147"/>
      <c r="GSY201" s="147"/>
      <c r="GSZ201" s="147"/>
      <c r="GTA201" s="147"/>
      <c r="GTB201" s="147"/>
      <c r="GTC201" s="147"/>
      <c r="GTD201" s="147"/>
      <c r="GTE201" s="147"/>
      <c r="GTF201" s="147"/>
      <c r="GTG201" s="147"/>
      <c r="GTH201" s="147"/>
      <c r="GTI201" s="147"/>
      <c r="GTJ201" s="147"/>
      <c r="GTK201" s="147"/>
      <c r="GTL201" s="147"/>
      <c r="GTM201" s="147"/>
      <c r="GTN201" s="147"/>
      <c r="GTO201" s="147"/>
      <c r="GTP201" s="147"/>
      <c r="GTQ201" s="147"/>
      <c r="GTR201" s="147"/>
      <c r="GTS201" s="147"/>
      <c r="GTT201" s="147"/>
      <c r="GTU201" s="147"/>
      <c r="GTV201" s="147"/>
      <c r="GTW201" s="147"/>
      <c r="GTX201" s="147"/>
      <c r="GTY201" s="147"/>
      <c r="GTZ201" s="147"/>
      <c r="GUA201" s="147"/>
      <c r="GUB201" s="147"/>
      <c r="GUC201" s="147"/>
      <c r="GUD201" s="147"/>
      <c r="GUE201" s="147"/>
      <c r="GUF201" s="147"/>
      <c r="GUG201" s="147"/>
      <c r="GUH201" s="147"/>
      <c r="GUI201" s="147"/>
      <c r="GUJ201" s="147"/>
      <c r="GUK201" s="147"/>
      <c r="GUL201" s="147"/>
      <c r="GUM201" s="147"/>
      <c r="GUN201" s="147"/>
      <c r="GUO201" s="147"/>
      <c r="GUP201" s="147"/>
      <c r="GUQ201" s="147"/>
      <c r="GUR201" s="147"/>
      <c r="GUS201" s="147"/>
      <c r="GUT201" s="147"/>
      <c r="GUU201" s="147"/>
      <c r="GUV201" s="147"/>
      <c r="GUW201" s="147"/>
      <c r="GUX201" s="147"/>
      <c r="GUY201" s="147"/>
      <c r="GUZ201" s="147"/>
      <c r="GVA201" s="147"/>
      <c r="GVB201" s="147"/>
      <c r="GVC201" s="147"/>
      <c r="GVD201" s="147"/>
      <c r="GVE201" s="147"/>
      <c r="GVF201" s="147"/>
      <c r="GVG201" s="147"/>
      <c r="GVH201" s="147"/>
      <c r="GVI201" s="147"/>
      <c r="GVJ201" s="147"/>
      <c r="GVK201" s="147"/>
      <c r="GVL201" s="147"/>
      <c r="GVM201" s="147"/>
      <c r="GVN201" s="147"/>
      <c r="GVO201" s="147"/>
      <c r="GVP201" s="147"/>
      <c r="GVQ201" s="147"/>
      <c r="GVR201" s="147"/>
      <c r="GVS201" s="147"/>
      <c r="GVT201" s="147"/>
      <c r="GVU201" s="147"/>
      <c r="GVV201" s="147"/>
      <c r="GVW201" s="147"/>
      <c r="GVX201" s="147"/>
      <c r="GVY201" s="147"/>
      <c r="GVZ201" s="147"/>
      <c r="GWA201" s="147"/>
      <c r="GWB201" s="147"/>
      <c r="GWC201" s="147"/>
      <c r="GWD201" s="147"/>
      <c r="GWE201" s="147"/>
      <c r="GWF201" s="147"/>
      <c r="GWG201" s="147"/>
      <c r="GWH201" s="147"/>
      <c r="GWI201" s="147"/>
      <c r="GWJ201" s="147"/>
      <c r="GWK201" s="147"/>
      <c r="GWL201" s="147"/>
      <c r="GWM201" s="147"/>
      <c r="GWN201" s="147"/>
      <c r="GWO201" s="147"/>
      <c r="GWP201" s="147"/>
      <c r="GWQ201" s="147"/>
      <c r="GWR201" s="147"/>
      <c r="GWS201" s="147"/>
      <c r="GWT201" s="147"/>
      <c r="GWU201" s="147"/>
      <c r="GWV201" s="147"/>
      <c r="GWW201" s="147"/>
      <c r="GWX201" s="147"/>
      <c r="GWY201" s="147"/>
      <c r="GWZ201" s="147"/>
      <c r="GXA201" s="147"/>
      <c r="GXB201" s="147"/>
      <c r="GXC201" s="147"/>
      <c r="GXD201" s="147"/>
      <c r="GXE201" s="147"/>
      <c r="GXF201" s="147"/>
      <c r="GXG201" s="147"/>
      <c r="GXH201" s="147"/>
      <c r="GXI201" s="147"/>
      <c r="GXJ201" s="147"/>
      <c r="GXK201" s="147"/>
      <c r="GXL201" s="147"/>
      <c r="GXM201" s="147"/>
      <c r="GXN201" s="147"/>
      <c r="GXO201" s="147"/>
      <c r="GXP201" s="147"/>
      <c r="GXQ201" s="147"/>
      <c r="GXR201" s="147"/>
      <c r="GXS201" s="147"/>
      <c r="GXT201" s="147"/>
      <c r="GXU201" s="147"/>
      <c r="GXV201" s="147"/>
      <c r="GXW201" s="147"/>
      <c r="GXX201" s="147"/>
      <c r="GXY201" s="147"/>
      <c r="GXZ201" s="147"/>
      <c r="GYA201" s="147"/>
      <c r="GYB201" s="147"/>
      <c r="GYC201" s="147"/>
      <c r="GYD201" s="147"/>
      <c r="GYE201" s="147"/>
      <c r="GYF201" s="147"/>
      <c r="GYG201" s="147"/>
      <c r="GYH201" s="147"/>
      <c r="GYI201" s="147"/>
      <c r="GYJ201" s="147"/>
      <c r="GYK201" s="147"/>
      <c r="GYL201" s="147"/>
      <c r="GYM201" s="147"/>
      <c r="GYN201" s="147"/>
      <c r="GYO201" s="147"/>
      <c r="GYP201" s="147"/>
      <c r="GYQ201" s="147"/>
      <c r="GYR201" s="147"/>
      <c r="GYS201" s="147"/>
      <c r="GYT201" s="147"/>
      <c r="GYU201" s="147"/>
      <c r="GYV201" s="147"/>
      <c r="GYW201" s="147"/>
      <c r="GYX201" s="147"/>
      <c r="GYY201" s="147"/>
      <c r="GYZ201" s="147"/>
      <c r="GZA201" s="147"/>
      <c r="GZB201" s="147"/>
      <c r="GZC201" s="147"/>
      <c r="GZD201" s="147"/>
      <c r="GZE201" s="147"/>
      <c r="GZF201" s="147"/>
      <c r="GZG201" s="147"/>
      <c r="GZH201" s="147"/>
      <c r="GZI201" s="147"/>
      <c r="GZJ201" s="147"/>
      <c r="GZK201" s="147"/>
      <c r="GZL201" s="147"/>
      <c r="GZM201" s="147"/>
      <c r="GZN201" s="147"/>
      <c r="GZO201" s="147"/>
      <c r="GZP201" s="147"/>
      <c r="GZQ201" s="147"/>
      <c r="GZR201" s="147"/>
      <c r="GZS201" s="147"/>
      <c r="GZT201" s="147"/>
      <c r="GZU201" s="147"/>
      <c r="GZV201" s="147"/>
      <c r="GZW201" s="147"/>
      <c r="GZX201" s="147"/>
      <c r="GZY201" s="147"/>
      <c r="GZZ201" s="147"/>
      <c r="HAA201" s="147"/>
      <c r="HAB201" s="147"/>
      <c r="HAC201" s="147"/>
      <c r="HAD201" s="147"/>
      <c r="HAE201" s="147"/>
      <c r="HAF201" s="147"/>
      <c r="HAG201" s="147"/>
      <c r="HAH201" s="147"/>
      <c r="HAI201" s="147"/>
      <c r="HAJ201" s="147"/>
      <c r="HAK201" s="147"/>
      <c r="HAL201" s="147"/>
      <c r="HAM201" s="147"/>
      <c r="HAN201" s="147"/>
      <c r="HAO201" s="147"/>
      <c r="HAP201" s="147"/>
      <c r="HAQ201" s="147"/>
      <c r="HAR201" s="147"/>
      <c r="HAS201" s="147"/>
      <c r="HAT201" s="147"/>
      <c r="HAU201" s="147"/>
      <c r="HAV201" s="147"/>
      <c r="HAW201" s="147"/>
      <c r="HAX201" s="147"/>
      <c r="HAY201" s="147"/>
      <c r="HAZ201" s="147"/>
      <c r="HBA201" s="147"/>
      <c r="HBB201" s="147"/>
      <c r="HBC201" s="147"/>
      <c r="HBD201" s="147"/>
      <c r="HBE201" s="147"/>
      <c r="HBF201" s="147"/>
      <c r="HBG201" s="147"/>
      <c r="HBH201" s="147"/>
      <c r="HBI201" s="147"/>
      <c r="HBJ201" s="147"/>
      <c r="HBK201" s="147"/>
      <c r="HBL201" s="147"/>
      <c r="HBM201" s="147"/>
      <c r="HBN201" s="147"/>
      <c r="HBO201" s="147"/>
      <c r="HBP201" s="147"/>
      <c r="HBQ201" s="147"/>
      <c r="HBR201" s="147"/>
      <c r="HBS201" s="147"/>
      <c r="HBT201" s="147"/>
      <c r="HBU201" s="147"/>
      <c r="HBV201" s="147"/>
      <c r="HBW201" s="147"/>
      <c r="HBX201" s="147"/>
      <c r="HBY201" s="147"/>
      <c r="HBZ201" s="147"/>
      <c r="HCA201" s="147"/>
      <c r="HCB201" s="147"/>
      <c r="HCC201" s="147"/>
      <c r="HCD201" s="147"/>
      <c r="HCE201" s="147"/>
      <c r="HCF201" s="147"/>
      <c r="HCG201" s="147"/>
      <c r="HCH201" s="147"/>
      <c r="HCI201" s="147"/>
      <c r="HCJ201" s="147"/>
      <c r="HCK201" s="147"/>
      <c r="HCL201" s="147"/>
      <c r="HCM201" s="147"/>
      <c r="HCN201" s="147"/>
      <c r="HCO201" s="147"/>
      <c r="HCP201" s="147"/>
      <c r="HCQ201" s="147"/>
      <c r="HCR201" s="147"/>
      <c r="HCS201" s="147"/>
      <c r="HCT201" s="147"/>
      <c r="HCU201" s="147"/>
      <c r="HCV201" s="147"/>
      <c r="HCW201" s="147"/>
      <c r="HCX201" s="147"/>
      <c r="HCY201" s="147"/>
      <c r="HCZ201" s="147"/>
      <c r="HDA201" s="147"/>
      <c r="HDB201" s="147"/>
      <c r="HDC201" s="147"/>
      <c r="HDD201" s="147"/>
      <c r="HDE201" s="147"/>
      <c r="HDF201" s="147"/>
      <c r="HDG201" s="147"/>
      <c r="HDH201" s="147"/>
      <c r="HDI201" s="147"/>
      <c r="HDJ201" s="147"/>
      <c r="HDK201" s="147"/>
      <c r="HDL201" s="147"/>
      <c r="HDM201" s="147"/>
      <c r="HDN201" s="147"/>
      <c r="HDO201" s="147"/>
      <c r="HDP201" s="147"/>
      <c r="HDQ201" s="147"/>
      <c r="HDR201" s="147"/>
      <c r="HDS201" s="147"/>
      <c r="HDT201" s="147"/>
      <c r="HDU201" s="147"/>
      <c r="HDV201" s="147"/>
      <c r="HDW201" s="147"/>
      <c r="HDX201" s="147"/>
      <c r="HDY201" s="147"/>
      <c r="HDZ201" s="147"/>
      <c r="HEA201" s="147"/>
      <c r="HEB201" s="147"/>
      <c r="HEC201" s="147"/>
      <c r="HED201" s="147"/>
      <c r="HEE201" s="147"/>
      <c r="HEF201" s="147"/>
      <c r="HEG201" s="147"/>
      <c r="HEH201" s="147"/>
      <c r="HEI201" s="147"/>
      <c r="HEJ201" s="147"/>
      <c r="HEK201" s="147"/>
      <c r="HEL201" s="147"/>
      <c r="HEM201" s="147"/>
      <c r="HEN201" s="147"/>
      <c r="HEO201" s="147"/>
      <c r="HEP201" s="147"/>
      <c r="HEQ201" s="147"/>
      <c r="HER201" s="147"/>
      <c r="HES201" s="147"/>
      <c r="HET201" s="147"/>
      <c r="HEU201" s="147"/>
      <c r="HEV201" s="147"/>
      <c r="HEW201" s="147"/>
      <c r="HEX201" s="147"/>
      <c r="HEY201" s="147"/>
      <c r="HEZ201" s="147"/>
      <c r="HFA201" s="147"/>
      <c r="HFB201" s="147"/>
      <c r="HFC201" s="147"/>
      <c r="HFD201" s="147"/>
      <c r="HFE201" s="147"/>
      <c r="HFF201" s="147"/>
      <c r="HFG201" s="147"/>
      <c r="HFH201" s="147"/>
      <c r="HFI201" s="147"/>
      <c r="HFJ201" s="147"/>
      <c r="HFK201" s="147"/>
      <c r="HFL201" s="147"/>
      <c r="HFM201" s="147"/>
      <c r="HFN201" s="147"/>
      <c r="HFO201" s="147"/>
      <c r="HFP201" s="147"/>
      <c r="HFQ201" s="147"/>
      <c r="HFR201" s="147"/>
      <c r="HFS201" s="147"/>
      <c r="HFT201" s="147"/>
      <c r="HFU201" s="147"/>
      <c r="HFV201" s="147"/>
      <c r="HFW201" s="147"/>
      <c r="HFX201" s="147"/>
      <c r="HFY201" s="147"/>
      <c r="HFZ201" s="147"/>
      <c r="HGA201" s="147"/>
      <c r="HGB201" s="147"/>
      <c r="HGC201" s="147"/>
      <c r="HGD201" s="147"/>
      <c r="HGE201" s="147"/>
      <c r="HGF201" s="147"/>
      <c r="HGG201" s="147"/>
      <c r="HGH201" s="147"/>
      <c r="HGI201" s="147"/>
      <c r="HGJ201" s="147"/>
      <c r="HGK201" s="147"/>
      <c r="HGL201" s="147"/>
      <c r="HGM201" s="147"/>
      <c r="HGN201" s="147"/>
      <c r="HGO201" s="147"/>
      <c r="HGP201" s="147"/>
      <c r="HGQ201" s="147"/>
      <c r="HGR201" s="147"/>
      <c r="HGS201" s="147"/>
      <c r="HGT201" s="147"/>
      <c r="HGU201" s="147"/>
      <c r="HGV201" s="147"/>
      <c r="HGW201" s="147"/>
      <c r="HGX201" s="147"/>
      <c r="HGY201" s="147"/>
      <c r="HGZ201" s="147"/>
      <c r="HHA201" s="147"/>
      <c r="HHB201" s="147"/>
      <c r="HHC201" s="147"/>
      <c r="HHD201" s="147"/>
      <c r="HHE201" s="147"/>
      <c r="HHF201" s="147"/>
      <c r="HHG201" s="147"/>
      <c r="HHH201" s="147"/>
      <c r="HHI201" s="147"/>
      <c r="HHJ201" s="147"/>
      <c r="HHK201" s="147"/>
      <c r="HHL201" s="147"/>
      <c r="HHM201" s="147"/>
      <c r="HHN201" s="147"/>
      <c r="HHO201" s="147"/>
      <c r="HHP201" s="147"/>
      <c r="HHQ201" s="147"/>
      <c r="HHR201" s="147"/>
      <c r="HHS201" s="147"/>
      <c r="HHT201" s="147"/>
      <c r="HHU201" s="147"/>
      <c r="HHV201" s="147"/>
      <c r="HHW201" s="147"/>
      <c r="HHX201" s="147"/>
      <c r="HHY201" s="147"/>
      <c r="HHZ201" s="147"/>
      <c r="HIA201" s="147"/>
      <c r="HIB201" s="147"/>
      <c r="HIC201" s="147"/>
      <c r="HID201" s="147"/>
      <c r="HIE201" s="147"/>
      <c r="HIF201" s="147"/>
      <c r="HIG201" s="147"/>
      <c r="HIH201" s="147"/>
      <c r="HII201" s="147"/>
      <c r="HIJ201" s="147"/>
      <c r="HIK201" s="147"/>
      <c r="HIL201" s="147"/>
      <c r="HIM201" s="147"/>
      <c r="HIN201" s="147"/>
      <c r="HIO201" s="147"/>
      <c r="HIP201" s="147"/>
      <c r="HIQ201" s="147"/>
      <c r="HIR201" s="147"/>
      <c r="HIS201" s="147"/>
      <c r="HIT201" s="147"/>
      <c r="HIU201" s="147"/>
      <c r="HIV201" s="147"/>
      <c r="HIW201" s="147"/>
      <c r="HIX201" s="147"/>
      <c r="HIY201" s="147"/>
      <c r="HIZ201" s="147"/>
      <c r="HJA201" s="147"/>
      <c r="HJB201" s="147"/>
      <c r="HJC201" s="147"/>
      <c r="HJD201" s="147"/>
      <c r="HJE201" s="147"/>
      <c r="HJF201" s="147"/>
      <c r="HJG201" s="147"/>
      <c r="HJH201" s="147"/>
      <c r="HJI201" s="147"/>
      <c r="HJJ201" s="147"/>
      <c r="HJK201" s="147"/>
      <c r="HJL201" s="147"/>
      <c r="HJM201" s="147"/>
      <c r="HJN201" s="147"/>
      <c r="HJO201" s="147"/>
      <c r="HJP201" s="147"/>
      <c r="HJQ201" s="147"/>
      <c r="HJR201" s="147"/>
      <c r="HJS201" s="147"/>
      <c r="HJT201" s="147"/>
      <c r="HJU201" s="147"/>
      <c r="HJV201" s="147"/>
      <c r="HJW201" s="147"/>
      <c r="HJX201" s="147"/>
      <c r="HJY201" s="147"/>
      <c r="HJZ201" s="147"/>
      <c r="HKA201" s="147"/>
      <c r="HKB201" s="147"/>
      <c r="HKC201" s="147"/>
      <c r="HKD201" s="147"/>
      <c r="HKE201" s="147"/>
      <c r="HKF201" s="147"/>
      <c r="HKG201" s="147"/>
      <c r="HKH201" s="147"/>
      <c r="HKI201" s="147"/>
      <c r="HKJ201" s="147"/>
      <c r="HKK201" s="147"/>
      <c r="HKL201" s="147"/>
      <c r="HKM201" s="147"/>
      <c r="HKN201" s="147"/>
      <c r="HKO201" s="147"/>
      <c r="HKP201" s="147"/>
      <c r="HKQ201" s="147"/>
      <c r="HKR201" s="147"/>
      <c r="HKS201" s="147"/>
      <c r="HKT201" s="147"/>
      <c r="HKU201" s="147"/>
      <c r="HKV201" s="147"/>
      <c r="HKW201" s="147"/>
      <c r="HKX201" s="147"/>
      <c r="HKY201" s="147"/>
      <c r="HKZ201" s="147"/>
      <c r="HLA201" s="147"/>
      <c r="HLB201" s="147"/>
      <c r="HLC201" s="147"/>
      <c r="HLD201" s="147"/>
      <c r="HLE201" s="147"/>
      <c r="HLF201" s="147"/>
      <c r="HLG201" s="147"/>
      <c r="HLH201" s="147"/>
      <c r="HLI201" s="147"/>
      <c r="HLJ201" s="147"/>
      <c r="HLK201" s="147"/>
      <c r="HLL201" s="147"/>
      <c r="HLM201" s="147"/>
      <c r="HLN201" s="147"/>
      <c r="HLO201" s="147"/>
      <c r="HLP201" s="147"/>
      <c r="HLQ201" s="147"/>
      <c r="HLR201" s="147"/>
      <c r="HLS201" s="147"/>
      <c r="HLT201" s="147"/>
      <c r="HLU201" s="147"/>
      <c r="HLV201" s="147"/>
      <c r="HLW201" s="147"/>
      <c r="HLX201" s="147"/>
      <c r="HLY201" s="147"/>
      <c r="HLZ201" s="147"/>
      <c r="HMA201" s="147"/>
      <c r="HMB201" s="147"/>
      <c r="HMC201" s="147"/>
      <c r="HMD201" s="147"/>
      <c r="HME201" s="147"/>
      <c r="HMF201" s="147"/>
      <c r="HMG201" s="147"/>
      <c r="HMH201" s="147"/>
      <c r="HMI201" s="147"/>
      <c r="HMJ201" s="147"/>
      <c r="HMK201" s="147"/>
      <c r="HML201" s="147"/>
      <c r="HMM201" s="147"/>
      <c r="HMN201" s="147"/>
      <c r="HMO201" s="147"/>
      <c r="HMP201" s="147"/>
      <c r="HMQ201" s="147"/>
      <c r="HMR201" s="147"/>
      <c r="HMS201" s="147"/>
      <c r="HMT201" s="147"/>
      <c r="HMU201" s="147"/>
      <c r="HMV201" s="147"/>
      <c r="HMW201" s="147"/>
      <c r="HMX201" s="147"/>
      <c r="HMY201" s="147"/>
      <c r="HMZ201" s="147"/>
      <c r="HNA201" s="147"/>
      <c r="HNB201" s="147"/>
      <c r="HNC201" s="147"/>
      <c r="HND201" s="147"/>
      <c r="HNE201" s="147"/>
      <c r="HNF201" s="147"/>
      <c r="HNG201" s="147"/>
      <c r="HNH201" s="147"/>
      <c r="HNI201" s="147"/>
      <c r="HNJ201" s="147"/>
      <c r="HNK201" s="147"/>
      <c r="HNL201" s="147"/>
      <c r="HNM201" s="147"/>
      <c r="HNN201" s="147"/>
      <c r="HNO201" s="147"/>
      <c r="HNP201" s="147"/>
      <c r="HNQ201" s="147"/>
      <c r="HNR201" s="147"/>
      <c r="HNS201" s="147"/>
      <c r="HNT201" s="147"/>
      <c r="HNU201" s="147"/>
      <c r="HNV201" s="147"/>
      <c r="HNW201" s="147"/>
      <c r="HNX201" s="147"/>
      <c r="HNY201" s="147"/>
      <c r="HNZ201" s="147"/>
      <c r="HOA201" s="147"/>
      <c r="HOB201" s="147"/>
      <c r="HOC201" s="147"/>
      <c r="HOD201" s="147"/>
      <c r="HOE201" s="147"/>
      <c r="HOF201" s="147"/>
      <c r="HOG201" s="147"/>
      <c r="HOH201" s="147"/>
      <c r="HOI201" s="147"/>
      <c r="HOJ201" s="147"/>
      <c r="HOK201" s="147"/>
      <c r="HOL201" s="147"/>
      <c r="HOM201" s="147"/>
      <c r="HON201" s="147"/>
      <c r="HOO201" s="147"/>
      <c r="HOP201" s="147"/>
      <c r="HOQ201" s="147"/>
      <c r="HOR201" s="147"/>
      <c r="HOS201" s="147"/>
      <c r="HOT201" s="147"/>
      <c r="HOU201" s="147"/>
      <c r="HOV201" s="147"/>
      <c r="HOW201" s="147"/>
      <c r="HOX201" s="147"/>
      <c r="HOY201" s="147"/>
      <c r="HOZ201" s="147"/>
      <c r="HPA201" s="147"/>
      <c r="HPB201" s="147"/>
      <c r="HPC201" s="147"/>
      <c r="HPD201" s="147"/>
      <c r="HPE201" s="147"/>
      <c r="HPF201" s="147"/>
      <c r="HPG201" s="147"/>
      <c r="HPH201" s="147"/>
      <c r="HPI201" s="147"/>
      <c r="HPJ201" s="147"/>
      <c r="HPK201" s="147"/>
      <c r="HPL201" s="147"/>
      <c r="HPM201" s="147"/>
      <c r="HPN201" s="147"/>
      <c r="HPO201" s="147"/>
      <c r="HPP201" s="147"/>
      <c r="HPQ201" s="147"/>
      <c r="HPR201" s="147"/>
      <c r="HPS201" s="147"/>
      <c r="HPT201" s="147"/>
      <c r="HPU201" s="147"/>
      <c r="HPV201" s="147"/>
      <c r="HPW201" s="147"/>
      <c r="HPX201" s="147"/>
      <c r="HPY201" s="147"/>
      <c r="HPZ201" s="147"/>
      <c r="HQA201" s="147"/>
      <c r="HQB201" s="147"/>
      <c r="HQC201" s="147"/>
      <c r="HQD201" s="147"/>
      <c r="HQE201" s="147"/>
      <c r="HQF201" s="147"/>
      <c r="HQG201" s="147"/>
      <c r="HQH201" s="147"/>
      <c r="HQI201" s="147"/>
      <c r="HQJ201" s="147"/>
      <c r="HQK201" s="147"/>
      <c r="HQL201" s="147"/>
      <c r="HQM201" s="147"/>
      <c r="HQN201" s="147"/>
      <c r="HQO201" s="147"/>
      <c r="HQP201" s="147"/>
      <c r="HQQ201" s="147"/>
      <c r="HQR201" s="147"/>
      <c r="HQS201" s="147"/>
      <c r="HQT201" s="147"/>
      <c r="HQU201" s="147"/>
      <c r="HQV201" s="147"/>
      <c r="HQW201" s="147"/>
      <c r="HQX201" s="147"/>
      <c r="HQY201" s="147"/>
      <c r="HQZ201" s="147"/>
      <c r="HRA201" s="147"/>
      <c r="HRB201" s="147"/>
      <c r="HRC201" s="147"/>
      <c r="HRD201" s="147"/>
      <c r="HRE201" s="147"/>
      <c r="HRF201" s="147"/>
      <c r="HRG201" s="147"/>
      <c r="HRH201" s="147"/>
      <c r="HRI201" s="147"/>
      <c r="HRJ201" s="147"/>
      <c r="HRK201" s="147"/>
      <c r="HRL201" s="147"/>
      <c r="HRM201" s="147"/>
      <c r="HRN201" s="147"/>
      <c r="HRO201" s="147"/>
      <c r="HRP201" s="147"/>
      <c r="HRQ201" s="147"/>
      <c r="HRR201" s="147"/>
      <c r="HRS201" s="147"/>
      <c r="HRT201" s="147"/>
      <c r="HRU201" s="147"/>
      <c r="HRV201" s="147"/>
      <c r="HRW201" s="147"/>
      <c r="HRX201" s="147"/>
      <c r="HRY201" s="147"/>
      <c r="HRZ201" s="147"/>
      <c r="HSA201" s="147"/>
      <c r="HSB201" s="147"/>
      <c r="HSC201" s="147"/>
      <c r="HSD201" s="147"/>
      <c r="HSE201" s="147"/>
      <c r="HSF201" s="147"/>
      <c r="HSG201" s="147"/>
      <c r="HSH201" s="147"/>
      <c r="HSI201" s="147"/>
      <c r="HSJ201" s="147"/>
      <c r="HSK201" s="147"/>
      <c r="HSL201" s="147"/>
      <c r="HSM201" s="147"/>
      <c r="HSN201" s="147"/>
      <c r="HSO201" s="147"/>
      <c r="HSP201" s="147"/>
      <c r="HSQ201" s="147"/>
      <c r="HSR201" s="147"/>
      <c r="HSS201" s="147"/>
      <c r="HST201" s="147"/>
      <c r="HSU201" s="147"/>
      <c r="HSV201" s="147"/>
      <c r="HSW201" s="147"/>
      <c r="HSX201" s="147"/>
      <c r="HSY201" s="147"/>
      <c r="HSZ201" s="147"/>
      <c r="HTA201" s="147"/>
      <c r="HTB201" s="147"/>
      <c r="HTC201" s="147"/>
      <c r="HTD201" s="147"/>
      <c r="HTE201" s="147"/>
      <c r="HTF201" s="147"/>
      <c r="HTG201" s="147"/>
      <c r="HTH201" s="147"/>
      <c r="HTI201" s="147"/>
      <c r="HTJ201" s="147"/>
      <c r="HTK201" s="147"/>
      <c r="HTL201" s="147"/>
      <c r="HTM201" s="147"/>
      <c r="HTN201" s="147"/>
      <c r="HTO201" s="147"/>
      <c r="HTP201" s="147"/>
      <c r="HTQ201" s="147"/>
      <c r="HTR201" s="147"/>
      <c r="HTS201" s="147"/>
      <c r="HTT201" s="147"/>
      <c r="HTU201" s="147"/>
      <c r="HTV201" s="147"/>
      <c r="HTW201" s="147"/>
      <c r="HTX201" s="147"/>
      <c r="HTY201" s="147"/>
      <c r="HTZ201" s="147"/>
      <c r="HUA201" s="147"/>
      <c r="HUB201" s="147"/>
      <c r="HUC201" s="147"/>
      <c r="HUD201" s="147"/>
      <c r="HUE201" s="147"/>
      <c r="HUF201" s="147"/>
      <c r="HUG201" s="147"/>
      <c r="HUH201" s="147"/>
      <c r="HUI201" s="147"/>
      <c r="HUJ201" s="147"/>
      <c r="HUK201" s="147"/>
      <c r="HUL201" s="147"/>
      <c r="HUM201" s="147"/>
      <c r="HUN201" s="147"/>
      <c r="HUO201" s="147"/>
      <c r="HUP201" s="147"/>
      <c r="HUQ201" s="147"/>
      <c r="HUR201" s="147"/>
      <c r="HUS201" s="147"/>
      <c r="HUT201" s="147"/>
      <c r="HUU201" s="147"/>
      <c r="HUV201" s="147"/>
      <c r="HUW201" s="147"/>
      <c r="HUX201" s="147"/>
      <c r="HUY201" s="147"/>
      <c r="HUZ201" s="147"/>
      <c r="HVA201" s="147"/>
      <c r="HVB201" s="147"/>
      <c r="HVC201" s="147"/>
      <c r="HVD201" s="147"/>
      <c r="HVE201" s="147"/>
      <c r="HVF201" s="147"/>
      <c r="HVG201" s="147"/>
      <c r="HVH201" s="147"/>
      <c r="HVI201" s="147"/>
      <c r="HVJ201" s="147"/>
      <c r="HVK201" s="147"/>
      <c r="HVL201" s="147"/>
      <c r="HVM201" s="147"/>
      <c r="HVN201" s="147"/>
      <c r="HVO201" s="147"/>
      <c r="HVP201" s="147"/>
      <c r="HVQ201" s="147"/>
      <c r="HVR201" s="147"/>
      <c r="HVS201" s="147"/>
      <c r="HVT201" s="147"/>
      <c r="HVU201" s="147"/>
      <c r="HVV201" s="147"/>
      <c r="HVW201" s="147"/>
      <c r="HVX201" s="147"/>
      <c r="HVY201" s="147"/>
      <c r="HVZ201" s="147"/>
      <c r="HWA201" s="147"/>
      <c r="HWB201" s="147"/>
      <c r="HWC201" s="147"/>
      <c r="HWD201" s="147"/>
      <c r="HWE201" s="147"/>
      <c r="HWF201" s="147"/>
      <c r="HWG201" s="147"/>
      <c r="HWH201" s="147"/>
      <c r="HWI201" s="147"/>
      <c r="HWJ201" s="147"/>
      <c r="HWK201" s="147"/>
      <c r="HWL201" s="147"/>
      <c r="HWM201" s="147"/>
      <c r="HWN201" s="147"/>
      <c r="HWO201" s="147"/>
      <c r="HWP201" s="147"/>
      <c r="HWQ201" s="147"/>
      <c r="HWR201" s="147"/>
      <c r="HWS201" s="147"/>
      <c r="HWT201" s="147"/>
      <c r="HWU201" s="147"/>
      <c r="HWV201" s="147"/>
      <c r="HWW201" s="147"/>
      <c r="HWX201" s="147"/>
      <c r="HWY201" s="147"/>
      <c r="HWZ201" s="147"/>
      <c r="HXA201" s="147"/>
      <c r="HXB201" s="147"/>
      <c r="HXC201" s="147"/>
      <c r="HXD201" s="147"/>
      <c r="HXE201" s="147"/>
      <c r="HXF201" s="147"/>
      <c r="HXG201" s="147"/>
      <c r="HXH201" s="147"/>
      <c r="HXI201" s="147"/>
      <c r="HXJ201" s="147"/>
      <c r="HXK201" s="147"/>
      <c r="HXL201" s="147"/>
      <c r="HXM201" s="147"/>
      <c r="HXN201" s="147"/>
      <c r="HXO201" s="147"/>
      <c r="HXP201" s="147"/>
      <c r="HXQ201" s="147"/>
      <c r="HXR201" s="147"/>
      <c r="HXS201" s="147"/>
      <c r="HXT201" s="147"/>
      <c r="HXU201" s="147"/>
      <c r="HXV201" s="147"/>
      <c r="HXW201" s="147"/>
      <c r="HXX201" s="147"/>
      <c r="HXY201" s="147"/>
      <c r="HXZ201" s="147"/>
      <c r="HYA201" s="147"/>
      <c r="HYB201" s="147"/>
      <c r="HYC201" s="147"/>
      <c r="HYD201" s="147"/>
      <c r="HYE201" s="147"/>
      <c r="HYF201" s="147"/>
      <c r="HYG201" s="147"/>
      <c r="HYH201" s="147"/>
      <c r="HYI201" s="147"/>
      <c r="HYJ201" s="147"/>
      <c r="HYK201" s="147"/>
      <c r="HYL201" s="147"/>
      <c r="HYM201" s="147"/>
      <c r="HYN201" s="147"/>
      <c r="HYO201" s="147"/>
      <c r="HYP201" s="147"/>
      <c r="HYQ201" s="147"/>
      <c r="HYR201" s="147"/>
      <c r="HYS201" s="147"/>
      <c r="HYT201" s="147"/>
      <c r="HYU201" s="147"/>
      <c r="HYV201" s="147"/>
      <c r="HYW201" s="147"/>
      <c r="HYX201" s="147"/>
      <c r="HYY201" s="147"/>
      <c r="HYZ201" s="147"/>
      <c r="HZA201" s="147"/>
      <c r="HZB201" s="147"/>
      <c r="HZC201" s="147"/>
      <c r="HZD201" s="147"/>
      <c r="HZE201" s="147"/>
      <c r="HZF201" s="147"/>
      <c r="HZG201" s="147"/>
      <c r="HZH201" s="147"/>
      <c r="HZI201" s="147"/>
      <c r="HZJ201" s="147"/>
      <c r="HZK201" s="147"/>
      <c r="HZL201" s="147"/>
      <c r="HZM201" s="147"/>
      <c r="HZN201" s="147"/>
      <c r="HZO201" s="147"/>
      <c r="HZP201" s="147"/>
      <c r="HZQ201" s="147"/>
      <c r="HZR201" s="147"/>
      <c r="HZS201" s="147"/>
      <c r="HZT201" s="147"/>
      <c r="HZU201" s="147"/>
      <c r="HZV201" s="147"/>
      <c r="HZW201" s="147"/>
      <c r="HZX201" s="147"/>
      <c r="HZY201" s="147"/>
      <c r="HZZ201" s="147"/>
      <c r="IAA201" s="147"/>
      <c r="IAB201" s="147"/>
      <c r="IAC201" s="147"/>
      <c r="IAD201" s="147"/>
      <c r="IAE201" s="147"/>
      <c r="IAF201" s="147"/>
      <c r="IAG201" s="147"/>
      <c r="IAH201" s="147"/>
      <c r="IAI201" s="147"/>
      <c r="IAJ201" s="147"/>
      <c r="IAK201" s="147"/>
      <c r="IAL201" s="147"/>
      <c r="IAM201" s="147"/>
      <c r="IAN201" s="147"/>
      <c r="IAO201" s="147"/>
      <c r="IAP201" s="147"/>
      <c r="IAQ201" s="147"/>
      <c r="IAR201" s="147"/>
      <c r="IAS201" s="147"/>
      <c r="IAT201" s="147"/>
      <c r="IAU201" s="147"/>
      <c r="IAV201" s="147"/>
      <c r="IAW201" s="147"/>
      <c r="IAX201" s="147"/>
      <c r="IAY201" s="147"/>
      <c r="IAZ201" s="147"/>
      <c r="IBA201" s="147"/>
      <c r="IBB201" s="147"/>
      <c r="IBC201" s="147"/>
      <c r="IBD201" s="147"/>
      <c r="IBE201" s="147"/>
      <c r="IBF201" s="147"/>
      <c r="IBG201" s="147"/>
      <c r="IBH201" s="147"/>
      <c r="IBI201" s="147"/>
      <c r="IBJ201" s="147"/>
      <c r="IBK201" s="147"/>
      <c r="IBL201" s="147"/>
      <c r="IBM201" s="147"/>
      <c r="IBN201" s="147"/>
      <c r="IBO201" s="147"/>
      <c r="IBP201" s="147"/>
      <c r="IBQ201" s="147"/>
      <c r="IBR201" s="147"/>
      <c r="IBS201" s="147"/>
      <c r="IBT201" s="147"/>
      <c r="IBU201" s="147"/>
      <c r="IBV201" s="147"/>
      <c r="IBW201" s="147"/>
      <c r="IBX201" s="147"/>
      <c r="IBY201" s="147"/>
      <c r="IBZ201" s="147"/>
      <c r="ICA201" s="147"/>
      <c r="ICB201" s="147"/>
      <c r="ICC201" s="147"/>
      <c r="ICD201" s="147"/>
      <c r="ICE201" s="147"/>
      <c r="ICF201" s="147"/>
      <c r="ICG201" s="147"/>
      <c r="ICH201" s="147"/>
      <c r="ICI201" s="147"/>
      <c r="ICJ201" s="147"/>
      <c r="ICK201" s="147"/>
      <c r="ICL201" s="147"/>
      <c r="ICM201" s="147"/>
      <c r="ICN201" s="147"/>
      <c r="ICO201" s="147"/>
      <c r="ICP201" s="147"/>
      <c r="ICQ201" s="147"/>
      <c r="ICR201" s="147"/>
      <c r="ICS201" s="147"/>
      <c r="ICT201" s="147"/>
      <c r="ICU201" s="147"/>
      <c r="ICV201" s="147"/>
      <c r="ICW201" s="147"/>
      <c r="ICX201" s="147"/>
      <c r="ICY201" s="147"/>
      <c r="ICZ201" s="147"/>
      <c r="IDA201" s="147"/>
      <c r="IDB201" s="147"/>
      <c r="IDC201" s="147"/>
      <c r="IDD201" s="147"/>
      <c r="IDE201" s="147"/>
      <c r="IDF201" s="147"/>
      <c r="IDG201" s="147"/>
      <c r="IDH201" s="147"/>
      <c r="IDI201" s="147"/>
      <c r="IDJ201" s="147"/>
      <c r="IDK201" s="147"/>
      <c r="IDL201" s="147"/>
      <c r="IDM201" s="147"/>
      <c r="IDN201" s="147"/>
      <c r="IDO201" s="147"/>
      <c r="IDP201" s="147"/>
      <c r="IDQ201" s="147"/>
      <c r="IDR201" s="147"/>
      <c r="IDS201" s="147"/>
      <c r="IDT201" s="147"/>
      <c r="IDU201" s="147"/>
      <c r="IDV201" s="147"/>
      <c r="IDW201" s="147"/>
      <c r="IDX201" s="147"/>
      <c r="IDY201" s="147"/>
      <c r="IDZ201" s="147"/>
      <c r="IEA201" s="147"/>
      <c r="IEB201" s="147"/>
      <c r="IEC201" s="147"/>
      <c r="IED201" s="147"/>
      <c r="IEE201" s="147"/>
      <c r="IEF201" s="147"/>
      <c r="IEG201" s="147"/>
      <c r="IEH201" s="147"/>
      <c r="IEI201" s="147"/>
      <c r="IEJ201" s="147"/>
      <c r="IEK201" s="147"/>
      <c r="IEL201" s="147"/>
      <c r="IEM201" s="147"/>
      <c r="IEN201" s="147"/>
      <c r="IEO201" s="147"/>
      <c r="IEP201" s="147"/>
      <c r="IEQ201" s="147"/>
      <c r="IER201" s="147"/>
      <c r="IES201" s="147"/>
      <c r="IET201" s="147"/>
      <c r="IEU201" s="147"/>
      <c r="IEV201" s="147"/>
      <c r="IEW201" s="147"/>
      <c r="IEX201" s="147"/>
      <c r="IEY201" s="147"/>
      <c r="IEZ201" s="147"/>
      <c r="IFA201" s="147"/>
      <c r="IFB201" s="147"/>
      <c r="IFC201" s="147"/>
      <c r="IFD201" s="147"/>
      <c r="IFE201" s="147"/>
      <c r="IFF201" s="147"/>
      <c r="IFG201" s="147"/>
      <c r="IFH201" s="147"/>
      <c r="IFI201" s="147"/>
      <c r="IFJ201" s="147"/>
      <c r="IFK201" s="147"/>
      <c r="IFL201" s="147"/>
      <c r="IFM201" s="147"/>
      <c r="IFN201" s="147"/>
      <c r="IFO201" s="147"/>
      <c r="IFP201" s="147"/>
      <c r="IFQ201" s="147"/>
      <c r="IFR201" s="147"/>
      <c r="IFS201" s="147"/>
      <c r="IFT201" s="147"/>
      <c r="IFU201" s="147"/>
      <c r="IFV201" s="147"/>
      <c r="IFW201" s="147"/>
      <c r="IFX201" s="147"/>
      <c r="IFY201" s="147"/>
      <c r="IFZ201" s="147"/>
      <c r="IGA201" s="147"/>
      <c r="IGB201" s="147"/>
      <c r="IGC201" s="147"/>
      <c r="IGD201" s="147"/>
      <c r="IGE201" s="147"/>
      <c r="IGF201" s="147"/>
      <c r="IGG201" s="147"/>
      <c r="IGH201" s="147"/>
      <c r="IGI201" s="147"/>
      <c r="IGJ201" s="147"/>
      <c r="IGK201" s="147"/>
      <c r="IGL201" s="147"/>
      <c r="IGM201" s="147"/>
      <c r="IGN201" s="147"/>
      <c r="IGO201" s="147"/>
      <c r="IGP201" s="147"/>
      <c r="IGQ201" s="147"/>
      <c r="IGR201" s="147"/>
      <c r="IGS201" s="147"/>
      <c r="IGT201" s="147"/>
      <c r="IGU201" s="147"/>
      <c r="IGV201" s="147"/>
      <c r="IGW201" s="147"/>
      <c r="IGX201" s="147"/>
      <c r="IGY201" s="147"/>
      <c r="IGZ201" s="147"/>
      <c r="IHA201" s="147"/>
      <c r="IHB201" s="147"/>
      <c r="IHC201" s="147"/>
      <c r="IHD201" s="147"/>
      <c r="IHE201" s="147"/>
      <c r="IHF201" s="147"/>
      <c r="IHG201" s="147"/>
      <c r="IHH201" s="147"/>
      <c r="IHI201" s="147"/>
      <c r="IHJ201" s="147"/>
      <c r="IHK201" s="147"/>
      <c r="IHL201" s="147"/>
      <c r="IHM201" s="147"/>
      <c r="IHN201" s="147"/>
      <c r="IHO201" s="147"/>
      <c r="IHP201" s="147"/>
      <c r="IHQ201" s="147"/>
      <c r="IHR201" s="147"/>
      <c r="IHS201" s="147"/>
      <c r="IHT201" s="147"/>
      <c r="IHU201" s="147"/>
      <c r="IHV201" s="147"/>
      <c r="IHW201" s="147"/>
      <c r="IHX201" s="147"/>
      <c r="IHY201" s="147"/>
      <c r="IHZ201" s="147"/>
      <c r="IIA201" s="147"/>
      <c r="IIB201" s="147"/>
      <c r="IIC201" s="147"/>
      <c r="IID201" s="147"/>
      <c r="IIE201" s="147"/>
      <c r="IIF201" s="147"/>
      <c r="IIG201" s="147"/>
      <c r="IIH201" s="147"/>
      <c r="III201" s="147"/>
      <c r="IIJ201" s="147"/>
      <c r="IIK201" s="147"/>
      <c r="IIL201" s="147"/>
      <c r="IIM201" s="147"/>
      <c r="IIN201" s="147"/>
      <c r="IIO201" s="147"/>
      <c r="IIP201" s="147"/>
      <c r="IIQ201" s="147"/>
      <c r="IIR201" s="147"/>
      <c r="IIS201" s="147"/>
      <c r="IIT201" s="147"/>
      <c r="IIU201" s="147"/>
      <c r="IIV201" s="147"/>
      <c r="IIW201" s="147"/>
      <c r="IIX201" s="147"/>
      <c r="IIY201" s="147"/>
      <c r="IIZ201" s="147"/>
      <c r="IJA201" s="147"/>
      <c r="IJB201" s="147"/>
      <c r="IJC201" s="147"/>
      <c r="IJD201" s="147"/>
      <c r="IJE201" s="147"/>
      <c r="IJF201" s="147"/>
      <c r="IJG201" s="147"/>
      <c r="IJH201" s="147"/>
      <c r="IJI201" s="147"/>
      <c r="IJJ201" s="147"/>
      <c r="IJK201" s="147"/>
      <c r="IJL201" s="147"/>
      <c r="IJM201" s="147"/>
      <c r="IJN201" s="147"/>
      <c r="IJO201" s="147"/>
      <c r="IJP201" s="147"/>
      <c r="IJQ201" s="147"/>
      <c r="IJR201" s="147"/>
      <c r="IJS201" s="147"/>
      <c r="IJT201" s="147"/>
      <c r="IJU201" s="147"/>
      <c r="IJV201" s="147"/>
      <c r="IJW201" s="147"/>
      <c r="IJX201" s="147"/>
      <c r="IJY201" s="147"/>
      <c r="IJZ201" s="147"/>
      <c r="IKA201" s="147"/>
      <c r="IKB201" s="147"/>
      <c r="IKC201" s="147"/>
      <c r="IKD201" s="147"/>
      <c r="IKE201" s="147"/>
      <c r="IKF201" s="147"/>
      <c r="IKG201" s="147"/>
      <c r="IKH201" s="147"/>
      <c r="IKI201" s="147"/>
      <c r="IKJ201" s="147"/>
      <c r="IKK201" s="147"/>
      <c r="IKL201" s="147"/>
      <c r="IKM201" s="147"/>
      <c r="IKN201" s="147"/>
      <c r="IKO201" s="147"/>
      <c r="IKP201" s="147"/>
      <c r="IKQ201" s="147"/>
      <c r="IKR201" s="147"/>
      <c r="IKS201" s="147"/>
      <c r="IKT201" s="147"/>
      <c r="IKU201" s="147"/>
      <c r="IKV201" s="147"/>
      <c r="IKW201" s="147"/>
      <c r="IKX201" s="147"/>
      <c r="IKY201" s="147"/>
      <c r="IKZ201" s="147"/>
      <c r="ILA201" s="147"/>
      <c r="ILB201" s="147"/>
      <c r="ILC201" s="147"/>
      <c r="ILD201" s="147"/>
      <c r="ILE201" s="147"/>
      <c r="ILF201" s="147"/>
      <c r="ILG201" s="147"/>
      <c r="ILH201" s="147"/>
      <c r="ILI201" s="147"/>
      <c r="ILJ201" s="147"/>
      <c r="ILK201" s="147"/>
      <c r="ILL201" s="147"/>
      <c r="ILM201" s="147"/>
      <c r="ILN201" s="147"/>
      <c r="ILO201" s="147"/>
      <c r="ILP201" s="147"/>
      <c r="ILQ201" s="147"/>
      <c r="ILR201" s="147"/>
      <c r="ILS201" s="147"/>
      <c r="ILT201" s="147"/>
      <c r="ILU201" s="147"/>
      <c r="ILV201" s="147"/>
      <c r="ILW201" s="147"/>
      <c r="ILX201" s="147"/>
      <c r="ILY201" s="147"/>
      <c r="ILZ201" s="147"/>
      <c r="IMA201" s="147"/>
      <c r="IMB201" s="147"/>
      <c r="IMC201" s="147"/>
      <c r="IMD201" s="147"/>
      <c r="IME201" s="147"/>
      <c r="IMF201" s="147"/>
      <c r="IMG201" s="147"/>
      <c r="IMH201" s="147"/>
      <c r="IMI201" s="147"/>
      <c r="IMJ201" s="147"/>
      <c r="IMK201" s="147"/>
      <c r="IML201" s="147"/>
      <c r="IMM201" s="147"/>
      <c r="IMN201" s="147"/>
      <c r="IMO201" s="147"/>
      <c r="IMP201" s="147"/>
      <c r="IMQ201" s="147"/>
      <c r="IMR201" s="147"/>
      <c r="IMS201" s="147"/>
      <c r="IMT201" s="147"/>
      <c r="IMU201" s="147"/>
      <c r="IMV201" s="147"/>
      <c r="IMW201" s="147"/>
      <c r="IMX201" s="147"/>
      <c r="IMY201" s="147"/>
      <c r="IMZ201" s="147"/>
      <c r="INA201" s="147"/>
      <c r="INB201" s="147"/>
      <c r="INC201" s="147"/>
      <c r="IND201" s="147"/>
      <c r="INE201" s="147"/>
      <c r="INF201" s="147"/>
      <c r="ING201" s="147"/>
      <c r="INH201" s="147"/>
      <c r="INI201" s="147"/>
      <c r="INJ201" s="147"/>
      <c r="INK201" s="147"/>
      <c r="INL201" s="147"/>
      <c r="INM201" s="147"/>
      <c r="INN201" s="147"/>
      <c r="INO201" s="147"/>
      <c r="INP201" s="147"/>
      <c r="INQ201" s="147"/>
      <c r="INR201" s="147"/>
      <c r="INS201" s="147"/>
      <c r="INT201" s="147"/>
      <c r="INU201" s="147"/>
      <c r="INV201" s="147"/>
      <c r="INW201" s="147"/>
      <c r="INX201" s="147"/>
      <c r="INY201" s="147"/>
      <c r="INZ201" s="147"/>
      <c r="IOA201" s="147"/>
      <c r="IOB201" s="147"/>
      <c r="IOC201" s="147"/>
      <c r="IOD201" s="147"/>
      <c r="IOE201" s="147"/>
      <c r="IOF201" s="147"/>
      <c r="IOG201" s="147"/>
      <c r="IOH201" s="147"/>
      <c r="IOI201" s="147"/>
      <c r="IOJ201" s="147"/>
      <c r="IOK201" s="147"/>
      <c r="IOL201" s="147"/>
      <c r="IOM201" s="147"/>
      <c r="ION201" s="147"/>
      <c r="IOO201" s="147"/>
      <c r="IOP201" s="147"/>
      <c r="IOQ201" s="147"/>
      <c r="IOR201" s="147"/>
      <c r="IOS201" s="147"/>
      <c r="IOT201" s="147"/>
      <c r="IOU201" s="147"/>
      <c r="IOV201" s="147"/>
      <c r="IOW201" s="147"/>
      <c r="IOX201" s="147"/>
      <c r="IOY201" s="147"/>
      <c r="IOZ201" s="147"/>
      <c r="IPA201" s="147"/>
      <c r="IPB201" s="147"/>
      <c r="IPC201" s="147"/>
      <c r="IPD201" s="147"/>
      <c r="IPE201" s="147"/>
      <c r="IPF201" s="147"/>
      <c r="IPG201" s="147"/>
      <c r="IPH201" s="147"/>
      <c r="IPI201" s="147"/>
      <c r="IPJ201" s="147"/>
      <c r="IPK201" s="147"/>
      <c r="IPL201" s="147"/>
      <c r="IPM201" s="147"/>
      <c r="IPN201" s="147"/>
      <c r="IPO201" s="147"/>
      <c r="IPP201" s="147"/>
      <c r="IPQ201" s="147"/>
      <c r="IPR201" s="147"/>
      <c r="IPS201" s="147"/>
      <c r="IPT201" s="147"/>
      <c r="IPU201" s="147"/>
      <c r="IPV201" s="147"/>
      <c r="IPW201" s="147"/>
      <c r="IPX201" s="147"/>
      <c r="IPY201" s="147"/>
      <c r="IPZ201" s="147"/>
      <c r="IQA201" s="147"/>
      <c r="IQB201" s="147"/>
      <c r="IQC201" s="147"/>
      <c r="IQD201" s="147"/>
      <c r="IQE201" s="147"/>
      <c r="IQF201" s="147"/>
      <c r="IQG201" s="147"/>
      <c r="IQH201" s="147"/>
      <c r="IQI201" s="147"/>
      <c r="IQJ201" s="147"/>
      <c r="IQK201" s="147"/>
      <c r="IQL201" s="147"/>
      <c r="IQM201" s="147"/>
      <c r="IQN201" s="147"/>
      <c r="IQO201" s="147"/>
      <c r="IQP201" s="147"/>
      <c r="IQQ201" s="147"/>
      <c r="IQR201" s="147"/>
      <c r="IQS201" s="147"/>
      <c r="IQT201" s="147"/>
      <c r="IQU201" s="147"/>
      <c r="IQV201" s="147"/>
      <c r="IQW201" s="147"/>
      <c r="IQX201" s="147"/>
      <c r="IQY201" s="147"/>
      <c r="IQZ201" s="147"/>
      <c r="IRA201" s="147"/>
      <c r="IRB201" s="147"/>
      <c r="IRC201" s="147"/>
      <c r="IRD201" s="147"/>
      <c r="IRE201" s="147"/>
      <c r="IRF201" s="147"/>
      <c r="IRG201" s="147"/>
      <c r="IRH201" s="147"/>
      <c r="IRI201" s="147"/>
      <c r="IRJ201" s="147"/>
      <c r="IRK201" s="147"/>
      <c r="IRL201" s="147"/>
      <c r="IRM201" s="147"/>
      <c r="IRN201" s="147"/>
      <c r="IRO201" s="147"/>
      <c r="IRP201" s="147"/>
      <c r="IRQ201" s="147"/>
      <c r="IRR201" s="147"/>
      <c r="IRS201" s="147"/>
      <c r="IRT201" s="147"/>
      <c r="IRU201" s="147"/>
      <c r="IRV201" s="147"/>
      <c r="IRW201" s="147"/>
      <c r="IRX201" s="147"/>
      <c r="IRY201" s="147"/>
      <c r="IRZ201" s="147"/>
      <c r="ISA201" s="147"/>
      <c r="ISB201" s="147"/>
      <c r="ISC201" s="147"/>
      <c r="ISD201" s="147"/>
      <c r="ISE201" s="147"/>
      <c r="ISF201" s="147"/>
      <c r="ISG201" s="147"/>
      <c r="ISH201" s="147"/>
      <c r="ISI201" s="147"/>
      <c r="ISJ201" s="147"/>
      <c r="ISK201" s="147"/>
      <c r="ISL201" s="147"/>
      <c r="ISM201" s="147"/>
      <c r="ISN201" s="147"/>
      <c r="ISO201" s="147"/>
      <c r="ISP201" s="147"/>
      <c r="ISQ201" s="147"/>
      <c r="ISR201" s="147"/>
      <c r="ISS201" s="147"/>
      <c r="IST201" s="147"/>
      <c r="ISU201" s="147"/>
      <c r="ISV201" s="147"/>
      <c r="ISW201" s="147"/>
      <c r="ISX201" s="147"/>
      <c r="ISY201" s="147"/>
      <c r="ISZ201" s="147"/>
      <c r="ITA201" s="147"/>
      <c r="ITB201" s="147"/>
      <c r="ITC201" s="147"/>
      <c r="ITD201" s="147"/>
      <c r="ITE201" s="147"/>
      <c r="ITF201" s="147"/>
      <c r="ITG201" s="147"/>
      <c r="ITH201" s="147"/>
      <c r="ITI201" s="147"/>
      <c r="ITJ201" s="147"/>
      <c r="ITK201" s="147"/>
      <c r="ITL201" s="147"/>
      <c r="ITM201" s="147"/>
      <c r="ITN201" s="147"/>
      <c r="ITO201" s="147"/>
      <c r="ITP201" s="147"/>
      <c r="ITQ201" s="147"/>
      <c r="ITR201" s="147"/>
      <c r="ITS201" s="147"/>
      <c r="ITT201" s="147"/>
      <c r="ITU201" s="147"/>
      <c r="ITV201" s="147"/>
      <c r="ITW201" s="147"/>
      <c r="ITX201" s="147"/>
      <c r="ITY201" s="147"/>
      <c r="ITZ201" s="147"/>
      <c r="IUA201" s="147"/>
      <c r="IUB201" s="147"/>
      <c r="IUC201" s="147"/>
      <c r="IUD201" s="147"/>
      <c r="IUE201" s="147"/>
      <c r="IUF201" s="147"/>
      <c r="IUG201" s="147"/>
      <c r="IUH201" s="147"/>
      <c r="IUI201" s="147"/>
      <c r="IUJ201" s="147"/>
      <c r="IUK201" s="147"/>
      <c r="IUL201" s="147"/>
      <c r="IUM201" s="147"/>
      <c r="IUN201" s="147"/>
      <c r="IUO201" s="147"/>
      <c r="IUP201" s="147"/>
      <c r="IUQ201" s="147"/>
      <c r="IUR201" s="147"/>
      <c r="IUS201" s="147"/>
      <c r="IUT201" s="147"/>
      <c r="IUU201" s="147"/>
      <c r="IUV201" s="147"/>
      <c r="IUW201" s="147"/>
      <c r="IUX201" s="147"/>
      <c r="IUY201" s="147"/>
      <c r="IUZ201" s="147"/>
      <c r="IVA201" s="147"/>
      <c r="IVB201" s="147"/>
      <c r="IVC201" s="147"/>
      <c r="IVD201" s="147"/>
      <c r="IVE201" s="147"/>
      <c r="IVF201" s="147"/>
      <c r="IVG201" s="147"/>
      <c r="IVH201" s="147"/>
      <c r="IVI201" s="147"/>
      <c r="IVJ201" s="147"/>
      <c r="IVK201" s="147"/>
      <c r="IVL201" s="147"/>
      <c r="IVM201" s="147"/>
      <c r="IVN201" s="147"/>
      <c r="IVO201" s="147"/>
      <c r="IVP201" s="147"/>
      <c r="IVQ201" s="147"/>
      <c r="IVR201" s="147"/>
      <c r="IVS201" s="147"/>
      <c r="IVT201" s="147"/>
      <c r="IVU201" s="147"/>
      <c r="IVV201" s="147"/>
      <c r="IVW201" s="147"/>
      <c r="IVX201" s="147"/>
      <c r="IVY201" s="147"/>
      <c r="IVZ201" s="147"/>
      <c r="IWA201" s="147"/>
      <c r="IWB201" s="147"/>
      <c r="IWC201" s="147"/>
      <c r="IWD201" s="147"/>
      <c r="IWE201" s="147"/>
      <c r="IWF201" s="147"/>
      <c r="IWG201" s="147"/>
      <c r="IWH201" s="147"/>
      <c r="IWI201" s="147"/>
      <c r="IWJ201" s="147"/>
      <c r="IWK201" s="147"/>
      <c r="IWL201" s="147"/>
      <c r="IWM201" s="147"/>
      <c r="IWN201" s="147"/>
      <c r="IWO201" s="147"/>
      <c r="IWP201" s="147"/>
      <c r="IWQ201" s="147"/>
      <c r="IWR201" s="147"/>
      <c r="IWS201" s="147"/>
      <c r="IWT201" s="147"/>
      <c r="IWU201" s="147"/>
      <c r="IWV201" s="147"/>
      <c r="IWW201" s="147"/>
      <c r="IWX201" s="147"/>
      <c r="IWY201" s="147"/>
      <c r="IWZ201" s="147"/>
      <c r="IXA201" s="147"/>
      <c r="IXB201" s="147"/>
      <c r="IXC201" s="147"/>
      <c r="IXD201" s="147"/>
      <c r="IXE201" s="147"/>
      <c r="IXF201" s="147"/>
      <c r="IXG201" s="147"/>
      <c r="IXH201" s="147"/>
      <c r="IXI201" s="147"/>
      <c r="IXJ201" s="147"/>
      <c r="IXK201" s="147"/>
      <c r="IXL201" s="147"/>
      <c r="IXM201" s="147"/>
      <c r="IXN201" s="147"/>
      <c r="IXO201" s="147"/>
      <c r="IXP201" s="147"/>
      <c r="IXQ201" s="147"/>
      <c r="IXR201" s="147"/>
      <c r="IXS201" s="147"/>
      <c r="IXT201" s="147"/>
      <c r="IXU201" s="147"/>
      <c r="IXV201" s="147"/>
      <c r="IXW201" s="147"/>
      <c r="IXX201" s="147"/>
      <c r="IXY201" s="147"/>
      <c r="IXZ201" s="147"/>
      <c r="IYA201" s="147"/>
      <c r="IYB201" s="147"/>
      <c r="IYC201" s="147"/>
      <c r="IYD201" s="147"/>
      <c r="IYE201" s="147"/>
      <c r="IYF201" s="147"/>
      <c r="IYG201" s="147"/>
      <c r="IYH201" s="147"/>
      <c r="IYI201" s="147"/>
      <c r="IYJ201" s="147"/>
      <c r="IYK201" s="147"/>
      <c r="IYL201" s="147"/>
      <c r="IYM201" s="147"/>
      <c r="IYN201" s="147"/>
      <c r="IYO201" s="147"/>
      <c r="IYP201" s="147"/>
      <c r="IYQ201" s="147"/>
      <c r="IYR201" s="147"/>
      <c r="IYS201" s="147"/>
      <c r="IYT201" s="147"/>
      <c r="IYU201" s="147"/>
      <c r="IYV201" s="147"/>
      <c r="IYW201" s="147"/>
      <c r="IYX201" s="147"/>
      <c r="IYY201" s="147"/>
      <c r="IYZ201" s="147"/>
      <c r="IZA201" s="147"/>
      <c r="IZB201" s="147"/>
      <c r="IZC201" s="147"/>
      <c r="IZD201" s="147"/>
      <c r="IZE201" s="147"/>
      <c r="IZF201" s="147"/>
      <c r="IZG201" s="147"/>
      <c r="IZH201" s="147"/>
      <c r="IZI201" s="147"/>
      <c r="IZJ201" s="147"/>
      <c r="IZK201" s="147"/>
      <c r="IZL201" s="147"/>
      <c r="IZM201" s="147"/>
      <c r="IZN201" s="147"/>
      <c r="IZO201" s="147"/>
      <c r="IZP201" s="147"/>
      <c r="IZQ201" s="147"/>
      <c r="IZR201" s="147"/>
      <c r="IZS201" s="147"/>
      <c r="IZT201" s="147"/>
      <c r="IZU201" s="147"/>
      <c r="IZV201" s="147"/>
      <c r="IZW201" s="147"/>
      <c r="IZX201" s="147"/>
      <c r="IZY201" s="147"/>
      <c r="IZZ201" s="147"/>
      <c r="JAA201" s="147"/>
      <c r="JAB201" s="147"/>
      <c r="JAC201" s="147"/>
      <c r="JAD201" s="147"/>
      <c r="JAE201" s="147"/>
      <c r="JAF201" s="147"/>
      <c r="JAG201" s="147"/>
      <c r="JAH201" s="147"/>
      <c r="JAI201" s="147"/>
      <c r="JAJ201" s="147"/>
      <c r="JAK201" s="147"/>
      <c r="JAL201" s="147"/>
      <c r="JAM201" s="147"/>
      <c r="JAN201" s="147"/>
      <c r="JAO201" s="147"/>
      <c r="JAP201" s="147"/>
      <c r="JAQ201" s="147"/>
      <c r="JAR201" s="147"/>
      <c r="JAS201" s="147"/>
      <c r="JAT201" s="147"/>
      <c r="JAU201" s="147"/>
      <c r="JAV201" s="147"/>
      <c r="JAW201" s="147"/>
      <c r="JAX201" s="147"/>
      <c r="JAY201" s="147"/>
      <c r="JAZ201" s="147"/>
      <c r="JBA201" s="147"/>
      <c r="JBB201" s="147"/>
      <c r="JBC201" s="147"/>
      <c r="JBD201" s="147"/>
      <c r="JBE201" s="147"/>
      <c r="JBF201" s="147"/>
      <c r="JBG201" s="147"/>
      <c r="JBH201" s="147"/>
      <c r="JBI201" s="147"/>
      <c r="JBJ201" s="147"/>
      <c r="JBK201" s="147"/>
      <c r="JBL201" s="147"/>
      <c r="JBM201" s="147"/>
      <c r="JBN201" s="147"/>
      <c r="JBO201" s="147"/>
      <c r="JBP201" s="147"/>
      <c r="JBQ201" s="147"/>
      <c r="JBR201" s="147"/>
      <c r="JBS201" s="147"/>
      <c r="JBT201" s="147"/>
      <c r="JBU201" s="147"/>
      <c r="JBV201" s="147"/>
      <c r="JBW201" s="147"/>
      <c r="JBX201" s="147"/>
      <c r="JBY201" s="147"/>
      <c r="JBZ201" s="147"/>
      <c r="JCA201" s="147"/>
      <c r="JCB201" s="147"/>
      <c r="JCC201" s="147"/>
      <c r="JCD201" s="147"/>
      <c r="JCE201" s="147"/>
      <c r="JCF201" s="147"/>
      <c r="JCG201" s="147"/>
      <c r="JCH201" s="147"/>
      <c r="JCI201" s="147"/>
      <c r="JCJ201" s="147"/>
      <c r="JCK201" s="147"/>
      <c r="JCL201" s="147"/>
      <c r="JCM201" s="147"/>
      <c r="JCN201" s="147"/>
      <c r="JCO201" s="147"/>
      <c r="JCP201" s="147"/>
      <c r="JCQ201" s="147"/>
      <c r="JCR201" s="147"/>
      <c r="JCS201" s="147"/>
      <c r="JCT201" s="147"/>
      <c r="JCU201" s="147"/>
      <c r="JCV201" s="147"/>
      <c r="JCW201" s="147"/>
      <c r="JCX201" s="147"/>
      <c r="JCY201" s="147"/>
      <c r="JCZ201" s="147"/>
      <c r="JDA201" s="147"/>
      <c r="JDB201" s="147"/>
      <c r="JDC201" s="147"/>
      <c r="JDD201" s="147"/>
      <c r="JDE201" s="147"/>
      <c r="JDF201" s="147"/>
      <c r="JDG201" s="147"/>
      <c r="JDH201" s="147"/>
      <c r="JDI201" s="147"/>
      <c r="JDJ201" s="147"/>
      <c r="JDK201" s="147"/>
      <c r="JDL201" s="147"/>
      <c r="JDM201" s="147"/>
      <c r="JDN201" s="147"/>
      <c r="JDO201" s="147"/>
      <c r="JDP201" s="147"/>
      <c r="JDQ201" s="147"/>
      <c r="JDR201" s="147"/>
      <c r="JDS201" s="147"/>
      <c r="JDT201" s="147"/>
      <c r="JDU201" s="147"/>
      <c r="JDV201" s="147"/>
      <c r="JDW201" s="147"/>
      <c r="JDX201" s="147"/>
      <c r="JDY201" s="147"/>
      <c r="JDZ201" s="147"/>
      <c r="JEA201" s="147"/>
      <c r="JEB201" s="147"/>
      <c r="JEC201" s="147"/>
      <c r="JED201" s="147"/>
      <c r="JEE201" s="147"/>
      <c r="JEF201" s="147"/>
      <c r="JEG201" s="147"/>
      <c r="JEH201" s="147"/>
      <c r="JEI201" s="147"/>
      <c r="JEJ201" s="147"/>
      <c r="JEK201" s="147"/>
      <c r="JEL201" s="147"/>
      <c r="JEM201" s="147"/>
      <c r="JEN201" s="147"/>
      <c r="JEO201" s="147"/>
      <c r="JEP201" s="147"/>
      <c r="JEQ201" s="147"/>
      <c r="JER201" s="147"/>
      <c r="JES201" s="147"/>
      <c r="JET201" s="147"/>
      <c r="JEU201" s="147"/>
      <c r="JEV201" s="147"/>
      <c r="JEW201" s="147"/>
      <c r="JEX201" s="147"/>
      <c r="JEY201" s="147"/>
      <c r="JEZ201" s="147"/>
      <c r="JFA201" s="147"/>
      <c r="JFB201" s="147"/>
      <c r="JFC201" s="147"/>
      <c r="JFD201" s="147"/>
      <c r="JFE201" s="147"/>
      <c r="JFF201" s="147"/>
      <c r="JFG201" s="147"/>
      <c r="JFH201" s="147"/>
      <c r="JFI201" s="147"/>
      <c r="JFJ201" s="147"/>
      <c r="JFK201" s="147"/>
      <c r="JFL201" s="147"/>
      <c r="JFM201" s="147"/>
      <c r="JFN201" s="147"/>
      <c r="JFO201" s="147"/>
      <c r="JFP201" s="147"/>
      <c r="JFQ201" s="147"/>
      <c r="JFR201" s="147"/>
      <c r="JFS201" s="147"/>
      <c r="JFT201" s="147"/>
      <c r="JFU201" s="147"/>
      <c r="JFV201" s="147"/>
      <c r="JFW201" s="147"/>
      <c r="JFX201" s="147"/>
      <c r="JFY201" s="147"/>
      <c r="JFZ201" s="147"/>
      <c r="JGA201" s="147"/>
      <c r="JGB201" s="147"/>
      <c r="JGC201" s="147"/>
      <c r="JGD201" s="147"/>
      <c r="JGE201" s="147"/>
      <c r="JGF201" s="147"/>
      <c r="JGG201" s="147"/>
      <c r="JGH201" s="147"/>
      <c r="JGI201" s="147"/>
      <c r="JGJ201" s="147"/>
      <c r="JGK201" s="147"/>
      <c r="JGL201" s="147"/>
      <c r="JGM201" s="147"/>
      <c r="JGN201" s="147"/>
      <c r="JGO201" s="147"/>
      <c r="JGP201" s="147"/>
      <c r="JGQ201" s="147"/>
      <c r="JGR201" s="147"/>
      <c r="JGS201" s="147"/>
      <c r="JGT201" s="147"/>
      <c r="JGU201" s="147"/>
      <c r="JGV201" s="147"/>
      <c r="JGW201" s="147"/>
      <c r="JGX201" s="147"/>
      <c r="JGY201" s="147"/>
      <c r="JGZ201" s="147"/>
      <c r="JHA201" s="147"/>
      <c r="JHB201" s="147"/>
      <c r="JHC201" s="147"/>
      <c r="JHD201" s="147"/>
      <c r="JHE201" s="147"/>
      <c r="JHF201" s="147"/>
      <c r="JHG201" s="147"/>
      <c r="JHH201" s="147"/>
      <c r="JHI201" s="147"/>
      <c r="JHJ201" s="147"/>
      <c r="JHK201" s="147"/>
      <c r="JHL201" s="147"/>
      <c r="JHM201" s="147"/>
      <c r="JHN201" s="147"/>
      <c r="JHO201" s="147"/>
      <c r="JHP201" s="147"/>
      <c r="JHQ201" s="147"/>
      <c r="JHR201" s="147"/>
      <c r="JHS201" s="147"/>
      <c r="JHT201" s="147"/>
      <c r="JHU201" s="147"/>
      <c r="JHV201" s="147"/>
      <c r="JHW201" s="147"/>
      <c r="JHX201" s="147"/>
      <c r="JHY201" s="147"/>
      <c r="JHZ201" s="147"/>
      <c r="JIA201" s="147"/>
      <c r="JIB201" s="147"/>
      <c r="JIC201" s="147"/>
      <c r="JID201" s="147"/>
      <c r="JIE201" s="147"/>
      <c r="JIF201" s="147"/>
      <c r="JIG201" s="147"/>
      <c r="JIH201" s="147"/>
      <c r="JII201" s="147"/>
      <c r="JIJ201" s="147"/>
      <c r="JIK201" s="147"/>
      <c r="JIL201" s="147"/>
      <c r="JIM201" s="147"/>
      <c r="JIN201" s="147"/>
      <c r="JIO201" s="147"/>
      <c r="JIP201" s="147"/>
      <c r="JIQ201" s="147"/>
      <c r="JIR201" s="147"/>
      <c r="JIS201" s="147"/>
      <c r="JIT201" s="147"/>
      <c r="JIU201" s="147"/>
      <c r="JIV201" s="147"/>
      <c r="JIW201" s="147"/>
      <c r="JIX201" s="147"/>
      <c r="JIY201" s="147"/>
      <c r="JIZ201" s="147"/>
      <c r="JJA201" s="147"/>
      <c r="JJB201" s="147"/>
      <c r="JJC201" s="147"/>
      <c r="JJD201" s="147"/>
      <c r="JJE201" s="147"/>
      <c r="JJF201" s="147"/>
      <c r="JJG201" s="147"/>
      <c r="JJH201" s="147"/>
      <c r="JJI201" s="147"/>
      <c r="JJJ201" s="147"/>
      <c r="JJK201" s="147"/>
      <c r="JJL201" s="147"/>
      <c r="JJM201" s="147"/>
      <c r="JJN201" s="147"/>
      <c r="JJO201" s="147"/>
      <c r="JJP201" s="147"/>
      <c r="JJQ201" s="147"/>
      <c r="JJR201" s="147"/>
      <c r="JJS201" s="147"/>
      <c r="JJT201" s="147"/>
      <c r="JJU201" s="147"/>
      <c r="JJV201" s="147"/>
      <c r="JJW201" s="147"/>
      <c r="JJX201" s="147"/>
      <c r="JJY201" s="147"/>
      <c r="JJZ201" s="147"/>
      <c r="JKA201" s="147"/>
      <c r="JKB201" s="147"/>
      <c r="JKC201" s="147"/>
      <c r="JKD201" s="147"/>
      <c r="JKE201" s="147"/>
      <c r="JKF201" s="147"/>
      <c r="JKG201" s="147"/>
      <c r="JKH201" s="147"/>
      <c r="JKI201" s="147"/>
      <c r="JKJ201" s="147"/>
      <c r="JKK201" s="147"/>
      <c r="JKL201" s="147"/>
      <c r="JKM201" s="147"/>
      <c r="JKN201" s="147"/>
      <c r="JKO201" s="147"/>
      <c r="JKP201" s="147"/>
      <c r="JKQ201" s="147"/>
      <c r="JKR201" s="147"/>
      <c r="JKS201" s="147"/>
      <c r="JKT201" s="147"/>
      <c r="JKU201" s="147"/>
      <c r="JKV201" s="147"/>
      <c r="JKW201" s="147"/>
      <c r="JKX201" s="147"/>
      <c r="JKY201" s="147"/>
      <c r="JKZ201" s="147"/>
      <c r="JLA201" s="147"/>
      <c r="JLB201" s="147"/>
      <c r="JLC201" s="147"/>
      <c r="JLD201" s="147"/>
      <c r="JLE201" s="147"/>
      <c r="JLF201" s="147"/>
      <c r="JLG201" s="147"/>
      <c r="JLH201" s="147"/>
      <c r="JLI201" s="147"/>
      <c r="JLJ201" s="147"/>
      <c r="JLK201" s="147"/>
      <c r="JLL201" s="147"/>
      <c r="JLM201" s="147"/>
      <c r="JLN201" s="147"/>
      <c r="JLO201" s="147"/>
      <c r="JLP201" s="147"/>
      <c r="JLQ201" s="147"/>
      <c r="JLR201" s="147"/>
      <c r="JLS201" s="147"/>
      <c r="JLT201" s="147"/>
      <c r="JLU201" s="147"/>
      <c r="JLV201" s="147"/>
      <c r="JLW201" s="147"/>
      <c r="JLX201" s="147"/>
      <c r="JLY201" s="147"/>
      <c r="JLZ201" s="147"/>
      <c r="JMA201" s="147"/>
      <c r="JMB201" s="147"/>
      <c r="JMC201" s="147"/>
      <c r="JMD201" s="147"/>
      <c r="JME201" s="147"/>
      <c r="JMF201" s="147"/>
      <c r="JMG201" s="147"/>
      <c r="JMH201" s="147"/>
      <c r="JMI201" s="147"/>
      <c r="JMJ201" s="147"/>
      <c r="JMK201" s="147"/>
      <c r="JML201" s="147"/>
      <c r="JMM201" s="147"/>
      <c r="JMN201" s="147"/>
      <c r="JMO201" s="147"/>
      <c r="JMP201" s="147"/>
      <c r="JMQ201" s="147"/>
      <c r="JMR201" s="147"/>
      <c r="JMS201" s="147"/>
      <c r="JMT201" s="147"/>
      <c r="JMU201" s="147"/>
      <c r="JMV201" s="147"/>
      <c r="JMW201" s="147"/>
      <c r="JMX201" s="147"/>
      <c r="JMY201" s="147"/>
      <c r="JMZ201" s="147"/>
      <c r="JNA201" s="147"/>
      <c r="JNB201" s="147"/>
      <c r="JNC201" s="147"/>
      <c r="JND201" s="147"/>
      <c r="JNE201" s="147"/>
      <c r="JNF201" s="147"/>
      <c r="JNG201" s="147"/>
      <c r="JNH201" s="147"/>
      <c r="JNI201" s="147"/>
      <c r="JNJ201" s="147"/>
      <c r="JNK201" s="147"/>
      <c r="JNL201" s="147"/>
      <c r="JNM201" s="147"/>
      <c r="JNN201" s="147"/>
      <c r="JNO201" s="147"/>
      <c r="JNP201" s="147"/>
      <c r="JNQ201" s="147"/>
      <c r="JNR201" s="147"/>
      <c r="JNS201" s="147"/>
      <c r="JNT201" s="147"/>
      <c r="JNU201" s="147"/>
      <c r="JNV201" s="147"/>
      <c r="JNW201" s="147"/>
      <c r="JNX201" s="147"/>
      <c r="JNY201" s="147"/>
      <c r="JNZ201" s="147"/>
      <c r="JOA201" s="147"/>
      <c r="JOB201" s="147"/>
      <c r="JOC201" s="147"/>
      <c r="JOD201" s="147"/>
      <c r="JOE201" s="147"/>
      <c r="JOF201" s="147"/>
      <c r="JOG201" s="147"/>
      <c r="JOH201" s="147"/>
      <c r="JOI201" s="147"/>
      <c r="JOJ201" s="147"/>
      <c r="JOK201" s="147"/>
      <c r="JOL201" s="147"/>
      <c r="JOM201" s="147"/>
      <c r="JON201" s="147"/>
      <c r="JOO201" s="147"/>
      <c r="JOP201" s="147"/>
      <c r="JOQ201" s="147"/>
      <c r="JOR201" s="147"/>
      <c r="JOS201" s="147"/>
      <c r="JOT201" s="147"/>
      <c r="JOU201" s="147"/>
      <c r="JOV201" s="147"/>
      <c r="JOW201" s="147"/>
      <c r="JOX201" s="147"/>
      <c r="JOY201" s="147"/>
      <c r="JOZ201" s="147"/>
      <c r="JPA201" s="147"/>
      <c r="JPB201" s="147"/>
      <c r="JPC201" s="147"/>
      <c r="JPD201" s="147"/>
      <c r="JPE201" s="147"/>
      <c r="JPF201" s="147"/>
      <c r="JPG201" s="147"/>
      <c r="JPH201" s="147"/>
      <c r="JPI201" s="147"/>
      <c r="JPJ201" s="147"/>
      <c r="JPK201" s="147"/>
      <c r="JPL201" s="147"/>
      <c r="JPM201" s="147"/>
      <c r="JPN201" s="147"/>
      <c r="JPO201" s="147"/>
      <c r="JPP201" s="147"/>
      <c r="JPQ201" s="147"/>
      <c r="JPR201" s="147"/>
      <c r="JPS201" s="147"/>
      <c r="JPT201" s="147"/>
      <c r="JPU201" s="147"/>
      <c r="JPV201" s="147"/>
      <c r="JPW201" s="147"/>
      <c r="JPX201" s="147"/>
      <c r="JPY201" s="147"/>
      <c r="JPZ201" s="147"/>
      <c r="JQA201" s="147"/>
      <c r="JQB201" s="147"/>
      <c r="JQC201" s="147"/>
      <c r="JQD201" s="147"/>
      <c r="JQE201" s="147"/>
      <c r="JQF201" s="147"/>
      <c r="JQG201" s="147"/>
      <c r="JQH201" s="147"/>
      <c r="JQI201" s="147"/>
      <c r="JQJ201" s="147"/>
      <c r="JQK201" s="147"/>
      <c r="JQL201" s="147"/>
      <c r="JQM201" s="147"/>
      <c r="JQN201" s="147"/>
      <c r="JQO201" s="147"/>
      <c r="JQP201" s="147"/>
      <c r="JQQ201" s="147"/>
      <c r="JQR201" s="147"/>
      <c r="JQS201" s="147"/>
      <c r="JQT201" s="147"/>
      <c r="JQU201" s="147"/>
      <c r="JQV201" s="147"/>
      <c r="JQW201" s="147"/>
      <c r="JQX201" s="147"/>
      <c r="JQY201" s="147"/>
      <c r="JQZ201" s="147"/>
      <c r="JRA201" s="147"/>
      <c r="JRB201" s="147"/>
      <c r="JRC201" s="147"/>
      <c r="JRD201" s="147"/>
      <c r="JRE201" s="147"/>
      <c r="JRF201" s="147"/>
      <c r="JRG201" s="147"/>
      <c r="JRH201" s="147"/>
      <c r="JRI201" s="147"/>
      <c r="JRJ201" s="147"/>
      <c r="JRK201" s="147"/>
      <c r="JRL201" s="147"/>
      <c r="JRM201" s="147"/>
      <c r="JRN201" s="147"/>
      <c r="JRO201" s="147"/>
      <c r="JRP201" s="147"/>
      <c r="JRQ201" s="147"/>
      <c r="JRR201" s="147"/>
      <c r="JRS201" s="147"/>
      <c r="JRT201" s="147"/>
      <c r="JRU201" s="147"/>
      <c r="JRV201" s="147"/>
      <c r="JRW201" s="147"/>
      <c r="JRX201" s="147"/>
      <c r="JRY201" s="147"/>
      <c r="JRZ201" s="147"/>
      <c r="JSA201" s="147"/>
      <c r="JSB201" s="147"/>
      <c r="JSC201" s="147"/>
      <c r="JSD201" s="147"/>
      <c r="JSE201" s="147"/>
      <c r="JSF201" s="147"/>
      <c r="JSG201" s="147"/>
      <c r="JSH201" s="147"/>
      <c r="JSI201" s="147"/>
      <c r="JSJ201" s="147"/>
      <c r="JSK201" s="147"/>
      <c r="JSL201" s="147"/>
      <c r="JSM201" s="147"/>
      <c r="JSN201" s="147"/>
      <c r="JSO201" s="147"/>
      <c r="JSP201" s="147"/>
      <c r="JSQ201" s="147"/>
      <c r="JSR201" s="147"/>
      <c r="JSS201" s="147"/>
      <c r="JST201" s="147"/>
      <c r="JSU201" s="147"/>
      <c r="JSV201" s="147"/>
      <c r="JSW201" s="147"/>
      <c r="JSX201" s="147"/>
      <c r="JSY201" s="147"/>
      <c r="JSZ201" s="147"/>
      <c r="JTA201" s="147"/>
      <c r="JTB201" s="147"/>
      <c r="JTC201" s="147"/>
      <c r="JTD201" s="147"/>
      <c r="JTE201" s="147"/>
      <c r="JTF201" s="147"/>
      <c r="JTG201" s="147"/>
      <c r="JTH201" s="147"/>
      <c r="JTI201" s="147"/>
      <c r="JTJ201" s="147"/>
      <c r="JTK201" s="147"/>
      <c r="JTL201" s="147"/>
      <c r="JTM201" s="147"/>
      <c r="JTN201" s="147"/>
      <c r="JTO201" s="147"/>
      <c r="JTP201" s="147"/>
      <c r="JTQ201" s="147"/>
      <c r="JTR201" s="147"/>
      <c r="JTS201" s="147"/>
      <c r="JTT201" s="147"/>
      <c r="JTU201" s="147"/>
      <c r="JTV201" s="147"/>
      <c r="JTW201" s="147"/>
      <c r="JTX201" s="147"/>
      <c r="JTY201" s="147"/>
      <c r="JTZ201" s="147"/>
      <c r="JUA201" s="147"/>
      <c r="JUB201" s="147"/>
      <c r="JUC201" s="147"/>
      <c r="JUD201" s="147"/>
      <c r="JUE201" s="147"/>
      <c r="JUF201" s="147"/>
      <c r="JUG201" s="147"/>
      <c r="JUH201" s="147"/>
      <c r="JUI201" s="147"/>
      <c r="JUJ201" s="147"/>
      <c r="JUK201" s="147"/>
      <c r="JUL201" s="147"/>
      <c r="JUM201" s="147"/>
      <c r="JUN201" s="147"/>
      <c r="JUO201" s="147"/>
      <c r="JUP201" s="147"/>
      <c r="JUQ201" s="147"/>
      <c r="JUR201" s="147"/>
      <c r="JUS201" s="147"/>
      <c r="JUT201" s="147"/>
      <c r="JUU201" s="147"/>
      <c r="JUV201" s="147"/>
      <c r="JUW201" s="147"/>
      <c r="JUX201" s="147"/>
      <c r="JUY201" s="147"/>
      <c r="JUZ201" s="147"/>
      <c r="JVA201" s="147"/>
      <c r="JVB201" s="147"/>
      <c r="JVC201" s="147"/>
      <c r="JVD201" s="147"/>
      <c r="JVE201" s="147"/>
      <c r="JVF201" s="147"/>
      <c r="JVG201" s="147"/>
      <c r="JVH201" s="147"/>
      <c r="JVI201" s="147"/>
      <c r="JVJ201" s="147"/>
      <c r="JVK201" s="147"/>
      <c r="JVL201" s="147"/>
      <c r="JVM201" s="147"/>
      <c r="JVN201" s="147"/>
      <c r="JVO201" s="147"/>
      <c r="JVP201" s="147"/>
      <c r="JVQ201" s="147"/>
      <c r="JVR201" s="147"/>
      <c r="JVS201" s="147"/>
      <c r="JVT201" s="147"/>
      <c r="JVU201" s="147"/>
      <c r="JVV201" s="147"/>
      <c r="JVW201" s="147"/>
      <c r="JVX201" s="147"/>
      <c r="JVY201" s="147"/>
      <c r="JVZ201" s="147"/>
      <c r="JWA201" s="147"/>
      <c r="JWB201" s="147"/>
      <c r="JWC201" s="147"/>
      <c r="JWD201" s="147"/>
      <c r="JWE201" s="147"/>
      <c r="JWF201" s="147"/>
      <c r="JWG201" s="147"/>
      <c r="JWH201" s="147"/>
      <c r="JWI201" s="147"/>
      <c r="JWJ201" s="147"/>
      <c r="JWK201" s="147"/>
      <c r="JWL201" s="147"/>
      <c r="JWM201" s="147"/>
      <c r="JWN201" s="147"/>
      <c r="JWO201" s="147"/>
      <c r="JWP201" s="147"/>
      <c r="JWQ201" s="147"/>
      <c r="JWR201" s="147"/>
      <c r="JWS201" s="147"/>
      <c r="JWT201" s="147"/>
      <c r="JWU201" s="147"/>
      <c r="JWV201" s="147"/>
      <c r="JWW201" s="147"/>
      <c r="JWX201" s="147"/>
      <c r="JWY201" s="147"/>
      <c r="JWZ201" s="147"/>
      <c r="JXA201" s="147"/>
      <c r="JXB201" s="147"/>
      <c r="JXC201" s="147"/>
      <c r="JXD201" s="147"/>
      <c r="JXE201" s="147"/>
      <c r="JXF201" s="147"/>
      <c r="JXG201" s="147"/>
      <c r="JXH201" s="147"/>
      <c r="JXI201" s="147"/>
      <c r="JXJ201" s="147"/>
      <c r="JXK201" s="147"/>
      <c r="JXL201" s="147"/>
      <c r="JXM201" s="147"/>
      <c r="JXN201" s="147"/>
      <c r="JXO201" s="147"/>
      <c r="JXP201" s="147"/>
      <c r="JXQ201" s="147"/>
      <c r="JXR201" s="147"/>
      <c r="JXS201" s="147"/>
      <c r="JXT201" s="147"/>
      <c r="JXU201" s="147"/>
      <c r="JXV201" s="147"/>
      <c r="JXW201" s="147"/>
      <c r="JXX201" s="147"/>
      <c r="JXY201" s="147"/>
      <c r="JXZ201" s="147"/>
      <c r="JYA201" s="147"/>
      <c r="JYB201" s="147"/>
      <c r="JYC201" s="147"/>
      <c r="JYD201" s="147"/>
      <c r="JYE201" s="147"/>
      <c r="JYF201" s="147"/>
      <c r="JYG201" s="147"/>
      <c r="JYH201" s="147"/>
      <c r="JYI201" s="147"/>
      <c r="JYJ201" s="147"/>
      <c r="JYK201" s="147"/>
      <c r="JYL201" s="147"/>
      <c r="JYM201" s="147"/>
      <c r="JYN201" s="147"/>
      <c r="JYO201" s="147"/>
      <c r="JYP201" s="147"/>
      <c r="JYQ201" s="147"/>
      <c r="JYR201" s="147"/>
      <c r="JYS201" s="147"/>
      <c r="JYT201" s="147"/>
      <c r="JYU201" s="147"/>
      <c r="JYV201" s="147"/>
      <c r="JYW201" s="147"/>
      <c r="JYX201" s="147"/>
      <c r="JYY201" s="147"/>
      <c r="JYZ201" s="147"/>
      <c r="JZA201" s="147"/>
      <c r="JZB201" s="147"/>
      <c r="JZC201" s="147"/>
      <c r="JZD201" s="147"/>
      <c r="JZE201" s="147"/>
      <c r="JZF201" s="147"/>
      <c r="JZG201" s="147"/>
      <c r="JZH201" s="147"/>
      <c r="JZI201" s="147"/>
      <c r="JZJ201" s="147"/>
      <c r="JZK201" s="147"/>
      <c r="JZL201" s="147"/>
      <c r="JZM201" s="147"/>
      <c r="JZN201" s="147"/>
      <c r="JZO201" s="147"/>
      <c r="JZP201" s="147"/>
      <c r="JZQ201" s="147"/>
      <c r="JZR201" s="147"/>
      <c r="JZS201" s="147"/>
      <c r="JZT201" s="147"/>
      <c r="JZU201" s="147"/>
      <c r="JZV201" s="147"/>
      <c r="JZW201" s="147"/>
      <c r="JZX201" s="147"/>
      <c r="JZY201" s="147"/>
      <c r="JZZ201" s="147"/>
      <c r="KAA201" s="147"/>
      <c r="KAB201" s="147"/>
      <c r="KAC201" s="147"/>
      <c r="KAD201" s="147"/>
      <c r="KAE201" s="147"/>
      <c r="KAF201" s="147"/>
      <c r="KAG201" s="147"/>
      <c r="KAH201" s="147"/>
      <c r="KAI201" s="147"/>
      <c r="KAJ201" s="147"/>
      <c r="KAK201" s="147"/>
      <c r="KAL201" s="147"/>
      <c r="KAM201" s="147"/>
      <c r="KAN201" s="147"/>
      <c r="KAO201" s="147"/>
      <c r="KAP201" s="147"/>
      <c r="KAQ201" s="147"/>
      <c r="KAR201" s="147"/>
      <c r="KAS201" s="147"/>
      <c r="KAT201" s="147"/>
      <c r="KAU201" s="147"/>
      <c r="KAV201" s="147"/>
      <c r="KAW201" s="147"/>
      <c r="KAX201" s="147"/>
      <c r="KAY201" s="147"/>
      <c r="KAZ201" s="147"/>
      <c r="KBA201" s="147"/>
      <c r="KBB201" s="147"/>
      <c r="KBC201" s="147"/>
      <c r="KBD201" s="147"/>
      <c r="KBE201" s="147"/>
      <c r="KBF201" s="147"/>
      <c r="KBG201" s="147"/>
      <c r="KBH201" s="147"/>
      <c r="KBI201" s="147"/>
      <c r="KBJ201" s="147"/>
      <c r="KBK201" s="147"/>
      <c r="KBL201" s="147"/>
      <c r="KBM201" s="147"/>
      <c r="KBN201" s="147"/>
      <c r="KBO201" s="147"/>
      <c r="KBP201" s="147"/>
      <c r="KBQ201" s="147"/>
      <c r="KBR201" s="147"/>
      <c r="KBS201" s="147"/>
      <c r="KBT201" s="147"/>
      <c r="KBU201" s="147"/>
      <c r="KBV201" s="147"/>
      <c r="KBW201" s="147"/>
      <c r="KBX201" s="147"/>
      <c r="KBY201" s="147"/>
      <c r="KBZ201" s="147"/>
      <c r="KCA201" s="147"/>
      <c r="KCB201" s="147"/>
      <c r="KCC201" s="147"/>
      <c r="KCD201" s="147"/>
      <c r="KCE201" s="147"/>
      <c r="KCF201" s="147"/>
      <c r="KCG201" s="147"/>
      <c r="KCH201" s="147"/>
      <c r="KCI201" s="147"/>
      <c r="KCJ201" s="147"/>
      <c r="KCK201" s="147"/>
      <c r="KCL201" s="147"/>
      <c r="KCM201" s="147"/>
      <c r="KCN201" s="147"/>
      <c r="KCO201" s="147"/>
      <c r="KCP201" s="147"/>
      <c r="KCQ201" s="147"/>
      <c r="KCR201" s="147"/>
      <c r="KCS201" s="147"/>
      <c r="KCT201" s="147"/>
      <c r="KCU201" s="147"/>
      <c r="KCV201" s="147"/>
      <c r="KCW201" s="147"/>
      <c r="KCX201" s="147"/>
      <c r="KCY201" s="147"/>
      <c r="KCZ201" s="147"/>
      <c r="KDA201" s="147"/>
      <c r="KDB201" s="147"/>
      <c r="KDC201" s="147"/>
      <c r="KDD201" s="147"/>
      <c r="KDE201" s="147"/>
      <c r="KDF201" s="147"/>
      <c r="KDG201" s="147"/>
      <c r="KDH201" s="147"/>
      <c r="KDI201" s="147"/>
      <c r="KDJ201" s="147"/>
      <c r="KDK201" s="147"/>
      <c r="KDL201" s="147"/>
      <c r="KDM201" s="147"/>
      <c r="KDN201" s="147"/>
      <c r="KDO201" s="147"/>
      <c r="KDP201" s="147"/>
      <c r="KDQ201" s="147"/>
      <c r="KDR201" s="147"/>
      <c r="KDS201" s="147"/>
      <c r="KDT201" s="147"/>
      <c r="KDU201" s="147"/>
      <c r="KDV201" s="147"/>
      <c r="KDW201" s="147"/>
      <c r="KDX201" s="147"/>
      <c r="KDY201" s="147"/>
      <c r="KDZ201" s="147"/>
      <c r="KEA201" s="147"/>
      <c r="KEB201" s="147"/>
      <c r="KEC201" s="147"/>
      <c r="KED201" s="147"/>
      <c r="KEE201" s="147"/>
      <c r="KEF201" s="147"/>
      <c r="KEG201" s="147"/>
      <c r="KEH201" s="147"/>
      <c r="KEI201" s="147"/>
      <c r="KEJ201" s="147"/>
      <c r="KEK201" s="147"/>
      <c r="KEL201" s="147"/>
      <c r="KEM201" s="147"/>
      <c r="KEN201" s="147"/>
      <c r="KEO201" s="147"/>
      <c r="KEP201" s="147"/>
      <c r="KEQ201" s="147"/>
      <c r="KER201" s="147"/>
      <c r="KES201" s="147"/>
      <c r="KET201" s="147"/>
      <c r="KEU201" s="147"/>
      <c r="KEV201" s="147"/>
      <c r="KEW201" s="147"/>
      <c r="KEX201" s="147"/>
      <c r="KEY201" s="147"/>
      <c r="KEZ201" s="147"/>
      <c r="KFA201" s="147"/>
      <c r="KFB201" s="147"/>
      <c r="KFC201" s="147"/>
      <c r="KFD201" s="147"/>
      <c r="KFE201" s="147"/>
      <c r="KFF201" s="147"/>
      <c r="KFG201" s="147"/>
      <c r="KFH201" s="147"/>
      <c r="KFI201" s="147"/>
      <c r="KFJ201" s="147"/>
      <c r="KFK201" s="147"/>
      <c r="KFL201" s="147"/>
      <c r="KFM201" s="147"/>
      <c r="KFN201" s="147"/>
      <c r="KFO201" s="147"/>
      <c r="KFP201" s="147"/>
      <c r="KFQ201" s="147"/>
      <c r="KFR201" s="147"/>
      <c r="KFS201" s="147"/>
      <c r="KFT201" s="147"/>
      <c r="KFU201" s="147"/>
      <c r="KFV201" s="147"/>
      <c r="KFW201" s="147"/>
      <c r="KFX201" s="147"/>
      <c r="KFY201" s="147"/>
      <c r="KFZ201" s="147"/>
      <c r="KGA201" s="147"/>
      <c r="KGB201" s="147"/>
      <c r="KGC201" s="147"/>
      <c r="KGD201" s="147"/>
      <c r="KGE201" s="147"/>
      <c r="KGF201" s="147"/>
      <c r="KGG201" s="147"/>
      <c r="KGH201" s="147"/>
      <c r="KGI201" s="147"/>
      <c r="KGJ201" s="147"/>
      <c r="KGK201" s="147"/>
      <c r="KGL201" s="147"/>
      <c r="KGM201" s="147"/>
      <c r="KGN201" s="147"/>
      <c r="KGO201" s="147"/>
      <c r="KGP201" s="147"/>
      <c r="KGQ201" s="147"/>
      <c r="KGR201" s="147"/>
      <c r="KGS201" s="147"/>
      <c r="KGT201" s="147"/>
      <c r="KGU201" s="147"/>
      <c r="KGV201" s="147"/>
      <c r="KGW201" s="147"/>
      <c r="KGX201" s="147"/>
      <c r="KGY201" s="147"/>
      <c r="KGZ201" s="147"/>
      <c r="KHA201" s="147"/>
      <c r="KHB201" s="147"/>
      <c r="KHC201" s="147"/>
      <c r="KHD201" s="147"/>
      <c r="KHE201" s="147"/>
      <c r="KHF201" s="147"/>
      <c r="KHG201" s="147"/>
      <c r="KHH201" s="147"/>
      <c r="KHI201" s="147"/>
      <c r="KHJ201" s="147"/>
      <c r="KHK201" s="147"/>
      <c r="KHL201" s="147"/>
      <c r="KHM201" s="147"/>
      <c r="KHN201" s="147"/>
      <c r="KHO201" s="147"/>
      <c r="KHP201" s="147"/>
      <c r="KHQ201" s="147"/>
      <c r="KHR201" s="147"/>
      <c r="KHS201" s="147"/>
      <c r="KHT201" s="147"/>
      <c r="KHU201" s="147"/>
      <c r="KHV201" s="147"/>
      <c r="KHW201" s="147"/>
      <c r="KHX201" s="147"/>
      <c r="KHY201" s="147"/>
      <c r="KHZ201" s="147"/>
      <c r="KIA201" s="147"/>
      <c r="KIB201" s="147"/>
      <c r="KIC201" s="147"/>
      <c r="KID201" s="147"/>
      <c r="KIE201" s="147"/>
      <c r="KIF201" s="147"/>
      <c r="KIG201" s="147"/>
      <c r="KIH201" s="147"/>
      <c r="KII201" s="147"/>
      <c r="KIJ201" s="147"/>
      <c r="KIK201" s="147"/>
      <c r="KIL201" s="147"/>
      <c r="KIM201" s="147"/>
      <c r="KIN201" s="147"/>
      <c r="KIO201" s="147"/>
      <c r="KIP201" s="147"/>
      <c r="KIQ201" s="147"/>
      <c r="KIR201" s="147"/>
      <c r="KIS201" s="147"/>
      <c r="KIT201" s="147"/>
      <c r="KIU201" s="147"/>
      <c r="KIV201" s="147"/>
      <c r="KIW201" s="147"/>
      <c r="KIX201" s="147"/>
      <c r="KIY201" s="147"/>
      <c r="KIZ201" s="147"/>
      <c r="KJA201" s="147"/>
      <c r="KJB201" s="147"/>
      <c r="KJC201" s="147"/>
      <c r="KJD201" s="147"/>
      <c r="KJE201" s="147"/>
      <c r="KJF201" s="147"/>
      <c r="KJG201" s="147"/>
      <c r="KJH201" s="147"/>
      <c r="KJI201" s="147"/>
      <c r="KJJ201" s="147"/>
      <c r="KJK201" s="147"/>
      <c r="KJL201" s="147"/>
      <c r="KJM201" s="147"/>
      <c r="KJN201" s="147"/>
      <c r="KJO201" s="147"/>
      <c r="KJP201" s="147"/>
      <c r="KJQ201" s="147"/>
      <c r="KJR201" s="147"/>
      <c r="KJS201" s="147"/>
      <c r="KJT201" s="147"/>
      <c r="KJU201" s="147"/>
      <c r="KJV201" s="147"/>
      <c r="KJW201" s="147"/>
      <c r="KJX201" s="147"/>
      <c r="KJY201" s="147"/>
      <c r="KJZ201" s="147"/>
      <c r="KKA201" s="147"/>
      <c r="KKB201" s="147"/>
      <c r="KKC201" s="147"/>
      <c r="KKD201" s="147"/>
      <c r="KKE201" s="147"/>
      <c r="KKF201" s="147"/>
      <c r="KKG201" s="147"/>
      <c r="KKH201" s="147"/>
      <c r="KKI201" s="147"/>
      <c r="KKJ201" s="147"/>
      <c r="KKK201" s="147"/>
      <c r="KKL201" s="147"/>
      <c r="KKM201" s="147"/>
      <c r="KKN201" s="147"/>
      <c r="KKO201" s="147"/>
      <c r="KKP201" s="147"/>
      <c r="KKQ201" s="147"/>
      <c r="KKR201" s="147"/>
      <c r="KKS201" s="147"/>
      <c r="KKT201" s="147"/>
      <c r="KKU201" s="147"/>
      <c r="KKV201" s="147"/>
      <c r="KKW201" s="147"/>
      <c r="KKX201" s="147"/>
      <c r="KKY201" s="147"/>
      <c r="KKZ201" s="147"/>
      <c r="KLA201" s="147"/>
      <c r="KLB201" s="147"/>
      <c r="KLC201" s="147"/>
      <c r="KLD201" s="147"/>
      <c r="KLE201" s="147"/>
      <c r="KLF201" s="147"/>
      <c r="KLG201" s="147"/>
      <c r="KLH201" s="147"/>
      <c r="KLI201" s="147"/>
      <c r="KLJ201" s="147"/>
      <c r="KLK201" s="147"/>
      <c r="KLL201" s="147"/>
      <c r="KLM201" s="147"/>
      <c r="KLN201" s="147"/>
      <c r="KLO201" s="147"/>
      <c r="KLP201" s="147"/>
      <c r="KLQ201" s="147"/>
      <c r="KLR201" s="147"/>
      <c r="KLS201" s="147"/>
      <c r="KLT201" s="147"/>
      <c r="KLU201" s="147"/>
      <c r="KLV201" s="147"/>
      <c r="KLW201" s="147"/>
      <c r="KLX201" s="147"/>
      <c r="KLY201" s="147"/>
      <c r="KLZ201" s="147"/>
      <c r="KMA201" s="147"/>
      <c r="KMB201" s="147"/>
      <c r="KMC201" s="147"/>
      <c r="KMD201" s="147"/>
      <c r="KME201" s="147"/>
      <c r="KMF201" s="147"/>
      <c r="KMG201" s="147"/>
      <c r="KMH201" s="147"/>
      <c r="KMI201" s="147"/>
      <c r="KMJ201" s="147"/>
      <c r="KMK201" s="147"/>
      <c r="KML201" s="147"/>
      <c r="KMM201" s="147"/>
      <c r="KMN201" s="147"/>
      <c r="KMO201" s="147"/>
      <c r="KMP201" s="147"/>
      <c r="KMQ201" s="147"/>
      <c r="KMR201" s="147"/>
      <c r="KMS201" s="147"/>
      <c r="KMT201" s="147"/>
      <c r="KMU201" s="147"/>
      <c r="KMV201" s="147"/>
      <c r="KMW201" s="147"/>
      <c r="KMX201" s="147"/>
      <c r="KMY201" s="147"/>
      <c r="KMZ201" s="147"/>
      <c r="KNA201" s="147"/>
      <c r="KNB201" s="147"/>
      <c r="KNC201" s="147"/>
      <c r="KND201" s="147"/>
      <c r="KNE201" s="147"/>
      <c r="KNF201" s="147"/>
      <c r="KNG201" s="147"/>
      <c r="KNH201" s="147"/>
      <c r="KNI201" s="147"/>
      <c r="KNJ201" s="147"/>
      <c r="KNK201" s="147"/>
      <c r="KNL201" s="147"/>
      <c r="KNM201" s="147"/>
      <c r="KNN201" s="147"/>
      <c r="KNO201" s="147"/>
      <c r="KNP201" s="147"/>
      <c r="KNQ201" s="147"/>
      <c r="KNR201" s="147"/>
      <c r="KNS201" s="147"/>
      <c r="KNT201" s="147"/>
      <c r="KNU201" s="147"/>
      <c r="KNV201" s="147"/>
      <c r="KNW201" s="147"/>
      <c r="KNX201" s="147"/>
      <c r="KNY201" s="147"/>
      <c r="KNZ201" s="147"/>
      <c r="KOA201" s="147"/>
      <c r="KOB201" s="147"/>
      <c r="KOC201" s="147"/>
      <c r="KOD201" s="147"/>
      <c r="KOE201" s="147"/>
      <c r="KOF201" s="147"/>
      <c r="KOG201" s="147"/>
      <c r="KOH201" s="147"/>
      <c r="KOI201" s="147"/>
      <c r="KOJ201" s="147"/>
      <c r="KOK201" s="147"/>
      <c r="KOL201" s="147"/>
      <c r="KOM201" s="147"/>
      <c r="KON201" s="147"/>
      <c r="KOO201" s="147"/>
      <c r="KOP201" s="147"/>
      <c r="KOQ201" s="147"/>
      <c r="KOR201" s="147"/>
      <c r="KOS201" s="147"/>
      <c r="KOT201" s="147"/>
      <c r="KOU201" s="147"/>
      <c r="KOV201" s="147"/>
      <c r="KOW201" s="147"/>
      <c r="KOX201" s="147"/>
      <c r="KOY201" s="147"/>
      <c r="KOZ201" s="147"/>
      <c r="KPA201" s="147"/>
      <c r="KPB201" s="147"/>
      <c r="KPC201" s="147"/>
      <c r="KPD201" s="147"/>
      <c r="KPE201" s="147"/>
      <c r="KPF201" s="147"/>
      <c r="KPG201" s="147"/>
      <c r="KPH201" s="147"/>
      <c r="KPI201" s="147"/>
      <c r="KPJ201" s="147"/>
      <c r="KPK201" s="147"/>
      <c r="KPL201" s="147"/>
      <c r="KPM201" s="147"/>
      <c r="KPN201" s="147"/>
      <c r="KPO201" s="147"/>
      <c r="KPP201" s="147"/>
      <c r="KPQ201" s="147"/>
      <c r="KPR201" s="147"/>
      <c r="KPS201" s="147"/>
      <c r="KPT201" s="147"/>
      <c r="KPU201" s="147"/>
      <c r="KPV201" s="147"/>
      <c r="KPW201" s="147"/>
      <c r="KPX201" s="147"/>
      <c r="KPY201" s="147"/>
      <c r="KPZ201" s="147"/>
      <c r="KQA201" s="147"/>
      <c r="KQB201" s="147"/>
      <c r="KQC201" s="147"/>
      <c r="KQD201" s="147"/>
      <c r="KQE201" s="147"/>
      <c r="KQF201" s="147"/>
      <c r="KQG201" s="147"/>
      <c r="KQH201" s="147"/>
      <c r="KQI201" s="147"/>
      <c r="KQJ201" s="147"/>
      <c r="KQK201" s="147"/>
      <c r="KQL201" s="147"/>
      <c r="KQM201" s="147"/>
      <c r="KQN201" s="147"/>
      <c r="KQO201" s="147"/>
      <c r="KQP201" s="147"/>
      <c r="KQQ201" s="147"/>
      <c r="KQR201" s="147"/>
      <c r="KQS201" s="147"/>
      <c r="KQT201" s="147"/>
      <c r="KQU201" s="147"/>
      <c r="KQV201" s="147"/>
      <c r="KQW201" s="147"/>
      <c r="KQX201" s="147"/>
      <c r="KQY201" s="147"/>
      <c r="KQZ201" s="147"/>
      <c r="KRA201" s="147"/>
      <c r="KRB201" s="147"/>
      <c r="KRC201" s="147"/>
      <c r="KRD201" s="147"/>
      <c r="KRE201" s="147"/>
      <c r="KRF201" s="147"/>
      <c r="KRG201" s="147"/>
      <c r="KRH201" s="147"/>
      <c r="KRI201" s="147"/>
      <c r="KRJ201" s="147"/>
      <c r="KRK201" s="147"/>
      <c r="KRL201" s="147"/>
      <c r="KRM201" s="147"/>
      <c r="KRN201" s="147"/>
      <c r="KRO201" s="147"/>
      <c r="KRP201" s="147"/>
      <c r="KRQ201" s="147"/>
      <c r="KRR201" s="147"/>
      <c r="KRS201" s="147"/>
      <c r="KRT201" s="147"/>
      <c r="KRU201" s="147"/>
      <c r="KRV201" s="147"/>
      <c r="KRW201" s="147"/>
      <c r="KRX201" s="147"/>
      <c r="KRY201" s="147"/>
      <c r="KRZ201" s="147"/>
      <c r="KSA201" s="147"/>
      <c r="KSB201" s="147"/>
      <c r="KSC201" s="147"/>
      <c r="KSD201" s="147"/>
      <c r="KSE201" s="147"/>
      <c r="KSF201" s="147"/>
      <c r="KSG201" s="147"/>
      <c r="KSH201" s="147"/>
      <c r="KSI201" s="147"/>
      <c r="KSJ201" s="147"/>
      <c r="KSK201" s="147"/>
      <c r="KSL201" s="147"/>
      <c r="KSM201" s="147"/>
      <c r="KSN201" s="147"/>
      <c r="KSO201" s="147"/>
      <c r="KSP201" s="147"/>
      <c r="KSQ201" s="147"/>
      <c r="KSR201" s="147"/>
      <c r="KSS201" s="147"/>
      <c r="KST201" s="147"/>
      <c r="KSU201" s="147"/>
      <c r="KSV201" s="147"/>
      <c r="KSW201" s="147"/>
      <c r="KSX201" s="147"/>
      <c r="KSY201" s="147"/>
      <c r="KSZ201" s="147"/>
      <c r="KTA201" s="147"/>
      <c r="KTB201" s="147"/>
      <c r="KTC201" s="147"/>
      <c r="KTD201" s="147"/>
      <c r="KTE201" s="147"/>
      <c r="KTF201" s="147"/>
      <c r="KTG201" s="147"/>
      <c r="KTH201" s="147"/>
      <c r="KTI201" s="147"/>
      <c r="KTJ201" s="147"/>
      <c r="KTK201" s="147"/>
      <c r="KTL201" s="147"/>
      <c r="KTM201" s="147"/>
      <c r="KTN201" s="147"/>
      <c r="KTO201" s="147"/>
      <c r="KTP201" s="147"/>
      <c r="KTQ201" s="147"/>
      <c r="KTR201" s="147"/>
      <c r="KTS201" s="147"/>
      <c r="KTT201" s="147"/>
      <c r="KTU201" s="147"/>
      <c r="KTV201" s="147"/>
      <c r="KTW201" s="147"/>
      <c r="KTX201" s="147"/>
      <c r="KTY201" s="147"/>
      <c r="KTZ201" s="147"/>
      <c r="KUA201" s="147"/>
      <c r="KUB201" s="147"/>
      <c r="KUC201" s="147"/>
      <c r="KUD201" s="147"/>
      <c r="KUE201" s="147"/>
      <c r="KUF201" s="147"/>
      <c r="KUG201" s="147"/>
      <c r="KUH201" s="147"/>
      <c r="KUI201" s="147"/>
      <c r="KUJ201" s="147"/>
      <c r="KUK201" s="147"/>
      <c r="KUL201" s="147"/>
      <c r="KUM201" s="147"/>
      <c r="KUN201" s="147"/>
      <c r="KUO201" s="147"/>
      <c r="KUP201" s="147"/>
      <c r="KUQ201" s="147"/>
      <c r="KUR201" s="147"/>
      <c r="KUS201" s="147"/>
      <c r="KUT201" s="147"/>
      <c r="KUU201" s="147"/>
      <c r="KUV201" s="147"/>
      <c r="KUW201" s="147"/>
      <c r="KUX201" s="147"/>
      <c r="KUY201" s="147"/>
      <c r="KUZ201" s="147"/>
      <c r="KVA201" s="147"/>
      <c r="KVB201" s="147"/>
      <c r="KVC201" s="147"/>
      <c r="KVD201" s="147"/>
      <c r="KVE201" s="147"/>
      <c r="KVF201" s="147"/>
      <c r="KVG201" s="147"/>
      <c r="KVH201" s="147"/>
      <c r="KVI201" s="147"/>
      <c r="KVJ201" s="147"/>
      <c r="KVK201" s="147"/>
      <c r="KVL201" s="147"/>
      <c r="KVM201" s="147"/>
      <c r="KVN201" s="147"/>
      <c r="KVO201" s="147"/>
      <c r="KVP201" s="147"/>
      <c r="KVQ201" s="147"/>
      <c r="KVR201" s="147"/>
      <c r="KVS201" s="147"/>
      <c r="KVT201" s="147"/>
      <c r="KVU201" s="147"/>
      <c r="KVV201" s="147"/>
      <c r="KVW201" s="147"/>
      <c r="KVX201" s="147"/>
      <c r="KVY201" s="147"/>
      <c r="KVZ201" s="147"/>
      <c r="KWA201" s="147"/>
      <c r="KWB201" s="147"/>
      <c r="KWC201" s="147"/>
      <c r="KWD201" s="147"/>
      <c r="KWE201" s="147"/>
      <c r="KWF201" s="147"/>
      <c r="KWG201" s="147"/>
      <c r="KWH201" s="147"/>
      <c r="KWI201" s="147"/>
      <c r="KWJ201" s="147"/>
      <c r="KWK201" s="147"/>
      <c r="KWL201" s="147"/>
      <c r="KWM201" s="147"/>
      <c r="KWN201" s="147"/>
      <c r="KWO201" s="147"/>
      <c r="KWP201" s="147"/>
      <c r="KWQ201" s="147"/>
      <c r="KWR201" s="147"/>
      <c r="KWS201" s="147"/>
      <c r="KWT201" s="147"/>
      <c r="KWU201" s="147"/>
      <c r="KWV201" s="147"/>
      <c r="KWW201" s="147"/>
      <c r="KWX201" s="147"/>
      <c r="KWY201" s="147"/>
      <c r="KWZ201" s="147"/>
      <c r="KXA201" s="147"/>
      <c r="KXB201" s="147"/>
      <c r="KXC201" s="147"/>
      <c r="KXD201" s="147"/>
      <c r="KXE201" s="147"/>
      <c r="KXF201" s="147"/>
      <c r="KXG201" s="147"/>
      <c r="KXH201" s="147"/>
      <c r="KXI201" s="147"/>
      <c r="KXJ201" s="147"/>
      <c r="KXK201" s="147"/>
      <c r="KXL201" s="147"/>
      <c r="KXM201" s="147"/>
      <c r="KXN201" s="147"/>
      <c r="KXO201" s="147"/>
      <c r="KXP201" s="147"/>
      <c r="KXQ201" s="147"/>
      <c r="KXR201" s="147"/>
      <c r="KXS201" s="147"/>
      <c r="KXT201" s="147"/>
      <c r="KXU201" s="147"/>
      <c r="KXV201" s="147"/>
      <c r="KXW201" s="147"/>
      <c r="KXX201" s="147"/>
      <c r="KXY201" s="147"/>
      <c r="KXZ201" s="147"/>
      <c r="KYA201" s="147"/>
      <c r="KYB201" s="147"/>
      <c r="KYC201" s="147"/>
      <c r="KYD201" s="147"/>
      <c r="KYE201" s="147"/>
      <c r="KYF201" s="147"/>
      <c r="KYG201" s="147"/>
      <c r="KYH201" s="147"/>
      <c r="KYI201" s="147"/>
      <c r="KYJ201" s="147"/>
      <c r="KYK201" s="147"/>
      <c r="KYL201" s="147"/>
      <c r="KYM201" s="147"/>
      <c r="KYN201" s="147"/>
      <c r="KYO201" s="147"/>
      <c r="KYP201" s="147"/>
      <c r="KYQ201" s="147"/>
      <c r="KYR201" s="147"/>
      <c r="KYS201" s="147"/>
      <c r="KYT201" s="147"/>
      <c r="KYU201" s="147"/>
      <c r="KYV201" s="147"/>
      <c r="KYW201" s="147"/>
      <c r="KYX201" s="147"/>
      <c r="KYY201" s="147"/>
      <c r="KYZ201" s="147"/>
      <c r="KZA201" s="147"/>
      <c r="KZB201" s="147"/>
      <c r="KZC201" s="147"/>
      <c r="KZD201" s="147"/>
      <c r="KZE201" s="147"/>
      <c r="KZF201" s="147"/>
      <c r="KZG201" s="147"/>
      <c r="KZH201" s="147"/>
      <c r="KZI201" s="147"/>
      <c r="KZJ201" s="147"/>
      <c r="KZK201" s="147"/>
      <c r="KZL201" s="147"/>
      <c r="KZM201" s="147"/>
      <c r="KZN201" s="147"/>
      <c r="KZO201" s="147"/>
      <c r="KZP201" s="147"/>
      <c r="KZQ201" s="147"/>
      <c r="KZR201" s="147"/>
      <c r="KZS201" s="147"/>
      <c r="KZT201" s="147"/>
      <c r="KZU201" s="147"/>
      <c r="KZV201" s="147"/>
      <c r="KZW201" s="147"/>
      <c r="KZX201" s="147"/>
      <c r="KZY201" s="147"/>
      <c r="KZZ201" s="147"/>
      <c r="LAA201" s="147"/>
      <c r="LAB201" s="147"/>
      <c r="LAC201" s="147"/>
      <c r="LAD201" s="147"/>
      <c r="LAE201" s="147"/>
      <c r="LAF201" s="147"/>
      <c r="LAG201" s="147"/>
      <c r="LAH201" s="147"/>
      <c r="LAI201" s="147"/>
      <c r="LAJ201" s="147"/>
      <c r="LAK201" s="147"/>
      <c r="LAL201" s="147"/>
      <c r="LAM201" s="147"/>
      <c r="LAN201" s="147"/>
      <c r="LAO201" s="147"/>
      <c r="LAP201" s="147"/>
      <c r="LAQ201" s="147"/>
      <c r="LAR201" s="147"/>
      <c r="LAS201" s="147"/>
      <c r="LAT201" s="147"/>
      <c r="LAU201" s="147"/>
      <c r="LAV201" s="147"/>
      <c r="LAW201" s="147"/>
      <c r="LAX201" s="147"/>
      <c r="LAY201" s="147"/>
      <c r="LAZ201" s="147"/>
      <c r="LBA201" s="147"/>
      <c r="LBB201" s="147"/>
      <c r="LBC201" s="147"/>
      <c r="LBD201" s="147"/>
      <c r="LBE201" s="147"/>
      <c r="LBF201" s="147"/>
      <c r="LBG201" s="147"/>
      <c r="LBH201" s="147"/>
      <c r="LBI201" s="147"/>
      <c r="LBJ201" s="147"/>
      <c r="LBK201" s="147"/>
      <c r="LBL201" s="147"/>
      <c r="LBM201" s="147"/>
      <c r="LBN201" s="147"/>
      <c r="LBO201" s="147"/>
      <c r="LBP201" s="147"/>
      <c r="LBQ201" s="147"/>
      <c r="LBR201" s="147"/>
      <c r="LBS201" s="147"/>
      <c r="LBT201" s="147"/>
      <c r="LBU201" s="147"/>
      <c r="LBV201" s="147"/>
      <c r="LBW201" s="147"/>
      <c r="LBX201" s="147"/>
      <c r="LBY201" s="147"/>
      <c r="LBZ201" s="147"/>
      <c r="LCA201" s="147"/>
      <c r="LCB201" s="147"/>
      <c r="LCC201" s="147"/>
      <c r="LCD201" s="147"/>
      <c r="LCE201" s="147"/>
      <c r="LCF201" s="147"/>
      <c r="LCG201" s="147"/>
      <c r="LCH201" s="147"/>
      <c r="LCI201" s="147"/>
      <c r="LCJ201" s="147"/>
      <c r="LCK201" s="147"/>
      <c r="LCL201" s="147"/>
      <c r="LCM201" s="147"/>
      <c r="LCN201" s="147"/>
      <c r="LCO201" s="147"/>
      <c r="LCP201" s="147"/>
      <c r="LCQ201" s="147"/>
      <c r="LCR201" s="147"/>
      <c r="LCS201" s="147"/>
      <c r="LCT201" s="147"/>
      <c r="LCU201" s="147"/>
      <c r="LCV201" s="147"/>
      <c r="LCW201" s="147"/>
      <c r="LCX201" s="147"/>
      <c r="LCY201" s="147"/>
      <c r="LCZ201" s="147"/>
      <c r="LDA201" s="147"/>
      <c r="LDB201" s="147"/>
      <c r="LDC201" s="147"/>
      <c r="LDD201" s="147"/>
      <c r="LDE201" s="147"/>
      <c r="LDF201" s="147"/>
      <c r="LDG201" s="147"/>
      <c r="LDH201" s="147"/>
      <c r="LDI201" s="147"/>
      <c r="LDJ201" s="147"/>
      <c r="LDK201" s="147"/>
      <c r="LDL201" s="147"/>
      <c r="LDM201" s="147"/>
      <c r="LDN201" s="147"/>
      <c r="LDO201" s="147"/>
      <c r="LDP201" s="147"/>
      <c r="LDQ201" s="147"/>
      <c r="LDR201" s="147"/>
      <c r="LDS201" s="147"/>
      <c r="LDT201" s="147"/>
      <c r="LDU201" s="147"/>
      <c r="LDV201" s="147"/>
      <c r="LDW201" s="147"/>
      <c r="LDX201" s="147"/>
      <c r="LDY201" s="147"/>
      <c r="LDZ201" s="147"/>
      <c r="LEA201" s="147"/>
      <c r="LEB201" s="147"/>
      <c r="LEC201" s="147"/>
      <c r="LED201" s="147"/>
      <c r="LEE201" s="147"/>
      <c r="LEF201" s="147"/>
      <c r="LEG201" s="147"/>
      <c r="LEH201" s="147"/>
      <c r="LEI201" s="147"/>
      <c r="LEJ201" s="147"/>
      <c r="LEK201" s="147"/>
      <c r="LEL201" s="147"/>
      <c r="LEM201" s="147"/>
      <c r="LEN201" s="147"/>
      <c r="LEO201" s="147"/>
      <c r="LEP201" s="147"/>
      <c r="LEQ201" s="147"/>
      <c r="LER201" s="147"/>
      <c r="LES201" s="147"/>
      <c r="LET201" s="147"/>
      <c r="LEU201" s="147"/>
      <c r="LEV201" s="147"/>
      <c r="LEW201" s="147"/>
      <c r="LEX201" s="147"/>
      <c r="LEY201" s="147"/>
      <c r="LEZ201" s="147"/>
      <c r="LFA201" s="147"/>
      <c r="LFB201" s="147"/>
      <c r="LFC201" s="147"/>
      <c r="LFD201" s="147"/>
      <c r="LFE201" s="147"/>
      <c r="LFF201" s="147"/>
      <c r="LFG201" s="147"/>
      <c r="LFH201" s="147"/>
      <c r="LFI201" s="147"/>
      <c r="LFJ201" s="147"/>
      <c r="LFK201" s="147"/>
      <c r="LFL201" s="147"/>
      <c r="LFM201" s="147"/>
      <c r="LFN201" s="147"/>
      <c r="LFO201" s="147"/>
      <c r="LFP201" s="147"/>
      <c r="LFQ201" s="147"/>
      <c r="LFR201" s="147"/>
      <c r="LFS201" s="147"/>
      <c r="LFT201" s="147"/>
      <c r="LFU201" s="147"/>
      <c r="LFV201" s="147"/>
      <c r="LFW201" s="147"/>
      <c r="LFX201" s="147"/>
      <c r="LFY201" s="147"/>
      <c r="LFZ201" s="147"/>
      <c r="LGA201" s="147"/>
      <c r="LGB201" s="147"/>
      <c r="LGC201" s="147"/>
      <c r="LGD201" s="147"/>
      <c r="LGE201" s="147"/>
      <c r="LGF201" s="147"/>
      <c r="LGG201" s="147"/>
      <c r="LGH201" s="147"/>
      <c r="LGI201" s="147"/>
      <c r="LGJ201" s="147"/>
      <c r="LGK201" s="147"/>
      <c r="LGL201" s="147"/>
      <c r="LGM201" s="147"/>
      <c r="LGN201" s="147"/>
      <c r="LGO201" s="147"/>
      <c r="LGP201" s="147"/>
      <c r="LGQ201" s="147"/>
      <c r="LGR201" s="147"/>
      <c r="LGS201" s="147"/>
      <c r="LGT201" s="147"/>
      <c r="LGU201" s="147"/>
      <c r="LGV201" s="147"/>
      <c r="LGW201" s="147"/>
      <c r="LGX201" s="147"/>
      <c r="LGY201" s="147"/>
      <c r="LGZ201" s="147"/>
      <c r="LHA201" s="147"/>
      <c r="LHB201" s="147"/>
      <c r="LHC201" s="147"/>
      <c r="LHD201" s="147"/>
      <c r="LHE201" s="147"/>
      <c r="LHF201" s="147"/>
      <c r="LHG201" s="147"/>
      <c r="LHH201" s="147"/>
      <c r="LHI201" s="147"/>
      <c r="LHJ201" s="147"/>
      <c r="LHK201" s="147"/>
      <c r="LHL201" s="147"/>
      <c r="LHM201" s="147"/>
      <c r="LHN201" s="147"/>
      <c r="LHO201" s="147"/>
      <c r="LHP201" s="147"/>
      <c r="LHQ201" s="147"/>
      <c r="LHR201" s="147"/>
      <c r="LHS201" s="147"/>
      <c r="LHT201" s="147"/>
      <c r="LHU201" s="147"/>
      <c r="LHV201" s="147"/>
      <c r="LHW201" s="147"/>
      <c r="LHX201" s="147"/>
      <c r="LHY201" s="147"/>
      <c r="LHZ201" s="147"/>
      <c r="LIA201" s="147"/>
      <c r="LIB201" s="147"/>
      <c r="LIC201" s="147"/>
      <c r="LID201" s="147"/>
      <c r="LIE201" s="147"/>
      <c r="LIF201" s="147"/>
      <c r="LIG201" s="147"/>
      <c r="LIH201" s="147"/>
      <c r="LII201" s="147"/>
      <c r="LIJ201" s="147"/>
      <c r="LIK201" s="147"/>
      <c r="LIL201" s="147"/>
      <c r="LIM201" s="147"/>
      <c r="LIN201" s="147"/>
      <c r="LIO201" s="147"/>
      <c r="LIP201" s="147"/>
      <c r="LIQ201" s="147"/>
      <c r="LIR201" s="147"/>
      <c r="LIS201" s="147"/>
      <c r="LIT201" s="147"/>
      <c r="LIU201" s="147"/>
      <c r="LIV201" s="147"/>
      <c r="LIW201" s="147"/>
      <c r="LIX201" s="147"/>
      <c r="LIY201" s="147"/>
      <c r="LIZ201" s="147"/>
      <c r="LJA201" s="147"/>
      <c r="LJB201" s="147"/>
      <c r="LJC201" s="147"/>
      <c r="LJD201" s="147"/>
      <c r="LJE201" s="147"/>
      <c r="LJF201" s="147"/>
      <c r="LJG201" s="147"/>
      <c r="LJH201" s="147"/>
      <c r="LJI201" s="147"/>
      <c r="LJJ201" s="147"/>
      <c r="LJK201" s="147"/>
      <c r="LJL201" s="147"/>
      <c r="LJM201" s="147"/>
      <c r="LJN201" s="147"/>
      <c r="LJO201" s="147"/>
      <c r="LJP201" s="147"/>
      <c r="LJQ201" s="147"/>
      <c r="LJR201" s="147"/>
      <c r="LJS201" s="147"/>
      <c r="LJT201" s="147"/>
      <c r="LJU201" s="147"/>
      <c r="LJV201" s="147"/>
      <c r="LJW201" s="147"/>
      <c r="LJX201" s="147"/>
      <c r="LJY201" s="147"/>
      <c r="LJZ201" s="147"/>
      <c r="LKA201" s="147"/>
      <c r="LKB201" s="147"/>
      <c r="LKC201" s="147"/>
      <c r="LKD201" s="147"/>
      <c r="LKE201" s="147"/>
      <c r="LKF201" s="147"/>
      <c r="LKG201" s="147"/>
      <c r="LKH201" s="147"/>
      <c r="LKI201" s="147"/>
      <c r="LKJ201" s="147"/>
      <c r="LKK201" s="147"/>
      <c r="LKL201" s="147"/>
      <c r="LKM201" s="147"/>
      <c r="LKN201" s="147"/>
      <c r="LKO201" s="147"/>
      <c r="LKP201" s="147"/>
      <c r="LKQ201" s="147"/>
      <c r="LKR201" s="147"/>
      <c r="LKS201" s="147"/>
      <c r="LKT201" s="147"/>
      <c r="LKU201" s="147"/>
      <c r="LKV201" s="147"/>
      <c r="LKW201" s="147"/>
      <c r="LKX201" s="147"/>
      <c r="LKY201" s="147"/>
      <c r="LKZ201" s="147"/>
      <c r="LLA201" s="147"/>
      <c r="LLB201" s="147"/>
      <c r="LLC201" s="147"/>
      <c r="LLD201" s="147"/>
      <c r="LLE201" s="147"/>
      <c r="LLF201" s="147"/>
      <c r="LLG201" s="147"/>
      <c r="LLH201" s="147"/>
      <c r="LLI201" s="147"/>
      <c r="LLJ201" s="147"/>
      <c r="LLK201" s="147"/>
      <c r="LLL201" s="147"/>
      <c r="LLM201" s="147"/>
      <c r="LLN201" s="147"/>
      <c r="LLO201" s="147"/>
      <c r="LLP201" s="147"/>
      <c r="LLQ201" s="147"/>
      <c r="LLR201" s="147"/>
      <c r="LLS201" s="147"/>
      <c r="LLT201" s="147"/>
      <c r="LLU201" s="147"/>
      <c r="LLV201" s="147"/>
      <c r="LLW201" s="147"/>
      <c r="LLX201" s="147"/>
      <c r="LLY201" s="147"/>
      <c r="LLZ201" s="147"/>
      <c r="LMA201" s="147"/>
      <c r="LMB201" s="147"/>
      <c r="LMC201" s="147"/>
      <c r="LMD201" s="147"/>
      <c r="LME201" s="147"/>
      <c r="LMF201" s="147"/>
      <c r="LMG201" s="147"/>
      <c r="LMH201" s="147"/>
      <c r="LMI201" s="147"/>
      <c r="LMJ201" s="147"/>
      <c r="LMK201" s="147"/>
      <c r="LML201" s="147"/>
      <c r="LMM201" s="147"/>
      <c r="LMN201" s="147"/>
      <c r="LMO201" s="147"/>
      <c r="LMP201" s="147"/>
      <c r="LMQ201" s="147"/>
      <c r="LMR201" s="147"/>
      <c r="LMS201" s="147"/>
      <c r="LMT201" s="147"/>
      <c r="LMU201" s="147"/>
      <c r="LMV201" s="147"/>
      <c r="LMW201" s="147"/>
      <c r="LMX201" s="147"/>
      <c r="LMY201" s="147"/>
      <c r="LMZ201" s="147"/>
      <c r="LNA201" s="147"/>
      <c r="LNB201" s="147"/>
      <c r="LNC201" s="147"/>
      <c r="LND201" s="147"/>
      <c r="LNE201" s="147"/>
      <c r="LNF201" s="147"/>
      <c r="LNG201" s="147"/>
      <c r="LNH201" s="147"/>
      <c r="LNI201" s="147"/>
      <c r="LNJ201" s="147"/>
      <c r="LNK201" s="147"/>
      <c r="LNL201" s="147"/>
      <c r="LNM201" s="147"/>
      <c r="LNN201" s="147"/>
      <c r="LNO201" s="147"/>
      <c r="LNP201" s="147"/>
      <c r="LNQ201" s="147"/>
      <c r="LNR201" s="147"/>
      <c r="LNS201" s="147"/>
      <c r="LNT201" s="147"/>
      <c r="LNU201" s="147"/>
      <c r="LNV201" s="147"/>
      <c r="LNW201" s="147"/>
      <c r="LNX201" s="147"/>
      <c r="LNY201" s="147"/>
      <c r="LNZ201" s="147"/>
      <c r="LOA201" s="147"/>
      <c r="LOB201" s="147"/>
      <c r="LOC201" s="147"/>
      <c r="LOD201" s="147"/>
      <c r="LOE201" s="147"/>
      <c r="LOF201" s="147"/>
      <c r="LOG201" s="147"/>
      <c r="LOH201" s="147"/>
      <c r="LOI201" s="147"/>
      <c r="LOJ201" s="147"/>
      <c r="LOK201" s="147"/>
      <c r="LOL201" s="147"/>
      <c r="LOM201" s="147"/>
      <c r="LON201" s="147"/>
      <c r="LOO201" s="147"/>
      <c r="LOP201" s="147"/>
      <c r="LOQ201" s="147"/>
      <c r="LOR201" s="147"/>
      <c r="LOS201" s="147"/>
      <c r="LOT201" s="147"/>
      <c r="LOU201" s="147"/>
      <c r="LOV201" s="147"/>
      <c r="LOW201" s="147"/>
      <c r="LOX201" s="147"/>
      <c r="LOY201" s="147"/>
      <c r="LOZ201" s="147"/>
      <c r="LPA201" s="147"/>
      <c r="LPB201" s="147"/>
      <c r="LPC201" s="147"/>
      <c r="LPD201" s="147"/>
      <c r="LPE201" s="147"/>
      <c r="LPF201" s="147"/>
      <c r="LPG201" s="147"/>
      <c r="LPH201" s="147"/>
      <c r="LPI201" s="147"/>
      <c r="LPJ201" s="147"/>
      <c r="LPK201" s="147"/>
      <c r="LPL201" s="147"/>
      <c r="LPM201" s="147"/>
      <c r="LPN201" s="147"/>
      <c r="LPO201" s="147"/>
      <c r="LPP201" s="147"/>
      <c r="LPQ201" s="147"/>
      <c r="LPR201" s="147"/>
      <c r="LPS201" s="147"/>
      <c r="LPT201" s="147"/>
      <c r="LPU201" s="147"/>
      <c r="LPV201" s="147"/>
      <c r="LPW201" s="147"/>
      <c r="LPX201" s="147"/>
      <c r="LPY201" s="147"/>
      <c r="LPZ201" s="147"/>
      <c r="LQA201" s="147"/>
      <c r="LQB201" s="147"/>
      <c r="LQC201" s="147"/>
      <c r="LQD201" s="147"/>
      <c r="LQE201" s="147"/>
      <c r="LQF201" s="147"/>
      <c r="LQG201" s="147"/>
      <c r="LQH201" s="147"/>
      <c r="LQI201" s="147"/>
      <c r="LQJ201" s="147"/>
      <c r="LQK201" s="147"/>
      <c r="LQL201" s="147"/>
      <c r="LQM201" s="147"/>
      <c r="LQN201" s="147"/>
      <c r="LQO201" s="147"/>
      <c r="LQP201" s="147"/>
      <c r="LQQ201" s="147"/>
      <c r="LQR201" s="147"/>
      <c r="LQS201" s="147"/>
      <c r="LQT201" s="147"/>
      <c r="LQU201" s="147"/>
      <c r="LQV201" s="147"/>
      <c r="LQW201" s="147"/>
      <c r="LQX201" s="147"/>
      <c r="LQY201" s="147"/>
      <c r="LQZ201" s="147"/>
      <c r="LRA201" s="147"/>
      <c r="LRB201" s="147"/>
      <c r="LRC201" s="147"/>
      <c r="LRD201" s="147"/>
      <c r="LRE201" s="147"/>
      <c r="LRF201" s="147"/>
      <c r="LRG201" s="147"/>
      <c r="LRH201" s="147"/>
      <c r="LRI201" s="147"/>
      <c r="LRJ201" s="147"/>
      <c r="LRK201" s="147"/>
      <c r="LRL201" s="147"/>
      <c r="LRM201" s="147"/>
      <c r="LRN201" s="147"/>
      <c r="LRO201" s="147"/>
      <c r="LRP201" s="147"/>
      <c r="LRQ201" s="147"/>
      <c r="LRR201" s="147"/>
      <c r="LRS201" s="147"/>
      <c r="LRT201" s="147"/>
      <c r="LRU201" s="147"/>
      <c r="LRV201" s="147"/>
      <c r="LRW201" s="147"/>
      <c r="LRX201" s="147"/>
      <c r="LRY201" s="147"/>
      <c r="LRZ201" s="147"/>
      <c r="LSA201" s="147"/>
      <c r="LSB201" s="147"/>
      <c r="LSC201" s="147"/>
      <c r="LSD201" s="147"/>
      <c r="LSE201" s="147"/>
      <c r="LSF201" s="147"/>
      <c r="LSG201" s="147"/>
      <c r="LSH201" s="147"/>
      <c r="LSI201" s="147"/>
      <c r="LSJ201" s="147"/>
      <c r="LSK201" s="147"/>
      <c r="LSL201" s="147"/>
      <c r="LSM201" s="147"/>
      <c r="LSN201" s="147"/>
      <c r="LSO201" s="147"/>
      <c r="LSP201" s="147"/>
      <c r="LSQ201" s="147"/>
      <c r="LSR201" s="147"/>
      <c r="LSS201" s="147"/>
      <c r="LST201" s="147"/>
      <c r="LSU201" s="147"/>
      <c r="LSV201" s="147"/>
      <c r="LSW201" s="147"/>
      <c r="LSX201" s="147"/>
      <c r="LSY201" s="147"/>
      <c r="LSZ201" s="147"/>
      <c r="LTA201" s="147"/>
      <c r="LTB201" s="147"/>
      <c r="LTC201" s="147"/>
      <c r="LTD201" s="147"/>
      <c r="LTE201" s="147"/>
      <c r="LTF201" s="147"/>
      <c r="LTG201" s="147"/>
      <c r="LTH201" s="147"/>
      <c r="LTI201" s="147"/>
      <c r="LTJ201" s="147"/>
      <c r="LTK201" s="147"/>
      <c r="LTL201" s="147"/>
      <c r="LTM201" s="147"/>
      <c r="LTN201" s="147"/>
      <c r="LTO201" s="147"/>
      <c r="LTP201" s="147"/>
      <c r="LTQ201" s="147"/>
      <c r="LTR201" s="147"/>
      <c r="LTS201" s="147"/>
      <c r="LTT201" s="147"/>
      <c r="LTU201" s="147"/>
      <c r="LTV201" s="147"/>
      <c r="LTW201" s="147"/>
      <c r="LTX201" s="147"/>
      <c r="LTY201" s="147"/>
      <c r="LTZ201" s="147"/>
      <c r="LUA201" s="147"/>
      <c r="LUB201" s="147"/>
      <c r="LUC201" s="147"/>
      <c r="LUD201" s="147"/>
      <c r="LUE201" s="147"/>
      <c r="LUF201" s="147"/>
      <c r="LUG201" s="147"/>
      <c r="LUH201" s="147"/>
      <c r="LUI201" s="147"/>
      <c r="LUJ201" s="147"/>
      <c r="LUK201" s="147"/>
      <c r="LUL201" s="147"/>
      <c r="LUM201" s="147"/>
      <c r="LUN201" s="147"/>
      <c r="LUO201" s="147"/>
      <c r="LUP201" s="147"/>
      <c r="LUQ201" s="147"/>
      <c r="LUR201" s="147"/>
      <c r="LUS201" s="147"/>
      <c r="LUT201" s="147"/>
      <c r="LUU201" s="147"/>
      <c r="LUV201" s="147"/>
      <c r="LUW201" s="147"/>
      <c r="LUX201" s="147"/>
      <c r="LUY201" s="147"/>
      <c r="LUZ201" s="147"/>
      <c r="LVA201" s="147"/>
      <c r="LVB201" s="147"/>
      <c r="LVC201" s="147"/>
      <c r="LVD201" s="147"/>
      <c r="LVE201" s="147"/>
      <c r="LVF201" s="147"/>
      <c r="LVG201" s="147"/>
      <c r="LVH201" s="147"/>
      <c r="LVI201" s="147"/>
      <c r="LVJ201" s="147"/>
      <c r="LVK201" s="147"/>
      <c r="LVL201" s="147"/>
      <c r="LVM201" s="147"/>
      <c r="LVN201" s="147"/>
      <c r="LVO201" s="147"/>
      <c r="LVP201" s="147"/>
      <c r="LVQ201" s="147"/>
      <c r="LVR201" s="147"/>
      <c r="LVS201" s="147"/>
      <c r="LVT201" s="147"/>
      <c r="LVU201" s="147"/>
      <c r="LVV201" s="147"/>
      <c r="LVW201" s="147"/>
      <c r="LVX201" s="147"/>
      <c r="LVY201" s="147"/>
      <c r="LVZ201" s="147"/>
      <c r="LWA201" s="147"/>
      <c r="LWB201" s="147"/>
      <c r="LWC201" s="147"/>
      <c r="LWD201" s="147"/>
      <c r="LWE201" s="147"/>
      <c r="LWF201" s="147"/>
      <c r="LWG201" s="147"/>
      <c r="LWH201" s="147"/>
      <c r="LWI201" s="147"/>
      <c r="LWJ201" s="147"/>
      <c r="LWK201" s="147"/>
      <c r="LWL201" s="147"/>
      <c r="LWM201" s="147"/>
      <c r="LWN201" s="147"/>
      <c r="LWO201" s="147"/>
      <c r="LWP201" s="147"/>
      <c r="LWQ201" s="147"/>
      <c r="LWR201" s="147"/>
      <c r="LWS201" s="147"/>
      <c r="LWT201" s="147"/>
      <c r="LWU201" s="147"/>
      <c r="LWV201" s="147"/>
      <c r="LWW201" s="147"/>
      <c r="LWX201" s="147"/>
      <c r="LWY201" s="147"/>
      <c r="LWZ201" s="147"/>
      <c r="LXA201" s="147"/>
      <c r="LXB201" s="147"/>
      <c r="LXC201" s="147"/>
      <c r="LXD201" s="147"/>
      <c r="LXE201" s="147"/>
      <c r="LXF201" s="147"/>
      <c r="LXG201" s="147"/>
      <c r="LXH201" s="147"/>
      <c r="LXI201" s="147"/>
      <c r="LXJ201" s="147"/>
      <c r="LXK201" s="147"/>
      <c r="LXL201" s="147"/>
      <c r="LXM201" s="147"/>
      <c r="LXN201" s="147"/>
      <c r="LXO201" s="147"/>
      <c r="LXP201" s="147"/>
      <c r="LXQ201" s="147"/>
      <c r="LXR201" s="147"/>
      <c r="LXS201" s="147"/>
      <c r="LXT201" s="147"/>
      <c r="LXU201" s="147"/>
      <c r="LXV201" s="147"/>
      <c r="LXW201" s="147"/>
      <c r="LXX201" s="147"/>
      <c r="LXY201" s="147"/>
      <c r="LXZ201" s="147"/>
      <c r="LYA201" s="147"/>
      <c r="LYB201" s="147"/>
      <c r="LYC201" s="147"/>
      <c r="LYD201" s="147"/>
      <c r="LYE201" s="147"/>
      <c r="LYF201" s="147"/>
      <c r="LYG201" s="147"/>
      <c r="LYH201" s="147"/>
      <c r="LYI201" s="147"/>
      <c r="LYJ201" s="147"/>
      <c r="LYK201" s="147"/>
      <c r="LYL201" s="147"/>
      <c r="LYM201" s="147"/>
      <c r="LYN201" s="147"/>
      <c r="LYO201" s="147"/>
      <c r="LYP201" s="147"/>
      <c r="LYQ201" s="147"/>
      <c r="LYR201" s="147"/>
      <c r="LYS201" s="147"/>
      <c r="LYT201" s="147"/>
      <c r="LYU201" s="147"/>
      <c r="LYV201" s="147"/>
      <c r="LYW201" s="147"/>
      <c r="LYX201" s="147"/>
      <c r="LYY201" s="147"/>
      <c r="LYZ201" s="147"/>
      <c r="LZA201" s="147"/>
      <c r="LZB201" s="147"/>
      <c r="LZC201" s="147"/>
      <c r="LZD201" s="147"/>
      <c r="LZE201" s="147"/>
      <c r="LZF201" s="147"/>
      <c r="LZG201" s="147"/>
      <c r="LZH201" s="147"/>
      <c r="LZI201" s="147"/>
      <c r="LZJ201" s="147"/>
      <c r="LZK201" s="147"/>
      <c r="LZL201" s="147"/>
      <c r="LZM201" s="147"/>
      <c r="LZN201" s="147"/>
      <c r="LZO201" s="147"/>
      <c r="LZP201" s="147"/>
      <c r="LZQ201" s="147"/>
      <c r="LZR201" s="147"/>
      <c r="LZS201" s="147"/>
      <c r="LZT201" s="147"/>
      <c r="LZU201" s="147"/>
      <c r="LZV201" s="147"/>
      <c r="LZW201" s="147"/>
      <c r="LZX201" s="147"/>
      <c r="LZY201" s="147"/>
      <c r="LZZ201" s="147"/>
      <c r="MAA201" s="147"/>
      <c r="MAB201" s="147"/>
      <c r="MAC201" s="147"/>
      <c r="MAD201" s="147"/>
      <c r="MAE201" s="147"/>
      <c r="MAF201" s="147"/>
      <c r="MAG201" s="147"/>
      <c r="MAH201" s="147"/>
      <c r="MAI201" s="147"/>
      <c r="MAJ201" s="147"/>
      <c r="MAK201" s="147"/>
      <c r="MAL201" s="147"/>
      <c r="MAM201" s="147"/>
      <c r="MAN201" s="147"/>
      <c r="MAO201" s="147"/>
      <c r="MAP201" s="147"/>
      <c r="MAQ201" s="147"/>
      <c r="MAR201" s="147"/>
      <c r="MAS201" s="147"/>
      <c r="MAT201" s="147"/>
      <c r="MAU201" s="147"/>
      <c r="MAV201" s="147"/>
      <c r="MAW201" s="147"/>
      <c r="MAX201" s="147"/>
      <c r="MAY201" s="147"/>
      <c r="MAZ201" s="147"/>
      <c r="MBA201" s="147"/>
      <c r="MBB201" s="147"/>
      <c r="MBC201" s="147"/>
      <c r="MBD201" s="147"/>
      <c r="MBE201" s="147"/>
      <c r="MBF201" s="147"/>
      <c r="MBG201" s="147"/>
      <c r="MBH201" s="147"/>
      <c r="MBI201" s="147"/>
      <c r="MBJ201" s="147"/>
      <c r="MBK201" s="147"/>
      <c r="MBL201" s="147"/>
      <c r="MBM201" s="147"/>
      <c r="MBN201" s="147"/>
      <c r="MBO201" s="147"/>
      <c r="MBP201" s="147"/>
      <c r="MBQ201" s="147"/>
      <c r="MBR201" s="147"/>
      <c r="MBS201" s="147"/>
      <c r="MBT201" s="147"/>
      <c r="MBU201" s="147"/>
      <c r="MBV201" s="147"/>
      <c r="MBW201" s="147"/>
      <c r="MBX201" s="147"/>
      <c r="MBY201" s="147"/>
      <c r="MBZ201" s="147"/>
      <c r="MCA201" s="147"/>
      <c r="MCB201" s="147"/>
      <c r="MCC201" s="147"/>
      <c r="MCD201" s="147"/>
      <c r="MCE201" s="147"/>
      <c r="MCF201" s="147"/>
      <c r="MCG201" s="147"/>
      <c r="MCH201" s="147"/>
      <c r="MCI201" s="147"/>
      <c r="MCJ201" s="147"/>
      <c r="MCK201" s="147"/>
      <c r="MCL201" s="147"/>
      <c r="MCM201" s="147"/>
      <c r="MCN201" s="147"/>
      <c r="MCO201" s="147"/>
      <c r="MCP201" s="147"/>
      <c r="MCQ201" s="147"/>
      <c r="MCR201" s="147"/>
      <c r="MCS201" s="147"/>
      <c r="MCT201" s="147"/>
      <c r="MCU201" s="147"/>
      <c r="MCV201" s="147"/>
      <c r="MCW201" s="147"/>
      <c r="MCX201" s="147"/>
      <c r="MCY201" s="147"/>
      <c r="MCZ201" s="147"/>
      <c r="MDA201" s="147"/>
      <c r="MDB201" s="147"/>
      <c r="MDC201" s="147"/>
      <c r="MDD201" s="147"/>
      <c r="MDE201" s="147"/>
      <c r="MDF201" s="147"/>
      <c r="MDG201" s="147"/>
      <c r="MDH201" s="147"/>
      <c r="MDI201" s="147"/>
      <c r="MDJ201" s="147"/>
      <c r="MDK201" s="147"/>
      <c r="MDL201" s="147"/>
      <c r="MDM201" s="147"/>
      <c r="MDN201" s="147"/>
      <c r="MDO201" s="147"/>
      <c r="MDP201" s="147"/>
      <c r="MDQ201" s="147"/>
      <c r="MDR201" s="147"/>
      <c r="MDS201" s="147"/>
      <c r="MDT201" s="147"/>
      <c r="MDU201" s="147"/>
      <c r="MDV201" s="147"/>
      <c r="MDW201" s="147"/>
      <c r="MDX201" s="147"/>
      <c r="MDY201" s="147"/>
      <c r="MDZ201" s="147"/>
      <c r="MEA201" s="147"/>
      <c r="MEB201" s="147"/>
      <c r="MEC201" s="147"/>
      <c r="MED201" s="147"/>
      <c r="MEE201" s="147"/>
      <c r="MEF201" s="147"/>
      <c r="MEG201" s="147"/>
      <c r="MEH201" s="147"/>
      <c r="MEI201" s="147"/>
      <c r="MEJ201" s="147"/>
      <c r="MEK201" s="147"/>
      <c r="MEL201" s="147"/>
      <c r="MEM201" s="147"/>
      <c r="MEN201" s="147"/>
      <c r="MEO201" s="147"/>
      <c r="MEP201" s="147"/>
      <c r="MEQ201" s="147"/>
      <c r="MER201" s="147"/>
      <c r="MES201" s="147"/>
      <c r="MET201" s="147"/>
      <c r="MEU201" s="147"/>
      <c r="MEV201" s="147"/>
      <c r="MEW201" s="147"/>
      <c r="MEX201" s="147"/>
      <c r="MEY201" s="147"/>
      <c r="MEZ201" s="147"/>
      <c r="MFA201" s="147"/>
      <c r="MFB201" s="147"/>
      <c r="MFC201" s="147"/>
      <c r="MFD201" s="147"/>
      <c r="MFE201" s="147"/>
      <c r="MFF201" s="147"/>
      <c r="MFG201" s="147"/>
      <c r="MFH201" s="147"/>
      <c r="MFI201" s="147"/>
      <c r="MFJ201" s="147"/>
      <c r="MFK201" s="147"/>
      <c r="MFL201" s="147"/>
      <c r="MFM201" s="147"/>
      <c r="MFN201" s="147"/>
      <c r="MFO201" s="147"/>
      <c r="MFP201" s="147"/>
      <c r="MFQ201" s="147"/>
      <c r="MFR201" s="147"/>
      <c r="MFS201" s="147"/>
      <c r="MFT201" s="147"/>
      <c r="MFU201" s="147"/>
      <c r="MFV201" s="147"/>
      <c r="MFW201" s="147"/>
      <c r="MFX201" s="147"/>
      <c r="MFY201" s="147"/>
      <c r="MFZ201" s="147"/>
      <c r="MGA201" s="147"/>
      <c r="MGB201" s="147"/>
      <c r="MGC201" s="147"/>
      <c r="MGD201" s="147"/>
      <c r="MGE201" s="147"/>
      <c r="MGF201" s="147"/>
      <c r="MGG201" s="147"/>
      <c r="MGH201" s="147"/>
      <c r="MGI201" s="147"/>
      <c r="MGJ201" s="147"/>
      <c r="MGK201" s="147"/>
      <c r="MGL201" s="147"/>
      <c r="MGM201" s="147"/>
      <c r="MGN201" s="147"/>
      <c r="MGO201" s="147"/>
      <c r="MGP201" s="147"/>
      <c r="MGQ201" s="147"/>
      <c r="MGR201" s="147"/>
      <c r="MGS201" s="147"/>
      <c r="MGT201" s="147"/>
      <c r="MGU201" s="147"/>
      <c r="MGV201" s="147"/>
      <c r="MGW201" s="147"/>
      <c r="MGX201" s="147"/>
      <c r="MGY201" s="147"/>
      <c r="MGZ201" s="147"/>
      <c r="MHA201" s="147"/>
      <c r="MHB201" s="147"/>
      <c r="MHC201" s="147"/>
      <c r="MHD201" s="147"/>
      <c r="MHE201" s="147"/>
      <c r="MHF201" s="147"/>
      <c r="MHG201" s="147"/>
      <c r="MHH201" s="147"/>
      <c r="MHI201" s="147"/>
      <c r="MHJ201" s="147"/>
      <c r="MHK201" s="147"/>
      <c r="MHL201" s="147"/>
      <c r="MHM201" s="147"/>
      <c r="MHN201" s="147"/>
      <c r="MHO201" s="147"/>
      <c r="MHP201" s="147"/>
      <c r="MHQ201" s="147"/>
      <c r="MHR201" s="147"/>
      <c r="MHS201" s="147"/>
      <c r="MHT201" s="147"/>
      <c r="MHU201" s="147"/>
      <c r="MHV201" s="147"/>
      <c r="MHW201" s="147"/>
      <c r="MHX201" s="147"/>
      <c r="MHY201" s="147"/>
      <c r="MHZ201" s="147"/>
      <c r="MIA201" s="147"/>
      <c r="MIB201" s="147"/>
      <c r="MIC201" s="147"/>
      <c r="MID201" s="147"/>
      <c r="MIE201" s="147"/>
      <c r="MIF201" s="147"/>
      <c r="MIG201" s="147"/>
      <c r="MIH201" s="147"/>
      <c r="MII201" s="147"/>
      <c r="MIJ201" s="147"/>
      <c r="MIK201" s="147"/>
      <c r="MIL201" s="147"/>
      <c r="MIM201" s="147"/>
      <c r="MIN201" s="147"/>
      <c r="MIO201" s="147"/>
      <c r="MIP201" s="147"/>
      <c r="MIQ201" s="147"/>
      <c r="MIR201" s="147"/>
      <c r="MIS201" s="147"/>
      <c r="MIT201" s="147"/>
      <c r="MIU201" s="147"/>
      <c r="MIV201" s="147"/>
      <c r="MIW201" s="147"/>
      <c r="MIX201" s="147"/>
      <c r="MIY201" s="147"/>
      <c r="MIZ201" s="147"/>
      <c r="MJA201" s="147"/>
      <c r="MJB201" s="147"/>
      <c r="MJC201" s="147"/>
      <c r="MJD201" s="147"/>
      <c r="MJE201" s="147"/>
      <c r="MJF201" s="147"/>
      <c r="MJG201" s="147"/>
      <c r="MJH201" s="147"/>
      <c r="MJI201" s="147"/>
      <c r="MJJ201" s="147"/>
      <c r="MJK201" s="147"/>
      <c r="MJL201" s="147"/>
      <c r="MJM201" s="147"/>
      <c r="MJN201" s="147"/>
      <c r="MJO201" s="147"/>
      <c r="MJP201" s="147"/>
      <c r="MJQ201" s="147"/>
      <c r="MJR201" s="147"/>
      <c r="MJS201" s="147"/>
      <c r="MJT201" s="147"/>
      <c r="MJU201" s="147"/>
      <c r="MJV201" s="147"/>
      <c r="MJW201" s="147"/>
      <c r="MJX201" s="147"/>
      <c r="MJY201" s="147"/>
      <c r="MJZ201" s="147"/>
      <c r="MKA201" s="147"/>
      <c r="MKB201" s="147"/>
      <c r="MKC201" s="147"/>
      <c r="MKD201" s="147"/>
      <c r="MKE201" s="147"/>
      <c r="MKF201" s="147"/>
      <c r="MKG201" s="147"/>
      <c r="MKH201" s="147"/>
      <c r="MKI201" s="147"/>
      <c r="MKJ201" s="147"/>
      <c r="MKK201" s="147"/>
      <c r="MKL201" s="147"/>
      <c r="MKM201" s="147"/>
      <c r="MKN201" s="147"/>
      <c r="MKO201" s="147"/>
      <c r="MKP201" s="147"/>
      <c r="MKQ201" s="147"/>
      <c r="MKR201" s="147"/>
      <c r="MKS201" s="147"/>
      <c r="MKT201" s="147"/>
      <c r="MKU201" s="147"/>
      <c r="MKV201" s="147"/>
      <c r="MKW201" s="147"/>
      <c r="MKX201" s="147"/>
      <c r="MKY201" s="147"/>
      <c r="MKZ201" s="147"/>
      <c r="MLA201" s="147"/>
      <c r="MLB201" s="147"/>
      <c r="MLC201" s="147"/>
      <c r="MLD201" s="147"/>
      <c r="MLE201" s="147"/>
      <c r="MLF201" s="147"/>
      <c r="MLG201" s="147"/>
      <c r="MLH201" s="147"/>
      <c r="MLI201" s="147"/>
      <c r="MLJ201" s="147"/>
      <c r="MLK201" s="147"/>
      <c r="MLL201" s="147"/>
      <c r="MLM201" s="147"/>
      <c r="MLN201" s="147"/>
      <c r="MLO201" s="147"/>
      <c r="MLP201" s="147"/>
      <c r="MLQ201" s="147"/>
      <c r="MLR201" s="147"/>
      <c r="MLS201" s="147"/>
      <c r="MLT201" s="147"/>
      <c r="MLU201" s="147"/>
      <c r="MLV201" s="147"/>
      <c r="MLW201" s="147"/>
      <c r="MLX201" s="147"/>
      <c r="MLY201" s="147"/>
      <c r="MLZ201" s="147"/>
      <c r="MMA201" s="147"/>
      <c r="MMB201" s="147"/>
      <c r="MMC201" s="147"/>
      <c r="MMD201" s="147"/>
      <c r="MME201" s="147"/>
      <c r="MMF201" s="147"/>
      <c r="MMG201" s="147"/>
      <c r="MMH201" s="147"/>
      <c r="MMI201" s="147"/>
      <c r="MMJ201" s="147"/>
      <c r="MMK201" s="147"/>
      <c r="MML201" s="147"/>
      <c r="MMM201" s="147"/>
      <c r="MMN201" s="147"/>
      <c r="MMO201" s="147"/>
      <c r="MMP201" s="147"/>
      <c r="MMQ201" s="147"/>
      <c r="MMR201" s="147"/>
      <c r="MMS201" s="147"/>
      <c r="MMT201" s="147"/>
      <c r="MMU201" s="147"/>
      <c r="MMV201" s="147"/>
      <c r="MMW201" s="147"/>
      <c r="MMX201" s="147"/>
      <c r="MMY201" s="147"/>
      <c r="MMZ201" s="147"/>
      <c r="MNA201" s="147"/>
      <c r="MNB201" s="147"/>
      <c r="MNC201" s="147"/>
      <c r="MND201" s="147"/>
      <c r="MNE201" s="147"/>
      <c r="MNF201" s="147"/>
      <c r="MNG201" s="147"/>
      <c r="MNH201" s="147"/>
      <c r="MNI201" s="147"/>
      <c r="MNJ201" s="147"/>
      <c r="MNK201" s="147"/>
      <c r="MNL201" s="147"/>
      <c r="MNM201" s="147"/>
      <c r="MNN201" s="147"/>
      <c r="MNO201" s="147"/>
      <c r="MNP201" s="147"/>
      <c r="MNQ201" s="147"/>
      <c r="MNR201" s="147"/>
      <c r="MNS201" s="147"/>
      <c r="MNT201" s="147"/>
      <c r="MNU201" s="147"/>
      <c r="MNV201" s="147"/>
      <c r="MNW201" s="147"/>
      <c r="MNX201" s="147"/>
      <c r="MNY201" s="147"/>
      <c r="MNZ201" s="147"/>
      <c r="MOA201" s="147"/>
      <c r="MOB201" s="147"/>
      <c r="MOC201" s="147"/>
      <c r="MOD201" s="147"/>
      <c r="MOE201" s="147"/>
      <c r="MOF201" s="147"/>
      <c r="MOG201" s="147"/>
      <c r="MOH201" s="147"/>
      <c r="MOI201" s="147"/>
      <c r="MOJ201" s="147"/>
      <c r="MOK201" s="147"/>
      <c r="MOL201" s="147"/>
      <c r="MOM201" s="147"/>
      <c r="MON201" s="147"/>
      <c r="MOO201" s="147"/>
      <c r="MOP201" s="147"/>
      <c r="MOQ201" s="147"/>
      <c r="MOR201" s="147"/>
      <c r="MOS201" s="147"/>
      <c r="MOT201" s="147"/>
      <c r="MOU201" s="147"/>
      <c r="MOV201" s="147"/>
      <c r="MOW201" s="147"/>
      <c r="MOX201" s="147"/>
      <c r="MOY201" s="147"/>
      <c r="MOZ201" s="147"/>
      <c r="MPA201" s="147"/>
      <c r="MPB201" s="147"/>
      <c r="MPC201" s="147"/>
      <c r="MPD201" s="147"/>
      <c r="MPE201" s="147"/>
      <c r="MPF201" s="147"/>
      <c r="MPG201" s="147"/>
      <c r="MPH201" s="147"/>
      <c r="MPI201" s="147"/>
      <c r="MPJ201" s="147"/>
      <c r="MPK201" s="147"/>
      <c r="MPL201" s="147"/>
      <c r="MPM201" s="147"/>
      <c r="MPN201" s="147"/>
      <c r="MPO201" s="147"/>
      <c r="MPP201" s="147"/>
      <c r="MPQ201" s="147"/>
      <c r="MPR201" s="147"/>
      <c r="MPS201" s="147"/>
      <c r="MPT201" s="147"/>
      <c r="MPU201" s="147"/>
      <c r="MPV201" s="147"/>
      <c r="MPW201" s="147"/>
      <c r="MPX201" s="147"/>
      <c r="MPY201" s="147"/>
      <c r="MPZ201" s="147"/>
      <c r="MQA201" s="147"/>
      <c r="MQB201" s="147"/>
      <c r="MQC201" s="147"/>
      <c r="MQD201" s="147"/>
      <c r="MQE201" s="147"/>
      <c r="MQF201" s="147"/>
      <c r="MQG201" s="147"/>
      <c r="MQH201" s="147"/>
      <c r="MQI201" s="147"/>
      <c r="MQJ201" s="147"/>
      <c r="MQK201" s="147"/>
      <c r="MQL201" s="147"/>
      <c r="MQM201" s="147"/>
      <c r="MQN201" s="147"/>
      <c r="MQO201" s="147"/>
      <c r="MQP201" s="147"/>
      <c r="MQQ201" s="147"/>
      <c r="MQR201" s="147"/>
      <c r="MQS201" s="147"/>
      <c r="MQT201" s="147"/>
      <c r="MQU201" s="147"/>
      <c r="MQV201" s="147"/>
      <c r="MQW201" s="147"/>
      <c r="MQX201" s="147"/>
      <c r="MQY201" s="147"/>
      <c r="MQZ201" s="147"/>
      <c r="MRA201" s="147"/>
      <c r="MRB201" s="147"/>
      <c r="MRC201" s="147"/>
      <c r="MRD201" s="147"/>
      <c r="MRE201" s="147"/>
      <c r="MRF201" s="147"/>
      <c r="MRG201" s="147"/>
      <c r="MRH201" s="147"/>
      <c r="MRI201" s="147"/>
      <c r="MRJ201" s="147"/>
      <c r="MRK201" s="147"/>
      <c r="MRL201" s="147"/>
      <c r="MRM201" s="147"/>
      <c r="MRN201" s="147"/>
      <c r="MRO201" s="147"/>
      <c r="MRP201" s="147"/>
      <c r="MRQ201" s="147"/>
      <c r="MRR201" s="147"/>
      <c r="MRS201" s="147"/>
      <c r="MRT201" s="147"/>
      <c r="MRU201" s="147"/>
      <c r="MRV201" s="147"/>
      <c r="MRW201" s="147"/>
      <c r="MRX201" s="147"/>
      <c r="MRY201" s="147"/>
      <c r="MRZ201" s="147"/>
      <c r="MSA201" s="147"/>
      <c r="MSB201" s="147"/>
      <c r="MSC201" s="147"/>
      <c r="MSD201" s="147"/>
      <c r="MSE201" s="147"/>
      <c r="MSF201" s="147"/>
      <c r="MSG201" s="147"/>
      <c r="MSH201" s="147"/>
      <c r="MSI201" s="147"/>
      <c r="MSJ201" s="147"/>
      <c r="MSK201" s="147"/>
      <c r="MSL201" s="147"/>
      <c r="MSM201" s="147"/>
      <c r="MSN201" s="147"/>
      <c r="MSO201" s="147"/>
      <c r="MSP201" s="147"/>
      <c r="MSQ201" s="147"/>
      <c r="MSR201" s="147"/>
      <c r="MSS201" s="147"/>
      <c r="MST201" s="147"/>
      <c r="MSU201" s="147"/>
      <c r="MSV201" s="147"/>
      <c r="MSW201" s="147"/>
      <c r="MSX201" s="147"/>
      <c r="MSY201" s="147"/>
      <c r="MSZ201" s="147"/>
      <c r="MTA201" s="147"/>
      <c r="MTB201" s="147"/>
      <c r="MTC201" s="147"/>
      <c r="MTD201" s="147"/>
      <c r="MTE201" s="147"/>
      <c r="MTF201" s="147"/>
      <c r="MTG201" s="147"/>
      <c r="MTH201" s="147"/>
      <c r="MTI201" s="147"/>
      <c r="MTJ201" s="147"/>
      <c r="MTK201" s="147"/>
      <c r="MTL201" s="147"/>
      <c r="MTM201" s="147"/>
      <c r="MTN201" s="147"/>
      <c r="MTO201" s="147"/>
      <c r="MTP201" s="147"/>
      <c r="MTQ201" s="147"/>
      <c r="MTR201" s="147"/>
      <c r="MTS201" s="147"/>
      <c r="MTT201" s="147"/>
      <c r="MTU201" s="147"/>
      <c r="MTV201" s="147"/>
      <c r="MTW201" s="147"/>
      <c r="MTX201" s="147"/>
      <c r="MTY201" s="147"/>
      <c r="MTZ201" s="147"/>
      <c r="MUA201" s="147"/>
      <c r="MUB201" s="147"/>
      <c r="MUC201" s="147"/>
      <c r="MUD201" s="147"/>
      <c r="MUE201" s="147"/>
      <c r="MUF201" s="147"/>
      <c r="MUG201" s="147"/>
      <c r="MUH201" s="147"/>
      <c r="MUI201" s="147"/>
      <c r="MUJ201" s="147"/>
      <c r="MUK201" s="147"/>
      <c r="MUL201" s="147"/>
      <c r="MUM201" s="147"/>
      <c r="MUN201" s="147"/>
      <c r="MUO201" s="147"/>
      <c r="MUP201" s="147"/>
      <c r="MUQ201" s="147"/>
      <c r="MUR201" s="147"/>
      <c r="MUS201" s="147"/>
      <c r="MUT201" s="147"/>
      <c r="MUU201" s="147"/>
      <c r="MUV201" s="147"/>
      <c r="MUW201" s="147"/>
      <c r="MUX201" s="147"/>
      <c r="MUY201" s="147"/>
      <c r="MUZ201" s="147"/>
      <c r="MVA201" s="147"/>
      <c r="MVB201" s="147"/>
      <c r="MVC201" s="147"/>
      <c r="MVD201" s="147"/>
      <c r="MVE201" s="147"/>
      <c r="MVF201" s="147"/>
      <c r="MVG201" s="147"/>
      <c r="MVH201" s="147"/>
      <c r="MVI201" s="147"/>
      <c r="MVJ201" s="147"/>
      <c r="MVK201" s="147"/>
      <c r="MVL201" s="147"/>
      <c r="MVM201" s="147"/>
      <c r="MVN201" s="147"/>
      <c r="MVO201" s="147"/>
      <c r="MVP201" s="147"/>
      <c r="MVQ201" s="147"/>
      <c r="MVR201" s="147"/>
      <c r="MVS201" s="147"/>
      <c r="MVT201" s="147"/>
      <c r="MVU201" s="147"/>
      <c r="MVV201" s="147"/>
      <c r="MVW201" s="147"/>
      <c r="MVX201" s="147"/>
      <c r="MVY201" s="147"/>
      <c r="MVZ201" s="147"/>
      <c r="MWA201" s="147"/>
      <c r="MWB201" s="147"/>
      <c r="MWC201" s="147"/>
      <c r="MWD201" s="147"/>
      <c r="MWE201" s="147"/>
      <c r="MWF201" s="147"/>
      <c r="MWG201" s="147"/>
      <c r="MWH201" s="147"/>
      <c r="MWI201" s="147"/>
      <c r="MWJ201" s="147"/>
      <c r="MWK201" s="147"/>
      <c r="MWL201" s="147"/>
      <c r="MWM201" s="147"/>
      <c r="MWN201" s="147"/>
      <c r="MWO201" s="147"/>
      <c r="MWP201" s="147"/>
      <c r="MWQ201" s="147"/>
      <c r="MWR201" s="147"/>
      <c r="MWS201" s="147"/>
      <c r="MWT201" s="147"/>
      <c r="MWU201" s="147"/>
      <c r="MWV201" s="147"/>
      <c r="MWW201" s="147"/>
      <c r="MWX201" s="147"/>
      <c r="MWY201" s="147"/>
      <c r="MWZ201" s="147"/>
      <c r="MXA201" s="147"/>
      <c r="MXB201" s="147"/>
      <c r="MXC201" s="147"/>
      <c r="MXD201" s="147"/>
      <c r="MXE201" s="147"/>
      <c r="MXF201" s="147"/>
      <c r="MXG201" s="147"/>
      <c r="MXH201" s="147"/>
      <c r="MXI201" s="147"/>
      <c r="MXJ201" s="147"/>
      <c r="MXK201" s="147"/>
      <c r="MXL201" s="147"/>
      <c r="MXM201" s="147"/>
      <c r="MXN201" s="147"/>
      <c r="MXO201" s="147"/>
      <c r="MXP201" s="147"/>
      <c r="MXQ201" s="147"/>
      <c r="MXR201" s="147"/>
      <c r="MXS201" s="147"/>
      <c r="MXT201" s="147"/>
      <c r="MXU201" s="147"/>
      <c r="MXV201" s="147"/>
      <c r="MXW201" s="147"/>
      <c r="MXX201" s="147"/>
      <c r="MXY201" s="147"/>
      <c r="MXZ201" s="147"/>
      <c r="MYA201" s="147"/>
      <c r="MYB201" s="147"/>
      <c r="MYC201" s="147"/>
      <c r="MYD201" s="147"/>
      <c r="MYE201" s="147"/>
      <c r="MYF201" s="147"/>
      <c r="MYG201" s="147"/>
      <c r="MYH201" s="147"/>
      <c r="MYI201" s="147"/>
      <c r="MYJ201" s="147"/>
      <c r="MYK201" s="147"/>
      <c r="MYL201" s="147"/>
      <c r="MYM201" s="147"/>
      <c r="MYN201" s="147"/>
      <c r="MYO201" s="147"/>
      <c r="MYP201" s="147"/>
      <c r="MYQ201" s="147"/>
      <c r="MYR201" s="147"/>
      <c r="MYS201" s="147"/>
      <c r="MYT201" s="147"/>
      <c r="MYU201" s="147"/>
      <c r="MYV201" s="147"/>
      <c r="MYW201" s="147"/>
      <c r="MYX201" s="147"/>
      <c r="MYY201" s="147"/>
      <c r="MYZ201" s="147"/>
      <c r="MZA201" s="147"/>
      <c r="MZB201" s="147"/>
      <c r="MZC201" s="147"/>
      <c r="MZD201" s="147"/>
      <c r="MZE201" s="147"/>
      <c r="MZF201" s="147"/>
      <c r="MZG201" s="147"/>
      <c r="MZH201" s="147"/>
      <c r="MZI201" s="147"/>
      <c r="MZJ201" s="147"/>
      <c r="MZK201" s="147"/>
      <c r="MZL201" s="147"/>
      <c r="MZM201" s="147"/>
      <c r="MZN201" s="147"/>
      <c r="MZO201" s="147"/>
      <c r="MZP201" s="147"/>
      <c r="MZQ201" s="147"/>
      <c r="MZR201" s="147"/>
      <c r="MZS201" s="147"/>
      <c r="MZT201" s="147"/>
      <c r="MZU201" s="147"/>
      <c r="MZV201" s="147"/>
      <c r="MZW201" s="147"/>
      <c r="MZX201" s="147"/>
      <c r="MZY201" s="147"/>
      <c r="MZZ201" s="147"/>
      <c r="NAA201" s="147"/>
      <c r="NAB201" s="147"/>
      <c r="NAC201" s="147"/>
      <c r="NAD201" s="147"/>
      <c r="NAE201" s="147"/>
      <c r="NAF201" s="147"/>
      <c r="NAG201" s="147"/>
      <c r="NAH201" s="147"/>
      <c r="NAI201" s="147"/>
      <c r="NAJ201" s="147"/>
      <c r="NAK201" s="147"/>
      <c r="NAL201" s="147"/>
      <c r="NAM201" s="147"/>
      <c r="NAN201" s="147"/>
      <c r="NAO201" s="147"/>
      <c r="NAP201" s="147"/>
      <c r="NAQ201" s="147"/>
      <c r="NAR201" s="147"/>
      <c r="NAS201" s="147"/>
      <c r="NAT201" s="147"/>
      <c r="NAU201" s="147"/>
      <c r="NAV201" s="147"/>
      <c r="NAW201" s="147"/>
      <c r="NAX201" s="147"/>
      <c r="NAY201" s="147"/>
      <c r="NAZ201" s="147"/>
      <c r="NBA201" s="147"/>
      <c r="NBB201" s="147"/>
      <c r="NBC201" s="147"/>
      <c r="NBD201" s="147"/>
      <c r="NBE201" s="147"/>
      <c r="NBF201" s="147"/>
      <c r="NBG201" s="147"/>
      <c r="NBH201" s="147"/>
      <c r="NBI201" s="147"/>
      <c r="NBJ201" s="147"/>
      <c r="NBK201" s="147"/>
      <c r="NBL201" s="147"/>
      <c r="NBM201" s="147"/>
      <c r="NBN201" s="147"/>
      <c r="NBO201" s="147"/>
      <c r="NBP201" s="147"/>
      <c r="NBQ201" s="147"/>
      <c r="NBR201" s="147"/>
      <c r="NBS201" s="147"/>
      <c r="NBT201" s="147"/>
      <c r="NBU201" s="147"/>
      <c r="NBV201" s="147"/>
      <c r="NBW201" s="147"/>
      <c r="NBX201" s="147"/>
      <c r="NBY201" s="147"/>
      <c r="NBZ201" s="147"/>
      <c r="NCA201" s="147"/>
      <c r="NCB201" s="147"/>
      <c r="NCC201" s="147"/>
      <c r="NCD201" s="147"/>
      <c r="NCE201" s="147"/>
      <c r="NCF201" s="147"/>
      <c r="NCG201" s="147"/>
      <c r="NCH201" s="147"/>
      <c r="NCI201" s="147"/>
      <c r="NCJ201" s="147"/>
      <c r="NCK201" s="147"/>
      <c r="NCL201" s="147"/>
      <c r="NCM201" s="147"/>
      <c r="NCN201" s="147"/>
      <c r="NCO201" s="147"/>
      <c r="NCP201" s="147"/>
      <c r="NCQ201" s="147"/>
      <c r="NCR201" s="147"/>
      <c r="NCS201" s="147"/>
      <c r="NCT201" s="147"/>
      <c r="NCU201" s="147"/>
      <c r="NCV201" s="147"/>
      <c r="NCW201" s="147"/>
      <c r="NCX201" s="147"/>
      <c r="NCY201" s="147"/>
      <c r="NCZ201" s="147"/>
      <c r="NDA201" s="147"/>
      <c r="NDB201" s="147"/>
      <c r="NDC201" s="147"/>
      <c r="NDD201" s="147"/>
      <c r="NDE201" s="147"/>
      <c r="NDF201" s="147"/>
      <c r="NDG201" s="147"/>
      <c r="NDH201" s="147"/>
      <c r="NDI201" s="147"/>
      <c r="NDJ201" s="147"/>
      <c r="NDK201" s="147"/>
      <c r="NDL201" s="147"/>
      <c r="NDM201" s="147"/>
      <c r="NDN201" s="147"/>
      <c r="NDO201" s="147"/>
      <c r="NDP201" s="147"/>
      <c r="NDQ201" s="147"/>
      <c r="NDR201" s="147"/>
      <c r="NDS201" s="147"/>
      <c r="NDT201" s="147"/>
      <c r="NDU201" s="147"/>
      <c r="NDV201" s="147"/>
      <c r="NDW201" s="147"/>
      <c r="NDX201" s="147"/>
      <c r="NDY201" s="147"/>
      <c r="NDZ201" s="147"/>
      <c r="NEA201" s="147"/>
      <c r="NEB201" s="147"/>
      <c r="NEC201" s="147"/>
      <c r="NED201" s="147"/>
      <c r="NEE201" s="147"/>
      <c r="NEF201" s="147"/>
      <c r="NEG201" s="147"/>
      <c r="NEH201" s="147"/>
      <c r="NEI201" s="147"/>
      <c r="NEJ201" s="147"/>
      <c r="NEK201" s="147"/>
      <c r="NEL201" s="147"/>
      <c r="NEM201" s="147"/>
      <c r="NEN201" s="147"/>
      <c r="NEO201" s="147"/>
      <c r="NEP201" s="147"/>
      <c r="NEQ201" s="147"/>
      <c r="NER201" s="147"/>
      <c r="NES201" s="147"/>
      <c r="NET201" s="147"/>
      <c r="NEU201" s="147"/>
      <c r="NEV201" s="147"/>
      <c r="NEW201" s="147"/>
      <c r="NEX201" s="147"/>
      <c r="NEY201" s="147"/>
      <c r="NEZ201" s="147"/>
      <c r="NFA201" s="147"/>
      <c r="NFB201" s="147"/>
      <c r="NFC201" s="147"/>
      <c r="NFD201" s="147"/>
      <c r="NFE201" s="147"/>
      <c r="NFF201" s="147"/>
      <c r="NFG201" s="147"/>
      <c r="NFH201" s="147"/>
      <c r="NFI201" s="147"/>
      <c r="NFJ201" s="147"/>
      <c r="NFK201" s="147"/>
      <c r="NFL201" s="147"/>
      <c r="NFM201" s="147"/>
      <c r="NFN201" s="147"/>
      <c r="NFO201" s="147"/>
      <c r="NFP201" s="147"/>
      <c r="NFQ201" s="147"/>
      <c r="NFR201" s="147"/>
      <c r="NFS201" s="147"/>
      <c r="NFT201" s="147"/>
      <c r="NFU201" s="147"/>
      <c r="NFV201" s="147"/>
      <c r="NFW201" s="147"/>
      <c r="NFX201" s="147"/>
      <c r="NFY201" s="147"/>
      <c r="NFZ201" s="147"/>
      <c r="NGA201" s="147"/>
      <c r="NGB201" s="147"/>
      <c r="NGC201" s="147"/>
      <c r="NGD201" s="147"/>
      <c r="NGE201" s="147"/>
      <c r="NGF201" s="147"/>
      <c r="NGG201" s="147"/>
      <c r="NGH201" s="147"/>
      <c r="NGI201" s="147"/>
      <c r="NGJ201" s="147"/>
      <c r="NGK201" s="147"/>
      <c r="NGL201" s="147"/>
      <c r="NGM201" s="147"/>
      <c r="NGN201" s="147"/>
      <c r="NGO201" s="147"/>
      <c r="NGP201" s="147"/>
      <c r="NGQ201" s="147"/>
      <c r="NGR201" s="147"/>
      <c r="NGS201" s="147"/>
      <c r="NGT201" s="147"/>
      <c r="NGU201" s="147"/>
      <c r="NGV201" s="147"/>
      <c r="NGW201" s="147"/>
      <c r="NGX201" s="147"/>
      <c r="NGY201" s="147"/>
      <c r="NGZ201" s="147"/>
      <c r="NHA201" s="147"/>
      <c r="NHB201" s="147"/>
      <c r="NHC201" s="147"/>
      <c r="NHD201" s="147"/>
      <c r="NHE201" s="147"/>
      <c r="NHF201" s="147"/>
      <c r="NHG201" s="147"/>
      <c r="NHH201" s="147"/>
      <c r="NHI201" s="147"/>
      <c r="NHJ201" s="147"/>
      <c r="NHK201" s="147"/>
      <c r="NHL201" s="147"/>
      <c r="NHM201" s="147"/>
      <c r="NHN201" s="147"/>
      <c r="NHO201" s="147"/>
      <c r="NHP201" s="147"/>
      <c r="NHQ201" s="147"/>
      <c r="NHR201" s="147"/>
      <c r="NHS201" s="147"/>
      <c r="NHT201" s="147"/>
      <c r="NHU201" s="147"/>
      <c r="NHV201" s="147"/>
      <c r="NHW201" s="147"/>
      <c r="NHX201" s="147"/>
      <c r="NHY201" s="147"/>
      <c r="NHZ201" s="147"/>
      <c r="NIA201" s="147"/>
      <c r="NIB201" s="147"/>
      <c r="NIC201" s="147"/>
      <c r="NID201" s="147"/>
      <c r="NIE201" s="147"/>
      <c r="NIF201" s="147"/>
      <c r="NIG201" s="147"/>
      <c r="NIH201" s="147"/>
      <c r="NII201" s="147"/>
      <c r="NIJ201" s="147"/>
      <c r="NIK201" s="147"/>
      <c r="NIL201" s="147"/>
      <c r="NIM201" s="147"/>
      <c r="NIN201" s="147"/>
      <c r="NIO201" s="147"/>
      <c r="NIP201" s="147"/>
      <c r="NIQ201" s="147"/>
      <c r="NIR201" s="147"/>
      <c r="NIS201" s="147"/>
      <c r="NIT201" s="147"/>
      <c r="NIU201" s="147"/>
      <c r="NIV201" s="147"/>
      <c r="NIW201" s="147"/>
      <c r="NIX201" s="147"/>
      <c r="NIY201" s="147"/>
      <c r="NIZ201" s="147"/>
      <c r="NJA201" s="147"/>
      <c r="NJB201" s="147"/>
      <c r="NJC201" s="147"/>
      <c r="NJD201" s="147"/>
      <c r="NJE201" s="147"/>
      <c r="NJF201" s="147"/>
      <c r="NJG201" s="147"/>
      <c r="NJH201" s="147"/>
      <c r="NJI201" s="147"/>
      <c r="NJJ201" s="147"/>
      <c r="NJK201" s="147"/>
      <c r="NJL201" s="147"/>
      <c r="NJM201" s="147"/>
      <c r="NJN201" s="147"/>
      <c r="NJO201" s="147"/>
      <c r="NJP201" s="147"/>
      <c r="NJQ201" s="147"/>
      <c r="NJR201" s="147"/>
      <c r="NJS201" s="147"/>
      <c r="NJT201" s="147"/>
      <c r="NJU201" s="147"/>
      <c r="NJV201" s="147"/>
      <c r="NJW201" s="147"/>
      <c r="NJX201" s="147"/>
      <c r="NJY201" s="147"/>
      <c r="NJZ201" s="147"/>
      <c r="NKA201" s="147"/>
      <c r="NKB201" s="147"/>
      <c r="NKC201" s="147"/>
      <c r="NKD201" s="147"/>
      <c r="NKE201" s="147"/>
      <c r="NKF201" s="147"/>
      <c r="NKG201" s="147"/>
      <c r="NKH201" s="147"/>
      <c r="NKI201" s="147"/>
      <c r="NKJ201" s="147"/>
      <c r="NKK201" s="147"/>
      <c r="NKL201" s="147"/>
      <c r="NKM201" s="147"/>
      <c r="NKN201" s="147"/>
      <c r="NKO201" s="147"/>
      <c r="NKP201" s="147"/>
      <c r="NKQ201" s="147"/>
      <c r="NKR201" s="147"/>
      <c r="NKS201" s="147"/>
      <c r="NKT201" s="147"/>
      <c r="NKU201" s="147"/>
      <c r="NKV201" s="147"/>
      <c r="NKW201" s="147"/>
      <c r="NKX201" s="147"/>
      <c r="NKY201" s="147"/>
      <c r="NKZ201" s="147"/>
      <c r="NLA201" s="147"/>
      <c r="NLB201" s="147"/>
      <c r="NLC201" s="147"/>
      <c r="NLD201" s="147"/>
      <c r="NLE201" s="147"/>
      <c r="NLF201" s="147"/>
      <c r="NLG201" s="147"/>
      <c r="NLH201" s="147"/>
      <c r="NLI201" s="147"/>
      <c r="NLJ201" s="147"/>
      <c r="NLK201" s="147"/>
      <c r="NLL201" s="147"/>
      <c r="NLM201" s="147"/>
      <c r="NLN201" s="147"/>
      <c r="NLO201" s="147"/>
      <c r="NLP201" s="147"/>
      <c r="NLQ201" s="147"/>
      <c r="NLR201" s="147"/>
      <c r="NLS201" s="147"/>
      <c r="NLT201" s="147"/>
      <c r="NLU201" s="147"/>
      <c r="NLV201" s="147"/>
      <c r="NLW201" s="147"/>
      <c r="NLX201" s="147"/>
      <c r="NLY201" s="147"/>
      <c r="NLZ201" s="147"/>
      <c r="NMA201" s="147"/>
      <c r="NMB201" s="147"/>
      <c r="NMC201" s="147"/>
      <c r="NMD201" s="147"/>
      <c r="NME201" s="147"/>
      <c r="NMF201" s="147"/>
      <c r="NMG201" s="147"/>
      <c r="NMH201" s="147"/>
      <c r="NMI201" s="147"/>
      <c r="NMJ201" s="147"/>
      <c r="NMK201" s="147"/>
      <c r="NML201" s="147"/>
      <c r="NMM201" s="147"/>
      <c r="NMN201" s="147"/>
      <c r="NMO201" s="147"/>
      <c r="NMP201" s="147"/>
      <c r="NMQ201" s="147"/>
      <c r="NMR201" s="147"/>
      <c r="NMS201" s="147"/>
      <c r="NMT201" s="147"/>
      <c r="NMU201" s="147"/>
      <c r="NMV201" s="147"/>
      <c r="NMW201" s="147"/>
      <c r="NMX201" s="147"/>
      <c r="NMY201" s="147"/>
      <c r="NMZ201" s="147"/>
      <c r="NNA201" s="147"/>
      <c r="NNB201" s="147"/>
      <c r="NNC201" s="147"/>
      <c r="NND201" s="147"/>
      <c r="NNE201" s="147"/>
      <c r="NNF201" s="147"/>
      <c r="NNG201" s="147"/>
      <c r="NNH201" s="147"/>
      <c r="NNI201" s="147"/>
      <c r="NNJ201" s="147"/>
      <c r="NNK201" s="147"/>
      <c r="NNL201" s="147"/>
      <c r="NNM201" s="147"/>
      <c r="NNN201" s="147"/>
      <c r="NNO201" s="147"/>
      <c r="NNP201" s="147"/>
      <c r="NNQ201" s="147"/>
      <c r="NNR201" s="147"/>
      <c r="NNS201" s="147"/>
      <c r="NNT201" s="147"/>
      <c r="NNU201" s="147"/>
      <c r="NNV201" s="147"/>
      <c r="NNW201" s="147"/>
      <c r="NNX201" s="147"/>
      <c r="NNY201" s="147"/>
      <c r="NNZ201" s="147"/>
      <c r="NOA201" s="147"/>
      <c r="NOB201" s="147"/>
      <c r="NOC201" s="147"/>
      <c r="NOD201" s="147"/>
      <c r="NOE201" s="147"/>
      <c r="NOF201" s="147"/>
      <c r="NOG201" s="147"/>
      <c r="NOH201" s="147"/>
      <c r="NOI201" s="147"/>
      <c r="NOJ201" s="147"/>
      <c r="NOK201" s="147"/>
      <c r="NOL201" s="147"/>
      <c r="NOM201" s="147"/>
      <c r="NON201" s="147"/>
      <c r="NOO201" s="147"/>
      <c r="NOP201" s="147"/>
      <c r="NOQ201" s="147"/>
      <c r="NOR201" s="147"/>
      <c r="NOS201" s="147"/>
      <c r="NOT201" s="147"/>
      <c r="NOU201" s="147"/>
      <c r="NOV201" s="147"/>
      <c r="NOW201" s="147"/>
      <c r="NOX201" s="147"/>
      <c r="NOY201" s="147"/>
      <c r="NOZ201" s="147"/>
      <c r="NPA201" s="147"/>
      <c r="NPB201" s="147"/>
      <c r="NPC201" s="147"/>
      <c r="NPD201" s="147"/>
      <c r="NPE201" s="147"/>
      <c r="NPF201" s="147"/>
      <c r="NPG201" s="147"/>
      <c r="NPH201" s="147"/>
      <c r="NPI201" s="147"/>
      <c r="NPJ201" s="147"/>
      <c r="NPK201" s="147"/>
      <c r="NPL201" s="147"/>
      <c r="NPM201" s="147"/>
      <c r="NPN201" s="147"/>
      <c r="NPO201" s="147"/>
      <c r="NPP201" s="147"/>
      <c r="NPQ201" s="147"/>
      <c r="NPR201" s="147"/>
      <c r="NPS201" s="147"/>
      <c r="NPT201" s="147"/>
      <c r="NPU201" s="147"/>
      <c r="NPV201" s="147"/>
      <c r="NPW201" s="147"/>
      <c r="NPX201" s="147"/>
      <c r="NPY201" s="147"/>
      <c r="NPZ201" s="147"/>
      <c r="NQA201" s="147"/>
      <c r="NQB201" s="147"/>
      <c r="NQC201" s="147"/>
      <c r="NQD201" s="147"/>
      <c r="NQE201" s="147"/>
      <c r="NQF201" s="147"/>
      <c r="NQG201" s="147"/>
      <c r="NQH201" s="147"/>
      <c r="NQI201" s="147"/>
      <c r="NQJ201" s="147"/>
      <c r="NQK201" s="147"/>
      <c r="NQL201" s="147"/>
      <c r="NQM201" s="147"/>
      <c r="NQN201" s="147"/>
      <c r="NQO201" s="147"/>
      <c r="NQP201" s="147"/>
      <c r="NQQ201" s="147"/>
      <c r="NQR201" s="147"/>
      <c r="NQS201" s="147"/>
      <c r="NQT201" s="147"/>
      <c r="NQU201" s="147"/>
      <c r="NQV201" s="147"/>
      <c r="NQW201" s="147"/>
      <c r="NQX201" s="147"/>
      <c r="NQY201" s="147"/>
      <c r="NQZ201" s="147"/>
      <c r="NRA201" s="147"/>
      <c r="NRB201" s="147"/>
      <c r="NRC201" s="147"/>
      <c r="NRD201" s="147"/>
      <c r="NRE201" s="147"/>
      <c r="NRF201" s="147"/>
      <c r="NRG201" s="147"/>
      <c r="NRH201" s="147"/>
      <c r="NRI201" s="147"/>
      <c r="NRJ201" s="147"/>
      <c r="NRK201" s="147"/>
      <c r="NRL201" s="147"/>
      <c r="NRM201" s="147"/>
      <c r="NRN201" s="147"/>
      <c r="NRO201" s="147"/>
      <c r="NRP201" s="147"/>
      <c r="NRQ201" s="147"/>
      <c r="NRR201" s="147"/>
      <c r="NRS201" s="147"/>
      <c r="NRT201" s="147"/>
      <c r="NRU201" s="147"/>
      <c r="NRV201" s="147"/>
      <c r="NRW201" s="147"/>
      <c r="NRX201" s="147"/>
      <c r="NRY201" s="147"/>
      <c r="NRZ201" s="147"/>
      <c r="NSA201" s="147"/>
      <c r="NSB201" s="147"/>
      <c r="NSC201" s="147"/>
      <c r="NSD201" s="147"/>
      <c r="NSE201" s="147"/>
      <c r="NSF201" s="147"/>
      <c r="NSG201" s="147"/>
      <c r="NSH201" s="147"/>
      <c r="NSI201" s="147"/>
      <c r="NSJ201" s="147"/>
      <c r="NSK201" s="147"/>
      <c r="NSL201" s="147"/>
      <c r="NSM201" s="147"/>
      <c r="NSN201" s="147"/>
      <c r="NSO201" s="147"/>
      <c r="NSP201" s="147"/>
      <c r="NSQ201" s="147"/>
      <c r="NSR201" s="147"/>
      <c r="NSS201" s="147"/>
      <c r="NST201" s="147"/>
      <c r="NSU201" s="147"/>
      <c r="NSV201" s="147"/>
      <c r="NSW201" s="147"/>
      <c r="NSX201" s="147"/>
      <c r="NSY201" s="147"/>
      <c r="NSZ201" s="147"/>
      <c r="NTA201" s="147"/>
      <c r="NTB201" s="147"/>
      <c r="NTC201" s="147"/>
      <c r="NTD201" s="147"/>
      <c r="NTE201" s="147"/>
      <c r="NTF201" s="147"/>
      <c r="NTG201" s="147"/>
      <c r="NTH201" s="147"/>
      <c r="NTI201" s="147"/>
      <c r="NTJ201" s="147"/>
      <c r="NTK201" s="147"/>
      <c r="NTL201" s="147"/>
      <c r="NTM201" s="147"/>
      <c r="NTN201" s="147"/>
      <c r="NTO201" s="147"/>
      <c r="NTP201" s="147"/>
      <c r="NTQ201" s="147"/>
      <c r="NTR201" s="147"/>
      <c r="NTS201" s="147"/>
      <c r="NTT201" s="147"/>
      <c r="NTU201" s="147"/>
      <c r="NTV201" s="147"/>
      <c r="NTW201" s="147"/>
      <c r="NTX201" s="147"/>
      <c r="NTY201" s="147"/>
      <c r="NTZ201" s="147"/>
      <c r="NUA201" s="147"/>
      <c r="NUB201" s="147"/>
      <c r="NUC201" s="147"/>
      <c r="NUD201" s="147"/>
      <c r="NUE201" s="147"/>
      <c r="NUF201" s="147"/>
      <c r="NUG201" s="147"/>
      <c r="NUH201" s="147"/>
      <c r="NUI201" s="147"/>
      <c r="NUJ201" s="147"/>
      <c r="NUK201" s="147"/>
      <c r="NUL201" s="147"/>
      <c r="NUM201" s="147"/>
      <c r="NUN201" s="147"/>
      <c r="NUO201" s="147"/>
      <c r="NUP201" s="147"/>
      <c r="NUQ201" s="147"/>
      <c r="NUR201" s="147"/>
      <c r="NUS201" s="147"/>
      <c r="NUT201" s="147"/>
      <c r="NUU201" s="147"/>
      <c r="NUV201" s="147"/>
      <c r="NUW201" s="147"/>
      <c r="NUX201" s="147"/>
      <c r="NUY201" s="147"/>
      <c r="NUZ201" s="147"/>
      <c r="NVA201" s="147"/>
      <c r="NVB201" s="147"/>
      <c r="NVC201" s="147"/>
      <c r="NVD201" s="147"/>
      <c r="NVE201" s="147"/>
      <c r="NVF201" s="147"/>
      <c r="NVG201" s="147"/>
      <c r="NVH201" s="147"/>
      <c r="NVI201" s="147"/>
      <c r="NVJ201" s="147"/>
      <c r="NVK201" s="147"/>
      <c r="NVL201" s="147"/>
      <c r="NVM201" s="147"/>
      <c r="NVN201" s="147"/>
      <c r="NVO201" s="147"/>
      <c r="NVP201" s="147"/>
      <c r="NVQ201" s="147"/>
      <c r="NVR201" s="147"/>
      <c r="NVS201" s="147"/>
      <c r="NVT201" s="147"/>
      <c r="NVU201" s="147"/>
      <c r="NVV201" s="147"/>
      <c r="NVW201" s="147"/>
      <c r="NVX201" s="147"/>
      <c r="NVY201" s="147"/>
      <c r="NVZ201" s="147"/>
      <c r="NWA201" s="147"/>
      <c r="NWB201" s="147"/>
      <c r="NWC201" s="147"/>
      <c r="NWD201" s="147"/>
      <c r="NWE201" s="147"/>
      <c r="NWF201" s="147"/>
      <c r="NWG201" s="147"/>
      <c r="NWH201" s="147"/>
      <c r="NWI201" s="147"/>
      <c r="NWJ201" s="147"/>
      <c r="NWK201" s="147"/>
      <c r="NWL201" s="147"/>
      <c r="NWM201" s="147"/>
      <c r="NWN201" s="147"/>
      <c r="NWO201" s="147"/>
      <c r="NWP201" s="147"/>
      <c r="NWQ201" s="147"/>
      <c r="NWR201" s="147"/>
      <c r="NWS201" s="147"/>
      <c r="NWT201" s="147"/>
      <c r="NWU201" s="147"/>
      <c r="NWV201" s="147"/>
      <c r="NWW201" s="147"/>
      <c r="NWX201" s="147"/>
      <c r="NWY201" s="147"/>
      <c r="NWZ201" s="147"/>
      <c r="NXA201" s="147"/>
      <c r="NXB201" s="147"/>
      <c r="NXC201" s="147"/>
      <c r="NXD201" s="147"/>
      <c r="NXE201" s="147"/>
      <c r="NXF201" s="147"/>
      <c r="NXG201" s="147"/>
      <c r="NXH201" s="147"/>
      <c r="NXI201" s="147"/>
      <c r="NXJ201" s="147"/>
      <c r="NXK201" s="147"/>
      <c r="NXL201" s="147"/>
      <c r="NXM201" s="147"/>
      <c r="NXN201" s="147"/>
      <c r="NXO201" s="147"/>
      <c r="NXP201" s="147"/>
      <c r="NXQ201" s="147"/>
      <c r="NXR201" s="147"/>
      <c r="NXS201" s="147"/>
      <c r="NXT201" s="147"/>
      <c r="NXU201" s="147"/>
      <c r="NXV201" s="147"/>
      <c r="NXW201" s="147"/>
      <c r="NXX201" s="147"/>
      <c r="NXY201" s="147"/>
      <c r="NXZ201" s="147"/>
      <c r="NYA201" s="147"/>
      <c r="NYB201" s="147"/>
      <c r="NYC201" s="147"/>
      <c r="NYD201" s="147"/>
      <c r="NYE201" s="147"/>
      <c r="NYF201" s="147"/>
      <c r="NYG201" s="147"/>
      <c r="NYH201" s="147"/>
      <c r="NYI201" s="147"/>
      <c r="NYJ201" s="147"/>
      <c r="NYK201" s="147"/>
      <c r="NYL201" s="147"/>
      <c r="NYM201" s="147"/>
      <c r="NYN201" s="147"/>
      <c r="NYO201" s="147"/>
      <c r="NYP201" s="147"/>
      <c r="NYQ201" s="147"/>
      <c r="NYR201" s="147"/>
      <c r="NYS201" s="147"/>
      <c r="NYT201" s="147"/>
      <c r="NYU201" s="147"/>
      <c r="NYV201" s="147"/>
      <c r="NYW201" s="147"/>
      <c r="NYX201" s="147"/>
      <c r="NYY201" s="147"/>
      <c r="NYZ201" s="147"/>
      <c r="NZA201" s="147"/>
      <c r="NZB201" s="147"/>
      <c r="NZC201" s="147"/>
      <c r="NZD201" s="147"/>
      <c r="NZE201" s="147"/>
      <c r="NZF201" s="147"/>
      <c r="NZG201" s="147"/>
      <c r="NZH201" s="147"/>
      <c r="NZI201" s="147"/>
      <c r="NZJ201" s="147"/>
      <c r="NZK201" s="147"/>
      <c r="NZL201" s="147"/>
      <c r="NZM201" s="147"/>
      <c r="NZN201" s="147"/>
      <c r="NZO201" s="147"/>
      <c r="NZP201" s="147"/>
      <c r="NZQ201" s="147"/>
      <c r="NZR201" s="147"/>
      <c r="NZS201" s="147"/>
      <c r="NZT201" s="147"/>
      <c r="NZU201" s="147"/>
      <c r="NZV201" s="147"/>
      <c r="NZW201" s="147"/>
      <c r="NZX201" s="147"/>
      <c r="NZY201" s="147"/>
      <c r="NZZ201" s="147"/>
      <c r="OAA201" s="147"/>
      <c r="OAB201" s="147"/>
      <c r="OAC201" s="147"/>
      <c r="OAD201" s="147"/>
      <c r="OAE201" s="147"/>
      <c r="OAF201" s="147"/>
      <c r="OAG201" s="147"/>
      <c r="OAH201" s="147"/>
      <c r="OAI201" s="147"/>
      <c r="OAJ201" s="147"/>
      <c r="OAK201" s="147"/>
      <c r="OAL201" s="147"/>
      <c r="OAM201" s="147"/>
      <c r="OAN201" s="147"/>
      <c r="OAO201" s="147"/>
      <c r="OAP201" s="147"/>
      <c r="OAQ201" s="147"/>
      <c r="OAR201" s="147"/>
      <c r="OAS201" s="147"/>
      <c r="OAT201" s="147"/>
      <c r="OAU201" s="147"/>
      <c r="OAV201" s="147"/>
      <c r="OAW201" s="147"/>
      <c r="OAX201" s="147"/>
      <c r="OAY201" s="147"/>
      <c r="OAZ201" s="147"/>
      <c r="OBA201" s="147"/>
      <c r="OBB201" s="147"/>
      <c r="OBC201" s="147"/>
      <c r="OBD201" s="147"/>
      <c r="OBE201" s="147"/>
      <c r="OBF201" s="147"/>
      <c r="OBG201" s="147"/>
      <c r="OBH201" s="147"/>
      <c r="OBI201" s="147"/>
      <c r="OBJ201" s="147"/>
      <c r="OBK201" s="147"/>
      <c r="OBL201" s="147"/>
      <c r="OBM201" s="147"/>
      <c r="OBN201" s="147"/>
      <c r="OBO201" s="147"/>
      <c r="OBP201" s="147"/>
      <c r="OBQ201" s="147"/>
      <c r="OBR201" s="147"/>
      <c r="OBS201" s="147"/>
      <c r="OBT201" s="147"/>
      <c r="OBU201" s="147"/>
      <c r="OBV201" s="147"/>
      <c r="OBW201" s="147"/>
      <c r="OBX201" s="147"/>
      <c r="OBY201" s="147"/>
      <c r="OBZ201" s="147"/>
      <c r="OCA201" s="147"/>
      <c r="OCB201" s="147"/>
      <c r="OCC201" s="147"/>
      <c r="OCD201" s="147"/>
      <c r="OCE201" s="147"/>
      <c r="OCF201" s="147"/>
      <c r="OCG201" s="147"/>
      <c r="OCH201" s="147"/>
      <c r="OCI201" s="147"/>
      <c r="OCJ201" s="147"/>
      <c r="OCK201" s="147"/>
      <c r="OCL201" s="147"/>
      <c r="OCM201" s="147"/>
      <c r="OCN201" s="147"/>
      <c r="OCO201" s="147"/>
      <c r="OCP201" s="147"/>
      <c r="OCQ201" s="147"/>
      <c r="OCR201" s="147"/>
      <c r="OCS201" s="147"/>
      <c r="OCT201" s="147"/>
      <c r="OCU201" s="147"/>
      <c r="OCV201" s="147"/>
      <c r="OCW201" s="147"/>
      <c r="OCX201" s="147"/>
      <c r="OCY201" s="147"/>
      <c r="OCZ201" s="147"/>
      <c r="ODA201" s="147"/>
      <c r="ODB201" s="147"/>
      <c r="ODC201" s="147"/>
      <c r="ODD201" s="147"/>
      <c r="ODE201" s="147"/>
      <c r="ODF201" s="147"/>
      <c r="ODG201" s="147"/>
      <c r="ODH201" s="147"/>
      <c r="ODI201" s="147"/>
      <c r="ODJ201" s="147"/>
      <c r="ODK201" s="147"/>
      <c r="ODL201" s="147"/>
      <c r="ODM201" s="147"/>
      <c r="ODN201" s="147"/>
      <c r="ODO201" s="147"/>
      <c r="ODP201" s="147"/>
      <c r="ODQ201" s="147"/>
      <c r="ODR201" s="147"/>
      <c r="ODS201" s="147"/>
      <c r="ODT201" s="147"/>
      <c r="ODU201" s="147"/>
      <c r="ODV201" s="147"/>
      <c r="ODW201" s="147"/>
      <c r="ODX201" s="147"/>
      <c r="ODY201" s="147"/>
      <c r="ODZ201" s="147"/>
      <c r="OEA201" s="147"/>
      <c r="OEB201" s="147"/>
      <c r="OEC201" s="147"/>
      <c r="OED201" s="147"/>
      <c r="OEE201" s="147"/>
      <c r="OEF201" s="147"/>
      <c r="OEG201" s="147"/>
      <c r="OEH201" s="147"/>
      <c r="OEI201" s="147"/>
      <c r="OEJ201" s="147"/>
      <c r="OEK201" s="147"/>
      <c r="OEL201" s="147"/>
      <c r="OEM201" s="147"/>
      <c r="OEN201" s="147"/>
      <c r="OEO201" s="147"/>
      <c r="OEP201" s="147"/>
      <c r="OEQ201" s="147"/>
      <c r="OER201" s="147"/>
      <c r="OES201" s="147"/>
      <c r="OET201" s="147"/>
      <c r="OEU201" s="147"/>
      <c r="OEV201" s="147"/>
      <c r="OEW201" s="147"/>
      <c r="OEX201" s="147"/>
      <c r="OEY201" s="147"/>
      <c r="OEZ201" s="147"/>
      <c r="OFA201" s="147"/>
      <c r="OFB201" s="147"/>
      <c r="OFC201" s="147"/>
      <c r="OFD201" s="147"/>
      <c r="OFE201" s="147"/>
      <c r="OFF201" s="147"/>
      <c r="OFG201" s="147"/>
      <c r="OFH201" s="147"/>
      <c r="OFI201" s="147"/>
      <c r="OFJ201" s="147"/>
      <c r="OFK201" s="147"/>
      <c r="OFL201" s="147"/>
      <c r="OFM201" s="147"/>
      <c r="OFN201" s="147"/>
      <c r="OFO201" s="147"/>
      <c r="OFP201" s="147"/>
      <c r="OFQ201" s="147"/>
      <c r="OFR201" s="147"/>
      <c r="OFS201" s="147"/>
      <c r="OFT201" s="147"/>
      <c r="OFU201" s="147"/>
      <c r="OFV201" s="147"/>
      <c r="OFW201" s="147"/>
      <c r="OFX201" s="147"/>
      <c r="OFY201" s="147"/>
      <c r="OFZ201" s="147"/>
      <c r="OGA201" s="147"/>
      <c r="OGB201" s="147"/>
      <c r="OGC201" s="147"/>
      <c r="OGD201" s="147"/>
      <c r="OGE201" s="147"/>
      <c r="OGF201" s="147"/>
      <c r="OGG201" s="147"/>
      <c r="OGH201" s="147"/>
      <c r="OGI201" s="147"/>
      <c r="OGJ201" s="147"/>
      <c r="OGK201" s="147"/>
      <c r="OGL201" s="147"/>
      <c r="OGM201" s="147"/>
      <c r="OGN201" s="147"/>
      <c r="OGO201" s="147"/>
      <c r="OGP201" s="147"/>
      <c r="OGQ201" s="147"/>
      <c r="OGR201" s="147"/>
      <c r="OGS201" s="147"/>
      <c r="OGT201" s="147"/>
      <c r="OGU201" s="147"/>
      <c r="OGV201" s="147"/>
      <c r="OGW201" s="147"/>
      <c r="OGX201" s="147"/>
      <c r="OGY201" s="147"/>
      <c r="OGZ201" s="147"/>
      <c r="OHA201" s="147"/>
      <c r="OHB201" s="147"/>
      <c r="OHC201" s="147"/>
      <c r="OHD201" s="147"/>
      <c r="OHE201" s="147"/>
      <c r="OHF201" s="147"/>
      <c r="OHG201" s="147"/>
      <c r="OHH201" s="147"/>
      <c r="OHI201" s="147"/>
      <c r="OHJ201" s="147"/>
      <c r="OHK201" s="147"/>
      <c r="OHL201" s="147"/>
      <c r="OHM201" s="147"/>
      <c r="OHN201" s="147"/>
      <c r="OHO201" s="147"/>
      <c r="OHP201" s="147"/>
      <c r="OHQ201" s="147"/>
      <c r="OHR201" s="147"/>
      <c r="OHS201" s="147"/>
      <c r="OHT201" s="147"/>
      <c r="OHU201" s="147"/>
      <c r="OHV201" s="147"/>
      <c r="OHW201" s="147"/>
      <c r="OHX201" s="147"/>
      <c r="OHY201" s="147"/>
      <c r="OHZ201" s="147"/>
      <c r="OIA201" s="147"/>
      <c r="OIB201" s="147"/>
      <c r="OIC201" s="147"/>
      <c r="OID201" s="147"/>
      <c r="OIE201" s="147"/>
      <c r="OIF201" s="147"/>
      <c r="OIG201" s="147"/>
      <c r="OIH201" s="147"/>
      <c r="OII201" s="147"/>
      <c r="OIJ201" s="147"/>
      <c r="OIK201" s="147"/>
      <c r="OIL201" s="147"/>
      <c r="OIM201" s="147"/>
      <c r="OIN201" s="147"/>
      <c r="OIO201" s="147"/>
      <c r="OIP201" s="147"/>
      <c r="OIQ201" s="147"/>
      <c r="OIR201" s="147"/>
      <c r="OIS201" s="147"/>
      <c r="OIT201" s="147"/>
      <c r="OIU201" s="147"/>
      <c r="OIV201" s="147"/>
      <c r="OIW201" s="147"/>
      <c r="OIX201" s="147"/>
      <c r="OIY201" s="147"/>
      <c r="OIZ201" s="147"/>
      <c r="OJA201" s="147"/>
      <c r="OJB201" s="147"/>
      <c r="OJC201" s="147"/>
      <c r="OJD201" s="147"/>
      <c r="OJE201" s="147"/>
      <c r="OJF201" s="147"/>
      <c r="OJG201" s="147"/>
      <c r="OJH201" s="147"/>
      <c r="OJI201" s="147"/>
      <c r="OJJ201" s="147"/>
      <c r="OJK201" s="147"/>
      <c r="OJL201" s="147"/>
      <c r="OJM201" s="147"/>
      <c r="OJN201" s="147"/>
      <c r="OJO201" s="147"/>
      <c r="OJP201" s="147"/>
      <c r="OJQ201" s="147"/>
      <c r="OJR201" s="147"/>
      <c r="OJS201" s="147"/>
      <c r="OJT201" s="147"/>
      <c r="OJU201" s="147"/>
      <c r="OJV201" s="147"/>
      <c r="OJW201" s="147"/>
      <c r="OJX201" s="147"/>
      <c r="OJY201" s="147"/>
      <c r="OJZ201" s="147"/>
      <c r="OKA201" s="147"/>
      <c r="OKB201" s="147"/>
      <c r="OKC201" s="147"/>
      <c r="OKD201" s="147"/>
      <c r="OKE201" s="147"/>
      <c r="OKF201" s="147"/>
      <c r="OKG201" s="147"/>
      <c r="OKH201" s="147"/>
      <c r="OKI201" s="147"/>
      <c r="OKJ201" s="147"/>
      <c r="OKK201" s="147"/>
      <c r="OKL201" s="147"/>
      <c r="OKM201" s="147"/>
      <c r="OKN201" s="147"/>
      <c r="OKO201" s="147"/>
      <c r="OKP201" s="147"/>
      <c r="OKQ201" s="147"/>
      <c r="OKR201" s="147"/>
      <c r="OKS201" s="147"/>
      <c r="OKT201" s="147"/>
      <c r="OKU201" s="147"/>
      <c r="OKV201" s="147"/>
      <c r="OKW201" s="147"/>
      <c r="OKX201" s="147"/>
      <c r="OKY201" s="147"/>
      <c r="OKZ201" s="147"/>
      <c r="OLA201" s="147"/>
      <c r="OLB201" s="147"/>
      <c r="OLC201" s="147"/>
      <c r="OLD201" s="147"/>
      <c r="OLE201" s="147"/>
      <c r="OLF201" s="147"/>
      <c r="OLG201" s="147"/>
      <c r="OLH201" s="147"/>
      <c r="OLI201" s="147"/>
      <c r="OLJ201" s="147"/>
      <c r="OLK201" s="147"/>
      <c r="OLL201" s="147"/>
      <c r="OLM201" s="147"/>
      <c r="OLN201" s="147"/>
      <c r="OLO201" s="147"/>
      <c r="OLP201" s="147"/>
      <c r="OLQ201" s="147"/>
      <c r="OLR201" s="147"/>
      <c r="OLS201" s="147"/>
      <c r="OLT201" s="147"/>
      <c r="OLU201" s="147"/>
      <c r="OLV201" s="147"/>
      <c r="OLW201" s="147"/>
      <c r="OLX201" s="147"/>
      <c r="OLY201" s="147"/>
      <c r="OLZ201" s="147"/>
      <c r="OMA201" s="147"/>
      <c r="OMB201" s="147"/>
      <c r="OMC201" s="147"/>
      <c r="OMD201" s="147"/>
      <c r="OME201" s="147"/>
      <c r="OMF201" s="147"/>
      <c r="OMG201" s="147"/>
      <c r="OMH201" s="147"/>
      <c r="OMI201" s="147"/>
      <c r="OMJ201" s="147"/>
      <c r="OMK201" s="147"/>
      <c r="OML201" s="147"/>
      <c r="OMM201" s="147"/>
      <c r="OMN201" s="147"/>
      <c r="OMO201" s="147"/>
      <c r="OMP201" s="147"/>
      <c r="OMQ201" s="147"/>
      <c r="OMR201" s="147"/>
      <c r="OMS201" s="147"/>
      <c r="OMT201" s="147"/>
      <c r="OMU201" s="147"/>
      <c r="OMV201" s="147"/>
      <c r="OMW201" s="147"/>
      <c r="OMX201" s="147"/>
      <c r="OMY201" s="147"/>
      <c r="OMZ201" s="147"/>
      <c r="ONA201" s="147"/>
      <c r="ONB201" s="147"/>
      <c r="ONC201" s="147"/>
      <c r="OND201" s="147"/>
      <c r="ONE201" s="147"/>
      <c r="ONF201" s="147"/>
      <c r="ONG201" s="147"/>
      <c r="ONH201" s="147"/>
      <c r="ONI201" s="147"/>
      <c r="ONJ201" s="147"/>
      <c r="ONK201" s="147"/>
      <c r="ONL201" s="147"/>
      <c r="ONM201" s="147"/>
      <c r="ONN201" s="147"/>
      <c r="ONO201" s="147"/>
      <c r="ONP201" s="147"/>
      <c r="ONQ201" s="147"/>
      <c r="ONR201" s="147"/>
      <c r="ONS201" s="147"/>
      <c r="ONT201" s="147"/>
      <c r="ONU201" s="147"/>
      <c r="ONV201" s="147"/>
      <c r="ONW201" s="147"/>
      <c r="ONX201" s="147"/>
      <c r="ONY201" s="147"/>
      <c r="ONZ201" s="147"/>
      <c r="OOA201" s="147"/>
      <c r="OOB201" s="147"/>
      <c r="OOC201" s="147"/>
      <c r="OOD201" s="147"/>
      <c r="OOE201" s="147"/>
      <c r="OOF201" s="147"/>
      <c r="OOG201" s="147"/>
      <c r="OOH201" s="147"/>
      <c r="OOI201" s="147"/>
      <c r="OOJ201" s="147"/>
      <c r="OOK201" s="147"/>
      <c r="OOL201" s="147"/>
      <c r="OOM201" s="147"/>
      <c r="OON201" s="147"/>
      <c r="OOO201" s="147"/>
      <c r="OOP201" s="147"/>
      <c r="OOQ201" s="147"/>
      <c r="OOR201" s="147"/>
      <c r="OOS201" s="147"/>
      <c r="OOT201" s="147"/>
      <c r="OOU201" s="147"/>
      <c r="OOV201" s="147"/>
      <c r="OOW201" s="147"/>
      <c r="OOX201" s="147"/>
      <c r="OOY201" s="147"/>
      <c r="OOZ201" s="147"/>
      <c r="OPA201" s="147"/>
      <c r="OPB201" s="147"/>
      <c r="OPC201" s="147"/>
      <c r="OPD201" s="147"/>
      <c r="OPE201" s="147"/>
      <c r="OPF201" s="147"/>
      <c r="OPG201" s="147"/>
      <c r="OPH201" s="147"/>
      <c r="OPI201" s="147"/>
      <c r="OPJ201" s="147"/>
      <c r="OPK201" s="147"/>
      <c r="OPL201" s="147"/>
      <c r="OPM201" s="147"/>
      <c r="OPN201" s="147"/>
      <c r="OPO201" s="147"/>
      <c r="OPP201" s="147"/>
      <c r="OPQ201" s="147"/>
      <c r="OPR201" s="147"/>
      <c r="OPS201" s="147"/>
      <c r="OPT201" s="147"/>
      <c r="OPU201" s="147"/>
      <c r="OPV201" s="147"/>
      <c r="OPW201" s="147"/>
      <c r="OPX201" s="147"/>
      <c r="OPY201" s="147"/>
      <c r="OPZ201" s="147"/>
      <c r="OQA201" s="147"/>
      <c r="OQB201" s="147"/>
      <c r="OQC201" s="147"/>
      <c r="OQD201" s="147"/>
      <c r="OQE201" s="147"/>
      <c r="OQF201" s="147"/>
      <c r="OQG201" s="147"/>
      <c r="OQH201" s="147"/>
      <c r="OQI201" s="147"/>
      <c r="OQJ201" s="147"/>
      <c r="OQK201" s="147"/>
      <c r="OQL201" s="147"/>
      <c r="OQM201" s="147"/>
      <c r="OQN201" s="147"/>
      <c r="OQO201" s="147"/>
      <c r="OQP201" s="147"/>
      <c r="OQQ201" s="147"/>
      <c r="OQR201" s="147"/>
      <c r="OQS201" s="147"/>
      <c r="OQT201" s="147"/>
      <c r="OQU201" s="147"/>
      <c r="OQV201" s="147"/>
      <c r="OQW201" s="147"/>
      <c r="OQX201" s="147"/>
      <c r="OQY201" s="147"/>
      <c r="OQZ201" s="147"/>
      <c r="ORA201" s="147"/>
      <c r="ORB201" s="147"/>
      <c r="ORC201" s="147"/>
      <c r="ORD201" s="147"/>
      <c r="ORE201" s="147"/>
      <c r="ORF201" s="147"/>
      <c r="ORG201" s="147"/>
      <c r="ORH201" s="147"/>
      <c r="ORI201" s="147"/>
      <c r="ORJ201" s="147"/>
      <c r="ORK201" s="147"/>
      <c r="ORL201" s="147"/>
      <c r="ORM201" s="147"/>
      <c r="ORN201" s="147"/>
      <c r="ORO201" s="147"/>
      <c r="ORP201" s="147"/>
      <c r="ORQ201" s="147"/>
      <c r="ORR201" s="147"/>
      <c r="ORS201" s="147"/>
      <c r="ORT201" s="147"/>
      <c r="ORU201" s="147"/>
      <c r="ORV201" s="147"/>
      <c r="ORW201" s="147"/>
      <c r="ORX201" s="147"/>
      <c r="ORY201" s="147"/>
      <c r="ORZ201" s="147"/>
      <c r="OSA201" s="147"/>
      <c r="OSB201" s="147"/>
      <c r="OSC201" s="147"/>
      <c r="OSD201" s="147"/>
      <c r="OSE201" s="147"/>
      <c r="OSF201" s="147"/>
      <c r="OSG201" s="147"/>
      <c r="OSH201" s="147"/>
      <c r="OSI201" s="147"/>
      <c r="OSJ201" s="147"/>
      <c r="OSK201" s="147"/>
      <c r="OSL201" s="147"/>
      <c r="OSM201" s="147"/>
      <c r="OSN201" s="147"/>
      <c r="OSO201" s="147"/>
      <c r="OSP201" s="147"/>
      <c r="OSQ201" s="147"/>
      <c r="OSR201" s="147"/>
      <c r="OSS201" s="147"/>
      <c r="OST201" s="147"/>
      <c r="OSU201" s="147"/>
      <c r="OSV201" s="147"/>
      <c r="OSW201" s="147"/>
      <c r="OSX201" s="147"/>
      <c r="OSY201" s="147"/>
      <c r="OSZ201" s="147"/>
      <c r="OTA201" s="147"/>
      <c r="OTB201" s="147"/>
      <c r="OTC201" s="147"/>
      <c r="OTD201" s="147"/>
      <c r="OTE201" s="147"/>
      <c r="OTF201" s="147"/>
      <c r="OTG201" s="147"/>
      <c r="OTH201" s="147"/>
      <c r="OTI201" s="147"/>
      <c r="OTJ201" s="147"/>
      <c r="OTK201" s="147"/>
      <c r="OTL201" s="147"/>
      <c r="OTM201" s="147"/>
      <c r="OTN201" s="147"/>
      <c r="OTO201" s="147"/>
      <c r="OTP201" s="147"/>
      <c r="OTQ201" s="147"/>
      <c r="OTR201" s="147"/>
      <c r="OTS201" s="147"/>
      <c r="OTT201" s="147"/>
      <c r="OTU201" s="147"/>
      <c r="OTV201" s="147"/>
      <c r="OTW201" s="147"/>
      <c r="OTX201" s="147"/>
      <c r="OTY201" s="147"/>
      <c r="OTZ201" s="147"/>
      <c r="OUA201" s="147"/>
      <c r="OUB201" s="147"/>
      <c r="OUC201" s="147"/>
      <c r="OUD201" s="147"/>
      <c r="OUE201" s="147"/>
      <c r="OUF201" s="147"/>
      <c r="OUG201" s="147"/>
      <c r="OUH201" s="147"/>
      <c r="OUI201" s="147"/>
      <c r="OUJ201" s="147"/>
      <c r="OUK201" s="147"/>
      <c r="OUL201" s="147"/>
      <c r="OUM201" s="147"/>
      <c r="OUN201" s="147"/>
      <c r="OUO201" s="147"/>
      <c r="OUP201" s="147"/>
      <c r="OUQ201" s="147"/>
      <c r="OUR201" s="147"/>
      <c r="OUS201" s="147"/>
      <c r="OUT201" s="147"/>
      <c r="OUU201" s="147"/>
      <c r="OUV201" s="147"/>
      <c r="OUW201" s="147"/>
      <c r="OUX201" s="147"/>
      <c r="OUY201" s="147"/>
      <c r="OUZ201" s="147"/>
      <c r="OVA201" s="147"/>
      <c r="OVB201" s="147"/>
      <c r="OVC201" s="147"/>
      <c r="OVD201" s="147"/>
      <c r="OVE201" s="147"/>
      <c r="OVF201" s="147"/>
      <c r="OVG201" s="147"/>
      <c r="OVH201" s="147"/>
      <c r="OVI201" s="147"/>
      <c r="OVJ201" s="147"/>
      <c r="OVK201" s="147"/>
      <c r="OVL201" s="147"/>
      <c r="OVM201" s="147"/>
      <c r="OVN201" s="147"/>
      <c r="OVO201" s="147"/>
      <c r="OVP201" s="147"/>
      <c r="OVQ201" s="147"/>
      <c r="OVR201" s="147"/>
      <c r="OVS201" s="147"/>
      <c r="OVT201" s="147"/>
      <c r="OVU201" s="147"/>
      <c r="OVV201" s="147"/>
      <c r="OVW201" s="147"/>
      <c r="OVX201" s="147"/>
      <c r="OVY201" s="147"/>
      <c r="OVZ201" s="147"/>
      <c r="OWA201" s="147"/>
      <c r="OWB201" s="147"/>
      <c r="OWC201" s="147"/>
      <c r="OWD201" s="147"/>
      <c r="OWE201" s="147"/>
      <c r="OWF201" s="147"/>
      <c r="OWG201" s="147"/>
      <c r="OWH201" s="147"/>
      <c r="OWI201" s="147"/>
      <c r="OWJ201" s="147"/>
      <c r="OWK201" s="147"/>
      <c r="OWL201" s="147"/>
      <c r="OWM201" s="147"/>
      <c r="OWN201" s="147"/>
      <c r="OWO201" s="147"/>
      <c r="OWP201" s="147"/>
      <c r="OWQ201" s="147"/>
      <c r="OWR201" s="147"/>
      <c r="OWS201" s="147"/>
      <c r="OWT201" s="147"/>
      <c r="OWU201" s="147"/>
      <c r="OWV201" s="147"/>
      <c r="OWW201" s="147"/>
      <c r="OWX201" s="147"/>
      <c r="OWY201" s="147"/>
      <c r="OWZ201" s="147"/>
      <c r="OXA201" s="147"/>
      <c r="OXB201" s="147"/>
      <c r="OXC201" s="147"/>
      <c r="OXD201" s="147"/>
      <c r="OXE201" s="147"/>
      <c r="OXF201" s="147"/>
      <c r="OXG201" s="147"/>
      <c r="OXH201" s="147"/>
      <c r="OXI201" s="147"/>
      <c r="OXJ201" s="147"/>
      <c r="OXK201" s="147"/>
      <c r="OXL201" s="147"/>
      <c r="OXM201" s="147"/>
      <c r="OXN201" s="147"/>
      <c r="OXO201" s="147"/>
      <c r="OXP201" s="147"/>
      <c r="OXQ201" s="147"/>
      <c r="OXR201" s="147"/>
      <c r="OXS201" s="147"/>
      <c r="OXT201" s="147"/>
      <c r="OXU201" s="147"/>
      <c r="OXV201" s="147"/>
      <c r="OXW201" s="147"/>
      <c r="OXX201" s="147"/>
      <c r="OXY201" s="147"/>
      <c r="OXZ201" s="147"/>
      <c r="OYA201" s="147"/>
      <c r="OYB201" s="147"/>
      <c r="OYC201" s="147"/>
      <c r="OYD201" s="147"/>
      <c r="OYE201" s="147"/>
      <c r="OYF201" s="147"/>
      <c r="OYG201" s="147"/>
      <c r="OYH201" s="147"/>
      <c r="OYI201" s="147"/>
      <c r="OYJ201" s="147"/>
      <c r="OYK201" s="147"/>
      <c r="OYL201" s="147"/>
      <c r="OYM201" s="147"/>
      <c r="OYN201" s="147"/>
      <c r="OYO201" s="147"/>
      <c r="OYP201" s="147"/>
      <c r="OYQ201" s="147"/>
      <c r="OYR201" s="147"/>
      <c r="OYS201" s="147"/>
      <c r="OYT201" s="147"/>
      <c r="OYU201" s="147"/>
      <c r="OYV201" s="147"/>
      <c r="OYW201" s="147"/>
      <c r="OYX201" s="147"/>
      <c r="OYY201" s="147"/>
      <c r="OYZ201" s="147"/>
      <c r="OZA201" s="147"/>
      <c r="OZB201" s="147"/>
      <c r="OZC201" s="147"/>
      <c r="OZD201" s="147"/>
      <c r="OZE201" s="147"/>
      <c r="OZF201" s="147"/>
      <c r="OZG201" s="147"/>
      <c r="OZH201" s="147"/>
      <c r="OZI201" s="147"/>
      <c r="OZJ201" s="147"/>
      <c r="OZK201" s="147"/>
      <c r="OZL201" s="147"/>
      <c r="OZM201" s="147"/>
      <c r="OZN201" s="147"/>
      <c r="OZO201" s="147"/>
      <c r="OZP201" s="147"/>
      <c r="OZQ201" s="147"/>
      <c r="OZR201" s="147"/>
      <c r="OZS201" s="147"/>
      <c r="OZT201" s="147"/>
      <c r="OZU201" s="147"/>
      <c r="OZV201" s="147"/>
      <c r="OZW201" s="147"/>
      <c r="OZX201" s="147"/>
      <c r="OZY201" s="147"/>
      <c r="OZZ201" s="147"/>
      <c r="PAA201" s="147"/>
      <c r="PAB201" s="147"/>
      <c r="PAC201" s="147"/>
      <c r="PAD201" s="147"/>
      <c r="PAE201" s="147"/>
      <c r="PAF201" s="147"/>
      <c r="PAG201" s="147"/>
      <c r="PAH201" s="147"/>
      <c r="PAI201" s="147"/>
      <c r="PAJ201" s="147"/>
      <c r="PAK201" s="147"/>
      <c r="PAL201" s="147"/>
      <c r="PAM201" s="147"/>
      <c r="PAN201" s="147"/>
      <c r="PAO201" s="147"/>
      <c r="PAP201" s="147"/>
      <c r="PAQ201" s="147"/>
      <c r="PAR201" s="147"/>
      <c r="PAS201" s="147"/>
      <c r="PAT201" s="147"/>
      <c r="PAU201" s="147"/>
      <c r="PAV201" s="147"/>
      <c r="PAW201" s="147"/>
      <c r="PAX201" s="147"/>
      <c r="PAY201" s="147"/>
      <c r="PAZ201" s="147"/>
      <c r="PBA201" s="147"/>
      <c r="PBB201" s="147"/>
      <c r="PBC201" s="147"/>
      <c r="PBD201" s="147"/>
      <c r="PBE201" s="147"/>
      <c r="PBF201" s="147"/>
      <c r="PBG201" s="147"/>
      <c r="PBH201" s="147"/>
      <c r="PBI201" s="147"/>
      <c r="PBJ201" s="147"/>
      <c r="PBK201" s="147"/>
      <c r="PBL201" s="147"/>
      <c r="PBM201" s="147"/>
      <c r="PBN201" s="147"/>
      <c r="PBO201" s="147"/>
      <c r="PBP201" s="147"/>
      <c r="PBQ201" s="147"/>
      <c r="PBR201" s="147"/>
      <c r="PBS201" s="147"/>
      <c r="PBT201" s="147"/>
      <c r="PBU201" s="147"/>
      <c r="PBV201" s="147"/>
      <c r="PBW201" s="147"/>
      <c r="PBX201" s="147"/>
      <c r="PBY201" s="147"/>
      <c r="PBZ201" s="147"/>
      <c r="PCA201" s="147"/>
      <c r="PCB201" s="147"/>
      <c r="PCC201" s="147"/>
      <c r="PCD201" s="147"/>
      <c r="PCE201" s="147"/>
      <c r="PCF201" s="147"/>
      <c r="PCG201" s="147"/>
      <c r="PCH201" s="147"/>
      <c r="PCI201" s="147"/>
      <c r="PCJ201" s="147"/>
      <c r="PCK201" s="147"/>
      <c r="PCL201" s="147"/>
      <c r="PCM201" s="147"/>
      <c r="PCN201" s="147"/>
      <c r="PCO201" s="147"/>
      <c r="PCP201" s="147"/>
      <c r="PCQ201" s="147"/>
      <c r="PCR201" s="147"/>
      <c r="PCS201" s="147"/>
      <c r="PCT201" s="147"/>
      <c r="PCU201" s="147"/>
      <c r="PCV201" s="147"/>
      <c r="PCW201" s="147"/>
      <c r="PCX201" s="147"/>
      <c r="PCY201" s="147"/>
      <c r="PCZ201" s="147"/>
      <c r="PDA201" s="147"/>
      <c r="PDB201" s="147"/>
      <c r="PDC201" s="147"/>
      <c r="PDD201" s="147"/>
      <c r="PDE201" s="147"/>
      <c r="PDF201" s="147"/>
      <c r="PDG201" s="147"/>
      <c r="PDH201" s="147"/>
      <c r="PDI201" s="147"/>
      <c r="PDJ201" s="147"/>
      <c r="PDK201" s="147"/>
      <c r="PDL201" s="147"/>
      <c r="PDM201" s="147"/>
      <c r="PDN201" s="147"/>
      <c r="PDO201" s="147"/>
      <c r="PDP201" s="147"/>
      <c r="PDQ201" s="147"/>
      <c r="PDR201" s="147"/>
      <c r="PDS201" s="147"/>
      <c r="PDT201" s="147"/>
      <c r="PDU201" s="147"/>
      <c r="PDV201" s="147"/>
      <c r="PDW201" s="147"/>
      <c r="PDX201" s="147"/>
      <c r="PDY201" s="147"/>
      <c r="PDZ201" s="147"/>
      <c r="PEA201" s="147"/>
      <c r="PEB201" s="147"/>
      <c r="PEC201" s="147"/>
      <c r="PED201" s="147"/>
      <c r="PEE201" s="147"/>
      <c r="PEF201" s="147"/>
      <c r="PEG201" s="147"/>
      <c r="PEH201" s="147"/>
      <c r="PEI201" s="147"/>
      <c r="PEJ201" s="147"/>
      <c r="PEK201" s="147"/>
      <c r="PEL201" s="147"/>
      <c r="PEM201" s="147"/>
      <c r="PEN201" s="147"/>
      <c r="PEO201" s="147"/>
      <c r="PEP201" s="147"/>
      <c r="PEQ201" s="147"/>
      <c r="PER201" s="147"/>
      <c r="PES201" s="147"/>
      <c r="PET201" s="147"/>
      <c r="PEU201" s="147"/>
      <c r="PEV201" s="147"/>
      <c r="PEW201" s="147"/>
      <c r="PEX201" s="147"/>
      <c r="PEY201" s="147"/>
      <c r="PEZ201" s="147"/>
      <c r="PFA201" s="147"/>
      <c r="PFB201" s="147"/>
      <c r="PFC201" s="147"/>
      <c r="PFD201" s="147"/>
      <c r="PFE201" s="147"/>
      <c r="PFF201" s="147"/>
      <c r="PFG201" s="147"/>
      <c r="PFH201" s="147"/>
      <c r="PFI201" s="147"/>
      <c r="PFJ201" s="147"/>
      <c r="PFK201" s="147"/>
      <c r="PFL201" s="147"/>
      <c r="PFM201" s="147"/>
      <c r="PFN201" s="147"/>
      <c r="PFO201" s="147"/>
      <c r="PFP201" s="147"/>
      <c r="PFQ201" s="147"/>
      <c r="PFR201" s="147"/>
      <c r="PFS201" s="147"/>
      <c r="PFT201" s="147"/>
      <c r="PFU201" s="147"/>
      <c r="PFV201" s="147"/>
      <c r="PFW201" s="147"/>
      <c r="PFX201" s="147"/>
      <c r="PFY201" s="147"/>
      <c r="PFZ201" s="147"/>
      <c r="PGA201" s="147"/>
      <c r="PGB201" s="147"/>
      <c r="PGC201" s="147"/>
      <c r="PGD201" s="147"/>
      <c r="PGE201" s="147"/>
      <c r="PGF201" s="147"/>
      <c r="PGG201" s="147"/>
      <c r="PGH201" s="147"/>
      <c r="PGI201" s="147"/>
      <c r="PGJ201" s="147"/>
      <c r="PGK201" s="147"/>
      <c r="PGL201" s="147"/>
      <c r="PGM201" s="147"/>
      <c r="PGN201" s="147"/>
      <c r="PGO201" s="147"/>
      <c r="PGP201" s="147"/>
      <c r="PGQ201" s="147"/>
      <c r="PGR201" s="147"/>
      <c r="PGS201" s="147"/>
      <c r="PGT201" s="147"/>
      <c r="PGU201" s="147"/>
      <c r="PGV201" s="147"/>
      <c r="PGW201" s="147"/>
      <c r="PGX201" s="147"/>
      <c r="PGY201" s="147"/>
      <c r="PGZ201" s="147"/>
      <c r="PHA201" s="147"/>
      <c r="PHB201" s="147"/>
      <c r="PHC201" s="147"/>
      <c r="PHD201" s="147"/>
      <c r="PHE201" s="147"/>
      <c r="PHF201" s="147"/>
      <c r="PHG201" s="147"/>
      <c r="PHH201" s="147"/>
      <c r="PHI201" s="147"/>
      <c r="PHJ201" s="147"/>
      <c r="PHK201" s="147"/>
      <c r="PHL201" s="147"/>
      <c r="PHM201" s="147"/>
      <c r="PHN201" s="147"/>
      <c r="PHO201" s="147"/>
      <c r="PHP201" s="147"/>
      <c r="PHQ201" s="147"/>
      <c r="PHR201" s="147"/>
      <c r="PHS201" s="147"/>
      <c r="PHT201" s="147"/>
      <c r="PHU201" s="147"/>
      <c r="PHV201" s="147"/>
      <c r="PHW201" s="147"/>
      <c r="PHX201" s="147"/>
      <c r="PHY201" s="147"/>
      <c r="PHZ201" s="147"/>
      <c r="PIA201" s="147"/>
      <c r="PIB201" s="147"/>
      <c r="PIC201" s="147"/>
      <c r="PID201" s="147"/>
      <c r="PIE201" s="147"/>
      <c r="PIF201" s="147"/>
      <c r="PIG201" s="147"/>
      <c r="PIH201" s="147"/>
      <c r="PII201" s="147"/>
      <c r="PIJ201" s="147"/>
      <c r="PIK201" s="147"/>
      <c r="PIL201" s="147"/>
      <c r="PIM201" s="147"/>
      <c r="PIN201" s="147"/>
      <c r="PIO201" s="147"/>
      <c r="PIP201" s="147"/>
      <c r="PIQ201" s="147"/>
      <c r="PIR201" s="147"/>
      <c r="PIS201" s="147"/>
      <c r="PIT201" s="147"/>
      <c r="PIU201" s="147"/>
      <c r="PIV201" s="147"/>
      <c r="PIW201" s="147"/>
      <c r="PIX201" s="147"/>
      <c r="PIY201" s="147"/>
      <c r="PIZ201" s="147"/>
      <c r="PJA201" s="147"/>
      <c r="PJB201" s="147"/>
      <c r="PJC201" s="147"/>
      <c r="PJD201" s="147"/>
      <c r="PJE201" s="147"/>
      <c r="PJF201" s="147"/>
      <c r="PJG201" s="147"/>
      <c r="PJH201" s="147"/>
      <c r="PJI201" s="147"/>
      <c r="PJJ201" s="147"/>
      <c r="PJK201" s="147"/>
      <c r="PJL201" s="147"/>
      <c r="PJM201" s="147"/>
      <c r="PJN201" s="147"/>
      <c r="PJO201" s="147"/>
      <c r="PJP201" s="147"/>
      <c r="PJQ201" s="147"/>
      <c r="PJR201" s="147"/>
      <c r="PJS201" s="147"/>
      <c r="PJT201" s="147"/>
      <c r="PJU201" s="147"/>
      <c r="PJV201" s="147"/>
      <c r="PJW201" s="147"/>
      <c r="PJX201" s="147"/>
      <c r="PJY201" s="147"/>
      <c r="PJZ201" s="147"/>
      <c r="PKA201" s="147"/>
      <c r="PKB201" s="147"/>
      <c r="PKC201" s="147"/>
      <c r="PKD201" s="147"/>
      <c r="PKE201" s="147"/>
      <c r="PKF201" s="147"/>
      <c r="PKG201" s="147"/>
      <c r="PKH201" s="147"/>
      <c r="PKI201" s="147"/>
      <c r="PKJ201" s="147"/>
      <c r="PKK201" s="147"/>
      <c r="PKL201" s="147"/>
      <c r="PKM201" s="147"/>
      <c r="PKN201" s="147"/>
      <c r="PKO201" s="147"/>
      <c r="PKP201" s="147"/>
      <c r="PKQ201" s="147"/>
      <c r="PKR201" s="147"/>
      <c r="PKS201" s="147"/>
      <c r="PKT201" s="147"/>
      <c r="PKU201" s="147"/>
      <c r="PKV201" s="147"/>
      <c r="PKW201" s="147"/>
      <c r="PKX201" s="147"/>
      <c r="PKY201" s="147"/>
      <c r="PKZ201" s="147"/>
      <c r="PLA201" s="147"/>
      <c r="PLB201" s="147"/>
      <c r="PLC201" s="147"/>
      <c r="PLD201" s="147"/>
      <c r="PLE201" s="147"/>
      <c r="PLF201" s="147"/>
      <c r="PLG201" s="147"/>
      <c r="PLH201" s="147"/>
      <c r="PLI201" s="147"/>
      <c r="PLJ201" s="147"/>
      <c r="PLK201" s="147"/>
      <c r="PLL201" s="147"/>
      <c r="PLM201" s="147"/>
      <c r="PLN201" s="147"/>
      <c r="PLO201" s="147"/>
      <c r="PLP201" s="147"/>
      <c r="PLQ201" s="147"/>
      <c r="PLR201" s="147"/>
      <c r="PLS201" s="147"/>
      <c r="PLT201" s="147"/>
      <c r="PLU201" s="147"/>
      <c r="PLV201" s="147"/>
      <c r="PLW201" s="147"/>
      <c r="PLX201" s="147"/>
      <c r="PLY201" s="147"/>
      <c r="PLZ201" s="147"/>
      <c r="PMA201" s="147"/>
      <c r="PMB201" s="147"/>
      <c r="PMC201" s="147"/>
      <c r="PMD201" s="147"/>
      <c r="PME201" s="147"/>
      <c r="PMF201" s="147"/>
      <c r="PMG201" s="147"/>
      <c r="PMH201" s="147"/>
      <c r="PMI201" s="147"/>
      <c r="PMJ201" s="147"/>
      <c r="PMK201" s="147"/>
      <c r="PML201" s="147"/>
      <c r="PMM201" s="147"/>
      <c r="PMN201" s="147"/>
      <c r="PMO201" s="147"/>
      <c r="PMP201" s="147"/>
      <c r="PMQ201" s="147"/>
      <c r="PMR201" s="147"/>
      <c r="PMS201" s="147"/>
      <c r="PMT201" s="147"/>
      <c r="PMU201" s="147"/>
      <c r="PMV201" s="147"/>
      <c r="PMW201" s="147"/>
      <c r="PMX201" s="147"/>
      <c r="PMY201" s="147"/>
      <c r="PMZ201" s="147"/>
      <c r="PNA201" s="147"/>
      <c r="PNB201" s="147"/>
      <c r="PNC201" s="147"/>
      <c r="PND201" s="147"/>
      <c r="PNE201" s="147"/>
      <c r="PNF201" s="147"/>
      <c r="PNG201" s="147"/>
      <c r="PNH201" s="147"/>
      <c r="PNI201" s="147"/>
      <c r="PNJ201" s="147"/>
      <c r="PNK201" s="147"/>
      <c r="PNL201" s="147"/>
      <c r="PNM201" s="147"/>
      <c r="PNN201" s="147"/>
      <c r="PNO201" s="147"/>
      <c r="PNP201" s="147"/>
      <c r="PNQ201" s="147"/>
      <c r="PNR201" s="147"/>
      <c r="PNS201" s="147"/>
      <c r="PNT201" s="147"/>
      <c r="PNU201" s="147"/>
      <c r="PNV201" s="147"/>
      <c r="PNW201" s="147"/>
      <c r="PNX201" s="147"/>
      <c r="PNY201" s="147"/>
      <c r="PNZ201" s="147"/>
      <c r="POA201" s="147"/>
      <c r="POB201" s="147"/>
      <c r="POC201" s="147"/>
      <c r="POD201" s="147"/>
      <c r="POE201" s="147"/>
      <c r="POF201" s="147"/>
      <c r="POG201" s="147"/>
      <c r="POH201" s="147"/>
      <c r="POI201" s="147"/>
      <c r="POJ201" s="147"/>
      <c r="POK201" s="147"/>
      <c r="POL201" s="147"/>
      <c r="POM201" s="147"/>
      <c r="PON201" s="147"/>
      <c r="POO201" s="147"/>
      <c r="POP201" s="147"/>
      <c r="POQ201" s="147"/>
      <c r="POR201" s="147"/>
      <c r="POS201" s="147"/>
      <c r="POT201" s="147"/>
      <c r="POU201" s="147"/>
      <c r="POV201" s="147"/>
      <c r="POW201" s="147"/>
      <c r="POX201" s="147"/>
      <c r="POY201" s="147"/>
      <c r="POZ201" s="147"/>
      <c r="PPA201" s="147"/>
      <c r="PPB201" s="147"/>
      <c r="PPC201" s="147"/>
      <c r="PPD201" s="147"/>
      <c r="PPE201" s="147"/>
      <c r="PPF201" s="147"/>
      <c r="PPG201" s="147"/>
      <c r="PPH201" s="147"/>
      <c r="PPI201" s="147"/>
      <c r="PPJ201" s="147"/>
      <c r="PPK201" s="147"/>
      <c r="PPL201" s="147"/>
      <c r="PPM201" s="147"/>
      <c r="PPN201" s="147"/>
      <c r="PPO201" s="147"/>
      <c r="PPP201" s="147"/>
      <c r="PPQ201" s="147"/>
      <c r="PPR201" s="147"/>
      <c r="PPS201" s="147"/>
      <c r="PPT201" s="147"/>
      <c r="PPU201" s="147"/>
      <c r="PPV201" s="147"/>
      <c r="PPW201" s="147"/>
      <c r="PPX201" s="147"/>
      <c r="PPY201" s="147"/>
      <c r="PPZ201" s="147"/>
      <c r="PQA201" s="147"/>
      <c r="PQB201" s="147"/>
      <c r="PQC201" s="147"/>
      <c r="PQD201" s="147"/>
      <c r="PQE201" s="147"/>
      <c r="PQF201" s="147"/>
      <c r="PQG201" s="147"/>
      <c r="PQH201" s="147"/>
      <c r="PQI201" s="147"/>
      <c r="PQJ201" s="147"/>
      <c r="PQK201" s="147"/>
      <c r="PQL201" s="147"/>
      <c r="PQM201" s="147"/>
      <c r="PQN201" s="147"/>
      <c r="PQO201" s="147"/>
      <c r="PQP201" s="147"/>
      <c r="PQQ201" s="147"/>
      <c r="PQR201" s="147"/>
      <c r="PQS201" s="147"/>
      <c r="PQT201" s="147"/>
      <c r="PQU201" s="147"/>
      <c r="PQV201" s="147"/>
      <c r="PQW201" s="147"/>
      <c r="PQX201" s="147"/>
      <c r="PQY201" s="147"/>
      <c r="PQZ201" s="147"/>
      <c r="PRA201" s="147"/>
      <c r="PRB201" s="147"/>
      <c r="PRC201" s="147"/>
      <c r="PRD201" s="147"/>
      <c r="PRE201" s="147"/>
      <c r="PRF201" s="147"/>
      <c r="PRG201" s="147"/>
      <c r="PRH201" s="147"/>
      <c r="PRI201" s="147"/>
      <c r="PRJ201" s="147"/>
      <c r="PRK201" s="147"/>
      <c r="PRL201" s="147"/>
      <c r="PRM201" s="147"/>
      <c r="PRN201" s="147"/>
      <c r="PRO201" s="147"/>
      <c r="PRP201" s="147"/>
      <c r="PRQ201" s="147"/>
      <c r="PRR201" s="147"/>
      <c r="PRS201" s="147"/>
      <c r="PRT201" s="147"/>
      <c r="PRU201" s="147"/>
      <c r="PRV201" s="147"/>
      <c r="PRW201" s="147"/>
      <c r="PRX201" s="147"/>
      <c r="PRY201" s="147"/>
      <c r="PRZ201" s="147"/>
      <c r="PSA201" s="147"/>
      <c r="PSB201" s="147"/>
      <c r="PSC201" s="147"/>
      <c r="PSD201" s="147"/>
      <c r="PSE201" s="147"/>
      <c r="PSF201" s="147"/>
      <c r="PSG201" s="147"/>
      <c r="PSH201" s="147"/>
      <c r="PSI201" s="147"/>
      <c r="PSJ201" s="147"/>
      <c r="PSK201" s="147"/>
      <c r="PSL201" s="147"/>
      <c r="PSM201" s="147"/>
      <c r="PSN201" s="147"/>
      <c r="PSO201" s="147"/>
      <c r="PSP201" s="147"/>
      <c r="PSQ201" s="147"/>
      <c r="PSR201" s="147"/>
      <c r="PSS201" s="147"/>
      <c r="PST201" s="147"/>
      <c r="PSU201" s="147"/>
      <c r="PSV201" s="147"/>
      <c r="PSW201" s="147"/>
      <c r="PSX201" s="147"/>
      <c r="PSY201" s="147"/>
      <c r="PSZ201" s="147"/>
      <c r="PTA201" s="147"/>
      <c r="PTB201" s="147"/>
      <c r="PTC201" s="147"/>
      <c r="PTD201" s="147"/>
      <c r="PTE201" s="147"/>
      <c r="PTF201" s="147"/>
      <c r="PTG201" s="147"/>
      <c r="PTH201" s="147"/>
      <c r="PTI201" s="147"/>
      <c r="PTJ201" s="147"/>
      <c r="PTK201" s="147"/>
      <c r="PTL201" s="147"/>
      <c r="PTM201" s="147"/>
      <c r="PTN201" s="147"/>
      <c r="PTO201" s="147"/>
      <c r="PTP201" s="147"/>
      <c r="PTQ201" s="147"/>
      <c r="PTR201" s="147"/>
      <c r="PTS201" s="147"/>
      <c r="PTT201" s="147"/>
      <c r="PTU201" s="147"/>
      <c r="PTV201" s="147"/>
      <c r="PTW201" s="147"/>
      <c r="PTX201" s="147"/>
      <c r="PTY201" s="147"/>
      <c r="PTZ201" s="147"/>
      <c r="PUA201" s="147"/>
      <c r="PUB201" s="147"/>
      <c r="PUC201" s="147"/>
      <c r="PUD201" s="147"/>
      <c r="PUE201" s="147"/>
      <c r="PUF201" s="147"/>
      <c r="PUG201" s="147"/>
      <c r="PUH201" s="147"/>
      <c r="PUI201" s="147"/>
      <c r="PUJ201" s="147"/>
      <c r="PUK201" s="147"/>
      <c r="PUL201" s="147"/>
      <c r="PUM201" s="147"/>
      <c r="PUN201" s="147"/>
      <c r="PUO201" s="147"/>
      <c r="PUP201" s="147"/>
      <c r="PUQ201" s="147"/>
      <c r="PUR201" s="147"/>
      <c r="PUS201" s="147"/>
      <c r="PUT201" s="147"/>
      <c r="PUU201" s="147"/>
      <c r="PUV201" s="147"/>
      <c r="PUW201" s="147"/>
      <c r="PUX201" s="147"/>
      <c r="PUY201" s="147"/>
      <c r="PUZ201" s="147"/>
      <c r="PVA201" s="147"/>
      <c r="PVB201" s="147"/>
      <c r="PVC201" s="147"/>
      <c r="PVD201" s="147"/>
      <c r="PVE201" s="147"/>
      <c r="PVF201" s="147"/>
      <c r="PVG201" s="147"/>
      <c r="PVH201" s="147"/>
      <c r="PVI201" s="147"/>
      <c r="PVJ201" s="147"/>
      <c r="PVK201" s="147"/>
      <c r="PVL201" s="147"/>
      <c r="PVM201" s="147"/>
      <c r="PVN201" s="147"/>
      <c r="PVO201" s="147"/>
      <c r="PVP201" s="147"/>
      <c r="PVQ201" s="147"/>
      <c r="PVR201" s="147"/>
      <c r="PVS201" s="147"/>
      <c r="PVT201" s="147"/>
      <c r="PVU201" s="147"/>
      <c r="PVV201" s="147"/>
      <c r="PVW201" s="147"/>
      <c r="PVX201" s="147"/>
      <c r="PVY201" s="147"/>
      <c r="PVZ201" s="147"/>
      <c r="PWA201" s="147"/>
      <c r="PWB201" s="147"/>
      <c r="PWC201" s="147"/>
      <c r="PWD201" s="147"/>
      <c r="PWE201" s="147"/>
      <c r="PWF201" s="147"/>
      <c r="PWG201" s="147"/>
      <c r="PWH201" s="147"/>
      <c r="PWI201" s="147"/>
      <c r="PWJ201" s="147"/>
      <c r="PWK201" s="147"/>
      <c r="PWL201" s="147"/>
      <c r="PWM201" s="147"/>
      <c r="PWN201" s="147"/>
      <c r="PWO201" s="147"/>
      <c r="PWP201" s="147"/>
      <c r="PWQ201" s="147"/>
      <c r="PWR201" s="147"/>
      <c r="PWS201" s="147"/>
      <c r="PWT201" s="147"/>
      <c r="PWU201" s="147"/>
      <c r="PWV201" s="147"/>
      <c r="PWW201" s="147"/>
      <c r="PWX201" s="147"/>
      <c r="PWY201" s="147"/>
      <c r="PWZ201" s="147"/>
      <c r="PXA201" s="147"/>
      <c r="PXB201" s="147"/>
      <c r="PXC201" s="147"/>
      <c r="PXD201" s="147"/>
      <c r="PXE201" s="147"/>
      <c r="PXF201" s="147"/>
      <c r="PXG201" s="147"/>
      <c r="PXH201" s="147"/>
      <c r="PXI201" s="147"/>
      <c r="PXJ201" s="147"/>
      <c r="PXK201" s="147"/>
      <c r="PXL201" s="147"/>
      <c r="PXM201" s="147"/>
      <c r="PXN201" s="147"/>
      <c r="PXO201" s="147"/>
      <c r="PXP201" s="147"/>
      <c r="PXQ201" s="147"/>
      <c r="PXR201" s="147"/>
      <c r="PXS201" s="147"/>
      <c r="PXT201" s="147"/>
      <c r="PXU201" s="147"/>
      <c r="PXV201" s="147"/>
      <c r="PXW201" s="147"/>
      <c r="PXX201" s="147"/>
      <c r="PXY201" s="147"/>
      <c r="PXZ201" s="147"/>
      <c r="PYA201" s="147"/>
      <c r="PYB201" s="147"/>
      <c r="PYC201" s="147"/>
      <c r="PYD201" s="147"/>
      <c r="PYE201" s="147"/>
      <c r="PYF201" s="147"/>
      <c r="PYG201" s="147"/>
      <c r="PYH201" s="147"/>
      <c r="PYI201" s="147"/>
      <c r="PYJ201" s="147"/>
      <c r="PYK201" s="147"/>
      <c r="PYL201" s="147"/>
      <c r="PYM201" s="147"/>
      <c r="PYN201" s="147"/>
      <c r="PYO201" s="147"/>
      <c r="PYP201" s="147"/>
      <c r="PYQ201" s="147"/>
      <c r="PYR201" s="147"/>
      <c r="PYS201" s="147"/>
      <c r="PYT201" s="147"/>
      <c r="PYU201" s="147"/>
      <c r="PYV201" s="147"/>
      <c r="PYW201" s="147"/>
      <c r="PYX201" s="147"/>
      <c r="PYY201" s="147"/>
      <c r="PYZ201" s="147"/>
      <c r="PZA201" s="147"/>
      <c r="PZB201" s="147"/>
      <c r="PZC201" s="147"/>
      <c r="PZD201" s="147"/>
      <c r="PZE201" s="147"/>
      <c r="PZF201" s="147"/>
      <c r="PZG201" s="147"/>
      <c r="PZH201" s="147"/>
      <c r="PZI201" s="147"/>
      <c r="PZJ201" s="147"/>
      <c r="PZK201" s="147"/>
      <c r="PZL201" s="147"/>
      <c r="PZM201" s="147"/>
      <c r="PZN201" s="147"/>
      <c r="PZO201" s="147"/>
      <c r="PZP201" s="147"/>
      <c r="PZQ201" s="147"/>
      <c r="PZR201" s="147"/>
      <c r="PZS201" s="147"/>
      <c r="PZT201" s="147"/>
      <c r="PZU201" s="147"/>
      <c r="PZV201" s="147"/>
      <c r="PZW201" s="147"/>
      <c r="PZX201" s="147"/>
      <c r="PZY201" s="147"/>
      <c r="PZZ201" s="147"/>
      <c r="QAA201" s="147"/>
      <c r="QAB201" s="147"/>
      <c r="QAC201" s="147"/>
      <c r="QAD201" s="147"/>
      <c r="QAE201" s="147"/>
      <c r="QAF201" s="147"/>
      <c r="QAG201" s="147"/>
      <c r="QAH201" s="147"/>
      <c r="QAI201" s="147"/>
      <c r="QAJ201" s="147"/>
      <c r="QAK201" s="147"/>
      <c r="QAL201" s="147"/>
      <c r="QAM201" s="147"/>
      <c r="QAN201" s="147"/>
      <c r="QAO201" s="147"/>
      <c r="QAP201" s="147"/>
      <c r="QAQ201" s="147"/>
      <c r="QAR201" s="147"/>
      <c r="QAS201" s="147"/>
      <c r="QAT201" s="147"/>
      <c r="QAU201" s="147"/>
      <c r="QAV201" s="147"/>
      <c r="QAW201" s="147"/>
      <c r="QAX201" s="147"/>
      <c r="QAY201" s="147"/>
      <c r="QAZ201" s="147"/>
      <c r="QBA201" s="147"/>
      <c r="QBB201" s="147"/>
      <c r="QBC201" s="147"/>
      <c r="QBD201" s="147"/>
      <c r="QBE201" s="147"/>
      <c r="QBF201" s="147"/>
      <c r="QBG201" s="147"/>
      <c r="QBH201" s="147"/>
      <c r="QBI201" s="147"/>
      <c r="QBJ201" s="147"/>
      <c r="QBK201" s="147"/>
      <c r="QBL201" s="147"/>
      <c r="QBM201" s="147"/>
      <c r="QBN201" s="147"/>
      <c r="QBO201" s="147"/>
      <c r="QBP201" s="147"/>
      <c r="QBQ201" s="147"/>
      <c r="QBR201" s="147"/>
      <c r="QBS201" s="147"/>
      <c r="QBT201" s="147"/>
      <c r="QBU201" s="147"/>
      <c r="QBV201" s="147"/>
      <c r="QBW201" s="147"/>
      <c r="QBX201" s="147"/>
      <c r="QBY201" s="147"/>
      <c r="QBZ201" s="147"/>
      <c r="QCA201" s="147"/>
      <c r="QCB201" s="147"/>
      <c r="QCC201" s="147"/>
      <c r="QCD201" s="147"/>
      <c r="QCE201" s="147"/>
      <c r="QCF201" s="147"/>
      <c r="QCG201" s="147"/>
      <c r="QCH201" s="147"/>
      <c r="QCI201" s="147"/>
      <c r="QCJ201" s="147"/>
      <c r="QCK201" s="147"/>
      <c r="QCL201" s="147"/>
      <c r="QCM201" s="147"/>
      <c r="QCN201" s="147"/>
      <c r="QCO201" s="147"/>
      <c r="QCP201" s="147"/>
      <c r="QCQ201" s="147"/>
      <c r="QCR201" s="147"/>
      <c r="QCS201" s="147"/>
      <c r="QCT201" s="147"/>
      <c r="QCU201" s="147"/>
      <c r="QCV201" s="147"/>
      <c r="QCW201" s="147"/>
      <c r="QCX201" s="147"/>
      <c r="QCY201" s="147"/>
      <c r="QCZ201" s="147"/>
      <c r="QDA201" s="147"/>
      <c r="QDB201" s="147"/>
      <c r="QDC201" s="147"/>
      <c r="QDD201" s="147"/>
      <c r="QDE201" s="147"/>
      <c r="QDF201" s="147"/>
      <c r="QDG201" s="147"/>
      <c r="QDH201" s="147"/>
      <c r="QDI201" s="147"/>
      <c r="QDJ201" s="147"/>
      <c r="QDK201" s="147"/>
      <c r="QDL201" s="147"/>
      <c r="QDM201" s="147"/>
      <c r="QDN201" s="147"/>
      <c r="QDO201" s="147"/>
      <c r="QDP201" s="147"/>
      <c r="QDQ201" s="147"/>
      <c r="QDR201" s="147"/>
      <c r="QDS201" s="147"/>
      <c r="QDT201" s="147"/>
      <c r="QDU201" s="147"/>
      <c r="QDV201" s="147"/>
      <c r="QDW201" s="147"/>
      <c r="QDX201" s="147"/>
      <c r="QDY201" s="147"/>
      <c r="QDZ201" s="147"/>
      <c r="QEA201" s="147"/>
      <c r="QEB201" s="147"/>
      <c r="QEC201" s="147"/>
      <c r="QED201" s="147"/>
      <c r="QEE201" s="147"/>
      <c r="QEF201" s="147"/>
      <c r="QEG201" s="147"/>
      <c r="QEH201" s="147"/>
      <c r="QEI201" s="147"/>
      <c r="QEJ201" s="147"/>
      <c r="QEK201" s="147"/>
      <c r="QEL201" s="147"/>
      <c r="QEM201" s="147"/>
      <c r="QEN201" s="147"/>
      <c r="QEO201" s="147"/>
      <c r="QEP201" s="147"/>
      <c r="QEQ201" s="147"/>
      <c r="QER201" s="147"/>
      <c r="QES201" s="147"/>
      <c r="QET201" s="147"/>
      <c r="QEU201" s="147"/>
      <c r="QEV201" s="147"/>
      <c r="QEW201" s="147"/>
      <c r="QEX201" s="147"/>
      <c r="QEY201" s="147"/>
      <c r="QEZ201" s="147"/>
      <c r="QFA201" s="147"/>
      <c r="QFB201" s="147"/>
      <c r="QFC201" s="147"/>
      <c r="QFD201" s="147"/>
      <c r="QFE201" s="147"/>
      <c r="QFF201" s="147"/>
      <c r="QFG201" s="147"/>
      <c r="QFH201" s="147"/>
      <c r="QFI201" s="147"/>
      <c r="QFJ201" s="147"/>
      <c r="QFK201" s="147"/>
      <c r="QFL201" s="147"/>
      <c r="QFM201" s="147"/>
      <c r="QFN201" s="147"/>
      <c r="QFO201" s="147"/>
      <c r="QFP201" s="147"/>
      <c r="QFQ201" s="147"/>
      <c r="QFR201" s="147"/>
      <c r="QFS201" s="147"/>
      <c r="QFT201" s="147"/>
      <c r="QFU201" s="147"/>
      <c r="QFV201" s="147"/>
      <c r="QFW201" s="147"/>
      <c r="QFX201" s="147"/>
      <c r="QFY201" s="147"/>
      <c r="QFZ201" s="147"/>
      <c r="QGA201" s="147"/>
      <c r="QGB201" s="147"/>
      <c r="QGC201" s="147"/>
      <c r="QGD201" s="147"/>
      <c r="QGE201" s="147"/>
      <c r="QGF201" s="147"/>
      <c r="QGG201" s="147"/>
      <c r="QGH201" s="147"/>
      <c r="QGI201" s="147"/>
      <c r="QGJ201" s="147"/>
      <c r="QGK201" s="147"/>
      <c r="QGL201" s="147"/>
      <c r="QGM201" s="147"/>
      <c r="QGN201" s="147"/>
      <c r="QGO201" s="147"/>
      <c r="QGP201" s="147"/>
      <c r="QGQ201" s="147"/>
      <c r="QGR201" s="147"/>
      <c r="QGS201" s="147"/>
      <c r="QGT201" s="147"/>
      <c r="QGU201" s="147"/>
      <c r="QGV201" s="147"/>
      <c r="QGW201" s="147"/>
      <c r="QGX201" s="147"/>
      <c r="QGY201" s="147"/>
      <c r="QGZ201" s="147"/>
      <c r="QHA201" s="147"/>
      <c r="QHB201" s="147"/>
      <c r="QHC201" s="147"/>
      <c r="QHD201" s="147"/>
      <c r="QHE201" s="147"/>
      <c r="QHF201" s="147"/>
      <c r="QHG201" s="147"/>
      <c r="QHH201" s="147"/>
      <c r="QHI201" s="147"/>
      <c r="QHJ201" s="147"/>
      <c r="QHK201" s="147"/>
      <c r="QHL201" s="147"/>
      <c r="QHM201" s="147"/>
      <c r="QHN201" s="147"/>
      <c r="QHO201" s="147"/>
      <c r="QHP201" s="147"/>
      <c r="QHQ201" s="147"/>
      <c r="QHR201" s="147"/>
      <c r="QHS201" s="147"/>
      <c r="QHT201" s="147"/>
      <c r="QHU201" s="147"/>
      <c r="QHV201" s="147"/>
      <c r="QHW201" s="147"/>
      <c r="QHX201" s="147"/>
      <c r="QHY201" s="147"/>
      <c r="QHZ201" s="147"/>
      <c r="QIA201" s="147"/>
      <c r="QIB201" s="147"/>
      <c r="QIC201" s="147"/>
      <c r="QID201" s="147"/>
      <c r="QIE201" s="147"/>
      <c r="QIF201" s="147"/>
      <c r="QIG201" s="147"/>
      <c r="QIH201" s="147"/>
      <c r="QII201" s="147"/>
      <c r="QIJ201" s="147"/>
      <c r="QIK201" s="147"/>
      <c r="QIL201" s="147"/>
      <c r="QIM201" s="147"/>
      <c r="QIN201" s="147"/>
      <c r="QIO201" s="147"/>
      <c r="QIP201" s="147"/>
      <c r="QIQ201" s="147"/>
      <c r="QIR201" s="147"/>
      <c r="QIS201" s="147"/>
      <c r="QIT201" s="147"/>
      <c r="QIU201" s="147"/>
      <c r="QIV201" s="147"/>
      <c r="QIW201" s="147"/>
      <c r="QIX201" s="147"/>
      <c r="QIY201" s="147"/>
      <c r="QIZ201" s="147"/>
      <c r="QJA201" s="147"/>
      <c r="QJB201" s="147"/>
      <c r="QJC201" s="147"/>
      <c r="QJD201" s="147"/>
      <c r="QJE201" s="147"/>
      <c r="QJF201" s="147"/>
      <c r="QJG201" s="147"/>
      <c r="QJH201" s="147"/>
      <c r="QJI201" s="147"/>
      <c r="QJJ201" s="147"/>
      <c r="QJK201" s="147"/>
      <c r="QJL201" s="147"/>
      <c r="QJM201" s="147"/>
      <c r="QJN201" s="147"/>
      <c r="QJO201" s="147"/>
      <c r="QJP201" s="147"/>
      <c r="QJQ201" s="147"/>
      <c r="QJR201" s="147"/>
      <c r="QJS201" s="147"/>
      <c r="QJT201" s="147"/>
      <c r="QJU201" s="147"/>
      <c r="QJV201" s="147"/>
      <c r="QJW201" s="147"/>
      <c r="QJX201" s="147"/>
      <c r="QJY201" s="147"/>
      <c r="QJZ201" s="147"/>
      <c r="QKA201" s="147"/>
      <c r="QKB201" s="147"/>
      <c r="QKC201" s="147"/>
      <c r="QKD201" s="147"/>
      <c r="QKE201" s="147"/>
      <c r="QKF201" s="147"/>
      <c r="QKG201" s="147"/>
      <c r="QKH201" s="147"/>
      <c r="QKI201" s="147"/>
      <c r="QKJ201" s="147"/>
      <c r="QKK201" s="147"/>
      <c r="QKL201" s="147"/>
      <c r="QKM201" s="147"/>
      <c r="QKN201" s="147"/>
      <c r="QKO201" s="147"/>
      <c r="QKP201" s="147"/>
      <c r="QKQ201" s="147"/>
      <c r="QKR201" s="147"/>
      <c r="QKS201" s="147"/>
      <c r="QKT201" s="147"/>
      <c r="QKU201" s="147"/>
      <c r="QKV201" s="147"/>
      <c r="QKW201" s="147"/>
      <c r="QKX201" s="147"/>
      <c r="QKY201" s="147"/>
      <c r="QKZ201" s="147"/>
      <c r="QLA201" s="147"/>
      <c r="QLB201" s="147"/>
      <c r="QLC201" s="147"/>
      <c r="QLD201" s="147"/>
      <c r="QLE201" s="147"/>
      <c r="QLF201" s="147"/>
      <c r="QLG201" s="147"/>
      <c r="QLH201" s="147"/>
      <c r="QLI201" s="147"/>
      <c r="QLJ201" s="147"/>
      <c r="QLK201" s="147"/>
      <c r="QLL201" s="147"/>
      <c r="QLM201" s="147"/>
      <c r="QLN201" s="147"/>
      <c r="QLO201" s="147"/>
      <c r="QLP201" s="147"/>
      <c r="QLQ201" s="147"/>
      <c r="QLR201" s="147"/>
      <c r="QLS201" s="147"/>
      <c r="QLT201" s="147"/>
      <c r="QLU201" s="147"/>
      <c r="QLV201" s="147"/>
      <c r="QLW201" s="147"/>
      <c r="QLX201" s="147"/>
      <c r="QLY201" s="147"/>
      <c r="QLZ201" s="147"/>
      <c r="QMA201" s="147"/>
      <c r="QMB201" s="147"/>
      <c r="QMC201" s="147"/>
      <c r="QMD201" s="147"/>
      <c r="QME201" s="147"/>
      <c r="QMF201" s="147"/>
      <c r="QMG201" s="147"/>
      <c r="QMH201" s="147"/>
      <c r="QMI201" s="147"/>
      <c r="QMJ201" s="147"/>
      <c r="QMK201" s="147"/>
      <c r="QML201" s="147"/>
      <c r="QMM201" s="147"/>
      <c r="QMN201" s="147"/>
      <c r="QMO201" s="147"/>
      <c r="QMP201" s="147"/>
      <c r="QMQ201" s="147"/>
      <c r="QMR201" s="147"/>
      <c r="QMS201" s="147"/>
      <c r="QMT201" s="147"/>
      <c r="QMU201" s="147"/>
      <c r="QMV201" s="147"/>
      <c r="QMW201" s="147"/>
      <c r="QMX201" s="147"/>
      <c r="QMY201" s="147"/>
      <c r="QMZ201" s="147"/>
      <c r="QNA201" s="147"/>
      <c r="QNB201" s="147"/>
      <c r="QNC201" s="147"/>
      <c r="QND201" s="147"/>
      <c r="QNE201" s="147"/>
      <c r="QNF201" s="147"/>
      <c r="QNG201" s="147"/>
      <c r="QNH201" s="147"/>
      <c r="QNI201" s="147"/>
      <c r="QNJ201" s="147"/>
      <c r="QNK201" s="147"/>
      <c r="QNL201" s="147"/>
      <c r="QNM201" s="147"/>
      <c r="QNN201" s="147"/>
      <c r="QNO201" s="147"/>
      <c r="QNP201" s="147"/>
      <c r="QNQ201" s="147"/>
      <c r="QNR201" s="147"/>
      <c r="QNS201" s="147"/>
      <c r="QNT201" s="147"/>
      <c r="QNU201" s="147"/>
      <c r="QNV201" s="147"/>
      <c r="QNW201" s="147"/>
      <c r="QNX201" s="147"/>
      <c r="QNY201" s="147"/>
      <c r="QNZ201" s="147"/>
      <c r="QOA201" s="147"/>
      <c r="QOB201" s="147"/>
      <c r="QOC201" s="147"/>
      <c r="QOD201" s="147"/>
      <c r="QOE201" s="147"/>
      <c r="QOF201" s="147"/>
      <c r="QOG201" s="147"/>
      <c r="QOH201" s="147"/>
      <c r="QOI201" s="147"/>
      <c r="QOJ201" s="147"/>
      <c r="QOK201" s="147"/>
      <c r="QOL201" s="147"/>
      <c r="QOM201" s="147"/>
      <c r="QON201" s="147"/>
      <c r="QOO201" s="147"/>
      <c r="QOP201" s="147"/>
      <c r="QOQ201" s="147"/>
      <c r="QOR201" s="147"/>
      <c r="QOS201" s="147"/>
      <c r="QOT201" s="147"/>
      <c r="QOU201" s="147"/>
      <c r="QOV201" s="147"/>
      <c r="QOW201" s="147"/>
      <c r="QOX201" s="147"/>
      <c r="QOY201" s="147"/>
      <c r="QOZ201" s="147"/>
      <c r="QPA201" s="147"/>
      <c r="QPB201" s="147"/>
      <c r="QPC201" s="147"/>
      <c r="QPD201" s="147"/>
      <c r="QPE201" s="147"/>
      <c r="QPF201" s="147"/>
      <c r="QPG201" s="147"/>
      <c r="QPH201" s="147"/>
      <c r="QPI201" s="147"/>
      <c r="QPJ201" s="147"/>
      <c r="QPK201" s="147"/>
      <c r="QPL201" s="147"/>
      <c r="QPM201" s="147"/>
      <c r="QPN201" s="147"/>
      <c r="QPO201" s="147"/>
      <c r="QPP201" s="147"/>
      <c r="QPQ201" s="147"/>
      <c r="QPR201" s="147"/>
      <c r="QPS201" s="147"/>
      <c r="QPT201" s="147"/>
      <c r="QPU201" s="147"/>
      <c r="QPV201" s="147"/>
      <c r="QPW201" s="147"/>
      <c r="QPX201" s="147"/>
      <c r="QPY201" s="147"/>
      <c r="QPZ201" s="147"/>
      <c r="QQA201" s="147"/>
      <c r="QQB201" s="147"/>
      <c r="QQC201" s="147"/>
      <c r="QQD201" s="147"/>
      <c r="QQE201" s="147"/>
      <c r="QQF201" s="147"/>
      <c r="QQG201" s="147"/>
      <c r="QQH201" s="147"/>
      <c r="QQI201" s="147"/>
      <c r="QQJ201" s="147"/>
      <c r="QQK201" s="147"/>
      <c r="QQL201" s="147"/>
      <c r="QQM201" s="147"/>
      <c r="QQN201" s="147"/>
      <c r="QQO201" s="147"/>
      <c r="QQP201" s="147"/>
      <c r="QQQ201" s="147"/>
      <c r="QQR201" s="147"/>
      <c r="QQS201" s="147"/>
      <c r="QQT201" s="147"/>
      <c r="QQU201" s="147"/>
      <c r="QQV201" s="147"/>
      <c r="QQW201" s="147"/>
      <c r="QQX201" s="147"/>
      <c r="QQY201" s="147"/>
      <c r="QQZ201" s="147"/>
      <c r="QRA201" s="147"/>
      <c r="QRB201" s="147"/>
      <c r="QRC201" s="147"/>
      <c r="QRD201" s="147"/>
      <c r="QRE201" s="147"/>
      <c r="QRF201" s="147"/>
      <c r="QRG201" s="147"/>
      <c r="QRH201" s="147"/>
      <c r="QRI201" s="147"/>
      <c r="QRJ201" s="147"/>
      <c r="QRK201" s="147"/>
      <c r="QRL201" s="147"/>
      <c r="QRM201" s="147"/>
      <c r="QRN201" s="147"/>
      <c r="QRO201" s="147"/>
      <c r="QRP201" s="147"/>
      <c r="QRQ201" s="147"/>
      <c r="QRR201" s="147"/>
      <c r="QRS201" s="147"/>
      <c r="QRT201" s="147"/>
      <c r="QRU201" s="147"/>
      <c r="QRV201" s="147"/>
      <c r="QRW201" s="147"/>
      <c r="QRX201" s="147"/>
      <c r="QRY201" s="147"/>
      <c r="QRZ201" s="147"/>
      <c r="QSA201" s="147"/>
      <c r="QSB201" s="147"/>
      <c r="QSC201" s="147"/>
      <c r="QSD201" s="147"/>
      <c r="QSE201" s="147"/>
      <c r="QSF201" s="147"/>
      <c r="QSG201" s="147"/>
      <c r="QSH201" s="147"/>
      <c r="QSI201" s="147"/>
      <c r="QSJ201" s="147"/>
      <c r="QSK201" s="147"/>
      <c r="QSL201" s="147"/>
      <c r="QSM201" s="147"/>
      <c r="QSN201" s="147"/>
      <c r="QSO201" s="147"/>
      <c r="QSP201" s="147"/>
      <c r="QSQ201" s="147"/>
      <c r="QSR201" s="147"/>
      <c r="QSS201" s="147"/>
      <c r="QST201" s="147"/>
      <c r="QSU201" s="147"/>
      <c r="QSV201" s="147"/>
      <c r="QSW201" s="147"/>
      <c r="QSX201" s="147"/>
      <c r="QSY201" s="147"/>
      <c r="QSZ201" s="147"/>
      <c r="QTA201" s="147"/>
      <c r="QTB201" s="147"/>
      <c r="QTC201" s="147"/>
      <c r="QTD201" s="147"/>
      <c r="QTE201" s="147"/>
      <c r="QTF201" s="147"/>
      <c r="QTG201" s="147"/>
      <c r="QTH201" s="147"/>
      <c r="QTI201" s="147"/>
      <c r="QTJ201" s="147"/>
      <c r="QTK201" s="147"/>
      <c r="QTL201" s="147"/>
      <c r="QTM201" s="147"/>
      <c r="QTN201" s="147"/>
      <c r="QTO201" s="147"/>
      <c r="QTP201" s="147"/>
      <c r="QTQ201" s="147"/>
      <c r="QTR201" s="147"/>
      <c r="QTS201" s="147"/>
      <c r="QTT201" s="147"/>
      <c r="QTU201" s="147"/>
      <c r="QTV201" s="147"/>
      <c r="QTW201" s="147"/>
      <c r="QTX201" s="147"/>
      <c r="QTY201" s="147"/>
      <c r="QTZ201" s="147"/>
      <c r="QUA201" s="147"/>
      <c r="QUB201" s="147"/>
      <c r="QUC201" s="147"/>
      <c r="QUD201" s="147"/>
      <c r="QUE201" s="147"/>
      <c r="QUF201" s="147"/>
      <c r="QUG201" s="147"/>
      <c r="QUH201" s="147"/>
      <c r="QUI201" s="147"/>
      <c r="QUJ201" s="147"/>
      <c r="QUK201" s="147"/>
      <c r="QUL201" s="147"/>
      <c r="QUM201" s="147"/>
      <c r="QUN201" s="147"/>
      <c r="QUO201" s="147"/>
      <c r="QUP201" s="147"/>
      <c r="QUQ201" s="147"/>
      <c r="QUR201" s="147"/>
      <c r="QUS201" s="147"/>
      <c r="QUT201" s="147"/>
      <c r="QUU201" s="147"/>
      <c r="QUV201" s="147"/>
      <c r="QUW201" s="147"/>
      <c r="QUX201" s="147"/>
      <c r="QUY201" s="147"/>
      <c r="QUZ201" s="147"/>
      <c r="QVA201" s="147"/>
      <c r="QVB201" s="147"/>
      <c r="QVC201" s="147"/>
      <c r="QVD201" s="147"/>
      <c r="QVE201" s="147"/>
      <c r="QVF201" s="147"/>
      <c r="QVG201" s="147"/>
      <c r="QVH201" s="147"/>
      <c r="QVI201" s="147"/>
      <c r="QVJ201" s="147"/>
      <c r="QVK201" s="147"/>
      <c r="QVL201" s="147"/>
      <c r="QVM201" s="147"/>
      <c r="QVN201" s="147"/>
      <c r="QVO201" s="147"/>
      <c r="QVP201" s="147"/>
      <c r="QVQ201" s="147"/>
      <c r="QVR201" s="147"/>
      <c r="QVS201" s="147"/>
      <c r="QVT201" s="147"/>
      <c r="QVU201" s="147"/>
      <c r="QVV201" s="147"/>
      <c r="QVW201" s="147"/>
      <c r="QVX201" s="147"/>
      <c r="QVY201" s="147"/>
      <c r="QVZ201" s="147"/>
      <c r="QWA201" s="147"/>
      <c r="QWB201" s="147"/>
      <c r="QWC201" s="147"/>
      <c r="QWD201" s="147"/>
      <c r="QWE201" s="147"/>
      <c r="QWF201" s="147"/>
      <c r="QWG201" s="147"/>
      <c r="QWH201" s="147"/>
      <c r="QWI201" s="147"/>
      <c r="QWJ201" s="147"/>
      <c r="QWK201" s="147"/>
      <c r="QWL201" s="147"/>
      <c r="QWM201" s="147"/>
      <c r="QWN201" s="147"/>
      <c r="QWO201" s="147"/>
      <c r="QWP201" s="147"/>
      <c r="QWQ201" s="147"/>
      <c r="QWR201" s="147"/>
      <c r="QWS201" s="147"/>
      <c r="QWT201" s="147"/>
      <c r="QWU201" s="147"/>
      <c r="QWV201" s="147"/>
      <c r="QWW201" s="147"/>
      <c r="QWX201" s="147"/>
      <c r="QWY201" s="147"/>
      <c r="QWZ201" s="147"/>
      <c r="QXA201" s="147"/>
      <c r="QXB201" s="147"/>
      <c r="QXC201" s="147"/>
      <c r="QXD201" s="147"/>
      <c r="QXE201" s="147"/>
      <c r="QXF201" s="147"/>
      <c r="QXG201" s="147"/>
      <c r="QXH201" s="147"/>
      <c r="QXI201" s="147"/>
      <c r="QXJ201" s="147"/>
      <c r="QXK201" s="147"/>
      <c r="QXL201" s="147"/>
      <c r="QXM201" s="147"/>
      <c r="QXN201" s="147"/>
      <c r="QXO201" s="147"/>
      <c r="QXP201" s="147"/>
      <c r="QXQ201" s="147"/>
      <c r="QXR201" s="147"/>
      <c r="QXS201" s="147"/>
      <c r="QXT201" s="147"/>
      <c r="QXU201" s="147"/>
      <c r="QXV201" s="147"/>
      <c r="QXW201" s="147"/>
      <c r="QXX201" s="147"/>
      <c r="QXY201" s="147"/>
      <c r="QXZ201" s="147"/>
      <c r="QYA201" s="147"/>
      <c r="QYB201" s="147"/>
      <c r="QYC201" s="147"/>
      <c r="QYD201" s="147"/>
      <c r="QYE201" s="147"/>
      <c r="QYF201" s="147"/>
      <c r="QYG201" s="147"/>
      <c r="QYH201" s="147"/>
      <c r="QYI201" s="147"/>
      <c r="QYJ201" s="147"/>
      <c r="QYK201" s="147"/>
      <c r="QYL201" s="147"/>
      <c r="QYM201" s="147"/>
      <c r="QYN201" s="147"/>
      <c r="QYO201" s="147"/>
      <c r="QYP201" s="147"/>
      <c r="QYQ201" s="147"/>
      <c r="QYR201" s="147"/>
      <c r="QYS201" s="147"/>
      <c r="QYT201" s="147"/>
      <c r="QYU201" s="147"/>
      <c r="QYV201" s="147"/>
      <c r="QYW201" s="147"/>
      <c r="QYX201" s="147"/>
      <c r="QYY201" s="147"/>
      <c r="QYZ201" s="147"/>
      <c r="QZA201" s="147"/>
      <c r="QZB201" s="147"/>
      <c r="QZC201" s="147"/>
      <c r="QZD201" s="147"/>
      <c r="QZE201" s="147"/>
      <c r="QZF201" s="147"/>
      <c r="QZG201" s="147"/>
      <c r="QZH201" s="147"/>
      <c r="QZI201" s="147"/>
      <c r="QZJ201" s="147"/>
      <c r="QZK201" s="147"/>
      <c r="QZL201" s="147"/>
      <c r="QZM201" s="147"/>
      <c r="QZN201" s="147"/>
      <c r="QZO201" s="147"/>
      <c r="QZP201" s="147"/>
      <c r="QZQ201" s="147"/>
      <c r="QZR201" s="147"/>
      <c r="QZS201" s="147"/>
      <c r="QZT201" s="147"/>
      <c r="QZU201" s="147"/>
      <c r="QZV201" s="147"/>
      <c r="QZW201" s="147"/>
      <c r="QZX201" s="147"/>
      <c r="QZY201" s="147"/>
      <c r="QZZ201" s="147"/>
      <c r="RAA201" s="147"/>
      <c r="RAB201" s="147"/>
      <c r="RAC201" s="147"/>
      <c r="RAD201" s="147"/>
      <c r="RAE201" s="147"/>
      <c r="RAF201" s="147"/>
      <c r="RAG201" s="147"/>
      <c r="RAH201" s="147"/>
      <c r="RAI201" s="147"/>
      <c r="RAJ201" s="147"/>
      <c r="RAK201" s="147"/>
      <c r="RAL201" s="147"/>
      <c r="RAM201" s="147"/>
      <c r="RAN201" s="147"/>
      <c r="RAO201" s="147"/>
      <c r="RAP201" s="147"/>
      <c r="RAQ201" s="147"/>
      <c r="RAR201" s="147"/>
      <c r="RAS201" s="147"/>
      <c r="RAT201" s="147"/>
      <c r="RAU201" s="147"/>
      <c r="RAV201" s="147"/>
      <c r="RAW201" s="147"/>
      <c r="RAX201" s="147"/>
      <c r="RAY201" s="147"/>
      <c r="RAZ201" s="147"/>
      <c r="RBA201" s="147"/>
      <c r="RBB201" s="147"/>
      <c r="RBC201" s="147"/>
      <c r="RBD201" s="147"/>
      <c r="RBE201" s="147"/>
      <c r="RBF201" s="147"/>
      <c r="RBG201" s="147"/>
      <c r="RBH201" s="147"/>
      <c r="RBI201" s="147"/>
      <c r="RBJ201" s="147"/>
      <c r="RBK201" s="147"/>
      <c r="RBL201" s="147"/>
      <c r="RBM201" s="147"/>
      <c r="RBN201" s="147"/>
      <c r="RBO201" s="147"/>
      <c r="RBP201" s="147"/>
      <c r="RBQ201" s="147"/>
      <c r="RBR201" s="147"/>
      <c r="RBS201" s="147"/>
      <c r="RBT201" s="147"/>
      <c r="RBU201" s="147"/>
      <c r="RBV201" s="147"/>
      <c r="RBW201" s="147"/>
      <c r="RBX201" s="147"/>
      <c r="RBY201" s="147"/>
      <c r="RBZ201" s="147"/>
      <c r="RCA201" s="147"/>
      <c r="RCB201" s="147"/>
      <c r="RCC201" s="147"/>
      <c r="RCD201" s="147"/>
      <c r="RCE201" s="147"/>
      <c r="RCF201" s="147"/>
      <c r="RCG201" s="147"/>
      <c r="RCH201" s="147"/>
      <c r="RCI201" s="147"/>
      <c r="RCJ201" s="147"/>
      <c r="RCK201" s="147"/>
      <c r="RCL201" s="147"/>
      <c r="RCM201" s="147"/>
      <c r="RCN201" s="147"/>
      <c r="RCO201" s="147"/>
      <c r="RCP201" s="147"/>
      <c r="RCQ201" s="147"/>
      <c r="RCR201" s="147"/>
      <c r="RCS201" s="147"/>
      <c r="RCT201" s="147"/>
      <c r="RCU201" s="147"/>
      <c r="RCV201" s="147"/>
      <c r="RCW201" s="147"/>
      <c r="RCX201" s="147"/>
      <c r="RCY201" s="147"/>
      <c r="RCZ201" s="147"/>
      <c r="RDA201" s="147"/>
      <c r="RDB201" s="147"/>
      <c r="RDC201" s="147"/>
      <c r="RDD201" s="147"/>
      <c r="RDE201" s="147"/>
      <c r="RDF201" s="147"/>
      <c r="RDG201" s="147"/>
      <c r="RDH201" s="147"/>
      <c r="RDI201" s="147"/>
      <c r="RDJ201" s="147"/>
      <c r="RDK201" s="147"/>
      <c r="RDL201" s="147"/>
      <c r="RDM201" s="147"/>
      <c r="RDN201" s="147"/>
      <c r="RDO201" s="147"/>
      <c r="RDP201" s="147"/>
      <c r="RDQ201" s="147"/>
      <c r="RDR201" s="147"/>
      <c r="RDS201" s="147"/>
      <c r="RDT201" s="147"/>
      <c r="RDU201" s="147"/>
      <c r="RDV201" s="147"/>
      <c r="RDW201" s="147"/>
      <c r="RDX201" s="147"/>
      <c r="RDY201" s="147"/>
      <c r="RDZ201" s="147"/>
      <c r="REA201" s="147"/>
      <c r="REB201" s="147"/>
      <c r="REC201" s="147"/>
      <c r="RED201" s="147"/>
      <c r="REE201" s="147"/>
      <c r="REF201" s="147"/>
      <c r="REG201" s="147"/>
      <c r="REH201" s="147"/>
      <c r="REI201" s="147"/>
      <c r="REJ201" s="147"/>
      <c r="REK201" s="147"/>
      <c r="REL201" s="147"/>
      <c r="REM201" s="147"/>
      <c r="REN201" s="147"/>
      <c r="REO201" s="147"/>
      <c r="REP201" s="147"/>
      <c r="REQ201" s="147"/>
      <c r="RER201" s="147"/>
      <c r="RES201" s="147"/>
      <c r="RET201" s="147"/>
      <c r="REU201" s="147"/>
      <c r="REV201" s="147"/>
      <c r="REW201" s="147"/>
      <c r="REX201" s="147"/>
      <c r="REY201" s="147"/>
      <c r="REZ201" s="147"/>
      <c r="RFA201" s="147"/>
      <c r="RFB201" s="147"/>
      <c r="RFC201" s="147"/>
      <c r="RFD201" s="147"/>
      <c r="RFE201" s="147"/>
      <c r="RFF201" s="147"/>
      <c r="RFG201" s="147"/>
      <c r="RFH201" s="147"/>
      <c r="RFI201" s="147"/>
      <c r="RFJ201" s="147"/>
      <c r="RFK201" s="147"/>
      <c r="RFL201" s="147"/>
      <c r="RFM201" s="147"/>
      <c r="RFN201" s="147"/>
      <c r="RFO201" s="147"/>
      <c r="RFP201" s="147"/>
      <c r="RFQ201" s="147"/>
      <c r="RFR201" s="147"/>
      <c r="RFS201" s="147"/>
      <c r="RFT201" s="147"/>
      <c r="RFU201" s="147"/>
      <c r="RFV201" s="147"/>
      <c r="RFW201" s="147"/>
      <c r="RFX201" s="147"/>
      <c r="RFY201" s="147"/>
      <c r="RFZ201" s="147"/>
      <c r="RGA201" s="147"/>
      <c r="RGB201" s="147"/>
      <c r="RGC201" s="147"/>
      <c r="RGD201" s="147"/>
      <c r="RGE201" s="147"/>
      <c r="RGF201" s="147"/>
      <c r="RGG201" s="147"/>
      <c r="RGH201" s="147"/>
      <c r="RGI201" s="147"/>
      <c r="RGJ201" s="147"/>
      <c r="RGK201" s="147"/>
      <c r="RGL201" s="147"/>
      <c r="RGM201" s="147"/>
      <c r="RGN201" s="147"/>
      <c r="RGO201" s="147"/>
      <c r="RGP201" s="147"/>
      <c r="RGQ201" s="147"/>
      <c r="RGR201" s="147"/>
      <c r="RGS201" s="147"/>
      <c r="RGT201" s="147"/>
      <c r="RGU201" s="147"/>
      <c r="RGV201" s="147"/>
      <c r="RGW201" s="147"/>
      <c r="RGX201" s="147"/>
      <c r="RGY201" s="147"/>
      <c r="RGZ201" s="147"/>
      <c r="RHA201" s="147"/>
      <c r="RHB201" s="147"/>
      <c r="RHC201" s="147"/>
      <c r="RHD201" s="147"/>
      <c r="RHE201" s="147"/>
      <c r="RHF201" s="147"/>
      <c r="RHG201" s="147"/>
      <c r="RHH201" s="147"/>
      <c r="RHI201" s="147"/>
      <c r="RHJ201" s="147"/>
      <c r="RHK201" s="147"/>
      <c r="RHL201" s="147"/>
      <c r="RHM201" s="147"/>
      <c r="RHN201" s="147"/>
      <c r="RHO201" s="147"/>
      <c r="RHP201" s="147"/>
      <c r="RHQ201" s="147"/>
      <c r="RHR201" s="147"/>
      <c r="RHS201" s="147"/>
      <c r="RHT201" s="147"/>
      <c r="RHU201" s="147"/>
      <c r="RHV201" s="147"/>
      <c r="RHW201" s="147"/>
      <c r="RHX201" s="147"/>
      <c r="RHY201" s="147"/>
      <c r="RHZ201" s="147"/>
      <c r="RIA201" s="147"/>
      <c r="RIB201" s="147"/>
      <c r="RIC201" s="147"/>
      <c r="RID201" s="147"/>
      <c r="RIE201" s="147"/>
      <c r="RIF201" s="147"/>
      <c r="RIG201" s="147"/>
      <c r="RIH201" s="147"/>
      <c r="RII201" s="147"/>
      <c r="RIJ201" s="147"/>
      <c r="RIK201" s="147"/>
      <c r="RIL201" s="147"/>
      <c r="RIM201" s="147"/>
      <c r="RIN201" s="147"/>
      <c r="RIO201" s="147"/>
      <c r="RIP201" s="147"/>
      <c r="RIQ201" s="147"/>
      <c r="RIR201" s="147"/>
      <c r="RIS201" s="147"/>
      <c r="RIT201" s="147"/>
      <c r="RIU201" s="147"/>
      <c r="RIV201" s="147"/>
      <c r="RIW201" s="147"/>
      <c r="RIX201" s="147"/>
      <c r="RIY201" s="147"/>
      <c r="RIZ201" s="147"/>
      <c r="RJA201" s="147"/>
      <c r="RJB201" s="147"/>
      <c r="RJC201" s="147"/>
      <c r="RJD201" s="147"/>
      <c r="RJE201" s="147"/>
      <c r="RJF201" s="147"/>
      <c r="RJG201" s="147"/>
      <c r="RJH201" s="147"/>
      <c r="RJI201" s="147"/>
      <c r="RJJ201" s="147"/>
      <c r="RJK201" s="147"/>
      <c r="RJL201" s="147"/>
      <c r="RJM201" s="147"/>
      <c r="RJN201" s="147"/>
      <c r="RJO201" s="147"/>
      <c r="RJP201" s="147"/>
      <c r="RJQ201" s="147"/>
      <c r="RJR201" s="147"/>
      <c r="RJS201" s="147"/>
      <c r="RJT201" s="147"/>
      <c r="RJU201" s="147"/>
      <c r="RJV201" s="147"/>
      <c r="RJW201" s="147"/>
      <c r="RJX201" s="147"/>
      <c r="RJY201" s="147"/>
      <c r="RJZ201" s="147"/>
      <c r="RKA201" s="147"/>
      <c r="RKB201" s="147"/>
      <c r="RKC201" s="147"/>
      <c r="RKD201" s="147"/>
      <c r="RKE201" s="147"/>
      <c r="RKF201" s="147"/>
      <c r="RKG201" s="147"/>
      <c r="RKH201" s="147"/>
      <c r="RKI201" s="147"/>
      <c r="RKJ201" s="147"/>
      <c r="RKK201" s="147"/>
      <c r="RKL201" s="147"/>
      <c r="RKM201" s="147"/>
      <c r="RKN201" s="147"/>
      <c r="RKO201" s="147"/>
      <c r="RKP201" s="147"/>
      <c r="RKQ201" s="147"/>
      <c r="RKR201" s="147"/>
      <c r="RKS201" s="147"/>
      <c r="RKT201" s="147"/>
      <c r="RKU201" s="147"/>
      <c r="RKV201" s="147"/>
      <c r="RKW201" s="147"/>
      <c r="RKX201" s="147"/>
      <c r="RKY201" s="147"/>
      <c r="RKZ201" s="147"/>
      <c r="RLA201" s="147"/>
      <c r="RLB201" s="147"/>
      <c r="RLC201" s="147"/>
      <c r="RLD201" s="147"/>
      <c r="RLE201" s="147"/>
      <c r="RLF201" s="147"/>
      <c r="RLG201" s="147"/>
      <c r="RLH201" s="147"/>
      <c r="RLI201" s="147"/>
      <c r="RLJ201" s="147"/>
      <c r="RLK201" s="147"/>
      <c r="RLL201" s="147"/>
      <c r="RLM201" s="147"/>
      <c r="RLN201" s="147"/>
      <c r="RLO201" s="147"/>
      <c r="RLP201" s="147"/>
      <c r="RLQ201" s="147"/>
      <c r="RLR201" s="147"/>
      <c r="RLS201" s="147"/>
      <c r="RLT201" s="147"/>
      <c r="RLU201" s="147"/>
      <c r="RLV201" s="147"/>
      <c r="RLW201" s="147"/>
      <c r="RLX201" s="147"/>
      <c r="RLY201" s="147"/>
      <c r="RLZ201" s="147"/>
      <c r="RMA201" s="147"/>
      <c r="RMB201" s="147"/>
      <c r="RMC201" s="147"/>
      <c r="RMD201" s="147"/>
      <c r="RME201" s="147"/>
      <c r="RMF201" s="147"/>
      <c r="RMG201" s="147"/>
      <c r="RMH201" s="147"/>
      <c r="RMI201" s="147"/>
      <c r="RMJ201" s="147"/>
      <c r="RMK201" s="147"/>
      <c r="RML201" s="147"/>
      <c r="RMM201" s="147"/>
      <c r="RMN201" s="147"/>
      <c r="RMO201" s="147"/>
      <c r="RMP201" s="147"/>
      <c r="RMQ201" s="147"/>
      <c r="RMR201" s="147"/>
      <c r="RMS201" s="147"/>
      <c r="RMT201" s="147"/>
      <c r="RMU201" s="147"/>
      <c r="RMV201" s="147"/>
      <c r="RMW201" s="147"/>
      <c r="RMX201" s="147"/>
      <c r="RMY201" s="147"/>
      <c r="RMZ201" s="147"/>
      <c r="RNA201" s="147"/>
      <c r="RNB201" s="147"/>
      <c r="RNC201" s="147"/>
      <c r="RND201" s="147"/>
      <c r="RNE201" s="147"/>
      <c r="RNF201" s="147"/>
      <c r="RNG201" s="147"/>
      <c r="RNH201" s="147"/>
      <c r="RNI201" s="147"/>
      <c r="RNJ201" s="147"/>
      <c r="RNK201" s="147"/>
      <c r="RNL201" s="147"/>
      <c r="RNM201" s="147"/>
      <c r="RNN201" s="147"/>
      <c r="RNO201" s="147"/>
      <c r="RNP201" s="147"/>
      <c r="RNQ201" s="147"/>
      <c r="RNR201" s="147"/>
      <c r="RNS201" s="147"/>
      <c r="RNT201" s="147"/>
      <c r="RNU201" s="147"/>
      <c r="RNV201" s="147"/>
      <c r="RNW201" s="147"/>
      <c r="RNX201" s="147"/>
      <c r="RNY201" s="147"/>
      <c r="RNZ201" s="147"/>
      <c r="ROA201" s="147"/>
      <c r="ROB201" s="147"/>
      <c r="ROC201" s="147"/>
      <c r="ROD201" s="147"/>
      <c r="ROE201" s="147"/>
      <c r="ROF201" s="147"/>
      <c r="ROG201" s="147"/>
      <c r="ROH201" s="147"/>
      <c r="ROI201" s="147"/>
      <c r="ROJ201" s="147"/>
      <c r="ROK201" s="147"/>
      <c r="ROL201" s="147"/>
      <c r="ROM201" s="147"/>
      <c r="RON201" s="147"/>
      <c r="ROO201" s="147"/>
      <c r="ROP201" s="147"/>
      <c r="ROQ201" s="147"/>
      <c r="ROR201" s="147"/>
      <c r="ROS201" s="147"/>
      <c r="ROT201" s="147"/>
      <c r="ROU201" s="147"/>
      <c r="ROV201" s="147"/>
      <c r="ROW201" s="147"/>
      <c r="ROX201" s="147"/>
      <c r="ROY201" s="147"/>
      <c r="ROZ201" s="147"/>
      <c r="RPA201" s="147"/>
      <c r="RPB201" s="147"/>
      <c r="RPC201" s="147"/>
      <c r="RPD201" s="147"/>
      <c r="RPE201" s="147"/>
      <c r="RPF201" s="147"/>
      <c r="RPG201" s="147"/>
      <c r="RPH201" s="147"/>
      <c r="RPI201" s="147"/>
      <c r="RPJ201" s="147"/>
      <c r="RPK201" s="147"/>
      <c r="RPL201" s="147"/>
      <c r="RPM201" s="147"/>
      <c r="RPN201" s="147"/>
      <c r="RPO201" s="147"/>
      <c r="RPP201" s="147"/>
      <c r="RPQ201" s="147"/>
      <c r="RPR201" s="147"/>
      <c r="RPS201" s="147"/>
      <c r="RPT201" s="147"/>
      <c r="RPU201" s="147"/>
      <c r="RPV201" s="147"/>
      <c r="RPW201" s="147"/>
      <c r="RPX201" s="147"/>
      <c r="RPY201" s="147"/>
      <c r="RPZ201" s="147"/>
      <c r="RQA201" s="147"/>
      <c r="RQB201" s="147"/>
      <c r="RQC201" s="147"/>
      <c r="RQD201" s="147"/>
      <c r="RQE201" s="147"/>
      <c r="RQF201" s="147"/>
      <c r="RQG201" s="147"/>
      <c r="RQH201" s="147"/>
      <c r="RQI201" s="147"/>
      <c r="RQJ201" s="147"/>
      <c r="RQK201" s="147"/>
      <c r="RQL201" s="147"/>
      <c r="RQM201" s="147"/>
      <c r="RQN201" s="147"/>
      <c r="RQO201" s="147"/>
      <c r="RQP201" s="147"/>
      <c r="RQQ201" s="147"/>
      <c r="RQR201" s="147"/>
      <c r="RQS201" s="147"/>
      <c r="RQT201" s="147"/>
      <c r="RQU201" s="147"/>
      <c r="RQV201" s="147"/>
      <c r="RQW201" s="147"/>
      <c r="RQX201" s="147"/>
      <c r="RQY201" s="147"/>
      <c r="RQZ201" s="147"/>
      <c r="RRA201" s="147"/>
      <c r="RRB201" s="147"/>
      <c r="RRC201" s="147"/>
      <c r="RRD201" s="147"/>
      <c r="RRE201" s="147"/>
      <c r="RRF201" s="147"/>
      <c r="RRG201" s="147"/>
      <c r="RRH201" s="147"/>
      <c r="RRI201" s="147"/>
      <c r="RRJ201" s="147"/>
      <c r="RRK201" s="147"/>
      <c r="RRL201" s="147"/>
      <c r="RRM201" s="147"/>
      <c r="RRN201" s="147"/>
      <c r="RRO201" s="147"/>
      <c r="RRP201" s="147"/>
      <c r="RRQ201" s="147"/>
      <c r="RRR201" s="147"/>
      <c r="RRS201" s="147"/>
      <c r="RRT201" s="147"/>
      <c r="RRU201" s="147"/>
      <c r="RRV201" s="147"/>
      <c r="RRW201" s="147"/>
      <c r="RRX201" s="147"/>
      <c r="RRY201" s="147"/>
      <c r="RRZ201" s="147"/>
      <c r="RSA201" s="147"/>
      <c r="RSB201" s="147"/>
      <c r="RSC201" s="147"/>
      <c r="RSD201" s="147"/>
      <c r="RSE201" s="147"/>
      <c r="RSF201" s="147"/>
      <c r="RSG201" s="147"/>
      <c r="RSH201" s="147"/>
      <c r="RSI201" s="147"/>
      <c r="RSJ201" s="147"/>
      <c r="RSK201" s="147"/>
      <c r="RSL201" s="147"/>
      <c r="RSM201" s="147"/>
      <c r="RSN201" s="147"/>
      <c r="RSO201" s="147"/>
      <c r="RSP201" s="147"/>
      <c r="RSQ201" s="147"/>
      <c r="RSR201" s="147"/>
      <c r="RSS201" s="147"/>
      <c r="RST201" s="147"/>
      <c r="RSU201" s="147"/>
      <c r="RSV201" s="147"/>
      <c r="RSW201" s="147"/>
      <c r="RSX201" s="147"/>
      <c r="RSY201" s="147"/>
      <c r="RSZ201" s="147"/>
      <c r="RTA201" s="147"/>
      <c r="RTB201" s="147"/>
      <c r="RTC201" s="147"/>
      <c r="RTD201" s="147"/>
      <c r="RTE201" s="147"/>
      <c r="RTF201" s="147"/>
      <c r="RTG201" s="147"/>
      <c r="RTH201" s="147"/>
      <c r="RTI201" s="147"/>
      <c r="RTJ201" s="147"/>
      <c r="RTK201" s="147"/>
      <c r="RTL201" s="147"/>
      <c r="RTM201" s="147"/>
      <c r="RTN201" s="147"/>
      <c r="RTO201" s="147"/>
      <c r="RTP201" s="147"/>
      <c r="RTQ201" s="147"/>
      <c r="RTR201" s="147"/>
      <c r="RTS201" s="147"/>
      <c r="RTT201" s="147"/>
      <c r="RTU201" s="147"/>
      <c r="RTV201" s="147"/>
      <c r="RTW201" s="147"/>
      <c r="RTX201" s="147"/>
      <c r="RTY201" s="147"/>
      <c r="RTZ201" s="147"/>
      <c r="RUA201" s="147"/>
      <c r="RUB201" s="147"/>
      <c r="RUC201" s="147"/>
      <c r="RUD201" s="147"/>
      <c r="RUE201" s="147"/>
      <c r="RUF201" s="147"/>
      <c r="RUG201" s="147"/>
      <c r="RUH201" s="147"/>
      <c r="RUI201" s="147"/>
      <c r="RUJ201" s="147"/>
      <c r="RUK201" s="147"/>
      <c r="RUL201" s="147"/>
      <c r="RUM201" s="147"/>
      <c r="RUN201" s="147"/>
      <c r="RUO201" s="147"/>
      <c r="RUP201" s="147"/>
      <c r="RUQ201" s="147"/>
      <c r="RUR201" s="147"/>
      <c r="RUS201" s="147"/>
      <c r="RUT201" s="147"/>
      <c r="RUU201" s="147"/>
      <c r="RUV201" s="147"/>
      <c r="RUW201" s="147"/>
      <c r="RUX201" s="147"/>
      <c r="RUY201" s="147"/>
      <c r="RUZ201" s="147"/>
      <c r="RVA201" s="147"/>
      <c r="RVB201" s="147"/>
      <c r="RVC201" s="147"/>
      <c r="RVD201" s="147"/>
      <c r="RVE201" s="147"/>
      <c r="RVF201" s="147"/>
      <c r="RVG201" s="147"/>
      <c r="RVH201" s="147"/>
      <c r="RVI201" s="147"/>
      <c r="RVJ201" s="147"/>
      <c r="RVK201" s="147"/>
      <c r="RVL201" s="147"/>
      <c r="RVM201" s="147"/>
      <c r="RVN201" s="147"/>
      <c r="RVO201" s="147"/>
      <c r="RVP201" s="147"/>
      <c r="RVQ201" s="147"/>
      <c r="RVR201" s="147"/>
      <c r="RVS201" s="147"/>
      <c r="RVT201" s="147"/>
      <c r="RVU201" s="147"/>
      <c r="RVV201" s="147"/>
      <c r="RVW201" s="147"/>
      <c r="RVX201" s="147"/>
      <c r="RVY201" s="147"/>
      <c r="RVZ201" s="147"/>
      <c r="RWA201" s="147"/>
      <c r="RWB201" s="147"/>
      <c r="RWC201" s="147"/>
      <c r="RWD201" s="147"/>
      <c r="RWE201" s="147"/>
      <c r="RWF201" s="147"/>
      <c r="RWG201" s="147"/>
      <c r="RWH201" s="147"/>
      <c r="RWI201" s="147"/>
      <c r="RWJ201" s="147"/>
      <c r="RWK201" s="147"/>
      <c r="RWL201" s="147"/>
      <c r="RWM201" s="147"/>
      <c r="RWN201" s="147"/>
      <c r="RWO201" s="147"/>
      <c r="RWP201" s="147"/>
      <c r="RWQ201" s="147"/>
      <c r="RWR201" s="147"/>
      <c r="RWS201" s="147"/>
      <c r="RWT201" s="147"/>
      <c r="RWU201" s="147"/>
      <c r="RWV201" s="147"/>
      <c r="RWW201" s="147"/>
      <c r="RWX201" s="147"/>
      <c r="RWY201" s="147"/>
      <c r="RWZ201" s="147"/>
      <c r="RXA201" s="147"/>
      <c r="RXB201" s="147"/>
      <c r="RXC201" s="147"/>
      <c r="RXD201" s="147"/>
      <c r="RXE201" s="147"/>
      <c r="RXF201" s="147"/>
      <c r="RXG201" s="147"/>
      <c r="RXH201" s="147"/>
      <c r="RXI201" s="147"/>
      <c r="RXJ201" s="147"/>
      <c r="RXK201" s="147"/>
      <c r="RXL201" s="147"/>
      <c r="RXM201" s="147"/>
      <c r="RXN201" s="147"/>
      <c r="RXO201" s="147"/>
      <c r="RXP201" s="147"/>
      <c r="RXQ201" s="147"/>
      <c r="RXR201" s="147"/>
      <c r="RXS201" s="147"/>
      <c r="RXT201" s="147"/>
      <c r="RXU201" s="147"/>
      <c r="RXV201" s="147"/>
      <c r="RXW201" s="147"/>
      <c r="RXX201" s="147"/>
      <c r="RXY201" s="147"/>
      <c r="RXZ201" s="147"/>
      <c r="RYA201" s="147"/>
      <c r="RYB201" s="147"/>
      <c r="RYC201" s="147"/>
      <c r="RYD201" s="147"/>
      <c r="RYE201" s="147"/>
      <c r="RYF201" s="147"/>
      <c r="RYG201" s="147"/>
      <c r="RYH201" s="147"/>
      <c r="RYI201" s="147"/>
      <c r="RYJ201" s="147"/>
      <c r="RYK201" s="147"/>
      <c r="RYL201" s="147"/>
      <c r="RYM201" s="147"/>
      <c r="RYN201" s="147"/>
      <c r="RYO201" s="147"/>
      <c r="RYP201" s="147"/>
      <c r="RYQ201" s="147"/>
      <c r="RYR201" s="147"/>
      <c r="RYS201" s="147"/>
      <c r="RYT201" s="147"/>
      <c r="RYU201" s="147"/>
      <c r="RYV201" s="147"/>
      <c r="RYW201" s="147"/>
      <c r="RYX201" s="147"/>
      <c r="RYY201" s="147"/>
      <c r="RYZ201" s="147"/>
      <c r="RZA201" s="147"/>
      <c r="RZB201" s="147"/>
      <c r="RZC201" s="147"/>
      <c r="RZD201" s="147"/>
      <c r="RZE201" s="147"/>
      <c r="RZF201" s="147"/>
      <c r="RZG201" s="147"/>
      <c r="RZH201" s="147"/>
      <c r="RZI201" s="147"/>
      <c r="RZJ201" s="147"/>
      <c r="RZK201" s="147"/>
      <c r="RZL201" s="147"/>
      <c r="RZM201" s="147"/>
      <c r="RZN201" s="147"/>
      <c r="RZO201" s="147"/>
      <c r="RZP201" s="147"/>
      <c r="RZQ201" s="147"/>
      <c r="RZR201" s="147"/>
      <c r="RZS201" s="147"/>
      <c r="RZT201" s="147"/>
      <c r="RZU201" s="147"/>
      <c r="RZV201" s="147"/>
      <c r="RZW201" s="147"/>
      <c r="RZX201" s="147"/>
      <c r="RZY201" s="147"/>
      <c r="RZZ201" s="147"/>
      <c r="SAA201" s="147"/>
      <c r="SAB201" s="147"/>
      <c r="SAC201" s="147"/>
      <c r="SAD201" s="147"/>
      <c r="SAE201" s="147"/>
      <c r="SAF201" s="147"/>
      <c r="SAG201" s="147"/>
      <c r="SAH201" s="147"/>
      <c r="SAI201" s="147"/>
      <c r="SAJ201" s="147"/>
      <c r="SAK201" s="147"/>
      <c r="SAL201" s="147"/>
      <c r="SAM201" s="147"/>
      <c r="SAN201" s="147"/>
      <c r="SAO201" s="147"/>
      <c r="SAP201" s="147"/>
      <c r="SAQ201" s="147"/>
      <c r="SAR201" s="147"/>
      <c r="SAS201" s="147"/>
      <c r="SAT201" s="147"/>
      <c r="SAU201" s="147"/>
      <c r="SAV201" s="147"/>
      <c r="SAW201" s="147"/>
      <c r="SAX201" s="147"/>
      <c r="SAY201" s="147"/>
      <c r="SAZ201" s="147"/>
      <c r="SBA201" s="147"/>
      <c r="SBB201" s="147"/>
      <c r="SBC201" s="147"/>
      <c r="SBD201" s="147"/>
      <c r="SBE201" s="147"/>
      <c r="SBF201" s="147"/>
      <c r="SBG201" s="147"/>
      <c r="SBH201" s="147"/>
      <c r="SBI201" s="147"/>
      <c r="SBJ201" s="147"/>
      <c r="SBK201" s="147"/>
      <c r="SBL201" s="147"/>
      <c r="SBM201" s="147"/>
      <c r="SBN201" s="147"/>
      <c r="SBO201" s="147"/>
      <c r="SBP201" s="147"/>
      <c r="SBQ201" s="147"/>
      <c r="SBR201" s="147"/>
      <c r="SBS201" s="147"/>
      <c r="SBT201" s="147"/>
      <c r="SBU201" s="147"/>
      <c r="SBV201" s="147"/>
      <c r="SBW201" s="147"/>
      <c r="SBX201" s="147"/>
      <c r="SBY201" s="147"/>
      <c r="SBZ201" s="147"/>
      <c r="SCA201" s="147"/>
      <c r="SCB201" s="147"/>
      <c r="SCC201" s="147"/>
      <c r="SCD201" s="147"/>
      <c r="SCE201" s="147"/>
      <c r="SCF201" s="147"/>
      <c r="SCG201" s="147"/>
      <c r="SCH201" s="147"/>
      <c r="SCI201" s="147"/>
      <c r="SCJ201" s="147"/>
      <c r="SCK201" s="147"/>
      <c r="SCL201" s="147"/>
      <c r="SCM201" s="147"/>
      <c r="SCN201" s="147"/>
      <c r="SCO201" s="147"/>
      <c r="SCP201" s="147"/>
      <c r="SCQ201" s="147"/>
      <c r="SCR201" s="147"/>
      <c r="SCS201" s="147"/>
      <c r="SCT201" s="147"/>
      <c r="SCU201" s="147"/>
      <c r="SCV201" s="147"/>
      <c r="SCW201" s="147"/>
      <c r="SCX201" s="147"/>
      <c r="SCY201" s="147"/>
      <c r="SCZ201" s="147"/>
      <c r="SDA201" s="147"/>
      <c r="SDB201" s="147"/>
      <c r="SDC201" s="147"/>
      <c r="SDD201" s="147"/>
      <c r="SDE201" s="147"/>
      <c r="SDF201" s="147"/>
      <c r="SDG201" s="147"/>
      <c r="SDH201" s="147"/>
      <c r="SDI201" s="147"/>
      <c r="SDJ201" s="147"/>
      <c r="SDK201" s="147"/>
      <c r="SDL201" s="147"/>
      <c r="SDM201" s="147"/>
      <c r="SDN201" s="147"/>
      <c r="SDO201" s="147"/>
      <c r="SDP201" s="147"/>
      <c r="SDQ201" s="147"/>
      <c r="SDR201" s="147"/>
      <c r="SDS201" s="147"/>
      <c r="SDT201" s="147"/>
      <c r="SDU201" s="147"/>
      <c r="SDV201" s="147"/>
      <c r="SDW201" s="147"/>
      <c r="SDX201" s="147"/>
      <c r="SDY201" s="147"/>
      <c r="SDZ201" s="147"/>
      <c r="SEA201" s="147"/>
      <c r="SEB201" s="147"/>
      <c r="SEC201" s="147"/>
      <c r="SED201" s="147"/>
      <c r="SEE201" s="147"/>
      <c r="SEF201" s="147"/>
      <c r="SEG201" s="147"/>
      <c r="SEH201" s="147"/>
      <c r="SEI201" s="147"/>
      <c r="SEJ201" s="147"/>
      <c r="SEK201" s="147"/>
      <c r="SEL201" s="147"/>
      <c r="SEM201" s="147"/>
      <c r="SEN201" s="147"/>
      <c r="SEO201" s="147"/>
      <c r="SEP201" s="147"/>
      <c r="SEQ201" s="147"/>
      <c r="SER201" s="147"/>
      <c r="SES201" s="147"/>
      <c r="SET201" s="147"/>
      <c r="SEU201" s="147"/>
      <c r="SEV201" s="147"/>
      <c r="SEW201" s="147"/>
      <c r="SEX201" s="147"/>
      <c r="SEY201" s="147"/>
      <c r="SEZ201" s="147"/>
      <c r="SFA201" s="147"/>
      <c r="SFB201" s="147"/>
      <c r="SFC201" s="147"/>
      <c r="SFD201" s="147"/>
      <c r="SFE201" s="147"/>
      <c r="SFF201" s="147"/>
      <c r="SFG201" s="147"/>
      <c r="SFH201" s="147"/>
      <c r="SFI201" s="147"/>
      <c r="SFJ201" s="147"/>
      <c r="SFK201" s="147"/>
      <c r="SFL201" s="147"/>
      <c r="SFM201" s="147"/>
      <c r="SFN201" s="147"/>
      <c r="SFO201" s="147"/>
      <c r="SFP201" s="147"/>
      <c r="SFQ201" s="147"/>
      <c r="SFR201" s="147"/>
      <c r="SFS201" s="147"/>
      <c r="SFT201" s="147"/>
      <c r="SFU201" s="147"/>
      <c r="SFV201" s="147"/>
      <c r="SFW201" s="147"/>
      <c r="SFX201" s="147"/>
      <c r="SFY201" s="147"/>
      <c r="SFZ201" s="147"/>
      <c r="SGA201" s="147"/>
      <c r="SGB201" s="147"/>
      <c r="SGC201" s="147"/>
      <c r="SGD201" s="147"/>
      <c r="SGE201" s="147"/>
      <c r="SGF201" s="147"/>
      <c r="SGG201" s="147"/>
      <c r="SGH201" s="147"/>
      <c r="SGI201" s="147"/>
      <c r="SGJ201" s="147"/>
      <c r="SGK201" s="147"/>
      <c r="SGL201" s="147"/>
      <c r="SGM201" s="147"/>
      <c r="SGN201" s="147"/>
      <c r="SGO201" s="147"/>
      <c r="SGP201" s="147"/>
      <c r="SGQ201" s="147"/>
      <c r="SGR201" s="147"/>
      <c r="SGS201" s="147"/>
      <c r="SGT201" s="147"/>
      <c r="SGU201" s="147"/>
      <c r="SGV201" s="147"/>
      <c r="SGW201" s="147"/>
      <c r="SGX201" s="147"/>
      <c r="SGY201" s="147"/>
      <c r="SGZ201" s="147"/>
      <c r="SHA201" s="147"/>
      <c r="SHB201" s="147"/>
      <c r="SHC201" s="147"/>
      <c r="SHD201" s="147"/>
      <c r="SHE201" s="147"/>
      <c r="SHF201" s="147"/>
      <c r="SHG201" s="147"/>
      <c r="SHH201" s="147"/>
      <c r="SHI201" s="147"/>
      <c r="SHJ201" s="147"/>
      <c r="SHK201" s="147"/>
      <c r="SHL201" s="147"/>
      <c r="SHM201" s="147"/>
      <c r="SHN201" s="147"/>
      <c r="SHO201" s="147"/>
      <c r="SHP201" s="147"/>
      <c r="SHQ201" s="147"/>
      <c r="SHR201" s="147"/>
      <c r="SHS201" s="147"/>
      <c r="SHT201" s="147"/>
      <c r="SHU201" s="147"/>
      <c r="SHV201" s="147"/>
      <c r="SHW201" s="147"/>
      <c r="SHX201" s="147"/>
      <c r="SHY201" s="147"/>
      <c r="SHZ201" s="147"/>
      <c r="SIA201" s="147"/>
      <c r="SIB201" s="147"/>
      <c r="SIC201" s="147"/>
      <c r="SID201" s="147"/>
      <c r="SIE201" s="147"/>
      <c r="SIF201" s="147"/>
      <c r="SIG201" s="147"/>
      <c r="SIH201" s="147"/>
      <c r="SII201" s="147"/>
      <c r="SIJ201" s="147"/>
      <c r="SIK201" s="147"/>
      <c r="SIL201" s="147"/>
      <c r="SIM201" s="147"/>
      <c r="SIN201" s="147"/>
      <c r="SIO201" s="147"/>
      <c r="SIP201" s="147"/>
      <c r="SIQ201" s="147"/>
      <c r="SIR201" s="147"/>
      <c r="SIS201" s="147"/>
      <c r="SIT201" s="147"/>
      <c r="SIU201" s="147"/>
      <c r="SIV201" s="147"/>
      <c r="SIW201" s="147"/>
      <c r="SIX201" s="147"/>
      <c r="SIY201" s="147"/>
      <c r="SIZ201" s="147"/>
      <c r="SJA201" s="147"/>
      <c r="SJB201" s="147"/>
      <c r="SJC201" s="147"/>
      <c r="SJD201" s="147"/>
      <c r="SJE201" s="147"/>
      <c r="SJF201" s="147"/>
      <c r="SJG201" s="147"/>
      <c r="SJH201" s="147"/>
      <c r="SJI201" s="147"/>
      <c r="SJJ201" s="147"/>
      <c r="SJK201" s="147"/>
      <c r="SJL201" s="147"/>
      <c r="SJM201" s="147"/>
      <c r="SJN201" s="147"/>
      <c r="SJO201" s="147"/>
      <c r="SJP201" s="147"/>
      <c r="SJQ201" s="147"/>
      <c r="SJR201" s="147"/>
      <c r="SJS201" s="147"/>
      <c r="SJT201" s="147"/>
      <c r="SJU201" s="147"/>
      <c r="SJV201" s="147"/>
      <c r="SJW201" s="147"/>
      <c r="SJX201" s="147"/>
      <c r="SJY201" s="147"/>
      <c r="SJZ201" s="147"/>
      <c r="SKA201" s="147"/>
      <c r="SKB201" s="147"/>
      <c r="SKC201" s="147"/>
      <c r="SKD201" s="147"/>
      <c r="SKE201" s="147"/>
      <c r="SKF201" s="147"/>
      <c r="SKG201" s="147"/>
      <c r="SKH201" s="147"/>
      <c r="SKI201" s="147"/>
      <c r="SKJ201" s="147"/>
      <c r="SKK201" s="147"/>
      <c r="SKL201" s="147"/>
      <c r="SKM201" s="147"/>
      <c r="SKN201" s="147"/>
      <c r="SKO201" s="147"/>
      <c r="SKP201" s="147"/>
      <c r="SKQ201" s="147"/>
      <c r="SKR201" s="147"/>
      <c r="SKS201" s="147"/>
      <c r="SKT201" s="147"/>
      <c r="SKU201" s="147"/>
      <c r="SKV201" s="147"/>
      <c r="SKW201" s="147"/>
      <c r="SKX201" s="147"/>
      <c r="SKY201" s="147"/>
      <c r="SKZ201" s="147"/>
      <c r="SLA201" s="147"/>
      <c r="SLB201" s="147"/>
      <c r="SLC201" s="147"/>
      <c r="SLD201" s="147"/>
      <c r="SLE201" s="147"/>
      <c r="SLF201" s="147"/>
      <c r="SLG201" s="147"/>
      <c r="SLH201" s="147"/>
      <c r="SLI201" s="147"/>
      <c r="SLJ201" s="147"/>
      <c r="SLK201" s="147"/>
      <c r="SLL201" s="147"/>
      <c r="SLM201" s="147"/>
      <c r="SLN201" s="147"/>
      <c r="SLO201" s="147"/>
      <c r="SLP201" s="147"/>
      <c r="SLQ201" s="147"/>
      <c r="SLR201" s="147"/>
      <c r="SLS201" s="147"/>
      <c r="SLT201" s="147"/>
      <c r="SLU201" s="147"/>
      <c r="SLV201" s="147"/>
      <c r="SLW201" s="147"/>
      <c r="SLX201" s="147"/>
      <c r="SLY201" s="147"/>
      <c r="SLZ201" s="147"/>
      <c r="SMA201" s="147"/>
      <c r="SMB201" s="147"/>
      <c r="SMC201" s="147"/>
      <c r="SMD201" s="147"/>
      <c r="SME201" s="147"/>
      <c r="SMF201" s="147"/>
      <c r="SMG201" s="147"/>
      <c r="SMH201" s="147"/>
      <c r="SMI201" s="147"/>
      <c r="SMJ201" s="147"/>
      <c r="SMK201" s="147"/>
      <c r="SML201" s="147"/>
      <c r="SMM201" s="147"/>
      <c r="SMN201" s="147"/>
      <c r="SMO201" s="147"/>
      <c r="SMP201" s="147"/>
      <c r="SMQ201" s="147"/>
      <c r="SMR201" s="147"/>
      <c r="SMS201" s="147"/>
      <c r="SMT201" s="147"/>
      <c r="SMU201" s="147"/>
      <c r="SMV201" s="147"/>
      <c r="SMW201" s="147"/>
      <c r="SMX201" s="147"/>
      <c r="SMY201" s="147"/>
      <c r="SMZ201" s="147"/>
      <c r="SNA201" s="147"/>
      <c r="SNB201" s="147"/>
      <c r="SNC201" s="147"/>
      <c r="SND201" s="147"/>
      <c r="SNE201" s="147"/>
      <c r="SNF201" s="147"/>
      <c r="SNG201" s="147"/>
      <c r="SNH201" s="147"/>
      <c r="SNI201" s="147"/>
      <c r="SNJ201" s="147"/>
      <c r="SNK201" s="147"/>
      <c r="SNL201" s="147"/>
      <c r="SNM201" s="147"/>
      <c r="SNN201" s="147"/>
      <c r="SNO201" s="147"/>
      <c r="SNP201" s="147"/>
      <c r="SNQ201" s="147"/>
      <c r="SNR201" s="147"/>
      <c r="SNS201" s="147"/>
      <c r="SNT201" s="147"/>
      <c r="SNU201" s="147"/>
      <c r="SNV201" s="147"/>
      <c r="SNW201" s="147"/>
      <c r="SNX201" s="147"/>
      <c r="SNY201" s="147"/>
      <c r="SNZ201" s="147"/>
      <c r="SOA201" s="147"/>
      <c r="SOB201" s="147"/>
      <c r="SOC201" s="147"/>
      <c r="SOD201" s="147"/>
      <c r="SOE201" s="147"/>
      <c r="SOF201" s="147"/>
      <c r="SOG201" s="147"/>
      <c r="SOH201" s="147"/>
      <c r="SOI201" s="147"/>
      <c r="SOJ201" s="147"/>
      <c r="SOK201" s="147"/>
      <c r="SOL201" s="147"/>
      <c r="SOM201" s="147"/>
      <c r="SON201" s="147"/>
      <c r="SOO201" s="147"/>
      <c r="SOP201" s="147"/>
      <c r="SOQ201" s="147"/>
      <c r="SOR201" s="147"/>
      <c r="SOS201" s="147"/>
      <c r="SOT201" s="147"/>
      <c r="SOU201" s="147"/>
      <c r="SOV201" s="147"/>
      <c r="SOW201" s="147"/>
      <c r="SOX201" s="147"/>
      <c r="SOY201" s="147"/>
      <c r="SOZ201" s="147"/>
      <c r="SPA201" s="147"/>
      <c r="SPB201" s="147"/>
      <c r="SPC201" s="147"/>
      <c r="SPD201" s="147"/>
      <c r="SPE201" s="147"/>
      <c r="SPF201" s="147"/>
      <c r="SPG201" s="147"/>
      <c r="SPH201" s="147"/>
      <c r="SPI201" s="147"/>
      <c r="SPJ201" s="147"/>
      <c r="SPK201" s="147"/>
      <c r="SPL201" s="147"/>
      <c r="SPM201" s="147"/>
      <c r="SPN201" s="147"/>
      <c r="SPO201" s="147"/>
      <c r="SPP201" s="147"/>
      <c r="SPQ201" s="147"/>
      <c r="SPR201" s="147"/>
      <c r="SPS201" s="147"/>
      <c r="SPT201" s="147"/>
      <c r="SPU201" s="147"/>
      <c r="SPV201" s="147"/>
      <c r="SPW201" s="147"/>
      <c r="SPX201" s="147"/>
      <c r="SPY201" s="147"/>
      <c r="SPZ201" s="147"/>
      <c r="SQA201" s="147"/>
      <c r="SQB201" s="147"/>
      <c r="SQC201" s="147"/>
      <c r="SQD201" s="147"/>
      <c r="SQE201" s="147"/>
      <c r="SQF201" s="147"/>
      <c r="SQG201" s="147"/>
      <c r="SQH201" s="147"/>
      <c r="SQI201" s="147"/>
      <c r="SQJ201" s="147"/>
      <c r="SQK201" s="147"/>
      <c r="SQL201" s="147"/>
      <c r="SQM201" s="147"/>
      <c r="SQN201" s="147"/>
      <c r="SQO201" s="147"/>
      <c r="SQP201" s="147"/>
      <c r="SQQ201" s="147"/>
      <c r="SQR201" s="147"/>
      <c r="SQS201" s="147"/>
      <c r="SQT201" s="147"/>
      <c r="SQU201" s="147"/>
      <c r="SQV201" s="147"/>
      <c r="SQW201" s="147"/>
      <c r="SQX201" s="147"/>
      <c r="SQY201" s="147"/>
      <c r="SQZ201" s="147"/>
      <c r="SRA201" s="147"/>
      <c r="SRB201" s="147"/>
      <c r="SRC201" s="147"/>
      <c r="SRD201" s="147"/>
      <c r="SRE201" s="147"/>
      <c r="SRF201" s="147"/>
      <c r="SRG201" s="147"/>
      <c r="SRH201" s="147"/>
      <c r="SRI201" s="147"/>
      <c r="SRJ201" s="147"/>
      <c r="SRK201" s="147"/>
      <c r="SRL201" s="147"/>
      <c r="SRM201" s="147"/>
      <c r="SRN201" s="147"/>
      <c r="SRO201" s="147"/>
      <c r="SRP201" s="147"/>
      <c r="SRQ201" s="147"/>
      <c r="SRR201" s="147"/>
      <c r="SRS201" s="147"/>
      <c r="SRT201" s="147"/>
      <c r="SRU201" s="147"/>
      <c r="SRV201" s="147"/>
      <c r="SRW201" s="147"/>
      <c r="SRX201" s="147"/>
      <c r="SRY201" s="147"/>
      <c r="SRZ201" s="147"/>
      <c r="SSA201" s="147"/>
      <c r="SSB201" s="147"/>
      <c r="SSC201" s="147"/>
      <c r="SSD201" s="147"/>
      <c r="SSE201" s="147"/>
      <c r="SSF201" s="147"/>
      <c r="SSG201" s="147"/>
      <c r="SSH201" s="147"/>
      <c r="SSI201" s="147"/>
      <c r="SSJ201" s="147"/>
      <c r="SSK201" s="147"/>
      <c r="SSL201" s="147"/>
      <c r="SSM201" s="147"/>
      <c r="SSN201" s="147"/>
      <c r="SSO201" s="147"/>
      <c r="SSP201" s="147"/>
      <c r="SSQ201" s="147"/>
      <c r="SSR201" s="147"/>
      <c r="SSS201" s="147"/>
      <c r="SST201" s="147"/>
      <c r="SSU201" s="147"/>
      <c r="SSV201" s="147"/>
      <c r="SSW201" s="147"/>
      <c r="SSX201" s="147"/>
      <c r="SSY201" s="147"/>
      <c r="SSZ201" s="147"/>
      <c r="STA201" s="147"/>
      <c r="STB201" s="147"/>
      <c r="STC201" s="147"/>
      <c r="STD201" s="147"/>
      <c r="STE201" s="147"/>
      <c r="STF201" s="147"/>
      <c r="STG201" s="147"/>
      <c r="STH201" s="147"/>
      <c r="STI201" s="147"/>
      <c r="STJ201" s="147"/>
      <c r="STK201" s="147"/>
      <c r="STL201" s="147"/>
      <c r="STM201" s="147"/>
      <c r="STN201" s="147"/>
      <c r="STO201" s="147"/>
      <c r="STP201" s="147"/>
      <c r="STQ201" s="147"/>
      <c r="STR201" s="147"/>
      <c r="STS201" s="147"/>
      <c r="STT201" s="147"/>
      <c r="STU201" s="147"/>
      <c r="STV201" s="147"/>
      <c r="STW201" s="147"/>
      <c r="STX201" s="147"/>
      <c r="STY201" s="147"/>
      <c r="STZ201" s="147"/>
      <c r="SUA201" s="147"/>
      <c r="SUB201" s="147"/>
      <c r="SUC201" s="147"/>
      <c r="SUD201" s="147"/>
      <c r="SUE201" s="147"/>
      <c r="SUF201" s="147"/>
      <c r="SUG201" s="147"/>
      <c r="SUH201" s="147"/>
      <c r="SUI201" s="147"/>
      <c r="SUJ201" s="147"/>
      <c r="SUK201" s="147"/>
      <c r="SUL201" s="147"/>
      <c r="SUM201" s="147"/>
      <c r="SUN201" s="147"/>
      <c r="SUO201" s="147"/>
      <c r="SUP201" s="147"/>
      <c r="SUQ201" s="147"/>
      <c r="SUR201" s="147"/>
      <c r="SUS201" s="147"/>
      <c r="SUT201" s="147"/>
      <c r="SUU201" s="147"/>
      <c r="SUV201" s="147"/>
      <c r="SUW201" s="147"/>
      <c r="SUX201" s="147"/>
      <c r="SUY201" s="147"/>
      <c r="SUZ201" s="147"/>
      <c r="SVA201" s="147"/>
      <c r="SVB201" s="147"/>
      <c r="SVC201" s="147"/>
      <c r="SVD201" s="147"/>
      <c r="SVE201" s="147"/>
      <c r="SVF201" s="147"/>
      <c r="SVG201" s="147"/>
      <c r="SVH201" s="147"/>
      <c r="SVI201" s="147"/>
      <c r="SVJ201" s="147"/>
      <c r="SVK201" s="147"/>
      <c r="SVL201" s="147"/>
      <c r="SVM201" s="147"/>
      <c r="SVN201" s="147"/>
      <c r="SVO201" s="147"/>
      <c r="SVP201" s="147"/>
      <c r="SVQ201" s="147"/>
      <c r="SVR201" s="147"/>
      <c r="SVS201" s="147"/>
      <c r="SVT201" s="147"/>
      <c r="SVU201" s="147"/>
      <c r="SVV201" s="147"/>
      <c r="SVW201" s="147"/>
      <c r="SVX201" s="147"/>
      <c r="SVY201" s="147"/>
      <c r="SVZ201" s="147"/>
      <c r="SWA201" s="147"/>
      <c r="SWB201" s="147"/>
      <c r="SWC201" s="147"/>
      <c r="SWD201" s="147"/>
      <c r="SWE201" s="147"/>
      <c r="SWF201" s="147"/>
      <c r="SWG201" s="147"/>
      <c r="SWH201" s="147"/>
      <c r="SWI201" s="147"/>
      <c r="SWJ201" s="147"/>
      <c r="SWK201" s="147"/>
      <c r="SWL201" s="147"/>
      <c r="SWM201" s="147"/>
      <c r="SWN201" s="147"/>
      <c r="SWO201" s="147"/>
      <c r="SWP201" s="147"/>
      <c r="SWQ201" s="147"/>
      <c r="SWR201" s="147"/>
      <c r="SWS201" s="147"/>
      <c r="SWT201" s="147"/>
      <c r="SWU201" s="147"/>
      <c r="SWV201" s="147"/>
      <c r="SWW201" s="147"/>
      <c r="SWX201" s="147"/>
      <c r="SWY201" s="147"/>
      <c r="SWZ201" s="147"/>
      <c r="SXA201" s="147"/>
      <c r="SXB201" s="147"/>
      <c r="SXC201" s="147"/>
      <c r="SXD201" s="147"/>
      <c r="SXE201" s="147"/>
      <c r="SXF201" s="147"/>
      <c r="SXG201" s="147"/>
      <c r="SXH201" s="147"/>
      <c r="SXI201" s="147"/>
      <c r="SXJ201" s="147"/>
      <c r="SXK201" s="147"/>
      <c r="SXL201" s="147"/>
      <c r="SXM201" s="147"/>
      <c r="SXN201" s="147"/>
      <c r="SXO201" s="147"/>
      <c r="SXP201" s="147"/>
      <c r="SXQ201" s="147"/>
      <c r="SXR201" s="147"/>
      <c r="SXS201" s="147"/>
      <c r="SXT201" s="147"/>
      <c r="SXU201" s="147"/>
      <c r="SXV201" s="147"/>
      <c r="SXW201" s="147"/>
      <c r="SXX201" s="147"/>
      <c r="SXY201" s="147"/>
      <c r="SXZ201" s="147"/>
      <c r="SYA201" s="147"/>
      <c r="SYB201" s="147"/>
      <c r="SYC201" s="147"/>
      <c r="SYD201" s="147"/>
      <c r="SYE201" s="147"/>
      <c r="SYF201" s="147"/>
      <c r="SYG201" s="147"/>
      <c r="SYH201" s="147"/>
      <c r="SYI201" s="147"/>
      <c r="SYJ201" s="147"/>
      <c r="SYK201" s="147"/>
      <c r="SYL201" s="147"/>
      <c r="SYM201" s="147"/>
      <c r="SYN201" s="147"/>
      <c r="SYO201" s="147"/>
      <c r="SYP201" s="147"/>
      <c r="SYQ201" s="147"/>
      <c r="SYR201" s="147"/>
      <c r="SYS201" s="147"/>
      <c r="SYT201" s="147"/>
      <c r="SYU201" s="147"/>
      <c r="SYV201" s="147"/>
      <c r="SYW201" s="147"/>
      <c r="SYX201" s="147"/>
      <c r="SYY201" s="147"/>
      <c r="SYZ201" s="147"/>
      <c r="SZA201" s="147"/>
      <c r="SZB201" s="147"/>
      <c r="SZC201" s="147"/>
      <c r="SZD201" s="147"/>
      <c r="SZE201" s="147"/>
      <c r="SZF201" s="147"/>
      <c r="SZG201" s="147"/>
      <c r="SZH201" s="147"/>
      <c r="SZI201" s="147"/>
      <c r="SZJ201" s="147"/>
      <c r="SZK201" s="147"/>
      <c r="SZL201" s="147"/>
      <c r="SZM201" s="147"/>
      <c r="SZN201" s="147"/>
      <c r="SZO201" s="147"/>
      <c r="SZP201" s="147"/>
      <c r="SZQ201" s="147"/>
      <c r="SZR201" s="147"/>
      <c r="SZS201" s="147"/>
      <c r="SZT201" s="147"/>
      <c r="SZU201" s="147"/>
      <c r="SZV201" s="147"/>
      <c r="SZW201" s="147"/>
      <c r="SZX201" s="147"/>
      <c r="SZY201" s="147"/>
      <c r="SZZ201" s="147"/>
      <c r="TAA201" s="147"/>
      <c r="TAB201" s="147"/>
      <c r="TAC201" s="147"/>
      <c r="TAD201" s="147"/>
      <c r="TAE201" s="147"/>
      <c r="TAF201" s="147"/>
      <c r="TAG201" s="147"/>
      <c r="TAH201" s="147"/>
      <c r="TAI201" s="147"/>
      <c r="TAJ201" s="147"/>
      <c r="TAK201" s="147"/>
      <c r="TAL201" s="147"/>
      <c r="TAM201" s="147"/>
      <c r="TAN201" s="147"/>
      <c r="TAO201" s="147"/>
      <c r="TAP201" s="147"/>
      <c r="TAQ201" s="147"/>
      <c r="TAR201" s="147"/>
      <c r="TAS201" s="147"/>
      <c r="TAT201" s="147"/>
      <c r="TAU201" s="147"/>
      <c r="TAV201" s="147"/>
      <c r="TAW201" s="147"/>
      <c r="TAX201" s="147"/>
      <c r="TAY201" s="147"/>
      <c r="TAZ201" s="147"/>
      <c r="TBA201" s="147"/>
      <c r="TBB201" s="147"/>
      <c r="TBC201" s="147"/>
      <c r="TBD201" s="147"/>
      <c r="TBE201" s="147"/>
      <c r="TBF201" s="147"/>
      <c r="TBG201" s="147"/>
      <c r="TBH201" s="147"/>
      <c r="TBI201" s="147"/>
      <c r="TBJ201" s="147"/>
      <c r="TBK201" s="147"/>
      <c r="TBL201" s="147"/>
      <c r="TBM201" s="147"/>
      <c r="TBN201" s="147"/>
      <c r="TBO201" s="147"/>
      <c r="TBP201" s="147"/>
      <c r="TBQ201" s="147"/>
      <c r="TBR201" s="147"/>
      <c r="TBS201" s="147"/>
      <c r="TBT201" s="147"/>
      <c r="TBU201" s="147"/>
      <c r="TBV201" s="147"/>
      <c r="TBW201" s="147"/>
      <c r="TBX201" s="147"/>
      <c r="TBY201" s="147"/>
      <c r="TBZ201" s="147"/>
      <c r="TCA201" s="147"/>
      <c r="TCB201" s="147"/>
      <c r="TCC201" s="147"/>
      <c r="TCD201" s="147"/>
      <c r="TCE201" s="147"/>
      <c r="TCF201" s="147"/>
      <c r="TCG201" s="147"/>
      <c r="TCH201" s="147"/>
      <c r="TCI201" s="147"/>
      <c r="TCJ201" s="147"/>
      <c r="TCK201" s="147"/>
      <c r="TCL201" s="147"/>
      <c r="TCM201" s="147"/>
      <c r="TCN201" s="147"/>
      <c r="TCO201" s="147"/>
      <c r="TCP201" s="147"/>
      <c r="TCQ201" s="147"/>
      <c r="TCR201" s="147"/>
      <c r="TCS201" s="147"/>
      <c r="TCT201" s="147"/>
      <c r="TCU201" s="147"/>
      <c r="TCV201" s="147"/>
      <c r="TCW201" s="147"/>
      <c r="TCX201" s="147"/>
      <c r="TCY201" s="147"/>
      <c r="TCZ201" s="147"/>
      <c r="TDA201" s="147"/>
      <c r="TDB201" s="147"/>
      <c r="TDC201" s="147"/>
      <c r="TDD201" s="147"/>
      <c r="TDE201" s="147"/>
      <c r="TDF201" s="147"/>
      <c r="TDG201" s="147"/>
      <c r="TDH201" s="147"/>
      <c r="TDI201" s="147"/>
      <c r="TDJ201" s="147"/>
      <c r="TDK201" s="147"/>
      <c r="TDL201" s="147"/>
      <c r="TDM201" s="147"/>
      <c r="TDN201" s="147"/>
      <c r="TDO201" s="147"/>
      <c r="TDP201" s="147"/>
      <c r="TDQ201" s="147"/>
      <c r="TDR201" s="147"/>
      <c r="TDS201" s="147"/>
      <c r="TDT201" s="147"/>
      <c r="TDU201" s="147"/>
      <c r="TDV201" s="147"/>
      <c r="TDW201" s="147"/>
      <c r="TDX201" s="147"/>
      <c r="TDY201" s="147"/>
      <c r="TDZ201" s="147"/>
      <c r="TEA201" s="147"/>
      <c r="TEB201" s="147"/>
      <c r="TEC201" s="147"/>
      <c r="TED201" s="147"/>
      <c r="TEE201" s="147"/>
      <c r="TEF201" s="147"/>
      <c r="TEG201" s="147"/>
      <c r="TEH201" s="147"/>
      <c r="TEI201" s="147"/>
      <c r="TEJ201" s="147"/>
      <c r="TEK201" s="147"/>
      <c r="TEL201" s="147"/>
      <c r="TEM201" s="147"/>
      <c r="TEN201" s="147"/>
      <c r="TEO201" s="147"/>
      <c r="TEP201" s="147"/>
      <c r="TEQ201" s="147"/>
      <c r="TER201" s="147"/>
      <c r="TES201" s="147"/>
      <c r="TET201" s="147"/>
      <c r="TEU201" s="147"/>
      <c r="TEV201" s="147"/>
      <c r="TEW201" s="147"/>
      <c r="TEX201" s="147"/>
      <c r="TEY201" s="147"/>
      <c r="TEZ201" s="147"/>
      <c r="TFA201" s="147"/>
      <c r="TFB201" s="147"/>
      <c r="TFC201" s="147"/>
      <c r="TFD201" s="147"/>
      <c r="TFE201" s="147"/>
      <c r="TFF201" s="147"/>
      <c r="TFG201" s="147"/>
      <c r="TFH201" s="147"/>
      <c r="TFI201" s="147"/>
      <c r="TFJ201" s="147"/>
      <c r="TFK201" s="147"/>
      <c r="TFL201" s="147"/>
      <c r="TFM201" s="147"/>
      <c r="TFN201" s="147"/>
      <c r="TFO201" s="147"/>
      <c r="TFP201" s="147"/>
      <c r="TFQ201" s="147"/>
      <c r="TFR201" s="147"/>
      <c r="TFS201" s="147"/>
      <c r="TFT201" s="147"/>
      <c r="TFU201" s="147"/>
      <c r="TFV201" s="147"/>
      <c r="TFW201" s="147"/>
      <c r="TFX201" s="147"/>
      <c r="TFY201" s="147"/>
      <c r="TFZ201" s="147"/>
      <c r="TGA201" s="147"/>
      <c r="TGB201" s="147"/>
      <c r="TGC201" s="147"/>
      <c r="TGD201" s="147"/>
      <c r="TGE201" s="147"/>
      <c r="TGF201" s="147"/>
      <c r="TGG201" s="147"/>
      <c r="TGH201" s="147"/>
      <c r="TGI201" s="147"/>
      <c r="TGJ201" s="147"/>
      <c r="TGK201" s="147"/>
      <c r="TGL201" s="147"/>
      <c r="TGM201" s="147"/>
      <c r="TGN201" s="147"/>
      <c r="TGO201" s="147"/>
      <c r="TGP201" s="147"/>
      <c r="TGQ201" s="147"/>
      <c r="TGR201" s="147"/>
      <c r="TGS201" s="147"/>
      <c r="TGT201" s="147"/>
      <c r="TGU201" s="147"/>
      <c r="TGV201" s="147"/>
      <c r="TGW201" s="147"/>
      <c r="TGX201" s="147"/>
      <c r="TGY201" s="147"/>
      <c r="TGZ201" s="147"/>
      <c r="THA201" s="147"/>
      <c r="THB201" s="147"/>
      <c r="THC201" s="147"/>
      <c r="THD201" s="147"/>
      <c r="THE201" s="147"/>
      <c r="THF201" s="147"/>
      <c r="THG201" s="147"/>
      <c r="THH201" s="147"/>
      <c r="THI201" s="147"/>
      <c r="THJ201" s="147"/>
      <c r="THK201" s="147"/>
      <c r="THL201" s="147"/>
      <c r="THM201" s="147"/>
      <c r="THN201" s="147"/>
      <c r="THO201" s="147"/>
      <c r="THP201" s="147"/>
      <c r="THQ201" s="147"/>
      <c r="THR201" s="147"/>
      <c r="THS201" s="147"/>
      <c r="THT201" s="147"/>
      <c r="THU201" s="147"/>
      <c r="THV201" s="147"/>
      <c r="THW201" s="147"/>
      <c r="THX201" s="147"/>
      <c r="THY201" s="147"/>
      <c r="THZ201" s="147"/>
      <c r="TIA201" s="147"/>
      <c r="TIB201" s="147"/>
      <c r="TIC201" s="147"/>
      <c r="TID201" s="147"/>
      <c r="TIE201" s="147"/>
      <c r="TIF201" s="147"/>
      <c r="TIG201" s="147"/>
      <c r="TIH201" s="147"/>
      <c r="TII201" s="147"/>
      <c r="TIJ201" s="147"/>
      <c r="TIK201" s="147"/>
      <c r="TIL201" s="147"/>
      <c r="TIM201" s="147"/>
      <c r="TIN201" s="147"/>
      <c r="TIO201" s="147"/>
      <c r="TIP201" s="147"/>
      <c r="TIQ201" s="147"/>
      <c r="TIR201" s="147"/>
      <c r="TIS201" s="147"/>
      <c r="TIT201" s="147"/>
      <c r="TIU201" s="147"/>
      <c r="TIV201" s="147"/>
      <c r="TIW201" s="147"/>
      <c r="TIX201" s="147"/>
      <c r="TIY201" s="147"/>
      <c r="TIZ201" s="147"/>
      <c r="TJA201" s="147"/>
      <c r="TJB201" s="147"/>
      <c r="TJC201" s="147"/>
      <c r="TJD201" s="147"/>
      <c r="TJE201" s="147"/>
      <c r="TJF201" s="147"/>
      <c r="TJG201" s="147"/>
      <c r="TJH201" s="147"/>
      <c r="TJI201" s="147"/>
      <c r="TJJ201" s="147"/>
      <c r="TJK201" s="147"/>
      <c r="TJL201" s="147"/>
      <c r="TJM201" s="147"/>
      <c r="TJN201" s="147"/>
      <c r="TJO201" s="147"/>
      <c r="TJP201" s="147"/>
      <c r="TJQ201" s="147"/>
      <c r="TJR201" s="147"/>
      <c r="TJS201" s="147"/>
      <c r="TJT201" s="147"/>
      <c r="TJU201" s="147"/>
      <c r="TJV201" s="147"/>
      <c r="TJW201" s="147"/>
      <c r="TJX201" s="147"/>
      <c r="TJY201" s="147"/>
      <c r="TJZ201" s="147"/>
      <c r="TKA201" s="147"/>
      <c r="TKB201" s="147"/>
      <c r="TKC201" s="147"/>
      <c r="TKD201" s="147"/>
      <c r="TKE201" s="147"/>
      <c r="TKF201" s="147"/>
      <c r="TKG201" s="147"/>
      <c r="TKH201" s="147"/>
      <c r="TKI201" s="147"/>
      <c r="TKJ201" s="147"/>
      <c r="TKK201" s="147"/>
      <c r="TKL201" s="147"/>
      <c r="TKM201" s="147"/>
      <c r="TKN201" s="147"/>
      <c r="TKO201" s="147"/>
      <c r="TKP201" s="147"/>
      <c r="TKQ201" s="147"/>
      <c r="TKR201" s="147"/>
      <c r="TKS201" s="147"/>
      <c r="TKT201" s="147"/>
      <c r="TKU201" s="147"/>
      <c r="TKV201" s="147"/>
      <c r="TKW201" s="147"/>
      <c r="TKX201" s="147"/>
      <c r="TKY201" s="147"/>
      <c r="TKZ201" s="147"/>
      <c r="TLA201" s="147"/>
      <c r="TLB201" s="147"/>
      <c r="TLC201" s="147"/>
      <c r="TLD201" s="147"/>
      <c r="TLE201" s="147"/>
      <c r="TLF201" s="147"/>
      <c r="TLG201" s="147"/>
      <c r="TLH201" s="147"/>
      <c r="TLI201" s="147"/>
      <c r="TLJ201" s="147"/>
      <c r="TLK201" s="147"/>
      <c r="TLL201" s="147"/>
      <c r="TLM201" s="147"/>
      <c r="TLN201" s="147"/>
      <c r="TLO201" s="147"/>
      <c r="TLP201" s="147"/>
      <c r="TLQ201" s="147"/>
      <c r="TLR201" s="147"/>
      <c r="TLS201" s="147"/>
      <c r="TLT201" s="147"/>
      <c r="TLU201" s="147"/>
      <c r="TLV201" s="147"/>
      <c r="TLW201" s="147"/>
      <c r="TLX201" s="147"/>
      <c r="TLY201" s="147"/>
      <c r="TLZ201" s="147"/>
      <c r="TMA201" s="147"/>
      <c r="TMB201" s="147"/>
      <c r="TMC201" s="147"/>
      <c r="TMD201" s="147"/>
      <c r="TME201" s="147"/>
      <c r="TMF201" s="147"/>
      <c r="TMG201" s="147"/>
      <c r="TMH201" s="147"/>
      <c r="TMI201" s="147"/>
      <c r="TMJ201" s="147"/>
      <c r="TMK201" s="147"/>
      <c r="TML201" s="147"/>
      <c r="TMM201" s="147"/>
      <c r="TMN201" s="147"/>
      <c r="TMO201" s="147"/>
      <c r="TMP201" s="147"/>
      <c r="TMQ201" s="147"/>
      <c r="TMR201" s="147"/>
      <c r="TMS201" s="147"/>
      <c r="TMT201" s="147"/>
      <c r="TMU201" s="147"/>
      <c r="TMV201" s="147"/>
      <c r="TMW201" s="147"/>
      <c r="TMX201" s="147"/>
      <c r="TMY201" s="147"/>
      <c r="TMZ201" s="147"/>
      <c r="TNA201" s="147"/>
      <c r="TNB201" s="147"/>
      <c r="TNC201" s="147"/>
      <c r="TND201" s="147"/>
      <c r="TNE201" s="147"/>
      <c r="TNF201" s="147"/>
      <c r="TNG201" s="147"/>
      <c r="TNH201" s="147"/>
      <c r="TNI201" s="147"/>
      <c r="TNJ201" s="147"/>
      <c r="TNK201" s="147"/>
      <c r="TNL201" s="147"/>
      <c r="TNM201" s="147"/>
      <c r="TNN201" s="147"/>
      <c r="TNO201" s="147"/>
      <c r="TNP201" s="147"/>
      <c r="TNQ201" s="147"/>
      <c r="TNR201" s="147"/>
      <c r="TNS201" s="147"/>
      <c r="TNT201" s="147"/>
      <c r="TNU201" s="147"/>
      <c r="TNV201" s="147"/>
      <c r="TNW201" s="147"/>
      <c r="TNX201" s="147"/>
      <c r="TNY201" s="147"/>
      <c r="TNZ201" s="147"/>
      <c r="TOA201" s="147"/>
      <c r="TOB201" s="147"/>
      <c r="TOC201" s="147"/>
      <c r="TOD201" s="147"/>
      <c r="TOE201" s="147"/>
      <c r="TOF201" s="147"/>
      <c r="TOG201" s="147"/>
      <c r="TOH201" s="147"/>
      <c r="TOI201" s="147"/>
      <c r="TOJ201" s="147"/>
      <c r="TOK201" s="147"/>
      <c r="TOL201" s="147"/>
      <c r="TOM201" s="147"/>
      <c r="TON201" s="147"/>
      <c r="TOO201" s="147"/>
      <c r="TOP201" s="147"/>
      <c r="TOQ201" s="147"/>
      <c r="TOR201" s="147"/>
      <c r="TOS201" s="147"/>
      <c r="TOT201" s="147"/>
      <c r="TOU201" s="147"/>
      <c r="TOV201" s="147"/>
      <c r="TOW201" s="147"/>
      <c r="TOX201" s="147"/>
      <c r="TOY201" s="147"/>
      <c r="TOZ201" s="147"/>
      <c r="TPA201" s="147"/>
      <c r="TPB201" s="147"/>
      <c r="TPC201" s="147"/>
      <c r="TPD201" s="147"/>
      <c r="TPE201" s="147"/>
      <c r="TPF201" s="147"/>
      <c r="TPG201" s="147"/>
      <c r="TPH201" s="147"/>
      <c r="TPI201" s="147"/>
      <c r="TPJ201" s="147"/>
      <c r="TPK201" s="147"/>
      <c r="TPL201" s="147"/>
      <c r="TPM201" s="147"/>
      <c r="TPN201" s="147"/>
      <c r="TPO201" s="147"/>
      <c r="TPP201" s="147"/>
      <c r="TPQ201" s="147"/>
      <c r="TPR201" s="147"/>
      <c r="TPS201" s="147"/>
      <c r="TPT201" s="147"/>
      <c r="TPU201" s="147"/>
      <c r="TPV201" s="147"/>
      <c r="TPW201" s="147"/>
      <c r="TPX201" s="147"/>
      <c r="TPY201" s="147"/>
      <c r="TPZ201" s="147"/>
      <c r="TQA201" s="147"/>
      <c r="TQB201" s="147"/>
      <c r="TQC201" s="147"/>
      <c r="TQD201" s="147"/>
      <c r="TQE201" s="147"/>
      <c r="TQF201" s="147"/>
      <c r="TQG201" s="147"/>
      <c r="TQH201" s="147"/>
      <c r="TQI201" s="147"/>
      <c r="TQJ201" s="147"/>
      <c r="TQK201" s="147"/>
      <c r="TQL201" s="147"/>
      <c r="TQM201" s="147"/>
      <c r="TQN201" s="147"/>
      <c r="TQO201" s="147"/>
      <c r="TQP201" s="147"/>
      <c r="TQQ201" s="147"/>
      <c r="TQR201" s="147"/>
      <c r="TQS201" s="147"/>
      <c r="TQT201" s="147"/>
      <c r="TQU201" s="147"/>
      <c r="TQV201" s="147"/>
      <c r="TQW201" s="147"/>
      <c r="TQX201" s="147"/>
      <c r="TQY201" s="147"/>
      <c r="TQZ201" s="147"/>
      <c r="TRA201" s="147"/>
      <c r="TRB201" s="147"/>
      <c r="TRC201" s="147"/>
      <c r="TRD201" s="147"/>
      <c r="TRE201" s="147"/>
      <c r="TRF201" s="147"/>
      <c r="TRG201" s="147"/>
      <c r="TRH201" s="147"/>
      <c r="TRI201" s="147"/>
      <c r="TRJ201" s="147"/>
      <c r="TRK201" s="147"/>
      <c r="TRL201" s="147"/>
      <c r="TRM201" s="147"/>
      <c r="TRN201" s="147"/>
      <c r="TRO201" s="147"/>
      <c r="TRP201" s="147"/>
      <c r="TRQ201" s="147"/>
      <c r="TRR201" s="147"/>
      <c r="TRS201" s="147"/>
      <c r="TRT201" s="147"/>
      <c r="TRU201" s="147"/>
      <c r="TRV201" s="147"/>
      <c r="TRW201" s="147"/>
      <c r="TRX201" s="147"/>
      <c r="TRY201" s="147"/>
      <c r="TRZ201" s="147"/>
      <c r="TSA201" s="147"/>
      <c r="TSB201" s="147"/>
      <c r="TSC201" s="147"/>
      <c r="TSD201" s="147"/>
      <c r="TSE201" s="147"/>
      <c r="TSF201" s="147"/>
      <c r="TSG201" s="147"/>
      <c r="TSH201" s="147"/>
      <c r="TSI201" s="147"/>
      <c r="TSJ201" s="147"/>
      <c r="TSK201" s="147"/>
      <c r="TSL201" s="147"/>
      <c r="TSM201" s="147"/>
      <c r="TSN201" s="147"/>
      <c r="TSO201" s="147"/>
      <c r="TSP201" s="147"/>
      <c r="TSQ201" s="147"/>
      <c r="TSR201" s="147"/>
      <c r="TSS201" s="147"/>
      <c r="TST201" s="147"/>
      <c r="TSU201" s="147"/>
      <c r="TSV201" s="147"/>
      <c r="TSW201" s="147"/>
      <c r="TSX201" s="147"/>
      <c r="TSY201" s="147"/>
      <c r="TSZ201" s="147"/>
      <c r="TTA201" s="147"/>
      <c r="TTB201" s="147"/>
      <c r="TTC201" s="147"/>
      <c r="TTD201" s="147"/>
      <c r="TTE201" s="147"/>
      <c r="TTF201" s="147"/>
      <c r="TTG201" s="147"/>
      <c r="TTH201" s="147"/>
      <c r="TTI201" s="147"/>
      <c r="TTJ201" s="147"/>
      <c r="TTK201" s="147"/>
      <c r="TTL201" s="147"/>
      <c r="TTM201" s="147"/>
      <c r="TTN201" s="147"/>
      <c r="TTO201" s="147"/>
      <c r="TTP201" s="147"/>
      <c r="TTQ201" s="147"/>
      <c r="TTR201" s="147"/>
      <c r="TTS201" s="147"/>
      <c r="TTT201" s="147"/>
      <c r="TTU201" s="147"/>
      <c r="TTV201" s="147"/>
      <c r="TTW201" s="147"/>
      <c r="TTX201" s="147"/>
      <c r="TTY201" s="147"/>
      <c r="TTZ201" s="147"/>
      <c r="TUA201" s="147"/>
      <c r="TUB201" s="147"/>
      <c r="TUC201" s="147"/>
      <c r="TUD201" s="147"/>
      <c r="TUE201" s="147"/>
      <c r="TUF201" s="147"/>
      <c r="TUG201" s="147"/>
      <c r="TUH201" s="147"/>
      <c r="TUI201" s="147"/>
      <c r="TUJ201" s="147"/>
      <c r="TUK201" s="147"/>
      <c r="TUL201" s="147"/>
      <c r="TUM201" s="147"/>
      <c r="TUN201" s="147"/>
      <c r="TUO201" s="147"/>
      <c r="TUP201" s="147"/>
      <c r="TUQ201" s="147"/>
      <c r="TUR201" s="147"/>
      <c r="TUS201" s="147"/>
      <c r="TUT201" s="147"/>
      <c r="TUU201" s="147"/>
      <c r="TUV201" s="147"/>
      <c r="TUW201" s="147"/>
      <c r="TUX201" s="147"/>
      <c r="TUY201" s="147"/>
      <c r="TUZ201" s="147"/>
      <c r="TVA201" s="147"/>
      <c r="TVB201" s="147"/>
      <c r="TVC201" s="147"/>
      <c r="TVD201" s="147"/>
      <c r="TVE201" s="147"/>
      <c r="TVF201" s="147"/>
      <c r="TVG201" s="147"/>
      <c r="TVH201" s="147"/>
      <c r="TVI201" s="147"/>
      <c r="TVJ201" s="147"/>
      <c r="TVK201" s="147"/>
      <c r="TVL201" s="147"/>
      <c r="TVM201" s="147"/>
      <c r="TVN201" s="147"/>
      <c r="TVO201" s="147"/>
      <c r="TVP201" s="147"/>
      <c r="TVQ201" s="147"/>
      <c r="TVR201" s="147"/>
      <c r="TVS201" s="147"/>
      <c r="TVT201" s="147"/>
      <c r="TVU201" s="147"/>
      <c r="TVV201" s="147"/>
      <c r="TVW201" s="147"/>
      <c r="TVX201" s="147"/>
      <c r="TVY201" s="147"/>
      <c r="TVZ201" s="147"/>
      <c r="TWA201" s="147"/>
      <c r="TWB201" s="147"/>
      <c r="TWC201" s="147"/>
      <c r="TWD201" s="147"/>
      <c r="TWE201" s="147"/>
      <c r="TWF201" s="147"/>
      <c r="TWG201" s="147"/>
      <c r="TWH201" s="147"/>
      <c r="TWI201" s="147"/>
      <c r="TWJ201" s="147"/>
      <c r="TWK201" s="147"/>
      <c r="TWL201" s="147"/>
      <c r="TWM201" s="147"/>
      <c r="TWN201" s="147"/>
      <c r="TWO201" s="147"/>
      <c r="TWP201" s="147"/>
      <c r="TWQ201" s="147"/>
      <c r="TWR201" s="147"/>
      <c r="TWS201" s="147"/>
      <c r="TWT201" s="147"/>
      <c r="TWU201" s="147"/>
      <c r="TWV201" s="147"/>
      <c r="TWW201" s="147"/>
      <c r="TWX201" s="147"/>
      <c r="TWY201" s="147"/>
      <c r="TWZ201" s="147"/>
      <c r="TXA201" s="147"/>
      <c r="TXB201" s="147"/>
      <c r="TXC201" s="147"/>
      <c r="TXD201" s="147"/>
      <c r="TXE201" s="147"/>
      <c r="TXF201" s="147"/>
      <c r="TXG201" s="147"/>
      <c r="TXH201" s="147"/>
      <c r="TXI201" s="147"/>
      <c r="TXJ201" s="147"/>
      <c r="TXK201" s="147"/>
      <c r="TXL201" s="147"/>
      <c r="TXM201" s="147"/>
      <c r="TXN201" s="147"/>
      <c r="TXO201" s="147"/>
      <c r="TXP201" s="147"/>
      <c r="TXQ201" s="147"/>
      <c r="TXR201" s="147"/>
      <c r="TXS201" s="147"/>
      <c r="TXT201" s="147"/>
      <c r="TXU201" s="147"/>
      <c r="TXV201" s="147"/>
      <c r="TXW201" s="147"/>
      <c r="TXX201" s="147"/>
      <c r="TXY201" s="147"/>
      <c r="TXZ201" s="147"/>
      <c r="TYA201" s="147"/>
      <c r="TYB201" s="147"/>
      <c r="TYC201" s="147"/>
      <c r="TYD201" s="147"/>
      <c r="TYE201" s="147"/>
      <c r="TYF201" s="147"/>
      <c r="TYG201" s="147"/>
      <c r="TYH201" s="147"/>
      <c r="TYI201" s="147"/>
      <c r="TYJ201" s="147"/>
      <c r="TYK201" s="147"/>
      <c r="TYL201" s="147"/>
      <c r="TYM201" s="147"/>
      <c r="TYN201" s="147"/>
      <c r="TYO201" s="147"/>
      <c r="TYP201" s="147"/>
      <c r="TYQ201" s="147"/>
      <c r="TYR201" s="147"/>
      <c r="TYS201" s="147"/>
      <c r="TYT201" s="147"/>
      <c r="TYU201" s="147"/>
      <c r="TYV201" s="147"/>
      <c r="TYW201" s="147"/>
      <c r="TYX201" s="147"/>
      <c r="TYY201" s="147"/>
      <c r="TYZ201" s="147"/>
      <c r="TZA201" s="147"/>
      <c r="TZB201" s="147"/>
      <c r="TZC201" s="147"/>
      <c r="TZD201" s="147"/>
      <c r="TZE201" s="147"/>
      <c r="TZF201" s="147"/>
      <c r="TZG201" s="147"/>
      <c r="TZH201" s="147"/>
      <c r="TZI201" s="147"/>
      <c r="TZJ201" s="147"/>
      <c r="TZK201" s="147"/>
      <c r="TZL201" s="147"/>
      <c r="TZM201" s="147"/>
      <c r="TZN201" s="147"/>
      <c r="TZO201" s="147"/>
      <c r="TZP201" s="147"/>
      <c r="TZQ201" s="147"/>
      <c r="TZR201" s="147"/>
      <c r="TZS201" s="147"/>
      <c r="TZT201" s="147"/>
      <c r="TZU201" s="147"/>
      <c r="TZV201" s="147"/>
      <c r="TZW201" s="147"/>
      <c r="TZX201" s="147"/>
      <c r="TZY201" s="147"/>
      <c r="TZZ201" s="147"/>
      <c r="UAA201" s="147"/>
      <c r="UAB201" s="147"/>
      <c r="UAC201" s="147"/>
      <c r="UAD201" s="147"/>
      <c r="UAE201" s="147"/>
      <c r="UAF201" s="147"/>
      <c r="UAG201" s="147"/>
      <c r="UAH201" s="147"/>
      <c r="UAI201" s="147"/>
      <c r="UAJ201" s="147"/>
      <c r="UAK201" s="147"/>
      <c r="UAL201" s="147"/>
      <c r="UAM201" s="147"/>
      <c r="UAN201" s="147"/>
      <c r="UAO201" s="147"/>
      <c r="UAP201" s="147"/>
      <c r="UAQ201" s="147"/>
      <c r="UAR201" s="147"/>
      <c r="UAS201" s="147"/>
      <c r="UAT201" s="147"/>
      <c r="UAU201" s="147"/>
      <c r="UAV201" s="147"/>
      <c r="UAW201" s="147"/>
      <c r="UAX201" s="147"/>
      <c r="UAY201" s="147"/>
      <c r="UAZ201" s="147"/>
      <c r="UBA201" s="147"/>
      <c r="UBB201" s="147"/>
      <c r="UBC201" s="147"/>
      <c r="UBD201" s="147"/>
      <c r="UBE201" s="147"/>
      <c r="UBF201" s="147"/>
      <c r="UBG201" s="147"/>
      <c r="UBH201" s="147"/>
      <c r="UBI201" s="147"/>
      <c r="UBJ201" s="147"/>
      <c r="UBK201" s="147"/>
      <c r="UBL201" s="147"/>
      <c r="UBM201" s="147"/>
      <c r="UBN201" s="147"/>
      <c r="UBO201" s="147"/>
      <c r="UBP201" s="147"/>
      <c r="UBQ201" s="147"/>
      <c r="UBR201" s="147"/>
      <c r="UBS201" s="147"/>
      <c r="UBT201" s="147"/>
      <c r="UBU201" s="147"/>
      <c r="UBV201" s="147"/>
      <c r="UBW201" s="147"/>
      <c r="UBX201" s="147"/>
      <c r="UBY201" s="147"/>
      <c r="UBZ201" s="147"/>
      <c r="UCA201" s="147"/>
      <c r="UCB201" s="147"/>
      <c r="UCC201" s="147"/>
      <c r="UCD201" s="147"/>
      <c r="UCE201" s="147"/>
      <c r="UCF201" s="147"/>
      <c r="UCG201" s="147"/>
      <c r="UCH201" s="147"/>
      <c r="UCI201" s="147"/>
      <c r="UCJ201" s="147"/>
      <c r="UCK201" s="147"/>
      <c r="UCL201" s="147"/>
      <c r="UCM201" s="147"/>
      <c r="UCN201" s="147"/>
      <c r="UCO201" s="147"/>
      <c r="UCP201" s="147"/>
      <c r="UCQ201" s="147"/>
      <c r="UCR201" s="147"/>
      <c r="UCS201" s="147"/>
      <c r="UCT201" s="147"/>
      <c r="UCU201" s="147"/>
      <c r="UCV201" s="147"/>
      <c r="UCW201" s="147"/>
      <c r="UCX201" s="147"/>
      <c r="UCY201" s="147"/>
      <c r="UCZ201" s="147"/>
      <c r="UDA201" s="147"/>
      <c r="UDB201" s="147"/>
      <c r="UDC201" s="147"/>
      <c r="UDD201" s="147"/>
      <c r="UDE201" s="147"/>
      <c r="UDF201" s="147"/>
      <c r="UDG201" s="147"/>
      <c r="UDH201" s="147"/>
      <c r="UDI201" s="147"/>
      <c r="UDJ201" s="147"/>
      <c r="UDK201" s="147"/>
      <c r="UDL201" s="147"/>
      <c r="UDM201" s="147"/>
      <c r="UDN201" s="147"/>
      <c r="UDO201" s="147"/>
      <c r="UDP201" s="147"/>
      <c r="UDQ201" s="147"/>
      <c r="UDR201" s="147"/>
      <c r="UDS201" s="147"/>
      <c r="UDT201" s="147"/>
      <c r="UDU201" s="147"/>
      <c r="UDV201" s="147"/>
      <c r="UDW201" s="147"/>
      <c r="UDX201" s="147"/>
      <c r="UDY201" s="147"/>
      <c r="UDZ201" s="147"/>
      <c r="UEA201" s="147"/>
      <c r="UEB201" s="147"/>
      <c r="UEC201" s="147"/>
      <c r="UED201" s="147"/>
      <c r="UEE201" s="147"/>
      <c r="UEF201" s="147"/>
      <c r="UEG201" s="147"/>
      <c r="UEH201" s="147"/>
      <c r="UEI201" s="147"/>
      <c r="UEJ201" s="147"/>
      <c r="UEK201" s="147"/>
      <c r="UEL201" s="147"/>
      <c r="UEM201" s="147"/>
      <c r="UEN201" s="147"/>
      <c r="UEO201" s="147"/>
      <c r="UEP201" s="147"/>
      <c r="UEQ201" s="147"/>
      <c r="UER201" s="147"/>
      <c r="UES201" s="147"/>
      <c r="UET201" s="147"/>
      <c r="UEU201" s="147"/>
      <c r="UEV201" s="147"/>
      <c r="UEW201" s="147"/>
      <c r="UEX201" s="147"/>
      <c r="UEY201" s="147"/>
      <c r="UEZ201" s="147"/>
      <c r="UFA201" s="147"/>
      <c r="UFB201" s="147"/>
      <c r="UFC201" s="147"/>
      <c r="UFD201" s="147"/>
      <c r="UFE201" s="147"/>
      <c r="UFF201" s="147"/>
      <c r="UFG201" s="147"/>
      <c r="UFH201" s="147"/>
      <c r="UFI201" s="147"/>
      <c r="UFJ201" s="147"/>
      <c r="UFK201" s="147"/>
      <c r="UFL201" s="147"/>
      <c r="UFM201" s="147"/>
      <c r="UFN201" s="147"/>
      <c r="UFO201" s="147"/>
      <c r="UFP201" s="147"/>
      <c r="UFQ201" s="147"/>
      <c r="UFR201" s="147"/>
      <c r="UFS201" s="147"/>
      <c r="UFT201" s="147"/>
      <c r="UFU201" s="147"/>
      <c r="UFV201" s="147"/>
      <c r="UFW201" s="147"/>
      <c r="UFX201" s="147"/>
      <c r="UFY201" s="147"/>
      <c r="UFZ201" s="147"/>
      <c r="UGA201" s="147"/>
      <c r="UGB201" s="147"/>
      <c r="UGC201" s="147"/>
      <c r="UGD201" s="147"/>
      <c r="UGE201" s="147"/>
      <c r="UGF201" s="147"/>
      <c r="UGG201" s="147"/>
      <c r="UGH201" s="147"/>
      <c r="UGI201" s="147"/>
      <c r="UGJ201" s="147"/>
      <c r="UGK201" s="147"/>
      <c r="UGL201" s="147"/>
      <c r="UGM201" s="147"/>
      <c r="UGN201" s="147"/>
      <c r="UGO201" s="147"/>
      <c r="UGP201" s="147"/>
      <c r="UGQ201" s="147"/>
      <c r="UGR201" s="147"/>
      <c r="UGS201" s="147"/>
      <c r="UGT201" s="147"/>
      <c r="UGU201" s="147"/>
      <c r="UGV201" s="147"/>
      <c r="UGW201" s="147"/>
      <c r="UGX201" s="147"/>
      <c r="UGY201" s="147"/>
      <c r="UGZ201" s="147"/>
      <c r="UHA201" s="147"/>
      <c r="UHB201" s="147"/>
      <c r="UHC201" s="147"/>
      <c r="UHD201" s="147"/>
      <c r="UHE201" s="147"/>
      <c r="UHF201" s="147"/>
      <c r="UHG201" s="147"/>
      <c r="UHH201" s="147"/>
      <c r="UHI201" s="147"/>
      <c r="UHJ201" s="147"/>
      <c r="UHK201" s="147"/>
      <c r="UHL201" s="147"/>
      <c r="UHM201" s="147"/>
      <c r="UHN201" s="147"/>
      <c r="UHO201" s="147"/>
      <c r="UHP201" s="147"/>
      <c r="UHQ201" s="147"/>
      <c r="UHR201" s="147"/>
      <c r="UHS201" s="147"/>
      <c r="UHT201" s="147"/>
      <c r="UHU201" s="147"/>
      <c r="UHV201" s="147"/>
      <c r="UHW201" s="147"/>
      <c r="UHX201" s="147"/>
      <c r="UHY201" s="147"/>
      <c r="UHZ201" s="147"/>
      <c r="UIA201" s="147"/>
      <c r="UIB201" s="147"/>
      <c r="UIC201" s="147"/>
      <c r="UID201" s="147"/>
      <c r="UIE201" s="147"/>
      <c r="UIF201" s="147"/>
      <c r="UIG201" s="147"/>
      <c r="UIH201" s="147"/>
      <c r="UII201" s="147"/>
      <c r="UIJ201" s="147"/>
      <c r="UIK201" s="147"/>
      <c r="UIL201" s="147"/>
      <c r="UIM201" s="147"/>
      <c r="UIN201" s="147"/>
      <c r="UIO201" s="147"/>
      <c r="UIP201" s="147"/>
      <c r="UIQ201" s="147"/>
      <c r="UIR201" s="147"/>
      <c r="UIS201" s="147"/>
      <c r="UIT201" s="147"/>
      <c r="UIU201" s="147"/>
      <c r="UIV201" s="147"/>
      <c r="UIW201" s="147"/>
      <c r="UIX201" s="147"/>
      <c r="UIY201" s="147"/>
      <c r="UIZ201" s="147"/>
      <c r="UJA201" s="147"/>
      <c r="UJB201" s="147"/>
      <c r="UJC201" s="147"/>
      <c r="UJD201" s="147"/>
      <c r="UJE201" s="147"/>
      <c r="UJF201" s="147"/>
      <c r="UJG201" s="147"/>
      <c r="UJH201" s="147"/>
      <c r="UJI201" s="147"/>
      <c r="UJJ201" s="147"/>
      <c r="UJK201" s="147"/>
      <c r="UJL201" s="147"/>
      <c r="UJM201" s="147"/>
      <c r="UJN201" s="147"/>
      <c r="UJO201" s="147"/>
      <c r="UJP201" s="147"/>
      <c r="UJQ201" s="147"/>
      <c r="UJR201" s="147"/>
      <c r="UJS201" s="147"/>
      <c r="UJT201" s="147"/>
      <c r="UJU201" s="147"/>
      <c r="UJV201" s="147"/>
      <c r="UJW201" s="147"/>
      <c r="UJX201" s="147"/>
      <c r="UJY201" s="147"/>
      <c r="UJZ201" s="147"/>
      <c r="UKA201" s="147"/>
      <c r="UKB201" s="147"/>
      <c r="UKC201" s="147"/>
      <c r="UKD201" s="147"/>
      <c r="UKE201" s="147"/>
      <c r="UKF201" s="147"/>
      <c r="UKG201" s="147"/>
      <c r="UKH201" s="147"/>
      <c r="UKI201" s="147"/>
      <c r="UKJ201" s="147"/>
      <c r="UKK201" s="147"/>
      <c r="UKL201" s="147"/>
      <c r="UKM201" s="147"/>
      <c r="UKN201" s="147"/>
      <c r="UKO201" s="147"/>
      <c r="UKP201" s="147"/>
      <c r="UKQ201" s="147"/>
      <c r="UKR201" s="147"/>
      <c r="UKS201" s="147"/>
      <c r="UKT201" s="147"/>
      <c r="UKU201" s="147"/>
      <c r="UKV201" s="147"/>
      <c r="UKW201" s="147"/>
      <c r="UKX201" s="147"/>
      <c r="UKY201" s="147"/>
      <c r="UKZ201" s="147"/>
      <c r="ULA201" s="147"/>
      <c r="ULB201" s="147"/>
      <c r="ULC201" s="147"/>
      <c r="ULD201" s="147"/>
      <c r="ULE201" s="147"/>
      <c r="ULF201" s="147"/>
      <c r="ULG201" s="147"/>
      <c r="ULH201" s="147"/>
      <c r="ULI201" s="147"/>
      <c r="ULJ201" s="147"/>
      <c r="ULK201" s="147"/>
      <c r="ULL201" s="147"/>
      <c r="ULM201" s="147"/>
      <c r="ULN201" s="147"/>
      <c r="ULO201" s="147"/>
      <c r="ULP201" s="147"/>
      <c r="ULQ201" s="147"/>
      <c r="ULR201" s="147"/>
      <c r="ULS201" s="147"/>
      <c r="ULT201" s="147"/>
      <c r="ULU201" s="147"/>
      <c r="ULV201" s="147"/>
      <c r="ULW201" s="147"/>
      <c r="ULX201" s="147"/>
      <c r="ULY201" s="147"/>
      <c r="ULZ201" s="147"/>
      <c r="UMA201" s="147"/>
      <c r="UMB201" s="147"/>
      <c r="UMC201" s="147"/>
      <c r="UMD201" s="147"/>
      <c r="UME201" s="147"/>
      <c r="UMF201" s="147"/>
      <c r="UMG201" s="147"/>
      <c r="UMH201" s="147"/>
      <c r="UMI201" s="147"/>
      <c r="UMJ201" s="147"/>
      <c r="UMK201" s="147"/>
      <c r="UML201" s="147"/>
      <c r="UMM201" s="147"/>
      <c r="UMN201" s="147"/>
      <c r="UMO201" s="147"/>
      <c r="UMP201" s="147"/>
      <c r="UMQ201" s="147"/>
      <c r="UMR201" s="147"/>
      <c r="UMS201" s="147"/>
      <c r="UMT201" s="147"/>
      <c r="UMU201" s="147"/>
      <c r="UMV201" s="147"/>
      <c r="UMW201" s="147"/>
      <c r="UMX201" s="147"/>
      <c r="UMY201" s="147"/>
      <c r="UMZ201" s="147"/>
      <c r="UNA201" s="147"/>
      <c r="UNB201" s="147"/>
      <c r="UNC201" s="147"/>
      <c r="UND201" s="147"/>
      <c r="UNE201" s="147"/>
      <c r="UNF201" s="147"/>
      <c r="UNG201" s="147"/>
      <c r="UNH201" s="147"/>
      <c r="UNI201" s="147"/>
      <c r="UNJ201" s="147"/>
      <c r="UNK201" s="147"/>
      <c r="UNL201" s="147"/>
      <c r="UNM201" s="147"/>
      <c r="UNN201" s="147"/>
      <c r="UNO201" s="147"/>
      <c r="UNP201" s="147"/>
      <c r="UNQ201" s="147"/>
      <c r="UNR201" s="147"/>
      <c r="UNS201" s="147"/>
      <c r="UNT201" s="147"/>
      <c r="UNU201" s="147"/>
      <c r="UNV201" s="147"/>
      <c r="UNW201" s="147"/>
      <c r="UNX201" s="147"/>
      <c r="UNY201" s="147"/>
      <c r="UNZ201" s="147"/>
      <c r="UOA201" s="147"/>
      <c r="UOB201" s="147"/>
      <c r="UOC201" s="147"/>
      <c r="UOD201" s="147"/>
      <c r="UOE201" s="147"/>
      <c r="UOF201" s="147"/>
      <c r="UOG201" s="147"/>
      <c r="UOH201" s="147"/>
      <c r="UOI201" s="147"/>
      <c r="UOJ201" s="147"/>
      <c r="UOK201" s="147"/>
      <c r="UOL201" s="147"/>
      <c r="UOM201" s="147"/>
      <c r="UON201" s="147"/>
      <c r="UOO201" s="147"/>
      <c r="UOP201" s="147"/>
      <c r="UOQ201" s="147"/>
      <c r="UOR201" s="147"/>
      <c r="UOS201" s="147"/>
      <c r="UOT201" s="147"/>
      <c r="UOU201" s="147"/>
      <c r="UOV201" s="147"/>
      <c r="UOW201" s="147"/>
      <c r="UOX201" s="147"/>
      <c r="UOY201" s="147"/>
      <c r="UOZ201" s="147"/>
      <c r="UPA201" s="147"/>
      <c r="UPB201" s="147"/>
      <c r="UPC201" s="147"/>
      <c r="UPD201" s="147"/>
      <c r="UPE201" s="147"/>
      <c r="UPF201" s="147"/>
      <c r="UPG201" s="147"/>
      <c r="UPH201" s="147"/>
      <c r="UPI201" s="147"/>
      <c r="UPJ201" s="147"/>
      <c r="UPK201" s="147"/>
      <c r="UPL201" s="147"/>
      <c r="UPM201" s="147"/>
      <c r="UPN201" s="147"/>
      <c r="UPO201" s="147"/>
      <c r="UPP201" s="147"/>
      <c r="UPQ201" s="147"/>
      <c r="UPR201" s="147"/>
      <c r="UPS201" s="147"/>
      <c r="UPT201" s="147"/>
      <c r="UPU201" s="147"/>
      <c r="UPV201" s="147"/>
      <c r="UPW201" s="147"/>
      <c r="UPX201" s="147"/>
      <c r="UPY201" s="147"/>
      <c r="UPZ201" s="147"/>
      <c r="UQA201" s="147"/>
      <c r="UQB201" s="147"/>
      <c r="UQC201" s="147"/>
      <c r="UQD201" s="147"/>
      <c r="UQE201" s="147"/>
      <c r="UQF201" s="147"/>
      <c r="UQG201" s="147"/>
      <c r="UQH201" s="147"/>
      <c r="UQI201" s="147"/>
      <c r="UQJ201" s="147"/>
      <c r="UQK201" s="147"/>
      <c r="UQL201" s="147"/>
      <c r="UQM201" s="147"/>
      <c r="UQN201" s="147"/>
      <c r="UQO201" s="147"/>
      <c r="UQP201" s="147"/>
      <c r="UQQ201" s="147"/>
      <c r="UQR201" s="147"/>
      <c r="UQS201" s="147"/>
      <c r="UQT201" s="147"/>
      <c r="UQU201" s="147"/>
      <c r="UQV201" s="147"/>
      <c r="UQW201" s="147"/>
      <c r="UQX201" s="147"/>
      <c r="UQY201" s="147"/>
      <c r="UQZ201" s="147"/>
      <c r="URA201" s="147"/>
      <c r="URB201" s="147"/>
      <c r="URC201" s="147"/>
      <c r="URD201" s="147"/>
      <c r="URE201" s="147"/>
      <c r="URF201" s="147"/>
      <c r="URG201" s="147"/>
      <c r="URH201" s="147"/>
      <c r="URI201" s="147"/>
      <c r="URJ201" s="147"/>
      <c r="URK201" s="147"/>
      <c r="URL201" s="147"/>
      <c r="URM201" s="147"/>
      <c r="URN201" s="147"/>
      <c r="URO201" s="147"/>
      <c r="URP201" s="147"/>
      <c r="URQ201" s="147"/>
      <c r="URR201" s="147"/>
      <c r="URS201" s="147"/>
      <c r="URT201" s="147"/>
      <c r="URU201" s="147"/>
      <c r="URV201" s="147"/>
      <c r="URW201" s="147"/>
      <c r="URX201" s="147"/>
      <c r="URY201" s="147"/>
      <c r="URZ201" s="147"/>
      <c r="USA201" s="147"/>
      <c r="USB201" s="147"/>
      <c r="USC201" s="147"/>
      <c r="USD201" s="147"/>
      <c r="USE201" s="147"/>
      <c r="USF201" s="147"/>
      <c r="USG201" s="147"/>
      <c r="USH201" s="147"/>
      <c r="USI201" s="147"/>
      <c r="USJ201" s="147"/>
      <c r="USK201" s="147"/>
      <c r="USL201" s="147"/>
      <c r="USM201" s="147"/>
      <c r="USN201" s="147"/>
      <c r="USO201" s="147"/>
      <c r="USP201" s="147"/>
      <c r="USQ201" s="147"/>
      <c r="USR201" s="147"/>
      <c r="USS201" s="147"/>
      <c r="UST201" s="147"/>
      <c r="USU201" s="147"/>
      <c r="USV201" s="147"/>
      <c r="USW201" s="147"/>
      <c r="USX201" s="147"/>
      <c r="USY201" s="147"/>
      <c r="USZ201" s="147"/>
      <c r="UTA201" s="147"/>
      <c r="UTB201" s="147"/>
      <c r="UTC201" s="147"/>
      <c r="UTD201" s="147"/>
      <c r="UTE201" s="147"/>
      <c r="UTF201" s="147"/>
      <c r="UTG201" s="147"/>
      <c r="UTH201" s="147"/>
      <c r="UTI201" s="147"/>
      <c r="UTJ201" s="147"/>
      <c r="UTK201" s="147"/>
      <c r="UTL201" s="147"/>
      <c r="UTM201" s="147"/>
      <c r="UTN201" s="147"/>
      <c r="UTO201" s="147"/>
      <c r="UTP201" s="147"/>
      <c r="UTQ201" s="147"/>
      <c r="UTR201" s="147"/>
      <c r="UTS201" s="147"/>
      <c r="UTT201" s="147"/>
      <c r="UTU201" s="147"/>
      <c r="UTV201" s="147"/>
      <c r="UTW201" s="147"/>
      <c r="UTX201" s="147"/>
      <c r="UTY201" s="147"/>
      <c r="UTZ201" s="147"/>
      <c r="UUA201" s="147"/>
      <c r="UUB201" s="147"/>
      <c r="UUC201" s="147"/>
      <c r="UUD201" s="147"/>
      <c r="UUE201" s="147"/>
      <c r="UUF201" s="147"/>
      <c r="UUG201" s="147"/>
      <c r="UUH201" s="147"/>
      <c r="UUI201" s="147"/>
      <c r="UUJ201" s="147"/>
      <c r="UUK201" s="147"/>
      <c r="UUL201" s="147"/>
      <c r="UUM201" s="147"/>
      <c r="UUN201" s="147"/>
      <c r="UUO201" s="147"/>
      <c r="UUP201" s="147"/>
      <c r="UUQ201" s="147"/>
      <c r="UUR201" s="147"/>
      <c r="UUS201" s="147"/>
      <c r="UUT201" s="147"/>
      <c r="UUU201" s="147"/>
      <c r="UUV201" s="147"/>
      <c r="UUW201" s="147"/>
      <c r="UUX201" s="147"/>
      <c r="UUY201" s="147"/>
      <c r="UUZ201" s="147"/>
      <c r="UVA201" s="147"/>
      <c r="UVB201" s="147"/>
      <c r="UVC201" s="147"/>
      <c r="UVD201" s="147"/>
      <c r="UVE201" s="147"/>
      <c r="UVF201" s="147"/>
      <c r="UVG201" s="147"/>
      <c r="UVH201" s="147"/>
      <c r="UVI201" s="147"/>
      <c r="UVJ201" s="147"/>
      <c r="UVK201" s="147"/>
      <c r="UVL201" s="147"/>
      <c r="UVM201" s="147"/>
      <c r="UVN201" s="147"/>
      <c r="UVO201" s="147"/>
      <c r="UVP201" s="147"/>
      <c r="UVQ201" s="147"/>
      <c r="UVR201" s="147"/>
      <c r="UVS201" s="147"/>
      <c r="UVT201" s="147"/>
      <c r="UVU201" s="147"/>
      <c r="UVV201" s="147"/>
      <c r="UVW201" s="147"/>
      <c r="UVX201" s="147"/>
      <c r="UVY201" s="147"/>
      <c r="UVZ201" s="147"/>
      <c r="UWA201" s="147"/>
      <c r="UWB201" s="147"/>
      <c r="UWC201" s="147"/>
      <c r="UWD201" s="147"/>
      <c r="UWE201" s="147"/>
      <c r="UWF201" s="147"/>
      <c r="UWG201" s="147"/>
      <c r="UWH201" s="147"/>
      <c r="UWI201" s="147"/>
      <c r="UWJ201" s="147"/>
      <c r="UWK201" s="147"/>
      <c r="UWL201" s="147"/>
      <c r="UWM201" s="147"/>
      <c r="UWN201" s="147"/>
      <c r="UWO201" s="147"/>
      <c r="UWP201" s="147"/>
      <c r="UWQ201" s="147"/>
      <c r="UWR201" s="147"/>
      <c r="UWS201" s="147"/>
      <c r="UWT201" s="147"/>
      <c r="UWU201" s="147"/>
      <c r="UWV201" s="147"/>
      <c r="UWW201" s="147"/>
      <c r="UWX201" s="147"/>
      <c r="UWY201" s="147"/>
      <c r="UWZ201" s="147"/>
      <c r="UXA201" s="147"/>
      <c r="UXB201" s="147"/>
      <c r="UXC201" s="147"/>
      <c r="UXD201" s="147"/>
      <c r="UXE201" s="147"/>
      <c r="UXF201" s="147"/>
      <c r="UXG201" s="147"/>
      <c r="UXH201" s="147"/>
      <c r="UXI201" s="147"/>
      <c r="UXJ201" s="147"/>
      <c r="UXK201" s="147"/>
      <c r="UXL201" s="147"/>
      <c r="UXM201" s="147"/>
      <c r="UXN201" s="147"/>
      <c r="UXO201" s="147"/>
      <c r="UXP201" s="147"/>
      <c r="UXQ201" s="147"/>
      <c r="UXR201" s="147"/>
      <c r="UXS201" s="147"/>
      <c r="UXT201" s="147"/>
      <c r="UXU201" s="147"/>
      <c r="UXV201" s="147"/>
      <c r="UXW201" s="147"/>
      <c r="UXX201" s="147"/>
      <c r="UXY201" s="147"/>
      <c r="UXZ201" s="147"/>
      <c r="UYA201" s="147"/>
      <c r="UYB201" s="147"/>
      <c r="UYC201" s="147"/>
      <c r="UYD201" s="147"/>
      <c r="UYE201" s="147"/>
      <c r="UYF201" s="147"/>
      <c r="UYG201" s="147"/>
      <c r="UYH201" s="147"/>
      <c r="UYI201" s="147"/>
      <c r="UYJ201" s="147"/>
      <c r="UYK201" s="147"/>
      <c r="UYL201" s="147"/>
      <c r="UYM201" s="147"/>
      <c r="UYN201" s="147"/>
      <c r="UYO201" s="147"/>
      <c r="UYP201" s="147"/>
      <c r="UYQ201" s="147"/>
      <c r="UYR201" s="147"/>
      <c r="UYS201" s="147"/>
      <c r="UYT201" s="147"/>
      <c r="UYU201" s="147"/>
      <c r="UYV201" s="147"/>
      <c r="UYW201" s="147"/>
      <c r="UYX201" s="147"/>
      <c r="UYY201" s="147"/>
      <c r="UYZ201" s="147"/>
      <c r="UZA201" s="147"/>
      <c r="UZB201" s="147"/>
      <c r="UZC201" s="147"/>
      <c r="UZD201" s="147"/>
      <c r="UZE201" s="147"/>
      <c r="UZF201" s="147"/>
      <c r="UZG201" s="147"/>
      <c r="UZH201" s="147"/>
      <c r="UZI201" s="147"/>
      <c r="UZJ201" s="147"/>
      <c r="UZK201" s="147"/>
      <c r="UZL201" s="147"/>
      <c r="UZM201" s="147"/>
      <c r="UZN201" s="147"/>
      <c r="UZO201" s="147"/>
      <c r="UZP201" s="147"/>
      <c r="UZQ201" s="147"/>
      <c r="UZR201" s="147"/>
      <c r="UZS201" s="147"/>
      <c r="UZT201" s="147"/>
      <c r="UZU201" s="147"/>
      <c r="UZV201" s="147"/>
      <c r="UZW201" s="147"/>
      <c r="UZX201" s="147"/>
      <c r="UZY201" s="147"/>
      <c r="UZZ201" s="147"/>
      <c r="VAA201" s="147"/>
      <c r="VAB201" s="147"/>
      <c r="VAC201" s="147"/>
      <c r="VAD201" s="147"/>
      <c r="VAE201" s="147"/>
      <c r="VAF201" s="147"/>
      <c r="VAG201" s="147"/>
      <c r="VAH201" s="147"/>
      <c r="VAI201" s="147"/>
      <c r="VAJ201" s="147"/>
      <c r="VAK201" s="147"/>
      <c r="VAL201" s="147"/>
      <c r="VAM201" s="147"/>
      <c r="VAN201" s="147"/>
      <c r="VAO201" s="147"/>
      <c r="VAP201" s="147"/>
      <c r="VAQ201" s="147"/>
      <c r="VAR201" s="147"/>
      <c r="VAS201" s="147"/>
      <c r="VAT201" s="147"/>
      <c r="VAU201" s="147"/>
      <c r="VAV201" s="147"/>
      <c r="VAW201" s="147"/>
      <c r="VAX201" s="147"/>
      <c r="VAY201" s="147"/>
      <c r="VAZ201" s="147"/>
      <c r="VBA201" s="147"/>
      <c r="VBB201" s="147"/>
      <c r="VBC201" s="147"/>
      <c r="VBD201" s="147"/>
      <c r="VBE201" s="147"/>
      <c r="VBF201" s="147"/>
      <c r="VBG201" s="147"/>
      <c r="VBH201" s="147"/>
      <c r="VBI201" s="147"/>
      <c r="VBJ201" s="147"/>
      <c r="VBK201" s="147"/>
      <c r="VBL201" s="147"/>
      <c r="VBM201" s="147"/>
      <c r="VBN201" s="147"/>
      <c r="VBO201" s="147"/>
      <c r="VBP201" s="147"/>
      <c r="VBQ201" s="147"/>
      <c r="VBR201" s="147"/>
      <c r="VBS201" s="147"/>
      <c r="VBT201" s="147"/>
      <c r="VBU201" s="147"/>
      <c r="VBV201" s="147"/>
      <c r="VBW201" s="147"/>
      <c r="VBX201" s="147"/>
      <c r="VBY201" s="147"/>
      <c r="VBZ201" s="147"/>
      <c r="VCA201" s="147"/>
      <c r="VCB201" s="147"/>
      <c r="VCC201" s="147"/>
      <c r="VCD201" s="147"/>
      <c r="VCE201" s="147"/>
      <c r="VCF201" s="147"/>
      <c r="VCG201" s="147"/>
      <c r="VCH201" s="147"/>
      <c r="VCI201" s="147"/>
      <c r="VCJ201" s="147"/>
      <c r="VCK201" s="147"/>
      <c r="VCL201" s="147"/>
      <c r="VCM201" s="147"/>
      <c r="VCN201" s="147"/>
      <c r="VCO201" s="147"/>
      <c r="VCP201" s="147"/>
      <c r="VCQ201" s="147"/>
      <c r="VCR201" s="147"/>
      <c r="VCS201" s="147"/>
      <c r="VCT201" s="147"/>
      <c r="VCU201" s="147"/>
      <c r="VCV201" s="147"/>
      <c r="VCW201" s="147"/>
      <c r="VCX201" s="147"/>
      <c r="VCY201" s="147"/>
      <c r="VCZ201" s="147"/>
      <c r="VDA201" s="147"/>
      <c r="VDB201" s="147"/>
      <c r="VDC201" s="147"/>
      <c r="VDD201" s="147"/>
      <c r="VDE201" s="147"/>
      <c r="VDF201" s="147"/>
      <c r="VDG201" s="147"/>
      <c r="VDH201" s="147"/>
      <c r="VDI201" s="147"/>
      <c r="VDJ201" s="147"/>
      <c r="VDK201" s="147"/>
      <c r="VDL201" s="147"/>
      <c r="VDM201" s="147"/>
      <c r="VDN201" s="147"/>
      <c r="VDO201" s="147"/>
      <c r="VDP201" s="147"/>
      <c r="VDQ201" s="147"/>
      <c r="VDR201" s="147"/>
      <c r="VDS201" s="147"/>
      <c r="VDT201" s="147"/>
      <c r="VDU201" s="147"/>
      <c r="VDV201" s="147"/>
      <c r="VDW201" s="147"/>
      <c r="VDX201" s="147"/>
      <c r="VDY201" s="147"/>
      <c r="VDZ201" s="147"/>
      <c r="VEA201" s="147"/>
      <c r="VEB201" s="147"/>
      <c r="VEC201" s="147"/>
      <c r="VED201" s="147"/>
      <c r="VEE201" s="147"/>
      <c r="VEF201" s="147"/>
      <c r="VEG201" s="147"/>
      <c r="VEH201" s="147"/>
      <c r="VEI201" s="147"/>
      <c r="VEJ201" s="147"/>
      <c r="VEK201" s="147"/>
      <c r="VEL201" s="147"/>
      <c r="VEM201" s="147"/>
      <c r="VEN201" s="147"/>
      <c r="VEO201" s="147"/>
      <c r="VEP201" s="147"/>
      <c r="VEQ201" s="147"/>
      <c r="VER201" s="147"/>
      <c r="VES201" s="147"/>
      <c r="VET201" s="147"/>
      <c r="VEU201" s="147"/>
      <c r="VEV201" s="147"/>
      <c r="VEW201" s="147"/>
      <c r="VEX201" s="147"/>
      <c r="VEY201" s="147"/>
      <c r="VEZ201" s="147"/>
      <c r="VFA201" s="147"/>
      <c r="VFB201" s="147"/>
      <c r="VFC201" s="147"/>
      <c r="VFD201" s="147"/>
      <c r="VFE201" s="147"/>
      <c r="VFF201" s="147"/>
      <c r="VFG201" s="147"/>
      <c r="VFH201" s="147"/>
      <c r="VFI201" s="147"/>
      <c r="VFJ201" s="147"/>
      <c r="VFK201" s="147"/>
      <c r="VFL201" s="147"/>
      <c r="VFM201" s="147"/>
      <c r="VFN201" s="147"/>
      <c r="VFO201" s="147"/>
      <c r="VFP201" s="147"/>
      <c r="VFQ201" s="147"/>
      <c r="VFR201" s="147"/>
      <c r="VFS201" s="147"/>
      <c r="VFT201" s="147"/>
      <c r="VFU201" s="147"/>
      <c r="VFV201" s="147"/>
      <c r="VFW201" s="147"/>
      <c r="VFX201" s="147"/>
      <c r="VFY201" s="147"/>
      <c r="VFZ201" s="147"/>
      <c r="VGA201" s="147"/>
      <c r="VGB201" s="147"/>
      <c r="VGC201" s="147"/>
      <c r="VGD201" s="147"/>
      <c r="VGE201" s="147"/>
      <c r="VGF201" s="147"/>
      <c r="VGG201" s="147"/>
      <c r="VGH201" s="147"/>
      <c r="VGI201" s="147"/>
      <c r="VGJ201" s="147"/>
      <c r="VGK201" s="147"/>
      <c r="VGL201" s="147"/>
      <c r="VGM201" s="147"/>
      <c r="VGN201" s="147"/>
      <c r="VGO201" s="147"/>
      <c r="VGP201" s="147"/>
      <c r="VGQ201" s="147"/>
      <c r="VGR201" s="147"/>
      <c r="VGS201" s="147"/>
      <c r="VGT201" s="147"/>
      <c r="VGU201" s="147"/>
      <c r="VGV201" s="147"/>
      <c r="VGW201" s="147"/>
      <c r="VGX201" s="147"/>
      <c r="VGY201" s="147"/>
      <c r="VGZ201" s="147"/>
      <c r="VHA201" s="147"/>
      <c r="VHB201" s="147"/>
      <c r="VHC201" s="147"/>
      <c r="VHD201" s="147"/>
      <c r="VHE201" s="147"/>
      <c r="VHF201" s="147"/>
      <c r="VHG201" s="147"/>
      <c r="VHH201" s="147"/>
      <c r="VHI201" s="147"/>
      <c r="VHJ201" s="147"/>
      <c r="VHK201" s="147"/>
      <c r="VHL201" s="147"/>
      <c r="VHM201" s="147"/>
      <c r="VHN201" s="147"/>
      <c r="VHO201" s="147"/>
      <c r="VHP201" s="147"/>
      <c r="VHQ201" s="147"/>
      <c r="VHR201" s="147"/>
      <c r="VHS201" s="147"/>
      <c r="VHT201" s="147"/>
      <c r="VHU201" s="147"/>
      <c r="VHV201" s="147"/>
      <c r="VHW201" s="147"/>
      <c r="VHX201" s="147"/>
      <c r="VHY201" s="147"/>
      <c r="VHZ201" s="147"/>
      <c r="VIA201" s="147"/>
      <c r="VIB201" s="147"/>
      <c r="VIC201" s="147"/>
      <c r="VID201" s="147"/>
      <c r="VIE201" s="147"/>
      <c r="VIF201" s="147"/>
      <c r="VIG201" s="147"/>
      <c r="VIH201" s="147"/>
      <c r="VII201" s="147"/>
      <c r="VIJ201" s="147"/>
      <c r="VIK201" s="147"/>
      <c r="VIL201" s="147"/>
      <c r="VIM201" s="147"/>
      <c r="VIN201" s="147"/>
      <c r="VIO201" s="147"/>
      <c r="VIP201" s="147"/>
      <c r="VIQ201" s="147"/>
      <c r="VIR201" s="147"/>
      <c r="VIS201" s="147"/>
      <c r="VIT201" s="147"/>
      <c r="VIU201" s="147"/>
      <c r="VIV201" s="147"/>
      <c r="VIW201" s="147"/>
      <c r="VIX201" s="147"/>
      <c r="VIY201" s="147"/>
      <c r="VIZ201" s="147"/>
      <c r="VJA201" s="147"/>
      <c r="VJB201" s="147"/>
      <c r="VJC201" s="147"/>
      <c r="VJD201" s="147"/>
      <c r="VJE201" s="147"/>
      <c r="VJF201" s="147"/>
      <c r="VJG201" s="147"/>
      <c r="VJH201" s="147"/>
      <c r="VJI201" s="147"/>
      <c r="VJJ201" s="147"/>
      <c r="VJK201" s="147"/>
      <c r="VJL201" s="147"/>
      <c r="VJM201" s="147"/>
      <c r="VJN201" s="147"/>
      <c r="VJO201" s="147"/>
      <c r="VJP201" s="147"/>
      <c r="VJQ201" s="147"/>
      <c r="VJR201" s="147"/>
      <c r="VJS201" s="147"/>
      <c r="VJT201" s="147"/>
      <c r="VJU201" s="147"/>
      <c r="VJV201" s="147"/>
      <c r="VJW201" s="147"/>
      <c r="VJX201" s="147"/>
      <c r="VJY201" s="147"/>
      <c r="VJZ201" s="147"/>
      <c r="VKA201" s="147"/>
      <c r="VKB201" s="147"/>
      <c r="VKC201" s="147"/>
      <c r="VKD201" s="147"/>
      <c r="VKE201" s="147"/>
      <c r="VKF201" s="147"/>
      <c r="VKG201" s="147"/>
      <c r="VKH201" s="147"/>
      <c r="VKI201" s="147"/>
      <c r="VKJ201" s="147"/>
      <c r="VKK201" s="147"/>
      <c r="VKL201" s="147"/>
      <c r="VKM201" s="147"/>
      <c r="VKN201" s="147"/>
      <c r="VKO201" s="147"/>
      <c r="VKP201" s="147"/>
      <c r="VKQ201" s="147"/>
      <c r="VKR201" s="147"/>
      <c r="VKS201" s="147"/>
      <c r="VKT201" s="147"/>
      <c r="VKU201" s="147"/>
      <c r="VKV201" s="147"/>
      <c r="VKW201" s="147"/>
      <c r="VKX201" s="147"/>
      <c r="VKY201" s="147"/>
      <c r="VKZ201" s="147"/>
      <c r="VLA201" s="147"/>
      <c r="VLB201" s="147"/>
      <c r="VLC201" s="147"/>
      <c r="VLD201" s="147"/>
      <c r="VLE201" s="147"/>
      <c r="VLF201" s="147"/>
      <c r="VLG201" s="147"/>
      <c r="VLH201" s="147"/>
      <c r="VLI201" s="147"/>
      <c r="VLJ201" s="147"/>
      <c r="VLK201" s="147"/>
      <c r="VLL201" s="147"/>
      <c r="VLM201" s="147"/>
      <c r="VLN201" s="147"/>
      <c r="VLO201" s="147"/>
      <c r="VLP201" s="147"/>
      <c r="VLQ201" s="147"/>
      <c r="VLR201" s="147"/>
      <c r="VLS201" s="147"/>
      <c r="VLT201" s="147"/>
      <c r="VLU201" s="147"/>
      <c r="VLV201" s="147"/>
      <c r="VLW201" s="147"/>
      <c r="VLX201" s="147"/>
      <c r="VLY201" s="147"/>
      <c r="VLZ201" s="147"/>
      <c r="VMA201" s="147"/>
      <c r="VMB201" s="147"/>
      <c r="VMC201" s="147"/>
      <c r="VMD201" s="147"/>
      <c r="VME201" s="147"/>
      <c r="VMF201" s="147"/>
      <c r="VMG201" s="147"/>
      <c r="VMH201" s="147"/>
      <c r="VMI201" s="147"/>
      <c r="VMJ201" s="147"/>
      <c r="VMK201" s="147"/>
      <c r="VML201" s="147"/>
      <c r="VMM201" s="147"/>
      <c r="VMN201" s="147"/>
      <c r="VMO201" s="147"/>
      <c r="VMP201" s="147"/>
      <c r="VMQ201" s="147"/>
      <c r="VMR201" s="147"/>
      <c r="VMS201" s="147"/>
      <c r="VMT201" s="147"/>
      <c r="VMU201" s="147"/>
      <c r="VMV201" s="147"/>
      <c r="VMW201" s="147"/>
      <c r="VMX201" s="147"/>
      <c r="VMY201" s="147"/>
      <c r="VMZ201" s="147"/>
      <c r="VNA201" s="147"/>
      <c r="VNB201" s="147"/>
      <c r="VNC201" s="147"/>
      <c r="VND201" s="147"/>
      <c r="VNE201" s="147"/>
      <c r="VNF201" s="147"/>
      <c r="VNG201" s="147"/>
      <c r="VNH201" s="147"/>
      <c r="VNI201" s="147"/>
      <c r="VNJ201" s="147"/>
      <c r="VNK201" s="147"/>
      <c r="VNL201" s="147"/>
      <c r="VNM201" s="147"/>
      <c r="VNN201" s="147"/>
      <c r="VNO201" s="147"/>
      <c r="VNP201" s="147"/>
      <c r="VNQ201" s="147"/>
      <c r="VNR201" s="147"/>
      <c r="VNS201" s="147"/>
      <c r="VNT201" s="147"/>
      <c r="VNU201" s="147"/>
      <c r="VNV201" s="147"/>
      <c r="VNW201" s="147"/>
      <c r="VNX201" s="147"/>
      <c r="VNY201" s="147"/>
      <c r="VNZ201" s="147"/>
      <c r="VOA201" s="147"/>
      <c r="VOB201" s="147"/>
      <c r="VOC201" s="147"/>
      <c r="VOD201" s="147"/>
      <c r="VOE201" s="147"/>
      <c r="VOF201" s="147"/>
      <c r="VOG201" s="147"/>
      <c r="VOH201" s="147"/>
      <c r="VOI201" s="147"/>
      <c r="VOJ201" s="147"/>
      <c r="VOK201" s="147"/>
      <c r="VOL201" s="147"/>
      <c r="VOM201" s="147"/>
      <c r="VON201" s="147"/>
      <c r="VOO201" s="147"/>
      <c r="VOP201" s="147"/>
      <c r="VOQ201" s="147"/>
      <c r="VOR201" s="147"/>
      <c r="VOS201" s="147"/>
      <c r="VOT201" s="147"/>
      <c r="VOU201" s="147"/>
      <c r="VOV201" s="147"/>
      <c r="VOW201" s="147"/>
      <c r="VOX201" s="147"/>
      <c r="VOY201" s="147"/>
      <c r="VOZ201" s="147"/>
      <c r="VPA201" s="147"/>
      <c r="VPB201" s="147"/>
      <c r="VPC201" s="147"/>
      <c r="VPD201" s="147"/>
      <c r="VPE201" s="147"/>
      <c r="VPF201" s="147"/>
      <c r="VPG201" s="147"/>
      <c r="VPH201" s="147"/>
      <c r="VPI201" s="147"/>
      <c r="VPJ201" s="147"/>
      <c r="VPK201" s="147"/>
      <c r="VPL201" s="147"/>
      <c r="VPM201" s="147"/>
      <c r="VPN201" s="147"/>
      <c r="VPO201" s="147"/>
      <c r="VPP201" s="147"/>
      <c r="VPQ201" s="147"/>
      <c r="VPR201" s="147"/>
      <c r="VPS201" s="147"/>
      <c r="VPT201" s="147"/>
      <c r="VPU201" s="147"/>
      <c r="VPV201" s="147"/>
      <c r="VPW201" s="147"/>
      <c r="VPX201" s="147"/>
      <c r="VPY201" s="147"/>
      <c r="VPZ201" s="147"/>
      <c r="VQA201" s="147"/>
      <c r="VQB201" s="147"/>
      <c r="VQC201" s="147"/>
      <c r="VQD201" s="147"/>
      <c r="VQE201" s="147"/>
      <c r="VQF201" s="147"/>
      <c r="VQG201" s="147"/>
      <c r="VQH201" s="147"/>
      <c r="VQI201" s="147"/>
      <c r="VQJ201" s="147"/>
      <c r="VQK201" s="147"/>
      <c r="VQL201" s="147"/>
      <c r="VQM201" s="147"/>
      <c r="VQN201" s="147"/>
      <c r="VQO201" s="147"/>
      <c r="VQP201" s="147"/>
      <c r="VQQ201" s="147"/>
      <c r="VQR201" s="147"/>
      <c r="VQS201" s="147"/>
      <c r="VQT201" s="147"/>
      <c r="VQU201" s="147"/>
      <c r="VQV201" s="147"/>
      <c r="VQW201" s="147"/>
      <c r="VQX201" s="147"/>
      <c r="VQY201" s="147"/>
      <c r="VQZ201" s="147"/>
      <c r="VRA201" s="147"/>
      <c r="VRB201" s="147"/>
      <c r="VRC201" s="147"/>
      <c r="VRD201" s="147"/>
      <c r="VRE201" s="147"/>
      <c r="VRF201" s="147"/>
      <c r="VRG201" s="147"/>
      <c r="VRH201" s="147"/>
      <c r="VRI201" s="147"/>
      <c r="VRJ201" s="147"/>
      <c r="VRK201" s="147"/>
      <c r="VRL201" s="147"/>
      <c r="VRM201" s="147"/>
      <c r="VRN201" s="147"/>
      <c r="VRO201" s="147"/>
      <c r="VRP201" s="147"/>
      <c r="VRQ201" s="147"/>
      <c r="VRR201" s="147"/>
      <c r="VRS201" s="147"/>
      <c r="VRT201" s="147"/>
      <c r="VRU201" s="147"/>
      <c r="VRV201" s="147"/>
      <c r="VRW201" s="147"/>
      <c r="VRX201" s="147"/>
      <c r="VRY201" s="147"/>
      <c r="VRZ201" s="147"/>
      <c r="VSA201" s="147"/>
      <c r="VSB201" s="147"/>
      <c r="VSC201" s="147"/>
      <c r="VSD201" s="147"/>
      <c r="VSE201" s="147"/>
      <c r="VSF201" s="147"/>
      <c r="VSG201" s="147"/>
      <c r="VSH201" s="147"/>
      <c r="VSI201" s="147"/>
      <c r="VSJ201" s="147"/>
      <c r="VSK201" s="147"/>
      <c r="VSL201" s="147"/>
      <c r="VSM201" s="147"/>
      <c r="VSN201" s="147"/>
      <c r="VSO201" s="147"/>
      <c r="VSP201" s="147"/>
      <c r="VSQ201" s="147"/>
      <c r="VSR201" s="147"/>
      <c r="VSS201" s="147"/>
      <c r="VST201" s="147"/>
      <c r="VSU201" s="147"/>
      <c r="VSV201" s="147"/>
      <c r="VSW201" s="147"/>
      <c r="VSX201" s="147"/>
      <c r="VSY201" s="147"/>
      <c r="VSZ201" s="147"/>
      <c r="VTA201" s="147"/>
      <c r="VTB201" s="147"/>
      <c r="VTC201" s="147"/>
      <c r="VTD201" s="147"/>
      <c r="VTE201" s="147"/>
      <c r="VTF201" s="147"/>
      <c r="VTG201" s="147"/>
      <c r="VTH201" s="147"/>
      <c r="VTI201" s="147"/>
      <c r="VTJ201" s="147"/>
      <c r="VTK201" s="147"/>
      <c r="VTL201" s="147"/>
      <c r="VTM201" s="147"/>
      <c r="VTN201" s="147"/>
      <c r="VTO201" s="147"/>
      <c r="VTP201" s="147"/>
      <c r="VTQ201" s="147"/>
      <c r="VTR201" s="147"/>
      <c r="VTS201" s="147"/>
      <c r="VTT201" s="147"/>
      <c r="VTU201" s="147"/>
      <c r="VTV201" s="147"/>
      <c r="VTW201" s="147"/>
      <c r="VTX201" s="147"/>
      <c r="VTY201" s="147"/>
      <c r="VTZ201" s="147"/>
      <c r="VUA201" s="147"/>
      <c r="VUB201" s="147"/>
      <c r="VUC201" s="147"/>
      <c r="VUD201" s="147"/>
      <c r="VUE201" s="147"/>
      <c r="VUF201" s="147"/>
      <c r="VUG201" s="147"/>
      <c r="VUH201" s="147"/>
      <c r="VUI201" s="147"/>
      <c r="VUJ201" s="147"/>
      <c r="VUK201" s="147"/>
      <c r="VUL201" s="147"/>
      <c r="VUM201" s="147"/>
      <c r="VUN201" s="147"/>
      <c r="VUO201" s="147"/>
      <c r="VUP201" s="147"/>
      <c r="VUQ201" s="147"/>
      <c r="VUR201" s="147"/>
      <c r="VUS201" s="147"/>
      <c r="VUT201" s="147"/>
      <c r="VUU201" s="147"/>
      <c r="VUV201" s="147"/>
      <c r="VUW201" s="147"/>
      <c r="VUX201" s="147"/>
      <c r="VUY201" s="147"/>
      <c r="VUZ201" s="147"/>
      <c r="VVA201" s="147"/>
      <c r="VVB201" s="147"/>
      <c r="VVC201" s="147"/>
      <c r="VVD201" s="147"/>
      <c r="VVE201" s="147"/>
      <c r="VVF201" s="147"/>
      <c r="VVG201" s="147"/>
      <c r="VVH201" s="147"/>
      <c r="VVI201" s="147"/>
      <c r="VVJ201" s="147"/>
      <c r="VVK201" s="147"/>
      <c r="VVL201" s="147"/>
      <c r="VVM201" s="147"/>
      <c r="VVN201" s="147"/>
      <c r="VVO201" s="147"/>
      <c r="VVP201" s="147"/>
      <c r="VVQ201" s="147"/>
      <c r="VVR201" s="147"/>
      <c r="VVS201" s="147"/>
      <c r="VVT201" s="147"/>
      <c r="VVU201" s="147"/>
      <c r="VVV201" s="147"/>
      <c r="VVW201" s="147"/>
      <c r="VVX201" s="147"/>
      <c r="VVY201" s="147"/>
      <c r="VVZ201" s="147"/>
      <c r="VWA201" s="147"/>
      <c r="VWB201" s="147"/>
      <c r="VWC201" s="147"/>
      <c r="VWD201" s="147"/>
      <c r="VWE201" s="147"/>
      <c r="VWF201" s="147"/>
      <c r="VWG201" s="147"/>
      <c r="VWH201" s="147"/>
      <c r="VWI201" s="147"/>
      <c r="VWJ201" s="147"/>
      <c r="VWK201" s="147"/>
      <c r="VWL201" s="147"/>
      <c r="VWM201" s="147"/>
      <c r="VWN201" s="147"/>
      <c r="VWO201" s="147"/>
      <c r="VWP201" s="147"/>
      <c r="VWQ201" s="147"/>
      <c r="VWR201" s="147"/>
      <c r="VWS201" s="147"/>
      <c r="VWT201" s="147"/>
      <c r="VWU201" s="147"/>
      <c r="VWV201" s="147"/>
      <c r="VWW201" s="147"/>
      <c r="VWX201" s="147"/>
      <c r="VWY201" s="147"/>
      <c r="VWZ201" s="147"/>
      <c r="VXA201" s="147"/>
      <c r="VXB201" s="147"/>
      <c r="VXC201" s="147"/>
      <c r="VXD201" s="147"/>
      <c r="VXE201" s="147"/>
      <c r="VXF201" s="147"/>
      <c r="VXG201" s="147"/>
      <c r="VXH201" s="147"/>
      <c r="VXI201" s="147"/>
      <c r="VXJ201" s="147"/>
      <c r="VXK201" s="147"/>
      <c r="VXL201" s="147"/>
      <c r="VXM201" s="147"/>
      <c r="VXN201" s="147"/>
      <c r="VXO201" s="147"/>
      <c r="VXP201" s="147"/>
      <c r="VXQ201" s="147"/>
      <c r="VXR201" s="147"/>
      <c r="VXS201" s="147"/>
      <c r="VXT201" s="147"/>
      <c r="VXU201" s="147"/>
      <c r="VXV201" s="147"/>
      <c r="VXW201" s="147"/>
      <c r="VXX201" s="147"/>
      <c r="VXY201" s="147"/>
      <c r="VXZ201" s="147"/>
      <c r="VYA201" s="147"/>
      <c r="VYB201" s="147"/>
      <c r="VYC201" s="147"/>
      <c r="VYD201" s="147"/>
      <c r="VYE201" s="147"/>
      <c r="VYF201" s="147"/>
      <c r="VYG201" s="147"/>
      <c r="VYH201" s="147"/>
      <c r="VYI201" s="147"/>
      <c r="VYJ201" s="147"/>
      <c r="VYK201" s="147"/>
      <c r="VYL201" s="147"/>
      <c r="VYM201" s="147"/>
      <c r="VYN201" s="147"/>
      <c r="VYO201" s="147"/>
      <c r="VYP201" s="147"/>
      <c r="VYQ201" s="147"/>
      <c r="VYR201" s="147"/>
      <c r="VYS201" s="147"/>
      <c r="VYT201" s="147"/>
      <c r="VYU201" s="147"/>
      <c r="VYV201" s="147"/>
      <c r="VYW201" s="147"/>
      <c r="VYX201" s="147"/>
      <c r="VYY201" s="147"/>
      <c r="VYZ201" s="147"/>
      <c r="VZA201" s="147"/>
      <c r="VZB201" s="147"/>
      <c r="VZC201" s="147"/>
      <c r="VZD201" s="147"/>
      <c r="VZE201" s="147"/>
      <c r="VZF201" s="147"/>
      <c r="VZG201" s="147"/>
      <c r="VZH201" s="147"/>
      <c r="VZI201" s="147"/>
      <c r="VZJ201" s="147"/>
      <c r="VZK201" s="147"/>
      <c r="VZL201" s="147"/>
      <c r="VZM201" s="147"/>
      <c r="VZN201" s="147"/>
      <c r="VZO201" s="147"/>
      <c r="VZP201" s="147"/>
      <c r="VZQ201" s="147"/>
      <c r="VZR201" s="147"/>
      <c r="VZS201" s="147"/>
      <c r="VZT201" s="147"/>
      <c r="VZU201" s="147"/>
      <c r="VZV201" s="147"/>
      <c r="VZW201" s="147"/>
      <c r="VZX201" s="147"/>
      <c r="VZY201" s="147"/>
      <c r="VZZ201" s="147"/>
      <c r="WAA201" s="147"/>
      <c r="WAB201" s="147"/>
      <c r="WAC201" s="147"/>
      <c r="WAD201" s="147"/>
      <c r="WAE201" s="147"/>
      <c r="WAF201" s="147"/>
      <c r="WAG201" s="147"/>
      <c r="WAH201" s="147"/>
      <c r="WAI201" s="147"/>
      <c r="WAJ201" s="147"/>
      <c r="WAK201" s="147"/>
      <c r="WAL201" s="147"/>
      <c r="WAM201" s="147"/>
      <c r="WAN201" s="147"/>
      <c r="WAO201" s="147"/>
      <c r="WAP201" s="147"/>
      <c r="WAQ201" s="147"/>
      <c r="WAR201" s="147"/>
      <c r="WAS201" s="147"/>
      <c r="WAT201" s="147"/>
      <c r="WAU201" s="147"/>
      <c r="WAV201" s="147"/>
      <c r="WAW201" s="147"/>
      <c r="WAX201" s="147"/>
      <c r="WAY201" s="147"/>
      <c r="WAZ201" s="147"/>
      <c r="WBA201" s="147"/>
      <c r="WBB201" s="147"/>
      <c r="WBC201" s="147"/>
      <c r="WBD201" s="147"/>
      <c r="WBE201" s="147"/>
      <c r="WBF201" s="147"/>
      <c r="WBG201" s="147"/>
      <c r="WBH201" s="147"/>
      <c r="WBI201" s="147"/>
      <c r="WBJ201" s="147"/>
      <c r="WBK201" s="147"/>
      <c r="WBL201" s="147"/>
      <c r="WBM201" s="147"/>
      <c r="WBN201" s="147"/>
      <c r="WBO201" s="147"/>
      <c r="WBP201" s="147"/>
      <c r="WBQ201" s="147"/>
      <c r="WBR201" s="147"/>
      <c r="WBS201" s="147"/>
      <c r="WBT201" s="147"/>
      <c r="WBU201" s="147"/>
      <c r="WBV201" s="147"/>
      <c r="WBW201" s="147"/>
      <c r="WBX201" s="147"/>
      <c r="WBY201" s="147"/>
      <c r="WBZ201" s="147"/>
      <c r="WCA201" s="147"/>
      <c r="WCB201" s="147"/>
      <c r="WCC201" s="147"/>
      <c r="WCD201" s="147"/>
      <c r="WCE201" s="147"/>
      <c r="WCF201" s="147"/>
      <c r="WCG201" s="147"/>
      <c r="WCH201" s="147"/>
      <c r="WCI201" s="147"/>
      <c r="WCJ201" s="147"/>
      <c r="WCK201" s="147"/>
      <c r="WCL201" s="147"/>
      <c r="WCM201" s="147"/>
      <c r="WCN201" s="147"/>
      <c r="WCO201" s="147"/>
      <c r="WCP201" s="147"/>
      <c r="WCQ201" s="147"/>
      <c r="WCR201" s="147"/>
      <c r="WCS201" s="147"/>
      <c r="WCT201" s="147"/>
      <c r="WCU201" s="147"/>
      <c r="WCV201" s="147"/>
      <c r="WCW201" s="147"/>
      <c r="WCX201" s="147"/>
      <c r="WCY201" s="147"/>
      <c r="WCZ201" s="147"/>
      <c r="WDA201" s="147"/>
      <c r="WDB201" s="147"/>
      <c r="WDC201" s="147"/>
      <c r="WDD201" s="147"/>
      <c r="WDE201" s="147"/>
      <c r="WDF201" s="147"/>
      <c r="WDG201" s="147"/>
      <c r="WDH201" s="147"/>
      <c r="WDI201" s="147"/>
      <c r="WDJ201" s="147"/>
      <c r="WDK201" s="147"/>
      <c r="WDL201" s="147"/>
      <c r="WDM201" s="147"/>
      <c r="WDN201" s="147"/>
      <c r="WDO201" s="147"/>
      <c r="WDP201" s="147"/>
      <c r="WDQ201" s="147"/>
      <c r="WDR201" s="147"/>
      <c r="WDS201" s="147"/>
      <c r="WDT201" s="147"/>
      <c r="WDU201" s="147"/>
      <c r="WDV201" s="147"/>
      <c r="WDW201" s="147"/>
      <c r="WDX201" s="147"/>
      <c r="WDY201" s="147"/>
      <c r="WDZ201" s="147"/>
      <c r="WEA201" s="147"/>
      <c r="WEB201" s="147"/>
      <c r="WEC201" s="147"/>
      <c r="WED201" s="147"/>
      <c r="WEE201" s="147"/>
      <c r="WEF201" s="147"/>
      <c r="WEG201" s="147"/>
      <c r="WEH201" s="147"/>
      <c r="WEI201" s="147"/>
      <c r="WEJ201" s="147"/>
      <c r="WEK201" s="147"/>
      <c r="WEL201" s="147"/>
      <c r="WEM201" s="147"/>
      <c r="WEN201" s="147"/>
      <c r="WEO201" s="147"/>
      <c r="WEP201" s="147"/>
      <c r="WEQ201" s="147"/>
      <c r="WER201" s="147"/>
      <c r="WES201" s="147"/>
      <c r="WET201" s="147"/>
      <c r="WEU201" s="147"/>
      <c r="WEV201" s="147"/>
      <c r="WEW201" s="147"/>
      <c r="WEX201" s="147"/>
      <c r="WEY201" s="147"/>
      <c r="WEZ201" s="147"/>
      <c r="WFA201" s="147"/>
      <c r="WFB201" s="147"/>
      <c r="WFC201" s="147"/>
      <c r="WFD201" s="147"/>
      <c r="WFE201" s="147"/>
      <c r="WFF201" s="147"/>
      <c r="WFG201" s="147"/>
      <c r="WFH201" s="147"/>
      <c r="WFI201" s="147"/>
      <c r="WFJ201" s="147"/>
      <c r="WFK201" s="147"/>
      <c r="WFL201" s="147"/>
      <c r="WFM201" s="147"/>
      <c r="WFN201" s="147"/>
      <c r="WFO201" s="147"/>
      <c r="WFP201" s="147"/>
      <c r="WFQ201" s="147"/>
      <c r="WFR201" s="147"/>
      <c r="WFS201" s="147"/>
      <c r="WFT201" s="147"/>
      <c r="WFU201" s="147"/>
      <c r="WFV201" s="147"/>
      <c r="WFW201" s="147"/>
      <c r="WFX201" s="147"/>
      <c r="WFY201" s="147"/>
      <c r="WFZ201" s="147"/>
      <c r="WGA201" s="147"/>
      <c r="WGB201" s="147"/>
      <c r="WGC201" s="147"/>
      <c r="WGD201" s="147"/>
      <c r="WGE201" s="147"/>
      <c r="WGF201" s="147"/>
      <c r="WGG201" s="147"/>
      <c r="WGH201" s="147"/>
      <c r="WGI201" s="147"/>
      <c r="WGJ201" s="147"/>
      <c r="WGK201" s="147"/>
      <c r="WGL201" s="147"/>
      <c r="WGM201" s="147"/>
      <c r="WGN201" s="147"/>
      <c r="WGO201" s="147"/>
      <c r="WGP201" s="147"/>
      <c r="WGQ201" s="147"/>
      <c r="WGR201" s="147"/>
      <c r="WGS201" s="147"/>
      <c r="WGT201" s="147"/>
      <c r="WGU201" s="147"/>
      <c r="WGV201" s="147"/>
      <c r="WGW201" s="147"/>
      <c r="WGX201" s="147"/>
      <c r="WGY201" s="147"/>
      <c r="WGZ201" s="147"/>
      <c r="WHA201" s="147"/>
      <c r="WHB201" s="147"/>
      <c r="WHC201" s="147"/>
      <c r="WHD201" s="147"/>
      <c r="WHE201" s="147"/>
      <c r="WHF201" s="147"/>
      <c r="WHG201" s="147"/>
      <c r="WHH201" s="147"/>
      <c r="WHI201" s="147"/>
      <c r="WHJ201" s="147"/>
      <c r="WHK201" s="147"/>
      <c r="WHL201" s="147"/>
      <c r="WHM201" s="147"/>
      <c r="WHN201" s="147"/>
      <c r="WHO201" s="147"/>
      <c r="WHP201" s="147"/>
      <c r="WHQ201" s="147"/>
      <c r="WHR201" s="147"/>
      <c r="WHS201" s="147"/>
      <c r="WHT201" s="147"/>
      <c r="WHU201" s="147"/>
      <c r="WHV201" s="147"/>
      <c r="WHW201" s="147"/>
      <c r="WHX201" s="147"/>
      <c r="WHY201" s="147"/>
      <c r="WHZ201" s="147"/>
      <c r="WIA201" s="147"/>
      <c r="WIB201" s="147"/>
      <c r="WIC201" s="147"/>
      <c r="WID201" s="147"/>
      <c r="WIE201" s="147"/>
      <c r="WIF201" s="147"/>
      <c r="WIG201" s="147"/>
      <c r="WIH201" s="147"/>
      <c r="WII201" s="147"/>
      <c r="WIJ201" s="147"/>
      <c r="WIK201" s="147"/>
      <c r="WIL201" s="147"/>
      <c r="WIM201" s="147"/>
      <c r="WIN201" s="147"/>
      <c r="WIO201" s="147"/>
      <c r="WIP201" s="147"/>
      <c r="WIQ201" s="147"/>
      <c r="WIR201" s="147"/>
      <c r="WIS201" s="147"/>
      <c r="WIT201" s="147"/>
      <c r="WIU201" s="147"/>
      <c r="WIV201" s="147"/>
      <c r="WIW201" s="147"/>
      <c r="WIX201" s="147"/>
      <c r="WIY201" s="147"/>
      <c r="WIZ201" s="147"/>
      <c r="WJA201" s="147"/>
      <c r="WJB201" s="147"/>
      <c r="WJC201" s="147"/>
      <c r="WJD201" s="147"/>
      <c r="WJE201" s="147"/>
      <c r="WJF201" s="147"/>
      <c r="WJG201" s="147"/>
      <c r="WJH201" s="147"/>
      <c r="WJI201" s="147"/>
      <c r="WJJ201" s="147"/>
      <c r="WJK201" s="147"/>
      <c r="WJL201" s="147"/>
      <c r="WJM201" s="147"/>
      <c r="WJN201" s="147"/>
      <c r="WJO201" s="147"/>
      <c r="WJP201" s="147"/>
      <c r="WJQ201" s="147"/>
      <c r="WJR201" s="147"/>
      <c r="WJS201" s="147"/>
      <c r="WJT201" s="147"/>
      <c r="WJU201" s="147"/>
      <c r="WJV201" s="147"/>
      <c r="WJW201" s="147"/>
      <c r="WJX201" s="147"/>
      <c r="WJY201" s="147"/>
      <c r="WJZ201" s="147"/>
      <c r="WKA201" s="147"/>
      <c r="WKB201" s="147"/>
      <c r="WKC201" s="147"/>
      <c r="WKD201" s="147"/>
      <c r="WKE201" s="147"/>
      <c r="WKF201" s="147"/>
      <c r="WKG201" s="147"/>
      <c r="WKH201" s="147"/>
      <c r="WKI201" s="147"/>
      <c r="WKJ201" s="147"/>
      <c r="WKK201" s="147"/>
      <c r="WKL201" s="147"/>
      <c r="WKM201" s="147"/>
      <c r="WKN201" s="147"/>
      <c r="WKO201" s="147"/>
      <c r="WKP201" s="147"/>
      <c r="WKQ201" s="147"/>
      <c r="WKR201" s="147"/>
      <c r="WKS201" s="147"/>
      <c r="WKT201" s="147"/>
      <c r="WKU201" s="147"/>
      <c r="WKV201" s="147"/>
      <c r="WKW201" s="147"/>
      <c r="WKX201" s="147"/>
      <c r="WKY201" s="147"/>
      <c r="WKZ201" s="147"/>
      <c r="WLA201" s="147"/>
      <c r="WLB201" s="147"/>
      <c r="WLC201" s="147"/>
      <c r="WLD201" s="147"/>
      <c r="WLE201" s="147"/>
      <c r="WLF201" s="147"/>
      <c r="WLG201" s="147"/>
      <c r="WLH201" s="147"/>
      <c r="WLI201" s="147"/>
      <c r="WLJ201" s="147"/>
      <c r="WLK201" s="147"/>
      <c r="WLL201" s="147"/>
      <c r="WLM201" s="147"/>
      <c r="WLN201" s="147"/>
      <c r="WLO201" s="147"/>
      <c r="WLP201" s="147"/>
      <c r="WLQ201" s="147"/>
      <c r="WLR201" s="147"/>
      <c r="WLS201" s="147"/>
      <c r="WLT201" s="147"/>
      <c r="WLU201" s="147"/>
      <c r="WLV201" s="147"/>
      <c r="WLW201" s="147"/>
      <c r="WLX201" s="147"/>
      <c r="WLY201" s="147"/>
      <c r="WLZ201" s="147"/>
      <c r="WMA201" s="147"/>
      <c r="WMB201" s="147"/>
      <c r="WMC201" s="147"/>
      <c r="WMD201" s="147"/>
      <c r="WME201" s="147"/>
      <c r="WMF201" s="147"/>
      <c r="WMG201" s="147"/>
      <c r="WMH201" s="147"/>
      <c r="WMI201" s="147"/>
      <c r="WMJ201" s="147"/>
      <c r="WMK201" s="147"/>
      <c r="WML201" s="147"/>
      <c r="WMM201" s="147"/>
      <c r="WMN201" s="147"/>
      <c r="WMO201" s="147"/>
      <c r="WMP201" s="147"/>
      <c r="WMQ201" s="147"/>
      <c r="WMR201" s="147"/>
      <c r="WMS201" s="147"/>
      <c r="WMT201" s="147"/>
      <c r="WMU201" s="147"/>
      <c r="WMV201" s="147"/>
      <c r="WMW201" s="147"/>
      <c r="WMX201" s="147"/>
      <c r="WMY201" s="147"/>
      <c r="WMZ201" s="147"/>
      <c r="WNA201" s="147"/>
      <c r="WNB201" s="147"/>
      <c r="WNC201" s="147"/>
      <c r="WND201" s="147"/>
      <c r="WNE201" s="147"/>
      <c r="WNF201" s="147"/>
      <c r="WNG201" s="147"/>
      <c r="WNH201" s="147"/>
      <c r="WNI201" s="147"/>
      <c r="WNJ201" s="147"/>
      <c r="WNK201" s="147"/>
      <c r="WNL201" s="147"/>
      <c r="WNM201" s="147"/>
      <c r="WNN201" s="147"/>
      <c r="WNO201" s="147"/>
      <c r="WNP201" s="147"/>
      <c r="WNQ201" s="147"/>
      <c r="WNR201" s="147"/>
      <c r="WNS201" s="147"/>
      <c r="WNT201" s="147"/>
      <c r="WNU201" s="147"/>
      <c r="WNV201" s="147"/>
      <c r="WNW201" s="147"/>
      <c r="WNX201" s="147"/>
      <c r="WNY201" s="147"/>
      <c r="WNZ201" s="147"/>
      <c r="WOA201" s="147"/>
      <c r="WOB201" s="147"/>
      <c r="WOC201" s="147"/>
      <c r="WOD201" s="147"/>
      <c r="WOE201" s="147"/>
      <c r="WOF201" s="147"/>
      <c r="WOG201" s="147"/>
      <c r="WOH201" s="147"/>
      <c r="WOI201" s="147"/>
      <c r="WOJ201" s="147"/>
      <c r="WOK201" s="147"/>
      <c r="WOL201" s="147"/>
      <c r="WOM201" s="147"/>
      <c r="WON201" s="147"/>
      <c r="WOO201" s="147"/>
      <c r="WOP201" s="147"/>
      <c r="WOQ201" s="147"/>
      <c r="WOR201" s="147"/>
      <c r="WOS201" s="147"/>
      <c r="WOT201" s="147"/>
      <c r="WOU201" s="147"/>
      <c r="WOV201" s="147"/>
      <c r="WOW201" s="147"/>
      <c r="WOX201" s="147"/>
      <c r="WOY201" s="147"/>
      <c r="WOZ201" s="147"/>
      <c r="WPA201" s="147"/>
      <c r="WPB201" s="147"/>
      <c r="WPC201" s="147"/>
      <c r="WPD201" s="147"/>
      <c r="WPE201" s="147"/>
      <c r="WPF201" s="147"/>
      <c r="WPG201" s="147"/>
      <c r="WPH201" s="147"/>
      <c r="WPI201" s="147"/>
      <c r="WPJ201" s="147"/>
      <c r="WPK201" s="147"/>
      <c r="WPL201" s="147"/>
      <c r="WPM201" s="147"/>
      <c r="WPN201" s="147"/>
      <c r="WPO201" s="147"/>
      <c r="WPP201" s="147"/>
      <c r="WPQ201" s="147"/>
      <c r="WPR201" s="147"/>
      <c r="WPS201" s="147"/>
      <c r="WPT201" s="147"/>
      <c r="WPU201" s="147"/>
      <c r="WPV201" s="147"/>
      <c r="WPW201" s="147"/>
      <c r="WPX201" s="147"/>
      <c r="WPY201" s="147"/>
      <c r="WPZ201" s="147"/>
      <c r="WQA201" s="147"/>
      <c r="WQB201" s="147"/>
      <c r="WQC201" s="147"/>
      <c r="WQD201" s="147"/>
      <c r="WQE201" s="147"/>
      <c r="WQF201" s="147"/>
      <c r="WQG201" s="147"/>
      <c r="WQH201" s="147"/>
      <c r="WQI201" s="147"/>
      <c r="WQJ201" s="147"/>
      <c r="WQK201" s="147"/>
      <c r="WQL201" s="147"/>
      <c r="WQM201" s="147"/>
      <c r="WQN201" s="147"/>
      <c r="WQO201" s="147"/>
      <c r="WQP201" s="147"/>
      <c r="WQQ201" s="147"/>
      <c r="WQR201" s="147"/>
      <c r="WQS201" s="147"/>
      <c r="WQT201" s="147"/>
      <c r="WQU201" s="147"/>
      <c r="WQV201" s="147"/>
      <c r="WQW201" s="147"/>
      <c r="WQX201" s="147"/>
      <c r="WQY201" s="147"/>
      <c r="WQZ201" s="147"/>
      <c r="WRA201" s="147"/>
      <c r="WRB201" s="147"/>
      <c r="WRC201" s="147"/>
      <c r="WRD201" s="147"/>
      <c r="WRE201" s="147"/>
      <c r="WRF201" s="147"/>
      <c r="WRG201" s="147"/>
      <c r="WRH201" s="147"/>
      <c r="WRI201" s="147"/>
      <c r="WRJ201" s="147"/>
      <c r="WRK201" s="147"/>
      <c r="WRL201" s="147"/>
      <c r="WRM201" s="147"/>
      <c r="WRN201" s="147"/>
      <c r="WRO201" s="147"/>
      <c r="WRP201" s="147"/>
      <c r="WRQ201" s="147"/>
      <c r="WRR201" s="147"/>
      <c r="WRS201" s="147"/>
      <c r="WRT201" s="147"/>
      <c r="WRU201" s="147"/>
      <c r="WRV201" s="147"/>
      <c r="WRW201" s="147"/>
      <c r="WRX201" s="147"/>
      <c r="WRY201" s="147"/>
      <c r="WRZ201" s="147"/>
      <c r="WSA201" s="147"/>
      <c r="WSB201" s="147"/>
      <c r="WSC201" s="147"/>
      <c r="WSD201" s="147"/>
      <c r="WSE201" s="147"/>
      <c r="WSF201" s="147"/>
      <c r="WSG201" s="147"/>
      <c r="WSH201" s="147"/>
      <c r="WSI201" s="147"/>
      <c r="WSJ201" s="147"/>
      <c r="WSK201" s="147"/>
      <c r="WSL201" s="147"/>
      <c r="WSM201" s="147"/>
      <c r="WSN201" s="147"/>
      <c r="WSO201" s="147"/>
      <c r="WSP201" s="147"/>
      <c r="WSQ201" s="147"/>
      <c r="WSR201" s="147"/>
      <c r="WSS201" s="147"/>
      <c r="WST201" s="147"/>
      <c r="WSU201" s="147"/>
      <c r="WSV201" s="147"/>
      <c r="WSW201" s="147"/>
      <c r="WSX201" s="147"/>
      <c r="WSY201" s="147"/>
      <c r="WSZ201" s="147"/>
      <c r="WTA201" s="147"/>
      <c r="WTB201" s="147"/>
      <c r="WTC201" s="147"/>
      <c r="WTD201" s="147"/>
      <c r="WTE201" s="147"/>
      <c r="WTF201" s="147"/>
      <c r="WTG201" s="147"/>
      <c r="WTH201" s="147"/>
      <c r="WTI201" s="147"/>
      <c r="WTJ201" s="147"/>
      <c r="WTK201" s="147"/>
      <c r="WTL201" s="147"/>
      <c r="WTM201" s="147"/>
      <c r="WTN201" s="147"/>
      <c r="WTO201" s="147"/>
      <c r="WTP201" s="147"/>
      <c r="WTQ201" s="147"/>
      <c r="WTR201" s="147"/>
      <c r="WTS201" s="147"/>
      <c r="WTT201" s="147"/>
      <c r="WTU201" s="147"/>
      <c r="WTV201" s="147"/>
      <c r="WTW201" s="147"/>
      <c r="WTX201" s="147"/>
      <c r="WTY201" s="147"/>
      <c r="WTZ201" s="147"/>
      <c r="WUA201" s="147"/>
      <c r="WUB201" s="147"/>
      <c r="WUC201" s="147"/>
      <c r="WUD201" s="147"/>
      <c r="WUE201" s="147"/>
      <c r="WUF201" s="147"/>
      <c r="WUG201" s="147"/>
      <c r="WUH201" s="147"/>
      <c r="WUI201" s="147"/>
      <c r="WUJ201" s="147"/>
      <c r="WUK201" s="147"/>
      <c r="WUL201" s="147"/>
      <c r="WUM201" s="147"/>
      <c r="WUN201" s="147"/>
      <c r="WUO201" s="147"/>
      <c r="WUP201" s="147"/>
      <c r="WUQ201" s="147"/>
      <c r="WUR201" s="147"/>
      <c r="WUS201" s="147"/>
      <c r="WUT201" s="147"/>
      <c r="WUU201" s="147"/>
      <c r="WUV201" s="147"/>
      <c r="WUW201" s="147"/>
      <c r="WUX201" s="147"/>
      <c r="WUY201" s="147"/>
      <c r="WUZ201" s="147"/>
      <c r="WVA201" s="147"/>
      <c r="WVB201" s="147"/>
      <c r="WVC201" s="147"/>
      <c r="WVD201" s="147"/>
      <c r="WVE201" s="147"/>
      <c r="WVF201" s="147"/>
      <c r="WVG201" s="147"/>
      <c r="WVH201" s="147"/>
      <c r="WVI201" s="147"/>
      <c r="WVJ201" s="147"/>
      <c r="WVK201" s="147"/>
      <c r="WVL201" s="147"/>
      <c r="WVM201" s="147"/>
      <c r="WVN201" s="147"/>
      <c r="WVO201" s="147"/>
      <c r="WVP201" s="147"/>
      <c r="WVQ201" s="147"/>
      <c r="WVR201" s="147"/>
      <c r="WVS201" s="147"/>
      <c r="WVT201" s="147"/>
      <c r="WVU201" s="147"/>
      <c r="WVV201" s="147"/>
      <c r="WVW201" s="147"/>
      <c r="WVX201" s="147"/>
      <c r="WVY201" s="147"/>
      <c r="WVZ201" s="147"/>
      <c r="WWA201" s="147"/>
      <c r="WWB201" s="147"/>
      <c r="WWC201" s="147"/>
      <c r="WWD201" s="147"/>
      <c r="WWE201" s="147"/>
      <c r="WWF201" s="147"/>
      <c r="WWG201" s="147"/>
      <c r="WWH201" s="147"/>
      <c r="WWI201" s="147"/>
      <c r="WWJ201" s="147"/>
      <c r="WWK201" s="147"/>
      <c r="WWL201" s="147"/>
      <c r="WWM201" s="147"/>
      <c r="WWN201" s="147"/>
      <c r="WWO201" s="147"/>
      <c r="WWP201" s="147"/>
      <c r="WWQ201" s="147"/>
      <c r="WWR201" s="147"/>
      <c r="WWS201" s="147"/>
      <c r="WWT201" s="147"/>
      <c r="WWU201" s="147"/>
      <c r="WWV201" s="147"/>
      <c r="WWW201" s="147"/>
      <c r="WWX201" s="147"/>
      <c r="WWY201" s="147"/>
      <c r="WWZ201" s="147"/>
      <c r="WXA201" s="147"/>
      <c r="WXB201" s="147"/>
      <c r="WXC201" s="147"/>
      <c r="WXD201" s="147"/>
      <c r="WXE201" s="147"/>
      <c r="WXF201" s="147"/>
      <c r="WXG201" s="147"/>
      <c r="WXH201" s="147"/>
      <c r="WXI201" s="147"/>
      <c r="WXJ201" s="147"/>
      <c r="WXK201" s="147"/>
      <c r="WXL201" s="147"/>
      <c r="WXM201" s="147"/>
      <c r="WXN201" s="147"/>
      <c r="WXO201" s="147"/>
      <c r="WXP201" s="147"/>
      <c r="WXQ201" s="147"/>
      <c r="WXR201" s="147"/>
      <c r="WXS201" s="147"/>
      <c r="WXT201" s="147"/>
      <c r="WXU201" s="147"/>
      <c r="WXV201" s="147"/>
      <c r="WXW201" s="147"/>
      <c r="WXX201" s="147"/>
      <c r="WXY201" s="147"/>
      <c r="WXZ201" s="147"/>
      <c r="WYA201" s="147"/>
      <c r="WYB201" s="147"/>
      <c r="WYC201" s="147"/>
      <c r="WYD201" s="147"/>
      <c r="WYE201" s="147"/>
      <c r="WYF201" s="147"/>
      <c r="WYG201" s="147"/>
      <c r="WYH201" s="147"/>
      <c r="WYI201" s="147"/>
      <c r="WYJ201" s="147"/>
      <c r="WYK201" s="147"/>
      <c r="WYL201" s="147"/>
      <c r="WYM201" s="147"/>
      <c r="WYN201" s="147"/>
      <c r="WYO201" s="147"/>
      <c r="WYP201" s="147"/>
      <c r="WYQ201" s="147"/>
      <c r="WYR201" s="147"/>
      <c r="WYS201" s="147"/>
      <c r="WYT201" s="147"/>
      <c r="WYU201" s="147"/>
      <c r="WYV201" s="147"/>
      <c r="WYW201" s="147"/>
      <c r="WYX201" s="147"/>
      <c r="WYY201" s="147"/>
      <c r="WYZ201" s="147"/>
      <c r="WZA201" s="147"/>
      <c r="WZB201" s="147"/>
      <c r="WZC201" s="147"/>
      <c r="WZD201" s="147"/>
      <c r="WZE201" s="147"/>
      <c r="WZF201" s="147"/>
      <c r="WZG201" s="147"/>
      <c r="WZH201" s="147"/>
      <c r="WZI201" s="147"/>
      <c r="WZJ201" s="147"/>
      <c r="WZK201" s="147"/>
      <c r="WZL201" s="147"/>
      <c r="WZM201" s="147"/>
      <c r="WZN201" s="147"/>
      <c r="WZO201" s="147"/>
      <c r="WZP201" s="147"/>
      <c r="WZQ201" s="147"/>
      <c r="WZR201" s="147"/>
      <c r="WZS201" s="147"/>
      <c r="WZT201" s="147"/>
      <c r="WZU201" s="147"/>
      <c r="WZV201" s="147"/>
      <c r="WZW201" s="147"/>
      <c r="WZX201" s="147"/>
      <c r="WZY201" s="147"/>
      <c r="WZZ201" s="147"/>
      <c r="XAA201" s="147"/>
      <c r="XAB201" s="147"/>
      <c r="XAC201" s="147"/>
      <c r="XAD201" s="147"/>
      <c r="XAE201" s="147"/>
      <c r="XAF201" s="147"/>
      <c r="XAG201" s="147"/>
      <c r="XAH201" s="147"/>
      <c r="XAI201" s="147"/>
      <c r="XAJ201" s="147"/>
      <c r="XAK201" s="147"/>
      <c r="XAL201" s="147"/>
      <c r="XAM201" s="147"/>
      <c r="XAN201" s="147"/>
      <c r="XAO201" s="147"/>
      <c r="XAP201" s="147"/>
      <c r="XAQ201" s="147"/>
      <c r="XAR201" s="147"/>
      <c r="XAS201" s="147"/>
      <c r="XAT201" s="147"/>
      <c r="XAU201" s="147"/>
      <c r="XAV201" s="147"/>
      <c r="XAW201" s="147"/>
      <c r="XAX201" s="147"/>
      <c r="XAY201" s="147"/>
      <c r="XAZ201" s="147"/>
      <c r="XBA201" s="147"/>
      <c r="XBB201" s="147"/>
      <c r="XBC201" s="147"/>
      <c r="XBD201" s="147"/>
      <c r="XBE201" s="147"/>
      <c r="XBF201" s="147"/>
      <c r="XBG201" s="147"/>
      <c r="XBH201" s="147"/>
      <c r="XBI201" s="147"/>
      <c r="XBJ201" s="147"/>
      <c r="XBK201" s="147"/>
      <c r="XBL201" s="147"/>
      <c r="XBM201" s="147"/>
      <c r="XBN201" s="147"/>
      <c r="XBO201" s="147"/>
      <c r="XBP201" s="147"/>
      <c r="XBQ201" s="147"/>
      <c r="XBR201" s="147"/>
      <c r="XBS201" s="147"/>
      <c r="XBT201" s="147"/>
      <c r="XBU201" s="147"/>
      <c r="XBV201" s="147"/>
      <c r="XBW201" s="147"/>
      <c r="XBX201" s="147"/>
      <c r="XBY201" s="147"/>
      <c r="XBZ201" s="147"/>
      <c r="XCA201" s="147"/>
      <c r="XCB201" s="147"/>
      <c r="XCC201" s="147"/>
      <c r="XCD201" s="147"/>
      <c r="XCE201" s="147"/>
      <c r="XCF201" s="147"/>
      <c r="XCG201" s="147"/>
      <c r="XCH201" s="147"/>
      <c r="XCI201" s="147"/>
      <c r="XCJ201" s="147"/>
      <c r="XCK201" s="147"/>
      <c r="XCL201" s="147"/>
      <c r="XCM201" s="147"/>
      <c r="XCN201" s="147"/>
      <c r="XCO201" s="147"/>
      <c r="XCP201" s="147"/>
      <c r="XCQ201" s="147"/>
      <c r="XCR201" s="147"/>
      <c r="XCS201" s="147"/>
      <c r="XCT201" s="147"/>
      <c r="XCU201" s="147"/>
      <c r="XCV201" s="147"/>
      <c r="XCW201" s="147"/>
      <c r="XCX201" s="147"/>
      <c r="XCY201" s="147"/>
      <c r="XCZ201" s="147"/>
      <c r="XDA201" s="147"/>
      <c r="XDB201" s="147"/>
      <c r="XDC201" s="147"/>
      <c r="XDD201" s="147"/>
      <c r="XDE201" s="147"/>
      <c r="XDF201" s="147"/>
      <c r="XDG201" s="147"/>
      <c r="XDH201" s="147"/>
      <c r="XDI201" s="147"/>
      <c r="XDJ201" s="147"/>
      <c r="XDK201" s="147"/>
      <c r="XDL201" s="147"/>
      <c r="XDM201" s="147"/>
      <c r="XDN201" s="147"/>
      <c r="XDO201" s="147"/>
      <c r="XDP201" s="147"/>
      <c r="XDQ201" s="147"/>
      <c r="XDR201" s="147"/>
      <c r="XDS201" s="147"/>
      <c r="XDT201" s="147"/>
      <c r="XDU201" s="147"/>
      <c r="XDV201" s="147"/>
      <c r="XDW201" s="147"/>
      <c r="XDX201" s="147"/>
      <c r="XDY201" s="147"/>
      <c r="XDZ201" s="147"/>
      <c r="XEA201" s="147"/>
      <c r="XEB201" s="147"/>
      <c r="XEC201" s="147"/>
      <c r="XED201" s="147"/>
      <c r="XEE201" s="147"/>
      <c r="XEF201" s="147"/>
      <c r="XEG201" s="147"/>
      <c r="XEH201" s="147"/>
      <c r="XEI201" s="147"/>
      <c r="XEJ201" s="147"/>
      <c r="XEK201" s="147"/>
      <c r="XEL201" s="147"/>
      <c r="XEM201" s="147"/>
      <c r="XEN201" s="147"/>
      <c r="XEO201" s="147"/>
      <c r="XEP201" s="147"/>
      <c r="XEQ201" s="147"/>
      <c r="XER201" s="147"/>
      <c r="XES201" s="147"/>
      <c r="XET201" s="147"/>
      <c r="XEU201" s="147"/>
      <c r="XEV201" s="147"/>
      <c r="XEW201" s="147"/>
      <c r="XEX201" s="147"/>
      <c r="XEY201" s="147"/>
      <c r="XEZ201" s="147"/>
      <c r="XFA201" s="147"/>
      <c r="XFB201" s="147"/>
      <c r="XFC201" s="147"/>
      <c r="XFD201" s="147"/>
    </row>
    <row r="202" spans="1:16384" s="250" customFormat="1" ht="24.95" customHeight="1">
      <c r="A202" s="327">
        <v>9</v>
      </c>
      <c r="B202" s="103" t="s">
        <v>677</v>
      </c>
      <c r="C202" s="103" t="s">
        <v>4351</v>
      </c>
      <c r="D202" s="103" t="s">
        <v>2084</v>
      </c>
      <c r="E202" s="103"/>
      <c r="F202" s="103">
        <v>7.5129999999999999</v>
      </c>
      <c r="G202" s="103" t="s">
        <v>32</v>
      </c>
      <c r="H202" s="103" t="s">
        <v>33</v>
      </c>
      <c r="I202" s="103" t="s">
        <v>34</v>
      </c>
      <c r="J202" s="103" t="s">
        <v>4138</v>
      </c>
      <c r="K202" s="103" t="s">
        <v>4352</v>
      </c>
      <c r="L202" s="103">
        <v>41901.879999999997</v>
      </c>
      <c r="M202" s="103">
        <v>8380.3760000000002</v>
      </c>
      <c r="N202" s="103">
        <v>43774</v>
      </c>
      <c r="O202" s="1862" t="s">
        <v>4140</v>
      </c>
      <c r="P202" s="147" t="s">
        <v>4141</v>
      </c>
      <c r="Q202" s="147">
        <v>18535240344</v>
      </c>
      <c r="R202" s="140" t="s">
        <v>4142</v>
      </c>
      <c r="S202" s="147" t="s">
        <v>4043</v>
      </c>
      <c r="T202" s="147"/>
      <c r="U202" s="1056"/>
    </row>
    <row r="203" spans="1:16384" s="250" customFormat="1" ht="24.95" customHeight="1">
      <c r="A203" s="327">
        <v>10</v>
      </c>
      <c r="B203" s="103" t="s">
        <v>677</v>
      </c>
      <c r="C203" s="103" t="s">
        <v>4353</v>
      </c>
      <c r="D203" s="103" t="s">
        <v>2084</v>
      </c>
      <c r="E203" s="103"/>
      <c r="F203" s="103">
        <v>15.08</v>
      </c>
      <c r="G203" s="103" t="s">
        <v>32</v>
      </c>
      <c r="H203" s="103" t="s">
        <v>33</v>
      </c>
      <c r="I203" s="103" t="s">
        <v>34</v>
      </c>
      <c r="J203" s="103"/>
      <c r="K203" s="103"/>
      <c r="L203" s="103">
        <v>84074.34</v>
      </c>
      <c r="M203" s="103">
        <v>16814.867999999999</v>
      </c>
      <c r="N203" s="103"/>
      <c r="O203" s="1863"/>
      <c r="P203" s="147" t="s">
        <v>4141</v>
      </c>
      <c r="Q203" s="147">
        <v>18535240344</v>
      </c>
      <c r="R203" s="140" t="s">
        <v>4142</v>
      </c>
      <c r="S203" s="147" t="s">
        <v>4043</v>
      </c>
      <c r="T203" s="147"/>
      <c r="U203" s="1056"/>
    </row>
    <row r="204" spans="1:16384" s="250" customFormat="1" ht="24.95" customHeight="1">
      <c r="A204" s="327">
        <v>11</v>
      </c>
      <c r="B204" s="103" t="s">
        <v>677</v>
      </c>
      <c r="C204" s="103" t="s">
        <v>4354</v>
      </c>
      <c r="D204" s="103" t="s">
        <v>2084</v>
      </c>
      <c r="E204" s="103"/>
      <c r="F204" s="103">
        <v>52.74</v>
      </c>
      <c r="G204" s="103" t="s">
        <v>32</v>
      </c>
      <c r="H204" s="103" t="s">
        <v>33</v>
      </c>
      <c r="I204" s="103" t="s">
        <v>34</v>
      </c>
      <c r="J204" s="103"/>
      <c r="K204" s="103"/>
      <c r="L204" s="103">
        <v>256648.99</v>
      </c>
      <c r="M204" s="103">
        <v>51329.798000000003</v>
      </c>
      <c r="N204" s="103"/>
      <c r="O204" s="1863"/>
      <c r="P204" s="147" t="s">
        <v>4141</v>
      </c>
      <c r="Q204" s="147">
        <v>18535240344</v>
      </c>
      <c r="R204" s="140" t="s">
        <v>4142</v>
      </c>
      <c r="S204" s="147" t="s">
        <v>4043</v>
      </c>
      <c r="T204" s="147"/>
      <c r="U204" s="1056"/>
    </row>
    <row r="205" spans="1:16384" s="250" customFormat="1" ht="24.95" customHeight="1">
      <c r="A205" s="327">
        <v>12</v>
      </c>
      <c r="B205" s="103" t="s">
        <v>4355</v>
      </c>
      <c r="C205" s="103" t="s">
        <v>4356</v>
      </c>
      <c r="D205" s="103" t="s">
        <v>2084</v>
      </c>
      <c r="E205" s="103"/>
      <c r="F205" s="103">
        <v>10.199999999999999</v>
      </c>
      <c r="G205" s="103" t="s">
        <v>32</v>
      </c>
      <c r="H205" s="103" t="s">
        <v>33</v>
      </c>
      <c r="I205" s="103" t="s">
        <v>34</v>
      </c>
      <c r="J205" s="103"/>
      <c r="K205" s="103"/>
      <c r="L205" s="103">
        <v>30796.46</v>
      </c>
      <c r="M205" s="103">
        <v>6159.2920000000004</v>
      </c>
      <c r="N205" s="103"/>
      <c r="O205" s="1863"/>
      <c r="P205" s="147" t="s">
        <v>4141</v>
      </c>
      <c r="Q205" s="147">
        <v>18535240344</v>
      </c>
      <c r="R205" s="140" t="s">
        <v>4142</v>
      </c>
      <c r="S205" s="147" t="s">
        <v>4043</v>
      </c>
      <c r="T205" s="147"/>
      <c r="U205" s="1056"/>
    </row>
    <row r="206" spans="1:16384" s="250" customFormat="1" ht="24.95" customHeight="1">
      <c r="A206" s="327">
        <v>13</v>
      </c>
      <c r="B206" s="103" t="s">
        <v>514</v>
      </c>
      <c r="C206" s="103" t="s">
        <v>4357</v>
      </c>
      <c r="D206" s="103" t="s">
        <v>2084</v>
      </c>
      <c r="E206" s="103"/>
      <c r="F206" s="103">
        <v>49.4</v>
      </c>
      <c r="G206" s="103" t="s">
        <v>32</v>
      </c>
      <c r="H206" s="103" t="s">
        <v>33</v>
      </c>
      <c r="I206" s="103" t="s">
        <v>34</v>
      </c>
      <c r="J206" s="103" t="s">
        <v>4138</v>
      </c>
      <c r="K206" s="103" t="s">
        <v>4358</v>
      </c>
      <c r="L206" s="103">
        <v>207654.88</v>
      </c>
      <c r="M206" s="103">
        <v>62296.462800000001</v>
      </c>
      <c r="N206" s="103">
        <v>43894</v>
      </c>
      <c r="O206" s="1863"/>
      <c r="P206" s="147" t="s">
        <v>4141</v>
      </c>
      <c r="Q206" s="147">
        <v>18535240344</v>
      </c>
      <c r="R206" s="140" t="s">
        <v>4142</v>
      </c>
      <c r="S206" s="147" t="s">
        <v>4043</v>
      </c>
      <c r="T206" s="147"/>
      <c r="U206" s="1056"/>
    </row>
    <row r="207" spans="1:16384" s="250" customFormat="1" ht="24.95" customHeight="1">
      <c r="A207" s="327">
        <v>14</v>
      </c>
      <c r="B207" s="103" t="s">
        <v>677</v>
      </c>
      <c r="C207" s="103" t="s">
        <v>4353</v>
      </c>
      <c r="D207" s="103" t="s">
        <v>2084</v>
      </c>
      <c r="E207" s="103"/>
      <c r="F207" s="103">
        <v>14.3895233956044</v>
      </c>
      <c r="G207" s="103" t="s">
        <v>32</v>
      </c>
      <c r="H207" s="103" t="s">
        <v>33</v>
      </c>
      <c r="I207" s="103" t="s">
        <v>34</v>
      </c>
      <c r="J207" s="103" t="s">
        <v>4138</v>
      </c>
      <c r="K207" s="103" t="s">
        <v>4352</v>
      </c>
      <c r="L207" s="103">
        <v>80224.78</v>
      </c>
      <c r="M207" s="103">
        <v>16044.957</v>
      </c>
      <c r="N207" s="103">
        <v>43918</v>
      </c>
      <c r="O207" s="1863"/>
      <c r="P207" s="147" t="s">
        <v>4141</v>
      </c>
      <c r="Q207" s="147">
        <v>18535240344</v>
      </c>
      <c r="R207" s="140" t="s">
        <v>4142</v>
      </c>
      <c r="S207" s="147" t="s">
        <v>4043</v>
      </c>
      <c r="T207" s="147"/>
      <c r="U207" s="1056"/>
    </row>
    <row r="208" spans="1:16384" s="250" customFormat="1" ht="24.95" customHeight="1">
      <c r="A208" s="327">
        <v>15</v>
      </c>
      <c r="B208" s="103" t="s">
        <v>4355</v>
      </c>
      <c r="C208" s="103" t="s">
        <v>4356</v>
      </c>
      <c r="D208" s="103" t="s">
        <v>2084</v>
      </c>
      <c r="E208" s="103"/>
      <c r="F208" s="103">
        <v>10.2000000586207</v>
      </c>
      <c r="G208" s="103" t="s">
        <v>32</v>
      </c>
      <c r="H208" s="103" t="s">
        <v>33</v>
      </c>
      <c r="I208" s="103" t="s">
        <v>34</v>
      </c>
      <c r="J208" s="103"/>
      <c r="K208" s="103"/>
      <c r="L208" s="103">
        <v>30796.460176991099</v>
      </c>
      <c r="M208" s="103">
        <v>6159.2891150442101</v>
      </c>
      <c r="N208" s="103"/>
      <c r="O208" s="1863"/>
      <c r="P208" s="147" t="s">
        <v>4141</v>
      </c>
      <c r="Q208" s="147">
        <v>18535240344</v>
      </c>
      <c r="R208" s="140" t="s">
        <v>4142</v>
      </c>
      <c r="S208" s="147" t="s">
        <v>4043</v>
      </c>
      <c r="T208" s="147"/>
      <c r="U208" s="1056"/>
    </row>
    <row r="209" spans="1:21" s="250" customFormat="1" ht="24.95" customHeight="1">
      <c r="A209" s="327">
        <v>16</v>
      </c>
      <c r="B209" s="103" t="s">
        <v>526</v>
      </c>
      <c r="C209" s="103" t="s">
        <v>4359</v>
      </c>
      <c r="D209" s="103" t="s">
        <v>2084</v>
      </c>
      <c r="E209" s="103"/>
      <c r="F209" s="103">
        <v>204.74</v>
      </c>
      <c r="G209" s="103" t="s">
        <v>32</v>
      </c>
      <c r="H209" s="103" t="s">
        <v>41</v>
      </c>
      <c r="I209" s="103" t="s">
        <v>34</v>
      </c>
      <c r="J209" s="103"/>
      <c r="K209" s="103"/>
      <c r="L209" s="103">
        <v>248400</v>
      </c>
      <c r="M209" s="103">
        <v>162516</v>
      </c>
      <c r="N209" s="103">
        <v>43800</v>
      </c>
      <c r="O209" s="1864"/>
      <c r="P209" s="147" t="s">
        <v>4141</v>
      </c>
      <c r="Q209" s="147">
        <v>18535240344</v>
      </c>
      <c r="R209" s="140" t="s">
        <v>4142</v>
      </c>
      <c r="S209" s="147" t="s">
        <v>4043</v>
      </c>
      <c r="T209" s="147" t="s">
        <v>4360</v>
      </c>
      <c r="U209" s="1056"/>
    </row>
    <row r="210" spans="1:21" s="1093" customFormat="1" ht="24.95" customHeight="1">
      <c r="A210" s="327">
        <v>17</v>
      </c>
      <c r="B210" s="103" t="s">
        <v>4361</v>
      </c>
      <c r="C210" s="103" t="s">
        <v>4362</v>
      </c>
      <c r="D210" s="103" t="s">
        <v>62</v>
      </c>
      <c r="E210" s="103"/>
      <c r="F210" s="103">
        <v>10.050000000000001</v>
      </c>
      <c r="G210" s="103" t="s">
        <v>32</v>
      </c>
      <c r="H210" s="103" t="s">
        <v>33</v>
      </c>
      <c r="I210" s="103"/>
      <c r="J210" s="103" t="s">
        <v>4088</v>
      </c>
      <c r="K210" s="103" t="s">
        <v>4363</v>
      </c>
      <c r="L210" s="103">
        <v>55128.639840000003</v>
      </c>
      <c r="M210" s="103">
        <v>16538.591951999999</v>
      </c>
      <c r="N210" s="103" t="s">
        <v>4364</v>
      </c>
      <c r="O210" s="1092" t="s">
        <v>4090</v>
      </c>
      <c r="P210" s="103" t="s">
        <v>4091</v>
      </c>
      <c r="Q210" s="103">
        <v>19906957772</v>
      </c>
      <c r="R210" s="103" t="s">
        <v>4092</v>
      </c>
      <c r="S210" s="125" t="s">
        <v>4043</v>
      </c>
      <c r="T210" s="147"/>
    </row>
    <row r="211" spans="1:21" s="1093" customFormat="1" ht="24.95" customHeight="1">
      <c r="A211" s="327">
        <v>18</v>
      </c>
      <c r="B211" s="103" t="s">
        <v>593</v>
      </c>
      <c r="C211" s="103" t="s">
        <v>378</v>
      </c>
      <c r="D211" s="103" t="s">
        <v>62</v>
      </c>
      <c r="E211" s="103"/>
      <c r="F211" s="103">
        <v>17.600000000000001</v>
      </c>
      <c r="G211" s="103" t="s">
        <v>32</v>
      </c>
      <c r="H211" s="103" t="s">
        <v>33</v>
      </c>
      <c r="I211" s="103"/>
      <c r="J211" s="103" t="s">
        <v>4088</v>
      </c>
      <c r="K211" s="103" t="s">
        <v>4365</v>
      </c>
      <c r="L211" s="103">
        <v>80307.570000000007</v>
      </c>
      <c r="M211" s="103">
        <v>24092.271000000001</v>
      </c>
      <c r="N211" s="103" t="s">
        <v>4089</v>
      </c>
      <c r="O211" s="1092" t="s">
        <v>4090</v>
      </c>
      <c r="P211" s="103" t="s">
        <v>4091</v>
      </c>
      <c r="Q211" s="103">
        <v>19906957772</v>
      </c>
      <c r="R211" s="103" t="s">
        <v>4092</v>
      </c>
      <c r="S211" s="125" t="s">
        <v>4043</v>
      </c>
      <c r="T211" s="147"/>
    </row>
    <row r="212" spans="1:21" s="1093" customFormat="1" ht="24.95" customHeight="1">
      <c r="A212" s="327">
        <v>19</v>
      </c>
      <c r="B212" s="103" t="s">
        <v>875</v>
      </c>
      <c r="C212" s="103" t="s">
        <v>1842</v>
      </c>
      <c r="D212" s="103" t="s">
        <v>62</v>
      </c>
      <c r="E212" s="103"/>
      <c r="F212" s="103">
        <v>224.5</v>
      </c>
      <c r="G212" s="103" t="s">
        <v>32</v>
      </c>
      <c r="H212" s="103" t="s">
        <v>33</v>
      </c>
      <c r="I212" s="103"/>
      <c r="J212" s="103" t="s">
        <v>4088</v>
      </c>
      <c r="K212" s="103" t="s">
        <v>4365</v>
      </c>
      <c r="L212" s="103">
        <v>1070826.1000000001</v>
      </c>
      <c r="M212" s="103">
        <v>321247.83</v>
      </c>
      <c r="N212" s="103" t="s">
        <v>4089</v>
      </c>
      <c r="O212" s="1092" t="s">
        <v>4090</v>
      </c>
      <c r="P212" s="103" t="s">
        <v>4091</v>
      </c>
      <c r="Q212" s="103">
        <v>19906957772</v>
      </c>
      <c r="R212" s="103" t="s">
        <v>4092</v>
      </c>
      <c r="S212" s="125" t="s">
        <v>4043</v>
      </c>
      <c r="T212" s="147"/>
    </row>
    <row r="213" spans="1:21" s="1093" customFormat="1" ht="24.95" customHeight="1">
      <c r="A213" s="327">
        <v>20</v>
      </c>
      <c r="B213" s="103" t="s">
        <v>4366</v>
      </c>
      <c r="C213" s="103" t="s">
        <v>4367</v>
      </c>
      <c r="D213" s="103" t="s">
        <v>62</v>
      </c>
      <c r="E213" s="103"/>
      <c r="F213" s="103">
        <v>51.43</v>
      </c>
      <c r="G213" s="103" t="s">
        <v>32</v>
      </c>
      <c r="H213" s="103" t="s">
        <v>33</v>
      </c>
      <c r="I213" s="103"/>
      <c r="J213" s="103" t="s">
        <v>4088</v>
      </c>
      <c r="K213" s="103" t="s">
        <v>4365</v>
      </c>
      <c r="L213" s="103">
        <v>269564.17</v>
      </c>
      <c r="M213" s="103">
        <v>80869.251000000004</v>
      </c>
      <c r="N213" s="103" t="s">
        <v>4089</v>
      </c>
      <c r="O213" s="1092" t="s">
        <v>4090</v>
      </c>
      <c r="P213" s="103" t="s">
        <v>4091</v>
      </c>
      <c r="Q213" s="103">
        <v>19906957772</v>
      </c>
      <c r="R213" s="103" t="s">
        <v>4092</v>
      </c>
      <c r="S213" s="125" t="s">
        <v>4043</v>
      </c>
      <c r="T213" s="147"/>
    </row>
    <row r="214" spans="1:21" s="1093" customFormat="1" ht="24.95" customHeight="1">
      <c r="A214" s="327">
        <v>21</v>
      </c>
      <c r="B214" s="103" t="s">
        <v>4366</v>
      </c>
      <c r="C214" s="103" t="s">
        <v>4368</v>
      </c>
      <c r="D214" s="103" t="s">
        <v>62</v>
      </c>
      <c r="E214" s="103"/>
      <c r="F214" s="103">
        <v>281</v>
      </c>
      <c r="G214" s="103" t="s">
        <v>32</v>
      </c>
      <c r="H214" s="103" t="s">
        <v>33</v>
      </c>
      <c r="I214" s="103"/>
      <c r="J214" s="103" t="s">
        <v>4088</v>
      </c>
      <c r="K214" s="103" t="s">
        <v>4365</v>
      </c>
      <c r="L214" s="103">
        <v>1434068.97</v>
      </c>
      <c r="M214" s="103">
        <v>430220.69099999999</v>
      </c>
      <c r="N214" s="103" t="s">
        <v>4089</v>
      </c>
      <c r="O214" s="1092" t="s">
        <v>4090</v>
      </c>
      <c r="P214" s="103" t="s">
        <v>4091</v>
      </c>
      <c r="Q214" s="103">
        <v>19906957772</v>
      </c>
      <c r="R214" s="103" t="s">
        <v>4092</v>
      </c>
      <c r="S214" s="125" t="s">
        <v>4043</v>
      </c>
      <c r="T214" s="147"/>
    </row>
    <row r="215" spans="1:21" s="1093" customFormat="1" ht="24.95" customHeight="1">
      <c r="A215" s="327">
        <v>22</v>
      </c>
      <c r="B215" s="103" t="s">
        <v>762</v>
      </c>
      <c r="C215" s="103" t="s">
        <v>4369</v>
      </c>
      <c r="D215" s="103" t="s">
        <v>62</v>
      </c>
      <c r="E215" s="103"/>
      <c r="F215" s="103">
        <v>12.2</v>
      </c>
      <c r="G215" s="103" t="s">
        <v>32</v>
      </c>
      <c r="H215" s="103" t="s">
        <v>33</v>
      </c>
      <c r="I215" s="103"/>
      <c r="J215" s="103" t="s">
        <v>4088</v>
      </c>
      <c r="K215" s="103"/>
      <c r="L215" s="103">
        <v>56929.71</v>
      </c>
      <c r="M215" s="103">
        <v>17078.913</v>
      </c>
      <c r="N215" s="103" t="s">
        <v>4089</v>
      </c>
      <c r="O215" s="1092" t="s">
        <v>4090</v>
      </c>
      <c r="P215" s="103" t="s">
        <v>4091</v>
      </c>
      <c r="Q215" s="103">
        <v>19906957772</v>
      </c>
      <c r="R215" s="103" t="s">
        <v>4092</v>
      </c>
      <c r="S215" s="125" t="s">
        <v>4043</v>
      </c>
      <c r="T215" s="147"/>
    </row>
    <row r="216" spans="1:21" s="1093" customFormat="1" ht="24.95" customHeight="1">
      <c r="A216" s="327">
        <v>23</v>
      </c>
      <c r="B216" s="103" t="s">
        <v>4370</v>
      </c>
      <c r="C216" s="103" t="s">
        <v>4371</v>
      </c>
      <c r="D216" s="103" t="s">
        <v>62</v>
      </c>
      <c r="E216" s="103"/>
      <c r="F216" s="103">
        <v>8.6</v>
      </c>
      <c r="G216" s="103" t="s">
        <v>32</v>
      </c>
      <c r="H216" s="103" t="s">
        <v>33</v>
      </c>
      <c r="I216" s="103"/>
      <c r="J216" s="103" t="s">
        <v>4088</v>
      </c>
      <c r="K216" s="103"/>
      <c r="L216" s="103">
        <v>46757.279799999997</v>
      </c>
      <c r="M216" s="103">
        <v>14027.183940000001</v>
      </c>
      <c r="N216" s="103" t="s">
        <v>4364</v>
      </c>
      <c r="O216" s="1092" t="s">
        <v>4090</v>
      </c>
      <c r="P216" s="103" t="s">
        <v>4091</v>
      </c>
      <c r="Q216" s="103">
        <v>19906957772</v>
      </c>
      <c r="R216" s="103" t="s">
        <v>4092</v>
      </c>
      <c r="S216" s="125" t="s">
        <v>4043</v>
      </c>
      <c r="T216" s="147"/>
    </row>
    <row r="217" spans="1:21" s="1093" customFormat="1" ht="24.95" customHeight="1">
      <c r="A217" s="327">
        <v>24</v>
      </c>
      <c r="B217" s="147" t="s">
        <v>526</v>
      </c>
      <c r="C217" s="147" t="s">
        <v>4372</v>
      </c>
      <c r="D217" s="951" t="s">
        <v>62</v>
      </c>
      <c r="E217" s="147"/>
      <c r="F217" s="147">
        <v>23.22</v>
      </c>
      <c r="G217" s="1055" t="s">
        <v>32</v>
      </c>
      <c r="H217" s="1055" t="s">
        <v>33</v>
      </c>
      <c r="I217" s="160"/>
      <c r="J217" s="1094" t="s">
        <v>4088</v>
      </c>
      <c r="K217" s="1907" t="s">
        <v>4365</v>
      </c>
      <c r="L217" s="147">
        <v>118702.27</v>
      </c>
      <c r="M217" s="343">
        <v>35610.680999999997</v>
      </c>
      <c r="N217" s="1095" t="s">
        <v>4089</v>
      </c>
      <c r="O217" s="1092" t="s">
        <v>4090</v>
      </c>
      <c r="P217" s="103" t="s">
        <v>4091</v>
      </c>
      <c r="Q217" s="103">
        <v>19906957772</v>
      </c>
      <c r="R217" s="103" t="s">
        <v>4092</v>
      </c>
      <c r="S217" s="125" t="s">
        <v>4043</v>
      </c>
      <c r="T217" s="147"/>
    </row>
    <row r="218" spans="1:21" s="1093" customFormat="1" ht="24.95" customHeight="1">
      <c r="A218" s="327">
        <v>25</v>
      </c>
      <c r="B218" s="147" t="s">
        <v>526</v>
      </c>
      <c r="C218" s="147" t="s">
        <v>4373</v>
      </c>
      <c r="D218" s="951" t="s">
        <v>62</v>
      </c>
      <c r="E218" s="147"/>
      <c r="F218" s="147">
        <v>120</v>
      </c>
      <c r="G218" s="1055" t="s">
        <v>32</v>
      </c>
      <c r="H218" s="1055" t="s">
        <v>33</v>
      </c>
      <c r="I218" s="160"/>
      <c r="J218" s="1094" t="s">
        <v>4088</v>
      </c>
      <c r="K218" s="1907"/>
      <c r="L218" s="147">
        <v>565137.93000000005</v>
      </c>
      <c r="M218" s="343">
        <v>169541.37899999999</v>
      </c>
      <c r="N218" s="1095" t="s">
        <v>4089</v>
      </c>
      <c r="O218" s="1092" t="s">
        <v>4090</v>
      </c>
      <c r="P218" s="103" t="s">
        <v>4091</v>
      </c>
      <c r="Q218" s="103">
        <v>19906957772</v>
      </c>
      <c r="R218" s="103" t="s">
        <v>4092</v>
      </c>
      <c r="S218" s="125" t="s">
        <v>4043</v>
      </c>
      <c r="T218" s="147"/>
    </row>
    <row r="219" spans="1:21" s="1093" customFormat="1" ht="24.95" customHeight="1">
      <c r="A219" s="327">
        <v>26</v>
      </c>
      <c r="B219" s="147" t="s">
        <v>526</v>
      </c>
      <c r="C219" s="147" t="s">
        <v>4374</v>
      </c>
      <c r="D219" s="951" t="s">
        <v>62</v>
      </c>
      <c r="E219" s="147"/>
      <c r="F219" s="147">
        <v>24.06</v>
      </c>
      <c r="G219" s="1055" t="s">
        <v>32</v>
      </c>
      <c r="H219" s="1055" t="s">
        <v>33</v>
      </c>
      <c r="I219" s="160"/>
      <c r="J219" s="1094" t="s">
        <v>4088</v>
      </c>
      <c r="K219" s="1907"/>
      <c r="L219" s="147">
        <v>124033.39</v>
      </c>
      <c r="M219" s="343">
        <v>37210.017</v>
      </c>
      <c r="N219" s="1095" t="s">
        <v>4089</v>
      </c>
      <c r="O219" s="1092" t="s">
        <v>4090</v>
      </c>
      <c r="P219" s="103" t="s">
        <v>4091</v>
      </c>
      <c r="Q219" s="103">
        <v>19906957772</v>
      </c>
      <c r="R219" s="103" t="s">
        <v>4092</v>
      </c>
      <c r="S219" s="125" t="s">
        <v>4043</v>
      </c>
      <c r="T219" s="147"/>
    </row>
    <row r="220" spans="1:21" s="1093" customFormat="1" ht="24.95" customHeight="1">
      <c r="A220" s="327">
        <v>27</v>
      </c>
      <c r="B220" s="147" t="s">
        <v>514</v>
      </c>
      <c r="C220" s="103" t="s">
        <v>4375</v>
      </c>
      <c r="D220" s="951" t="s">
        <v>62</v>
      </c>
      <c r="E220" s="147"/>
      <c r="F220" s="951">
        <v>103.28700000000001</v>
      </c>
      <c r="G220" s="1055" t="s">
        <v>32</v>
      </c>
      <c r="H220" s="1055" t="s">
        <v>33</v>
      </c>
      <c r="I220" s="160"/>
      <c r="J220" s="1094" t="s">
        <v>4088</v>
      </c>
      <c r="K220" s="1907"/>
      <c r="L220" s="344">
        <v>528010.27080299996</v>
      </c>
      <c r="M220" s="343">
        <v>158403.08124090001</v>
      </c>
      <c r="N220" s="1095" t="s">
        <v>4089</v>
      </c>
      <c r="O220" s="1092" t="s">
        <v>4090</v>
      </c>
      <c r="P220" s="103" t="s">
        <v>4091</v>
      </c>
      <c r="Q220" s="103">
        <v>19906957772</v>
      </c>
      <c r="R220" s="103" t="s">
        <v>4092</v>
      </c>
      <c r="S220" s="125" t="s">
        <v>4043</v>
      </c>
      <c r="T220" s="147"/>
    </row>
    <row r="221" spans="1:21" s="1093" customFormat="1" ht="24.95" customHeight="1">
      <c r="A221" s="327">
        <v>28</v>
      </c>
      <c r="B221" s="147" t="s">
        <v>514</v>
      </c>
      <c r="C221" s="103" t="s">
        <v>4376</v>
      </c>
      <c r="D221" s="951" t="s">
        <v>62</v>
      </c>
      <c r="E221" s="147"/>
      <c r="F221" s="951">
        <v>304.93</v>
      </c>
      <c r="G221" s="1055" t="s">
        <v>32</v>
      </c>
      <c r="H221" s="1055" t="s">
        <v>33</v>
      </c>
      <c r="I221" s="160"/>
      <c r="J221" s="1094" t="s">
        <v>4088</v>
      </c>
      <c r="K221" s="1907"/>
      <c r="L221" s="344">
        <v>1596400.71</v>
      </c>
      <c r="M221" s="343">
        <v>4326.91</v>
      </c>
      <c r="N221" s="1095" t="s">
        <v>4377</v>
      </c>
      <c r="O221" s="1092" t="s">
        <v>4090</v>
      </c>
      <c r="P221" s="103" t="s">
        <v>4091</v>
      </c>
      <c r="Q221" s="103">
        <v>19906957772</v>
      </c>
      <c r="R221" s="103" t="s">
        <v>4092</v>
      </c>
      <c r="S221" s="125" t="s">
        <v>4043</v>
      </c>
      <c r="T221" s="147"/>
    </row>
    <row r="222" spans="1:21" s="1093" customFormat="1" ht="24.95" customHeight="1">
      <c r="A222" s="327">
        <v>29</v>
      </c>
      <c r="B222" s="147" t="s">
        <v>514</v>
      </c>
      <c r="C222" s="103" t="s">
        <v>4378</v>
      </c>
      <c r="D222" s="103" t="s">
        <v>62</v>
      </c>
      <c r="E222" s="147"/>
      <c r="F222" s="103">
        <v>502.31</v>
      </c>
      <c r="G222" s="1055" t="s">
        <v>32</v>
      </c>
      <c r="H222" s="1055" t="s">
        <v>33</v>
      </c>
      <c r="I222" s="160"/>
      <c r="J222" s="1094" t="s">
        <v>4088</v>
      </c>
      <c r="K222" s="1907"/>
      <c r="L222" s="344">
        <v>2572173.7938999999</v>
      </c>
      <c r="M222" s="343">
        <v>771652.13817000005</v>
      </c>
      <c r="N222" s="1095" t="s">
        <v>4377</v>
      </c>
      <c r="O222" s="1092" t="s">
        <v>4090</v>
      </c>
      <c r="P222" s="103" t="s">
        <v>4091</v>
      </c>
      <c r="Q222" s="103">
        <v>19906957772</v>
      </c>
      <c r="R222" s="103" t="s">
        <v>4092</v>
      </c>
      <c r="S222" s="125" t="s">
        <v>4043</v>
      </c>
      <c r="T222" s="147"/>
    </row>
    <row r="223" spans="1:21" s="1093" customFormat="1" ht="24.95" customHeight="1">
      <c r="A223" s="327">
        <v>30</v>
      </c>
      <c r="B223" s="147" t="s">
        <v>514</v>
      </c>
      <c r="C223" s="103" t="s">
        <v>4379</v>
      </c>
      <c r="D223" s="103" t="s">
        <v>62</v>
      </c>
      <c r="E223" s="147"/>
      <c r="F223" s="103">
        <v>20.3</v>
      </c>
      <c r="G223" s="1055" t="s">
        <v>32</v>
      </c>
      <c r="H223" s="1055" t="s">
        <v>33</v>
      </c>
      <c r="I223" s="160"/>
      <c r="J223" s="1094" t="s">
        <v>4088</v>
      </c>
      <c r="K223" s="1907"/>
      <c r="L223" s="344">
        <v>94902.5</v>
      </c>
      <c r="M223" s="343">
        <v>28470.75</v>
      </c>
      <c r="N223" s="1095" t="s">
        <v>4089</v>
      </c>
      <c r="O223" s="1092" t="s">
        <v>4090</v>
      </c>
      <c r="P223" s="103" t="s">
        <v>4091</v>
      </c>
      <c r="Q223" s="103">
        <v>19906957772</v>
      </c>
      <c r="R223" s="103" t="s">
        <v>4092</v>
      </c>
      <c r="S223" s="125" t="s">
        <v>4043</v>
      </c>
      <c r="T223" s="147"/>
    </row>
    <row r="224" spans="1:21" s="1093" customFormat="1" ht="24.95" customHeight="1">
      <c r="A224" s="327">
        <v>31</v>
      </c>
      <c r="B224" s="147" t="s">
        <v>514</v>
      </c>
      <c r="C224" s="103" t="s">
        <v>4380</v>
      </c>
      <c r="D224" s="103" t="s">
        <v>62</v>
      </c>
      <c r="E224" s="147"/>
      <c r="F224" s="103">
        <v>110.932</v>
      </c>
      <c r="G224" s="1055" t="s">
        <v>32</v>
      </c>
      <c r="H224" s="1055" t="s">
        <v>33</v>
      </c>
      <c r="I224" s="160"/>
      <c r="J224" s="1094" t="s">
        <v>4088</v>
      </c>
      <c r="K224" s="1092" t="s">
        <v>4381</v>
      </c>
      <c r="L224" s="344">
        <v>572830.66</v>
      </c>
      <c r="M224" s="343">
        <v>171849.198</v>
      </c>
      <c r="N224" s="1095" t="s">
        <v>4112</v>
      </c>
      <c r="O224" s="1092" t="s">
        <v>4090</v>
      </c>
      <c r="P224" s="103" t="s">
        <v>4091</v>
      </c>
      <c r="Q224" s="103">
        <v>19906957772</v>
      </c>
      <c r="R224" s="103" t="s">
        <v>4092</v>
      </c>
      <c r="S224" s="125" t="s">
        <v>4043</v>
      </c>
      <c r="T224" s="147"/>
    </row>
    <row r="225" spans="1:16384" s="1093" customFormat="1" ht="24.95" customHeight="1">
      <c r="A225" s="327">
        <v>32</v>
      </c>
      <c r="B225" s="147" t="s">
        <v>514</v>
      </c>
      <c r="C225" s="103" t="s">
        <v>4382</v>
      </c>
      <c r="D225" s="103" t="s">
        <v>62</v>
      </c>
      <c r="E225" s="147"/>
      <c r="F225" s="103">
        <v>41.284999999999997</v>
      </c>
      <c r="G225" s="1055" t="s">
        <v>32</v>
      </c>
      <c r="H225" s="1055" t="s">
        <v>33</v>
      </c>
      <c r="I225" s="160"/>
      <c r="J225" s="1094" t="s">
        <v>4088</v>
      </c>
      <c r="K225" s="1092" t="s">
        <v>4381</v>
      </c>
      <c r="L225" s="344">
        <v>211407.69</v>
      </c>
      <c r="M225" s="343">
        <v>63422.307000000001</v>
      </c>
      <c r="N225" s="1095" t="s">
        <v>4112</v>
      </c>
      <c r="O225" s="1092" t="s">
        <v>4090</v>
      </c>
      <c r="P225" s="103" t="s">
        <v>4091</v>
      </c>
      <c r="Q225" s="103">
        <v>19906957772</v>
      </c>
      <c r="R225" s="103" t="s">
        <v>4092</v>
      </c>
      <c r="S225" s="125" t="s">
        <v>4043</v>
      </c>
      <c r="T225" s="147"/>
    </row>
    <row r="226" spans="1:16384" s="1093" customFormat="1" ht="24.95" customHeight="1">
      <c r="A226" s="327">
        <v>33</v>
      </c>
      <c r="B226" s="147" t="s">
        <v>514</v>
      </c>
      <c r="C226" s="103" t="s">
        <v>4383</v>
      </c>
      <c r="D226" s="103" t="s">
        <v>62</v>
      </c>
      <c r="E226" s="147"/>
      <c r="F226" s="103">
        <v>160.72999999999999</v>
      </c>
      <c r="G226" s="1055" t="s">
        <v>32</v>
      </c>
      <c r="H226" s="1055" t="s">
        <v>33</v>
      </c>
      <c r="I226" s="160"/>
      <c r="J226" s="1094" t="s">
        <v>4088</v>
      </c>
      <c r="K226" s="1092" t="s">
        <v>4381</v>
      </c>
      <c r="L226" s="344">
        <v>823048.34</v>
      </c>
      <c r="M226" s="343">
        <v>246914.50200000001</v>
      </c>
      <c r="N226" s="1095" t="s">
        <v>4112</v>
      </c>
      <c r="O226" s="1092" t="s">
        <v>4090</v>
      </c>
      <c r="P226" s="103" t="s">
        <v>4091</v>
      </c>
      <c r="Q226" s="103">
        <v>19906957772</v>
      </c>
      <c r="R226" s="103" t="s">
        <v>4092</v>
      </c>
      <c r="S226" s="125" t="s">
        <v>4043</v>
      </c>
      <c r="T226" s="147"/>
    </row>
    <row r="227" spans="1:16384" s="1093" customFormat="1" ht="24.95" customHeight="1">
      <c r="A227" s="327">
        <v>34</v>
      </c>
      <c r="B227" s="147" t="s">
        <v>526</v>
      </c>
      <c r="C227" s="103"/>
      <c r="D227" s="103" t="s">
        <v>62</v>
      </c>
      <c r="E227" s="147"/>
      <c r="F227" s="103">
        <v>4.62</v>
      </c>
      <c r="G227" s="1055" t="s">
        <v>32</v>
      </c>
      <c r="H227" s="1055" t="s">
        <v>33</v>
      </c>
      <c r="I227" s="160"/>
      <c r="J227" s="1094" t="s">
        <v>4088</v>
      </c>
      <c r="K227" s="1092" t="s">
        <v>4381</v>
      </c>
      <c r="L227" s="344">
        <v>10626</v>
      </c>
      <c r="M227" s="343">
        <v>3187.8</v>
      </c>
      <c r="N227" s="1095" t="s">
        <v>4384</v>
      </c>
      <c r="O227" s="1092" t="s">
        <v>4090</v>
      </c>
      <c r="P227" s="103" t="s">
        <v>4091</v>
      </c>
      <c r="Q227" s="103">
        <v>19906957772</v>
      </c>
      <c r="R227" s="103" t="s">
        <v>4092</v>
      </c>
      <c r="S227" s="125" t="s">
        <v>4043</v>
      </c>
      <c r="T227" s="147"/>
    </row>
    <row r="228" spans="1:16384" s="1093" customFormat="1" ht="24.95" customHeight="1">
      <c r="A228" s="327">
        <v>35</v>
      </c>
      <c r="B228" s="147" t="s">
        <v>4366</v>
      </c>
      <c r="C228" s="103"/>
      <c r="D228" s="103" t="s">
        <v>62</v>
      </c>
      <c r="E228" s="147"/>
      <c r="F228" s="103">
        <v>5.54</v>
      </c>
      <c r="G228" s="1055" t="s">
        <v>32</v>
      </c>
      <c r="H228" s="1055" t="s">
        <v>33</v>
      </c>
      <c r="I228" s="160"/>
      <c r="J228" s="1094" t="s">
        <v>4088</v>
      </c>
      <c r="K228" s="1092" t="s">
        <v>4381</v>
      </c>
      <c r="L228" s="344">
        <v>12742</v>
      </c>
      <c r="M228" s="343">
        <v>3822.6</v>
      </c>
      <c r="N228" s="1095" t="s">
        <v>4384</v>
      </c>
      <c r="O228" s="1092" t="s">
        <v>4090</v>
      </c>
      <c r="P228" s="103" t="s">
        <v>4091</v>
      </c>
      <c r="Q228" s="103">
        <v>19906957772</v>
      </c>
      <c r="R228" s="103" t="s">
        <v>4092</v>
      </c>
      <c r="S228" s="125" t="s">
        <v>4043</v>
      </c>
      <c r="T228" s="147"/>
    </row>
    <row r="229" spans="1:16384" s="1093" customFormat="1" ht="24.95" customHeight="1">
      <c r="A229" s="327">
        <v>36</v>
      </c>
      <c r="B229" s="147" t="s">
        <v>526</v>
      </c>
      <c r="C229" s="103"/>
      <c r="D229" s="103" t="s">
        <v>62</v>
      </c>
      <c r="E229" s="147"/>
      <c r="F229" s="103">
        <v>29.38</v>
      </c>
      <c r="G229" s="1055" t="s">
        <v>32</v>
      </c>
      <c r="H229" s="1055" t="s">
        <v>33</v>
      </c>
      <c r="I229" s="160"/>
      <c r="J229" s="1094" t="s">
        <v>4088</v>
      </c>
      <c r="K229" s="1092" t="s">
        <v>4381</v>
      </c>
      <c r="L229" s="344">
        <v>67574</v>
      </c>
      <c r="M229" s="343">
        <v>20272.2</v>
      </c>
      <c r="N229" s="1095" t="s">
        <v>4384</v>
      </c>
      <c r="O229" s="1092" t="s">
        <v>4090</v>
      </c>
      <c r="P229" s="103" t="s">
        <v>4091</v>
      </c>
      <c r="Q229" s="103">
        <v>19906957772</v>
      </c>
      <c r="R229" s="103" t="s">
        <v>4092</v>
      </c>
      <c r="S229" s="125" t="s">
        <v>4043</v>
      </c>
      <c r="T229" s="147"/>
    </row>
    <row r="230" spans="1:16384" s="1056" customFormat="1" ht="24.95" customHeight="1">
      <c r="A230" s="327">
        <v>37</v>
      </c>
      <c r="B230" s="951" t="s">
        <v>526</v>
      </c>
      <c r="C230" s="951"/>
      <c r="D230" s="951" t="s">
        <v>62</v>
      </c>
      <c r="E230" s="951"/>
      <c r="F230" s="951">
        <v>4.62</v>
      </c>
      <c r="G230" s="951" t="s">
        <v>32</v>
      </c>
      <c r="H230" s="951" t="s">
        <v>33</v>
      </c>
      <c r="I230" s="951"/>
      <c r="J230" s="951" t="s">
        <v>4088</v>
      </c>
      <c r="K230" s="951" t="s">
        <v>4381</v>
      </c>
      <c r="L230" s="951">
        <v>10626</v>
      </c>
      <c r="M230" s="951">
        <v>3187.8</v>
      </c>
      <c r="N230" s="1066" t="s">
        <v>4384</v>
      </c>
      <c r="O230" s="1908" t="s">
        <v>4090</v>
      </c>
      <c r="P230" s="340" t="s">
        <v>4091</v>
      </c>
      <c r="Q230" s="340">
        <v>19906957772</v>
      </c>
      <c r="R230" s="103" t="s">
        <v>4092</v>
      </c>
      <c r="S230" s="125" t="s">
        <v>4043</v>
      </c>
      <c r="T230" s="340"/>
      <c r="U230" s="340"/>
      <c r="V230" s="340"/>
      <c r="W230" s="340"/>
      <c r="X230" s="340"/>
      <c r="Y230" s="340"/>
      <c r="Z230" s="340"/>
      <c r="AA230" s="340"/>
      <c r="AB230" s="340"/>
      <c r="AC230" s="340"/>
      <c r="AD230" s="340"/>
      <c r="AE230" s="340"/>
      <c r="AF230" s="340"/>
      <c r="AG230" s="340"/>
      <c r="AH230" s="340"/>
      <c r="AI230" s="340"/>
      <c r="AJ230" s="340"/>
      <c r="AK230" s="340"/>
      <c r="AL230" s="340"/>
      <c r="AM230" s="340"/>
      <c r="AN230" s="340"/>
      <c r="AO230" s="340"/>
      <c r="AP230" s="340"/>
      <c r="AQ230" s="340"/>
      <c r="AR230" s="340"/>
      <c r="AS230" s="340"/>
      <c r="AT230" s="340"/>
      <c r="AU230" s="340"/>
      <c r="AV230" s="340"/>
      <c r="AW230" s="340"/>
      <c r="AX230" s="340"/>
      <c r="AY230" s="340"/>
      <c r="AZ230" s="340"/>
      <c r="BA230" s="340"/>
      <c r="BB230" s="340"/>
      <c r="BC230" s="340"/>
      <c r="BD230" s="340"/>
      <c r="BE230" s="340"/>
      <c r="BF230" s="340"/>
      <c r="BG230" s="340"/>
      <c r="BH230" s="340"/>
      <c r="BI230" s="340"/>
      <c r="BJ230" s="340"/>
      <c r="BK230" s="340"/>
      <c r="BL230" s="340"/>
      <c r="BM230" s="340"/>
      <c r="BN230" s="340"/>
      <c r="BO230" s="340"/>
      <c r="BP230" s="340"/>
      <c r="BQ230" s="340"/>
      <c r="BR230" s="340"/>
      <c r="BS230" s="340"/>
      <c r="BT230" s="340"/>
      <c r="BU230" s="340"/>
      <c r="BV230" s="340"/>
      <c r="BW230" s="340"/>
      <c r="BX230" s="340"/>
      <c r="BY230" s="340"/>
      <c r="BZ230" s="340"/>
      <c r="CA230" s="340"/>
      <c r="CB230" s="340"/>
      <c r="CC230" s="340"/>
      <c r="CD230" s="340"/>
      <c r="CE230" s="340"/>
      <c r="CF230" s="340"/>
      <c r="CG230" s="340"/>
      <c r="CH230" s="340"/>
      <c r="CI230" s="340"/>
      <c r="CJ230" s="340"/>
      <c r="CK230" s="340"/>
      <c r="CL230" s="340"/>
      <c r="CM230" s="340"/>
      <c r="CN230" s="340"/>
      <c r="CO230" s="340"/>
      <c r="CP230" s="340"/>
      <c r="CQ230" s="340"/>
      <c r="CR230" s="340"/>
      <c r="CS230" s="340"/>
      <c r="CT230" s="340"/>
      <c r="CU230" s="340"/>
      <c r="CV230" s="340"/>
      <c r="CW230" s="340"/>
      <c r="CX230" s="340"/>
      <c r="CY230" s="340"/>
      <c r="CZ230" s="340"/>
      <c r="DA230" s="340"/>
      <c r="DB230" s="340"/>
      <c r="DC230" s="340"/>
      <c r="DD230" s="340"/>
      <c r="DE230" s="340"/>
      <c r="DF230" s="340"/>
      <c r="DG230" s="340"/>
      <c r="DH230" s="340"/>
      <c r="DI230" s="340"/>
      <c r="DJ230" s="340"/>
      <c r="DK230" s="340"/>
      <c r="DL230" s="340"/>
      <c r="DM230" s="340"/>
      <c r="DN230" s="340"/>
      <c r="DO230" s="340"/>
      <c r="DP230" s="340"/>
      <c r="DQ230" s="340"/>
      <c r="DR230" s="340"/>
      <c r="DS230" s="340"/>
      <c r="DT230" s="340"/>
      <c r="DU230" s="340"/>
      <c r="DV230" s="340"/>
      <c r="DW230" s="340"/>
      <c r="DX230" s="340"/>
      <c r="DY230" s="340"/>
      <c r="DZ230" s="340"/>
      <c r="EA230" s="340"/>
      <c r="EB230" s="340"/>
      <c r="EC230" s="340"/>
      <c r="ED230" s="340"/>
      <c r="EE230" s="340"/>
      <c r="EF230" s="340"/>
      <c r="EG230" s="340"/>
      <c r="EH230" s="340"/>
      <c r="EI230" s="340"/>
      <c r="EJ230" s="340"/>
      <c r="EK230" s="340"/>
      <c r="EL230" s="340"/>
      <c r="EM230" s="340"/>
      <c r="EN230" s="340"/>
      <c r="EO230" s="340"/>
      <c r="EP230" s="340"/>
      <c r="EQ230" s="340"/>
      <c r="ER230" s="340"/>
      <c r="ES230" s="340"/>
      <c r="ET230" s="340"/>
      <c r="EU230" s="340"/>
      <c r="EV230" s="340"/>
      <c r="EW230" s="340"/>
      <c r="EX230" s="340"/>
      <c r="EY230" s="340"/>
      <c r="EZ230" s="340"/>
      <c r="FA230" s="340"/>
      <c r="FB230" s="340"/>
      <c r="FC230" s="340"/>
      <c r="FD230" s="340"/>
      <c r="FE230" s="340"/>
      <c r="FF230" s="340"/>
      <c r="FG230" s="340"/>
      <c r="FH230" s="340"/>
      <c r="FI230" s="340"/>
      <c r="FJ230" s="340"/>
      <c r="FK230" s="340"/>
      <c r="FL230" s="340"/>
      <c r="FM230" s="340"/>
      <c r="FN230" s="340"/>
      <c r="FO230" s="340"/>
      <c r="FP230" s="340"/>
      <c r="FQ230" s="340"/>
      <c r="FR230" s="340"/>
      <c r="FS230" s="340"/>
      <c r="FT230" s="340"/>
      <c r="FU230" s="340"/>
      <c r="FV230" s="340"/>
      <c r="FW230" s="340"/>
      <c r="FX230" s="340"/>
      <c r="FY230" s="340"/>
      <c r="FZ230" s="340"/>
      <c r="GA230" s="340"/>
      <c r="GB230" s="340"/>
      <c r="GC230" s="340"/>
      <c r="GD230" s="340"/>
      <c r="GE230" s="340"/>
      <c r="GF230" s="340"/>
      <c r="GG230" s="340"/>
      <c r="GH230" s="340"/>
      <c r="GI230" s="340"/>
      <c r="GJ230" s="340"/>
      <c r="GK230" s="340"/>
      <c r="GL230" s="340"/>
      <c r="GM230" s="340"/>
      <c r="GN230" s="340"/>
      <c r="GO230" s="340"/>
      <c r="GP230" s="340"/>
      <c r="GQ230" s="340"/>
      <c r="GR230" s="340"/>
      <c r="GS230" s="340"/>
      <c r="GT230" s="340"/>
      <c r="GU230" s="340"/>
      <c r="GV230" s="340"/>
      <c r="GW230" s="340"/>
      <c r="GX230" s="340"/>
      <c r="GY230" s="340"/>
      <c r="GZ230" s="340"/>
      <c r="HA230" s="340"/>
      <c r="HB230" s="340"/>
      <c r="HC230" s="340"/>
      <c r="HD230" s="340"/>
      <c r="HE230" s="340"/>
      <c r="HF230" s="340"/>
      <c r="HG230" s="340"/>
      <c r="HH230" s="340"/>
      <c r="HI230" s="340"/>
      <c r="HJ230" s="340"/>
      <c r="HK230" s="340"/>
      <c r="HL230" s="340"/>
      <c r="HM230" s="340"/>
      <c r="HN230" s="340"/>
      <c r="HO230" s="340"/>
      <c r="HP230" s="340"/>
      <c r="HQ230" s="340"/>
      <c r="HR230" s="340"/>
      <c r="HS230" s="340"/>
      <c r="HT230" s="340"/>
      <c r="HU230" s="340"/>
      <c r="HV230" s="340"/>
      <c r="HW230" s="340"/>
      <c r="HX230" s="340"/>
      <c r="HY230" s="340"/>
      <c r="HZ230" s="340"/>
      <c r="IA230" s="340"/>
      <c r="IB230" s="340"/>
      <c r="IC230" s="340"/>
      <c r="ID230" s="340"/>
      <c r="IE230" s="340"/>
      <c r="IF230" s="340"/>
      <c r="IG230" s="340"/>
      <c r="IH230" s="340"/>
      <c r="II230" s="340"/>
      <c r="IJ230" s="340"/>
      <c r="IK230" s="340"/>
      <c r="IL230" s="340"/>
      <c r="IM230" s="340"/>
      <c r="IN230" s="340"/>
      <c r="IO230" s="340"/>
      <c r="IP230" s="340"/>
      <c r="IQ230" s="340"/>
      <c r="IR230" s="340"/>
      <c r="IS230" s="340"/>
      <c r="IT230" s="340"/>
      <c r="IU230" s="340"/>
      <c r="IV230" s="340"/>
      <c r="IW230" s="340"/>
      <c r="IX230" s="340"/>
      <c r="IY230" s="340"/>
      <c r="IZ230" s="340"/>
      <c r="JA230" s="340"/>
      <c r="JB230" s="340"/>
      <c r="JC230" s="340"/>
      <c r="JD230" s="340"/>
      <c r="JE230" s="340"/>
      <c r="JF230" s="340"/>
      <c r="JG230" s="340"/>
      <c r="JH230" s="340"/>
      <c r="JI230" s="340"/>
      <c r="JJ230" s="340"/>
      <c r="JK230" s="340"/>
      <c r="JL230" s="340"/>
      <c r="JM230" s="340"/>
      <c r="JN230" s="340"/>
      <c r="JO230" s="340"/>
      <c r="JP230" s="340"/>
      <c r="JQ230" s="340"/>
      <c r="JR230" s="340"/>
      <c r="JS230" s="340"/>
      <c r="JT230" s="340"/>
      <c r="JU230" s="340"/>
      <c r="JV230" s="340"/>
      <c r="JW230" s="340"/>
      <c r="JX230" s="340"/>
      <c r="JY230" s="340"/>
      <c r="JZ230" s="340"/>
      <c r="KA230" s="340"/>
      <c r="KB230" s="340"/>
      <c r="KC230" s="340"/>
      <c r="KD230" s="340"/>
      <c r="KE230" s="340"/>
      <c r="KF230" s="340"/>
      <c r="KG230" s="340"/>
      <c r="KH230" s="340"/>
      <c r="KI230" s="340"/>
      <c r="KJ230" s="340"/>
      <c r="KK230" s="340"/>
      <c r="KL230" s="340"/>
      <c r="KM230" s="340"/>
      <c r="KN230" s="340"/>
      <c r="KO230" s="340"/>
      <c r="KP230" s="340"/>
      <c r="KQ230" s="340"/>
      <c r="KR230" s="340"/>
      <c r="KS230" s="340"/>
      <c r="KT230" s="340"/>
      <c r="KU230" s="340"/>
      <c r="KV230" s="340"/>
      <c r="KW230" s="340"/>
      <c r="KX230" s="340"/>
      <c r="KY230" s="340"/>
      <c r="KZ230" s="340"/>
      <c r="LA230" s="340"/>
      <c r="LB230" s="340"/>
      <c r="LC230" s="340"/>
      <c r="LD230" s="340"/>
      <c r="LE230" s="340"/>
      <c r="LF230" s="340"/>
      <c r="LG230" s="340"/>
      <c r="LH230" s="340"/>
      <c r="LI230" s="340"/>
      <c r="LJ230" s="340"/>
      <c r="LK230" s="340"/>
      <c r="LL230" s="340"/>
      <c r="LM230" s="340"/>
      <c r="LN230" s="340"/>
      <c r="LO230" s="340"/>
      <c r="LP230" s="340"/>
      <c r="LQ230" s="340"/>
      <c r="LR230" s="340"/>
      <c r="LS230" s="340"/>
      <c r="LT230" s="340"/>
      <c r="LU230" s="340"/>
      <c r="LV230" s="340"/>
      <c r="LW230" s="340"/>
      <c r="LX230" s="340"/>
      <c r="LY230" s="340"/>
      <c r="LZ230" s="340"/>
      <c r="MA230" s="340"/>
      <c r="MB230" s="340"/>
      <c r="MC230" s="340"/>
      <c r="MD230" s="340"/>
      <c r="ME230" s="340"/>
      <c r="MF230" s="340"/>
      <c r="MG230" s="340"/>
      <c r="MH230" s="340"/>
      <c r="MI230" s="340"/>
      <c r="MJ230" s="340"/>
      <c r="MK230" s="340"/>
      <c r="ML230" s="340"/>
      <c r="MM230" s="340"/>
      <c r="MN230" s="340"/>
      <c r="MO230" s="340"/>
      <c r="MP230" s="340"/>
      <c r="MQ230" s="340"/>
      <c r="MR230" s="340"/>
      <c r="MS230" s="340"/>
      <c r="MT230" s="340"/>
      <c r="MU230" s="340"/>
      <c r="MV230" s="340"/>
      <c r="MW230" s="340"/>
      <c r="MX230" s="340"/>
      <c r="MY230" s="340"/>
      <c r="MZ230" s="340"/>
      <c r="NA230" s="340"/>
      <c r="NB230" s="340"/>
      <c r="NC230" s="340"/>
      <c r="ND230" s="340"/>
      <c r="NE230" s="340"/>
      <c r="NF230" s="340"/>
      <c r="NG230" s="340"/>
      <c r="NH230" s="340"/>
      <c r="NI230" s="340"/>
      <c r="NJ230" s="340"/>
      <c r="NK230" s="340"/>
      <c r="NL230" s="340"/>
      <c r="NM230" s="340"/>
      <c r="NN230" s="340"/>
      <c r="NO230" s="340"/>
      <c r="NP230" s="340"/>
      <c r="NQ230" s="340"/>
      <c r="NR230" s="340"/>
      <c r="NS230" s="340"/>
      <c r="NT230" s="340"/>
      <c r="NU230" s="340"/>
      <c r="NV230" s="340"/>
      <c r="NW230" s="340"/>
      <c r="NX230" s="340"/>
      <c r="NY230" s="340"/>
      <c r="NZ230" s="340"/>
      <c r="OA230" s="340"/>
      <c r="OB230" s="340"/>
      <c r="OC230" s="340"/>
      <c r="OD230" s="340"/>
      <c r="OE230" s="340"/>
      <c r="OF230" s="340"/>
      <c r="OG230" s="340"/>
      <c r="OH230" s="340"/>
      <c r="OI230" s="340"/>
      <c r="OJ230" s="340"/>
      <c r="OK230" s="340"/>
      <c r="OL230" s="340"/>
      <c r="OM230" s="340"/>
      <c r="ON230" s="340"/>
      <c r="OO230" s="340"/>
      <c r="OP230" s="340"/>
      <c r="OQ230" s="340"/>
      <c r="OR230" s="340"/>
      <c r="OS230" s="340"/>
      <c r="OT230" s="340"/>
      <c r="OU230" s="340"/>
      <c r="OV230" s="340"/>
      <c r="OW230" s="340"/>
      <c r="OX230" s="340"/>
      <c r="OY230" s="340"/>
      <c r="OZ230" s="340"/>
      <c r="PA230" s="340"/>
      <c r="PB230" s="340"/>
      <c r="PC230" s="340"/>
      <c r="PD230" s="340"/>
      <c r="PE230" s="340"/>
      <c r="PF230" s="340"/>
      <c r="PG230" s="340"/>
      <c r="PH230" s="340"/>
      <c r="PI230" s="340"/>
      <c r="PJ230" s="340"/>
      <c r="PK230" s="340"/>
      <c r="PL230" s="340"/>
      <c r="PM230" s="340"/>
      <c r="PN230" s="340"/>
      <c r="PO230" s="340"/>
      <c r="PP230" s="340"/>
      <c r="PQ230" s="340"/>
      <c r="PR230" s="340"/>
      <c r="PS230" s="340"/>
      <c r="PT230" s="340"/>
      <c r="PU230" s="340"/>
      <c r="PV230" s="340"/>
      <c r="PW230" s="340"/>
      <c r="PX230" s="340"/>
      <c r="PY230" s="340"/>
      <c r="PZ230" s="340"/>
      <c r="QA230" s="340"/>
      <c r="QB230" s="340"/>
      <c r="QC230" s="340"/>
      <c r="QD230" s="340"/>
      <c r="QE230" s="340"/>
      <c r="QF230" s="340"/>
      <c r="QG230" s="340"/>
      <c r="QH230" s="340"/>
      <c r="QI230" s="340"/>
      <c r="QJ230" s="340"/>
      <c r="QK230" s="340"/>
      <c r="QL230" s="340"/>
      <c r="QM230" s="340"/>
      <c r="QN230" s="340"/>
      <c r="QO230" s="340"/>
      <c r="QP230" s="340"/>
      <c r="QQ230" s="340"/>
      <c r="QR230" s="340"/>
      <c r="QS230" s="340"/>
      <c r="QT230" s="340"/>
      <c r="QU230" s="340"/>
      <c r="QV230" s="340"/>
      <c r="QW230" s="340"/>
      <c r="QX230" s="340"/>
      <c r="QY230" s="340"/>
      <c r="QZ230" s="340"/>
      <c r="RA230" s="340"/>
      <c r="RB230" s="340"/>
      <c r="RC230" s="340"/>
      <c r="RD230" s="340"/>
      <c r="RE230" s="340"/>
      <c r="RF230" s="340"/>
      <c r="RG230" s="340"/>
      <c r="RH230" s="340"/>
      <c r="RI230" s="340"/>
      <c r="RJ230" s="340"/>
      <c r="RK230" s="340"/>
      <c r="RL230" s="340"/>
      <c r="RM230" s="340"/>
      <c r="RN230" s="340"/>
      <c r="RO230" s="340"/>
      <c r="RP230" s="340"/>
      <c r="RQ230" s="340"/>
      <c r="RR230" s="340"/>
      <c r="RS230" s="340"/>
      <c r="RT230" s="340"/>
      <c r="RU230" s="340"/>
      <c r="RV230" s="340"/>
      <c r="RW230" s="340"/>
      <c r="RX230" s="340"/>
      <c r="RY230" s="340"/>
      <c r="RZ230" s="340"/>
      <c r="SA230" s="340"/>
      <c r="SB230" s="340"/>
      <c r="SC230" s="340"/>
      <c r="SD230" s="340"/>
      <c r="SE230" s="340"/>
      <c r="SF230" s="340"/>
      <c r="SG230" s="340"/>
      <c r="SH230" s="340"/>
      <c r="SI230" s="340"/>
      <c r="SJ230" s="340"/>
      <c r="SK230" s="340"/>
      <c r="SL230" s="340"/>
      <c r="SM230" s="340"/>
      <c r="SN230" s="340"/>
      <c r="SO230" s="340"/>
      <c r="SP230" s="340"/>
      <c r="SQ230" s="340"/>
      <c r="SR230" s="340"/>
      <c r="SS230" s="340"/>
      <c r="ST230" s="340"/>
      <c r="SU230" s="340"/>
      <c r="SV230" s="340"/>
      <c r="SW230" s="340"/>
      <c r="SX230" s="340"/>
      <c r="SY230" s="340"/>
      <c r="SZ230" s="340"/>
      <c r="TA230" s="340"/>
      <c r="TB230" s="340"/>
      <c r="TC230" s="340"/>
      <c r="TD230" s="340"/>
      <c r="TE230" s="340"/>
      <c r="TF230" s="340"/>
      <c r="TG230" s="340"/>
      <c r="TH230" s="340"/>
      <c r="TI230" s="340"/>
      <c r="TJ230" s="340"/>
      <c r="TK230" s="340"/>
      <c r="TL230" s="340"/>
      <c r="TM230" s="340"/>
      <c r="TN230" s="340"/>
      <c r="TO230" s="340"/>
      <c r="TP230" s="340"/>
      <c r="TQ230" s="340"/>
      <c r="TR230" s="340"/>
      <c r="TS230" s="340"/>
      <c r="TT230" s="340"/>
      <c r="TU230" s="340"/>
      <c r="TV230" s="340"/>
      <c r="TW230" s="340"/>
      <c r="TX230" s="340"/>
      <c r="TY230" s="340"/>
      <c r="TZ230" s="340"/>
      <c r="UA230" s="340"/>
      <c r="UB230" s="340"/>
      <c r="UC230" s="340"/>
      <c r="UD230" s="340"/>
      <c r="UE230" s="340"/>
      <c r="UF230" s="340"/>
      <c r="UG230" s="340"/>
      <c r="UH230" s="340"/>
      <c r="UI230" s="340"/>
      <c r="UJ230" s="340"/>
      <c r="UK230" s="340"/>
      <c r="UL230" s="340"/>
      <c r="UM230" s="340"/>
      <c r="UN230" s="340"/>
      <c r="UO230" s="340"/>
      <c r="UP230" s="340"/>
      <c r="UQ230" s="340"/>
      <c r="UR230" s="340"/>
      <c r="US230" s="340"/>
      <c r="UT230" s="340"/>
      <c r="UU230" s="340"/>
      <c r="UV230" s="340"/>
      <c r="UW230" s="340"/>
      <c r="UX230" s="340"/>
      <c r="UY230" s="340"/>
      <c r="UZ230" s="340"/>
      <c r="VA230" s="340"/>
      <c r="VB230" s="340"/>
      <c r="VC230" s="340"/>
      <c r="VD230" s="340"/>
      <c r="VE230" s="340"/>
      <c r="VF230" s="340"/>
      <c r="VG230" s="340"/>
      <c r="VH230" s="340"/>
      <c r="VI230" s="340"/>
      <c r="VJ230" s="340"/>
      <c r="VK230" s="340"/>
      <c r="VL230" s="340"/>
      <c r="VM230" s="340"/>
      <c r="VN230" s="340"/>
      <c r="VO230" s="340"/>
      <c r="VP230" s="340"/>
      <c r="VQ230" s="340"/>
      <c r="VR230" s="340"/>
      <c r="VS230" s="340"/>
      <c r="VT230" s="340"/>
      <c r="VU230" s="340"/>
      <c r="VV230" s="340"/>
      <c r="VW230" s="340"/>
      <c r="VX230" s="340"/>
      <c r="VY230" s="340"/>
      <c r="VZ230" s="340"/>
      <c r="WA230" s="340"/>
      <c r="WB230" s="340"/>
      <c r="WC230" s="340"/>
      <c r="WD230" s="340"/>
      <c r="WE230" s="340"/>
      <c r="WF230" s="340"/>
      <c r="WG230" s="340"/>
      <c r="WH230" s="340"/>
      <c r="WI230" s="340"/>
      <c r="WJ230" s="340"/>
      <c r="WK230" s="340"/>
      <c r="WL230" s="340"/>
      <c r="WM230" s="340"/>
      <c r="WN230" s="340"/>
      <c r="WO230" s="340"/>
      <c r="WP230" s="340"/>
      <c r="WQ230" s="340"/>
      <c r="WR230" s="340"/>
      <c r="WS230" s="340"/>
      <c r="WT230" s="340"/>
      <c r="WU230" s="340"/>
      <c r="WV230" s="340"/>
      <c r="WW230" s="340"/>
      <c r="WX230" s="340"/>
      <c r="WY230" s="340"/>
      <c r="WZ230" s="340"/>
      <c r="XA230" s="340"/>
      <c r="XB230" s="340"/>
      <c r="XC230" s="340"/>
      <c r="XD230" s="340"/>
      <c r="XE230" s="340"/>
      <c r="XF230" s="340"/>
      <c r="XG230" s="340"/>
      <c r="XH230" s="340"/>
      <c r="XI230" s="340"/>
      <c r="XJ230" s="340"/>
      <c r="XK230" s="340"/>
      <c r="XL230" s="340"/>
      <c r="XM230" s="340"/>
      <c r="XN230" s="340"/>
      <c r="XO230" s="340"/>
      <c r="XP230" s="340"/>
      <c r="XQ230" s="340"/>
      <c r="XR230" s="340"/>
      <c r="XS230" s="340"/>
      <c r="XT230" s="340"/>
      <c r="XU230" s="340"/>
      <c r="XV230" s="340"/>
      <c r="XW230" s="340"/>
      <c r="XX230" s="340"/>
      <c r="XY230" s="340"/>
      <c r="XZ230" s="340"/>
      <c r="YA230" s="340"/>
      <c r="YB230" s="340"/>
      <c r="YC230" s="340"/>
      <c r="YD230" s="340"/>
      <c r="YE230" s="340"/>
      <c r="YF230" s="340"/>
      <c r="YG230" s="340"/>
      <c r="YH230" s="340"/>
      <c r="YI230" s="340"/>
      <c r="YJ230" s="340"/>
      <c r="YK230" s="340"/>
      <c r="YL230" s="340"/>
      <c r="YM230" s="340"/>
      <c r="YN230" s="340"/>
      <c r="YO230" s="340"/>
      <c r="YP230" s="340"/>
      <c r="YQ230" s="340"/>
      <c r="YR230" s="340"/>
      <c r="YS230" s="340"/>
      <c r="YT230" s="340"/>
      <c r="YU230" s="340"/>
      <c r="YV230" s="340"/>
      <c r="YW230" s="340"/>
      <c r="YX230" s="340"/>
      <c r="YY230" s="340"/>
      <c r="YZ230" s="340"/>
      <c r="ZA230" s="340"/>
      <c r="ZB230" s="340"/>
      <c r="ZC230" s="340"/>
      <c r="ZD230" s="340"/>
      <c r="ZE230" s="340"/>
      <c r="ZF230" s="340"/>
      <c r="ZG230" s="340"/>
      <c r="ZH230" s="340"/>
      <c r="ZI230" s="340"/>
      <c r="ZJ230" s="340"/>
      <c r="ZK230" s="340"/>
      <c r="ZL230" s="340"/>
      <c r="ZM230" s="340"/>
      <c r="ZN230" s="340"/>
      <c r="ZO230" s="340"/>
      <c r="ZP230" s="340"/>
      <c r="ZQ230" s="340"/>
      <c r="ZR230" s="340"/>
      <c r="ZS230" s="340"/>
      <c r="ZT230" s="340"/>
      <c r="ZU230" s="340"/>
      <c r="ZV230" s="340"/>
      <c r="ZW230" s="340"/>
      <c r="ZX230" s="340"/>
      <c r="ZY230" s="340"/>
      <c r="ZZ230" s="340"/>
      <c r="AAA230" s="340"/>
      <c r="AAB230" s="340"/>
      <c r="AAC230" s="340"/>
      <c r="AAD230" s="340"/>
      <c r="AAE230" s="340"/>
      <c r="AAF230" s="340"/>
      <c r="AAG230" s="340"/>
      <c r="AAH230" s="340"/>
      <c r="AAI230" s="340"/>
      <c r="AAJ230" s="340"/>
      <c r="AAK230" s="340"/>
      <c r="AAL230" s="340"/>
      <c r="AAM230" s="340"/>
      <c r="AAN230" s="340"/>
      <c r="AAO230" s="340"/>
      <c r="AAP230" s="340"/>
      <c r="AAQ230" s="340"/>
      <c r="AAR230" s="340"/>
      <c r="AAS230" s="340"/>
      <c r="AAT230" s="340"/>
      <c r="AAU230" s="340"/>
      <c r="AAV230" s="340"/>
      <c r="AAW230" s="340"/>
      <c r="AAX230" s="340"/>
      <c r="AAY230" s="340"/>
      <c r="AAZ230" s="340"/>
      <c r="ABA230" s="340"/>
      <c r="ABB230" s="340"/>
      <c r="ABC230" s="340"/>
      <c r="ABD230" s="340"/>
      <c r="ABE230" s="340"/>
      <c r="ABF230" s="340"/>
      <c r="ABG230" s="340"/>
      <c r="ABH230" s="340"/>
      <c r="ABI230" s="340"/>
      <c r="ABJ230" s="340"/>
      <c r="ABK230" s="340"/>
      <c r="ABL230" s="340"/>
      <c r="ABM230" s="340"/>
      <c r="ABN230" s="340"/>
      <c r="ABO230" s="340"/>
      <c r="ABP230" s="340"/>
      <c r="ABQ230" s="340"/>
      <c r="ABR230" s="340"/>
      <c r="ABS230" s="340"/>
      <c r="ABT230" s="340"/>
      <c r="ABU230" s="340"/>
      <c r="ABV230" s="340"/>
      <c r="ABW230" s="340"/>
      <c r="ABX230" s="340"/>
      <c r="ABY230" s="340"/>
      <c r="ABZ230" s="340"/>
      <c r="ACA230" s="340"/>
      <c r="ACB230" s="340"/>
      <c r="ACC230" s="340"/>
      <c r="ACD230" s="340"/>
      <c r="ACE230" s="340"/>
      <c r="ACF230" s="340"/>
      <c r="ACG230" s="340"/>
      <c r="ACH230" s="340"/>
      <c r="ACI230" s="340"/>
      <c r="ACJ230" s="340"/>
      <c r="ACK230" s="340"/>
      <c r="ACL230" s="340"/>
      <c r="ACM230" s="340"/>
      <c r="ACN230" s="340"/>
      <c r="ACO230" s="340"/>
      <c r="ACP230" s="340"/>
      <c r="ACQ230" s="340"/>
      <c r="ACR230" s="340"/>
      <c r="ACS230" s="340"/>
      <c r="ACT230" s="340"/>
      <c r="ACU230" s="340"/>
      <c r="ACV230" s="340"/>
      <c r="ACW230" s="340"/>
      <c r="ACX230" s="340"/>
      <c r="ACY230" s="340"/>
      <c r="ACZ230" s="340"/>
      <c r="ADA230" s="340"/>
      <c r="ADB230" s="340"/>
      <c r="ADC230" s="340"/>
      <c r="ADD230" s="340"/>
      <c r="ADE230" s="340"/>
      <c r="ADF230" s="340"/>
      <c r="ADG230" s="340"/>
      <c r="ADH230" s="340"/>
      <c r="ADI230" s="340"/>
      <c r="ADJ230" s="340"/>
      <c r="ADK230" s="340"/>
      <c r="ADL230" s="340"/>
      <c r="ADM230" s="340"/>
      <c r="ADN230" s="340"/>
      <c r="ADO230" s="340"/>
      <c r="ADP230" s="340"/>
      <c r="ADQ230" s="340"/>
      <c r="ADR230" s="340"/>
      <c r="ADS230" s="340"/>
      <c r="ADT230" s="340"/>
      <c r="ADU230" s="340"/>
      <c r="ADV230" s="340"/>
      <c r="ADW230" s="340"/>
      <c r="ADX230" s="340"/>
      <c r="ADY230" s="340"/>
      <c r="ADZ230" s="340"/>
      <c r="AEA230" s="340"/>
      <c r="AEB230" s="340"/>
      <c r="AEC230" s="340"/>
      <c r="AED230" s="340"/>
      <c r="AEE230" s="340"/>
      <c r="AEF230" s="340"/>
      <c r="AEG230" s="340"/>
      <c r="AEH230" s="340"/>
      <c r="AEI230" s="340"/>
      <c r="AEJ230" s="340"/>
      <c r="AEK230" s="340"/>
      <c r="AEL230" s="340"/>
      <c r="AEM230" s="340"/>
      <c r="AEN230" s="340"/>
      <c r="AEO230" s="340"/>
      <c r="AEP230" s="340"/>
      <c r="AEQ230" s="340"/>
      <c r="AER230" s="340"/>
      <c r="AES230" s="340"/>
      <c r="AET230" s="340"/>
      <c r="AEU230" s="340"/>
      <c r="AEV230" s="340"/>
      <c r="AEW230" s="340"/>
      <c r="AEX230" s="340"/>
      <c r="AEY230" s="340"/>
      <c r="AEZ230" s="340"/>
      <c r="AFA230" s="340"/>
      <c r="AFB230" s="340"/>
      <c r="AFC230" s="340"/>
      <c r="AFD230" s="340"/>
      <c r="AFE230" s="340"/>
      <c r="AFF230" s="340"/>
      <c r="AFG230" s="340"/>
      <c r="AFH230" s="340"/>
      <c r="AFI230" s="340"/>
      <c r="AFJ230" s="340"/>
      <c r="AFK230" s="340"/>
      <c r="AFL230" s="340"/>
      <c r="AFM230" s="340"/>
      <c r="AFN230" s="340"/>
      <c r="AFO230" s="340"/>
      <c r="AFP230" s="340"/>
      <c r="AFQ230" s="340"/>
      <c r="AFR230" s="340"/>
      <c r="AFS230" s="340"/>
      <c r="AFT230" s="340"/>
      <c r="AFU230" s="340"/>
      <c r="AFV230" s="340"/>
      <c r="AFW230" s="340"/>
      <c r="AFX230" s="340"/>
      <c r="AFY230" s="340"/>
      <c r="AFZ230" s="340"/>
      <c r="AGA230" s="340"/>
      <c r="AGB230" s="340"/>
      <c r="AGC230" s="340"/>
      <c r="AGD230" s="340"/>
      <c r="AGE230" s="340"/>
      <c r="AGF230" s="340"/>
      <c r="AGG230" s="340"/>
      <c r="AGH230" s="340"/>
      <c r="AGI230" s="340"/>
      <c r="AGJ230" s="340"/>
      <c r="AGK230" s="340"/>
      <c r="AGL230" s="340"/>
      <c r="AGM230" s="340"/>
      <c r="AGN230" s="340"/>
      <c r="AGO230" s="340"/>
      <c r="AGP230" s="340"/>
      <c r="AGQ230" s="340"/>
      <c r="AGR230" s="340"/>
      <c r="AGS230" s="340"/>
      <c r="AGT230" s="340"/>
      <c r="AGU230" s="340"/>
      <c r="AGV230" s="340"/>
      <c r="AGW230" s="340"/>
      <c r="AGX230" s="340"/>
      <c r="AGY230" s="340"/>
      <c r="AGZ230" s="340"/>
      <c r="AHA230" s="340"/>
      <c r="AHB230" s="340"/>
      <c r="AHC230" s="340"/>
      <c r="AHD230" s="340"/>
      <c r="AHE230" s="340"/>
      <c r="AHF230" s="340"/>
      <c r="AHG230" s="340"/>
      <c r="AHH230" s="340"/>
      <c r="AHI230" s="340"/>
      <c r="AHJ230" s="340"/>
      <c r="AHK230" s="340"/>
      <c r="AHL230" s="340"/>
      <c r="AHM230" s="340"/>
      <c r="AHN230" s="340"/>
      <c r="AHO230" s="340"/>
      <c r="AHP230" s="340"/>
      <c r="AHQ230" s="340"/>
      <c r="AHR230" s="340"/>
      <c r="AHS230" s="340"/>
      <c r="AHT230" s="340"/>
      <c r="AHU230" s="340"/>
      <c r="AHV230" s="340"/>
      <c r="AHW230" s="340"/>
      <c r="AHX230" s="340"/>
      <c r="AHY230" s="340"/>
      <c r="AHZ230" s="340"/>
      <c r="AIA230" s="340"/>
      <c r="AIB230" s="340"/>
      <c r="AIC230" s="340"/>
      <c r="AID230" s="340"/>
      <c r="AIE230" s="340"/>
      <c r="AIF230" s="340"/>
      <c r="AIG230" s="340"/>
      <c r="AIH230" s="340"/>
      <c r="AII230" s="340"/>
      <c r="AIJ230" s="340"/>
      <c r="AIK230" s="340"/>
      <c r="AIL230" s="340"/>
      <c r="AIM230" s="340"/>
      <c r="AIN230" s="340"/>
      <c r="AIO230" s="340"/>
      <c r="AIP230" s="340"/>
      <c r="AIQ230" s="340"/>
      <c r="AIR230" s="340"/>
      <c r="AIS230" s="340"/>
      <c r="AIT230" s="340"/>
      <c r="AIU230" s="340"/>
      <c r="AIV230" s="340"/>
      <c r="AIW230" s="340"/>
      <c r="AIX230" s="340"/>
      <c r="AIY230" s="340"/>
      <c r="AIZ230" s="340"/>
      <c r="AJA230" s="340"/>
      <c r="AJB230" s="340"/>
      <c r="AJC230" s="340"/>
      <c r="AJD230" s="340"/>
      <c r="AJE230" s="340"/>
      <c r="AJF230" s="340"/>
      <c r="AJG230" s="340"/>
      <c r="AJH230" s="340"/>
      <c r="AJI230" s="340"/>
      <c r="AJJ230" s="340"/>
      <c r="AJK230" s="340"/>
      <c r="AJL230" s="340"/>
      <c r="AJM230" s="340"/>
      <c r="AJN230" s="340"/>
      <c r="AJO230" s="340"/>
      <c r="AJP230" s="340"/>
      <c r="AJQ230" s="340"/>
      <c r="AJR230" s="340"/>
      <c r="AJS230" s="340"/>
      <c r="AJT230" s="340"/>
      <c r="AJU230" s="340"/>
      <c r="AJV230" s="340"/>
      <c r="AJW230" s="340"/>
      <c r="AJX230" s="340"/>
      <c r="AJY230" s="340"/>
      <c r="AJZ230" s="340"/>
      <c r="AKA230" s="340"/>
      <c r="AKB230" s="340"/>
      <c r="AKC230" s="340"/>
      <c r="AKD230" s="340"/>
      <c r="AKE230" s="340"/>
      <c r="AKF230" s="340"/>
      <c r="AKG230" s="340"/>
      <c r="AKH230" s="340"/>
      <c r="AKI230" s="340"/>
      <c r="AKJ230" s="340"/>
      <c r="AKK230" s="340"/>
      <c r="AKL230" s="340"/>
      <c r="AKM230" s="340"/>
      <c r="AKN230" s="340"/>
      <c r="AKO230" s="340"/>
      <c r="AKP230" s="340"/>
      <c r="AKQ230" s="340"/>
      <c r="AKR230" s="340"/>
      <c r="AKS230" s="340"/>
      <c r="AKT230" s="340"/>
      <c r="AKU230" s="340"/>
      <c r="AKV230" s="340"/>
      <c r="AKW230" s="340"/>
      <c r="AKX230" s="340"/>
      <c r="AKY230" s="340"/>
      <c r="AKZ230" s="340"/>
      <c r="ALA230" s="340"/>
      <c r="ALB230" s="340"/>
      <c r="ALC230" s="340"/>
      <c r="ALD230" s="340"/>
      <c r="ALE230" s="340"/>
      <c r="ALF230" s="340"/>
      <c r="ALG230" s="340"/>
      <c r="ALH230" s="340"/>
      <c r="ALI230" s="340"/>
      <c r="ALJ230" s="340"/>
      <c r="ALK230" s="340"/>
      <c r="ALL230" s="340"/>
      <c r="ALM230" s="340"/>
      <c r="ALN230" s="340"/>
      <c r="ALO230" s="340"/>
      <c r="ALP230" s="340"/>
      <c r="ALQ230" s="340"/>
      <c r="ALR230" s="340"/>
      <c r="ALS230" s="340"/>
      <c r="ALT230" s="340"/>
      <c r="ALU230" s="340"/>
      <c r="ALV230" s="340"/>
      <c r="ALW230" s="340"/>
      <c r="ALX230" s="340"/>
      <c r="ALY230" s="340"/>
      <c r="ALZ230" s="340"/>
      <c r="AMA230" s="340"/>
      <c r="AMB230" s="340"/>
      <c r="AMC230" s="340"/>
      <c r="AMD230" s="340"/>
      <c r="AME230" s="340"/>
      <c r="AMF230" s="340"/>
      <c r="AMG230" s="340"/>
      <c r="AMH230" s="340"/>
      <c r="AMI230" s="340"/>
      <c r="AMJ230" s="340"/>
      <c r="AMK230" s="340"/>
      <c r="AML230" s="340"/>
      <c r="AMM230" s="340"/>
      <c r="AMN230" s="340"/>
      <c r="AMO230" s="340"/>
      <c r="AMP230" s="340"/>
      <c r="AMQ230" s="340"/>
      <c r="AMR230" s="340"/>
      <c r="AMS230" s="340"/>
      <c r="AMT230" s="340"/>
      <c r="AMU230" s="340"/>
      <c r="AMV230" s="340"/>
      <c r="AMW230" s="340"/>
      <c r="AMX230" s="340"/>
      <c r="AMY230" s="340"/>
      <c r="AMZ230" s="340"/>
      <c r="ANA230" s="340"/>
      <c r="ANB230" s="340"/>
      <c r="ANC230" s="340"/>
      <c r="AND230" s="340"/>
      <c r="ANE230" s="340"/>
      <c r="ANF230" s="340"/>
      <c r="ANG230" s="340"/>
      <c r="ANH230" s="340"/>
      <c r="ANI230" s="340"/>
      <c r="ANJ230" s="340"/>
      <c r="ANK230" s="340"/>
      <c r="ANL230" s="340"/>
      <c r="ANM230" s="340"/>
      <c r="ANN230" s="340"/>
      <c r="ANO230" s="340"/>
      <c r="ANP230" s="340"/>
      <c r="ANQ230" s="340"/>
      <c r="ANR230" s="340"/>
      <c r="ANS230" s="340"/>
      <c r="ANT230" s="340"/>
      <c r="ANU230" s="340"/>
      <c r="ANV230" s="340"/>
      <c r="ANW230" s="340"/>
      <c r="ANX230" s="340"/>
      <c r="ANY230" s="340"/>
      <c r="ANZ230" s="340"/>
      <c r="AOA230" s="340"/>
      <c r="AOB230" s="340"/>
      <c r="AOC230" s="340"/>
      <c r="AOD230" s="340"/>
      <c r="AOE230" s="340"/>
      <c r="AOF230" s="340"/>
      <c r="AOG230" s="340"/>
      <c r="AOH230" s="340"/>
      <c r="AOI230" s="340"/>
      <c r="AOJ230" s="340"/>
      <c r="AOK230" s="340"/>
      <c r="AOL230" s="340"/>
      <c r="AOM230" s="340"/>
      <c r="AON230" s="340"/>
      <c r="AOO230" s="340"/>
      <c r="AOP230" s="340"/>
      <c r="AOQ230" s="340"/>
      <c r="AOR230" s="340"/>
      <c r="AOS230" s="340"/>
      <c r="AOT230" s="340"/>
      <c r="AOU230" s="340"/>
      <c r="AOV230" s="340"/>
      <c r="AOW230" s="340"/>
      <c r="AOX230" s="340"/>
      <c r="AOY230" s="340"/>
      <c r="AOZ230" s="340"/>
      <c r="APA230" s="340"/>
      <c r="APB230" s="340"/>
      <c r="APC230" s="340"/>
      <c r="APD230" s="340"/>
      <c r="APE230" s="340"/>
      <c r="APF230" s="340"/>
      <c r="APG230" s="340"/>
      <c r="APH230" s="340"/>
      <c r="API230" s="340"/>
      <c r="APJ230" s="340"/>
      <c r="APK230" s="340"/>
      <c r="APL230" s="340"/>
      <c r="APM230" s="340"/>
      <c r="APN230" s="340"/>
      <c r="APO230" s="340"/>
      <c r="APP230" s="340"/>
      <c r="APQ230" s="340"/>
      <c r="APR230" s="340"/>
      <c r="APS230" s="340"/>
      <c r="APT230" s="340"/>
      <c r="APU230" s="340"/>
      <c r="APV230" s="340"/>
      <c r="APW230" s="340"/>
      <c r="APX230" s="340"/>
      <c r="APY230" s="340"/>
      <c r="APZ230" s="340"/>
      <c r="AQA230" s="340"/>
      <c r="AQB230" s="340"/>
      <c r="AQC230" s="340"/>
      <c r="AQD230" s="340"/>
      <c r="AQE230" s="340"/>
      <c r="AQF230" s="340"/>
      <c r="AQG230" s="340"/>
      <c r="AQH230" s="340"/>
      <c r="AQI230" s="340"/>
      <c r="AQJ230" s="340"/>
      <c r="AQK230" s="340"/>
      <c r="AQL230" s="340"/>
      <c r="AQM230" s="340"/>
      <c r="AQN230" s="340"/>
      <c r="AQO230" s="340"/>
      <c r="AQP230" s="340"/>
      <c r="AQQ230" s="340"/>
      <c r="AQR230" s="340"/>
      <c r="AQS230" s="340"/>
      <c r="AQT230" s="340"/>
      <c r="AQU230" s="340"/>
      <c r="AQV230" s="340"/>
      <c r="AQW230" s="340"/>
      <c r="AQX230" s="340"/>
      <c r="AQY230" s="340"/>
      <c r="AQZ230" s="340"/>
      <c r="ARA230" s="340"/>
      <c r="ARB230" s="340"/>
      <c r="ARC230" s="340"/>
      <c r="ARD230" s="340"/>
      <c r="ARE230" s="340"/>
      <c r="ARF230" s="340"/>
      <c r="ARG230" s="340"/>
      <c r="ARH230" s="340"/>
      <c r="ARI230" s="340"/>
      <c r="ARJ230" s="340"/>
      <c r="ARK230" s="340"/>
      <c r="ARL230" s="340"/>
      <c r="ARM230" s="340"/>
      <c r="ARN230" s="340"/>
      <c r="ARO230" s="340"/>
      <c r="ARP230" s="340"/>
      <c r="ARQ230" s="340"/>
      <c r="ARR230" s="340"/>
      <c r="ARS230" s="340"/>
      <c r="ART230" s="340"/>
      <c r="ARU230" s="340"/>
      <c r="ARV230" s="340"/>
      <c r="ARW230" s="340"/>
      <c r="ARX230" s="340"/>
      <c r="ARY230" s="340"/>
      <c r="ARZ230" s="340"/>
      <c r="ASA230" s="340"/>
      <c r="ASB230" s="340"/>
      <c r="ASC230" s="340"/>
      <c r="ASD230" s="340"/>
      <c r="ASE230" s="340"/>
      <c r="ASF230" s="340"/>
      <c r="ASG230" s="340"/>
      <c r="ASH230" s="340"/>
      <c r="ASI230" s="340"/>
      <c r="ASJ230" s="340"/>
      <c r="ASK230" s="340"/>
      <c r="ASL230" s="340"/>
      <c r="ASM230" s="340"/>
      <c r="ASN230" s="340"/>
      <c r="ASO230" s="340"/>
      <c r="ASP230" s="340"/>
      <c r="ASQ230" s="340"/>
      <c r="ASR230" s="340"/>
      <c r="ASS230" s="340"/>
      <c r="AST230" s="340"/>
      <c r="ASU230" s="340"/>
      <c r="ASV230" s="340"/>
      <c r="ASW230" s="340"/>
      <c r="ASX230" s="340"/>
      <c r="ASY230" s="340"/>
      <c r="ASZ230" s="340"/>
      <c r="ATA230" s="340"/>
      <c r="ATB230" s="340"/>
      <c r="ATC230" s="340"/>
      <c r="ATD230" s="340"/>
      <c r="ATE230" s="340"/>
      <c r="ATF230" s="340"/>
      <c r="ATG230" s="340"/>
      <c r="ATH230" s="340"/>
      <c r="ATI230" s="340"/>
      <c r="ATJ230" s="340"/>
      <c r="ATK230" s="340"/>
      <c r="ATL230" s="340"/>
      <c r="ATM230" s="340"/>
      <c r="ATN230" s="340"/>
      <c r="ATO230" s="340"/>
      <c r="ATP230" s="340"/>
      <c r="ATQ230" s="340"/>
      <c r="ATR230" s="340"/>
      <c r="ATS230" s="340"/>
      <c r="ATT230" s="340"/>
      <c r="ATU230" s="340"/>
      <c r="ATV230" s="340"/>
      <c r="ATW230" s="340"/>
      <c r="ATX230" s="340"/>
      <c r="ATY230" s="340"/>
      <c r="ATZ230" s="340"/>
      <c r="AUA230" s="340"/>
      <c r="AUB230" s="340"/>
      <c r="AUC230" s="340"/>
      <c r="AUD230" s="340"/>
      <c r="AUE230" s="340"/>
      <c r="AUF230" s="340"/>
      <c r="AUG230" s="340"/>
      <c r="AUH230" s="340"/>
      <c r="AUI230" s="340"/>
      <c r="AUJ230" s="340"/>
      <c r="AUK230" s="340"/>
      <c r="AUL230" s="340"/>
      <c r="AUM230" s="340"/>
      <c r="AUN230" s="340"/>
      <c r="AUO230" s="340"/>
      <c r="AUP230" s="340"/>
      <c r="AUQ230" s="340"/>
      <c r="AUR230" s="340"/>
      <c r="AUS230" s="340"/>
      <c r="AUT230" s="340"/>
      <c r="AUU230" s="340"/>
      <c r="AUV230" s="340"/>
      <c r="AUW230" s="340"/>
      <c r="AUX230" s="340"/>
      <c r="AUY230" s="340"/>
      <c r="AUZ230" s="340"/>
      <c r="AVA230" s="340"/>
      <c r="AVB230" s="340"/>
      <c r="AVC230" s="340"/>
      <c r="AVD230" s="340"/>
      <c r="AVE230" s="340"/>
      <c r="AVF230" s="340"/>
      <c r="AVG230" s="340"/>
      <c r="AVH230" s="340"/>
      <c r="AVI230" s="340"/>
      <c r="AVJ230" s="340"/>
      <c r="AVK230" s="340"/>
      <c r="AVL230" s="340"/>
      <c r="AVM230" s="340"/>
      <c r="AVN230" s="340"/>
      <c r="AVO230" s="340"/>
      <c r="AVP230" s="340"/>
      <c r="AVQ230" s="340"/>
      <c r="AVR230" s="340"/>
      <c r="AVS230" s="340"/>
      <c r="AVT230" s="340"/>
      <c r="AVU230" s="340"/>
      <c r="AVV230" s="340"/>
      <c r="AVW230" s="340"/>
      <c r="AVX230" s="340"/>
      <c r="AVY230" s="340"/>
      <c r="AVZ230" s="340"/>
      <c r="AWA230" s="340"/>
      <c r="AWB230" s="340"/>
      <c r="AWC230" s="340"/>
      <c r="AWD230" s="340"/>
      <c r="AWE230" s="340"/>
      <c r="AWF230" s="340"/>
      <c r="AWG230" s="340"/>
      <c r="AWH230" s="340"/>
      <c r="AWI230" s="340"/>
      <c r="AWJ230" s="340"/>
      <c r="AWK230" s="340"/>
      <c r="AWL230" s="340"/>
      <c r="AWM230" s="340"/>
      <c r="AWN230" s="340"/>
      <c r="AWO230" s="340"/>
      <c r="AWP230" s="340"/>
      <c r="AWQ230" s="340"/>
      <c r="AWR230" s="340"/>
      <c r="AWS230" s="340"/>
      <c r="AWT230" s="340"/>
      <c r="AWU230" s="340"/>
      <c r="AWV230" s="340"/>
      <c r="AWW230" s="340"/>
      <c r="AWX230" s="340"/>
      <c r="AWY230" s="340"/>
      <c r="AWZ230" s="340"/>
      <c r="AXA230" s="340"/>
      <c r="AXB230" s="340"/>
      <c r="AXC230" s="340"/>
      <c r="AXD230" s="340"/>
      <c r="AXE230" s="340"/>
      <c r="AXF230" s="340"/>
      <c r="AXG230" s="340"/>
      <c r="AXH230" s="340"/>
      <c r="AXI230" s="340"/>
      <c r="AXJ230" s="340"/>
      <c r="AXK230" s="340"/>
      <c r="AXL230" s="340"/>
      <c r="AXM230" s="340"/>
      <c r="AXN230" s="340"/>
      <c r="AXO230" s="340"/>
      <c r="AXP230" s="340"/>
      <c r="AXQ230" s="340"/>
      <c r="AXR230" s="340"/>
      <c r="AXS230" s="340"/>
      <c r="AXT230" s="340"/>
      <c r="AXU230" s="340"/>
      <c r="AXV230" s="340"/>
      <c r="AXW230" s="340"/>
      <c r="AXX230" s="340"/>
      <c r="AXY230" s="340"/>
      <c r="AXZ230" s="340"/>
      <c r="AYA230" s="340"/>
      <c r="AYB230" s="340"/>
      <c r="AYC230" s="340"/>
      <c r="AYD230" s="340"/>
      <c r="AYE230" s="340"/>
      <c r="AYF230" s="340"/>
      <c r="AYG230" s="340"/>
      <c r="AYH230" s="340"/>
      <c r="AYI230" s="340"/>
      <c r="AYJ230" s="340"/>
      <c r="AYK230" s="340"/>
      <c r="AYL230" s="340"/>
      <c r="AYM230" s="340"/>
      <c r="AYN230" s="340"/>
      <c r="AYO230" s="340"/>
      <c r="AYP230" s="340"/>
      <c r="AYQ230" s="340"/>
      <c r="AYR230" s="340"/>
      <c r="AYS230" s="340"/>
      <c r="AYT230" s="340"/>
      <c r="AYU230" s="340"/>
      <c r="AYV230" s="340"/>
      <c r="AYW230" s="340"/>
      <c r="AYX230" s="340"/>
      <c r="AYY230" s="340"/>
      <c r="AYZ230" s="340"/>
      <c r="AZA230" s="340"/>
      <c r="AZB230" s="340"/>
      <c r="AZC230" s="340"/>
      <c r="AZD230" s="340"/>
      <c r="AZE230" s="340"/>
      <c r="AZF230" s="340"/>
      <c r="AZG230" s="340"/>
      <c r="AZH230" s="340"/>
      <c r="AZI230" s="340"/>
      <c r="AZJ230" s="340"/>
      <c r="AZK230" s="340"/>
      <c r="AZL230" s="340"/>
      <c r="AZM230" s="340"/>
      <c r="AZN230" s="340"/>
      <c r="AZO230" s="340"/>
      <c r="AZP230" s="340"/>
      <c r="AZQ230" s="340"/>
      <c r="AZR230" s="340"/>
      <c r="AZS230" s="340"/>
      <c r="AZT230" s="340"/>
      <c r="AZU230" s="340"/>
      <c r="AZV230" s="340"/>
      <c r="AZW230" s="340"/>
      <c r="AZX230" s="340"/>
      <c r="AZY230" s="340"/>
      <c r="AZZ230" s="340"/>
      <c r="BAA230" s="340"/>
      <c r="BAB230" s="340"/>
      <c r="BAC230" s="340"/>
      <c r="BAD230" s="340"/>
      <c r="BAE230" s="340"/>
      <c r="BAF230" s="340"/>
      <c r="BAG230" s="340"/>
      <c r="BAH230" s="340"/>
      <c r="BAI230" s="340"/>
      <c r="BAJ230" s="340"/>
      <c r="BAK230" s="340"/>
      <c r="BAL230" s="340"/>
      <c r="BAM230" s="340"/>
      <c r="BAN230" s="340"/>
      <c r="BAO230" s="340"/>
      <c r="BAP230" s="340"/>
      <c r="BAQ230" s="340"/>
      <c r="BAR230" s="340"/>
      <c r="BAS230" s="340"/>
      <c r="BAT230" s="340"/>
      <c r="BAU230" s="340"/>
      <c r="BAV230" s="340"/>
      <c r="BAW230" s="340"/>
      <c r="BAX230" s="340"/>
      <c r="BAY230" s="340"/>
      <c r="BAZ230" s="340"/>
      <c r="BBA230" s="340"/>
      <c r="BBB230" s="340"/>
      <c r="BBC230" s="340"/>
      <c r="BBD230" s="340"/>
      <c r="BBE230" s="340"/>
      <c r="BBF230" s="340"/>
      <c r="BBG230" s="340"/>
      <c r="BBH230" s="340"/>
      <c r="BBI230" s="340"/>
      <c r="BBJ230" s="340"/>
      <c r="BBK230" s="340"/>
      <c r="BBL230" s="340"/>
      <c r="BBM230" s="340"/>
      <c r="BBN230" s="340"/>
      <c r="BBO230" s="340"/>
      <c r="BBP230" s="340"/>
      <c r="BBQ230" s="340"/>
      <c r="BBR230" s="340"/>
      <c r="BBS230" s="340"/>
      <c r="BBT230" s="340"/>
      <c r="BBU230" s="340"/>
      <c r="BBV230" s="340"/>
      <c r="BBW230" s="340"/>
      <c r="BBX230" s="340"/>
      <c r="BBY230" s="340"/>
      <c r="BBZ230" s="340"/>
      <c r="BCA230" s="340"/>
      <c r="BCB230" s="340"/>
      <c r="BCC230" s="340"/>
      <c r="BCD230" s="340"/>
      <c r="BCE230" s="340"/>
      <c r="BCF230" s="340"/>
      <c r="BCG230" s="340"/>
      <c r="BCH230" s="340"/>
      <c r="BCI230" s="340"/>
      <c r="BCJ230" s="340"/>
      <c r="BCK230" s="340"/>
      <c r="BCL230" s="340"/>
      <c r="BCM230" s="340"/>
      <c r="BCN230" s="340"/>
      <c r="BCO230" s="340"/>
      <c r="BCP230" s="340"/>
      <c r="BCQ230" s="340"/>
      <c r="BCR230" s="340"/>
      <c r="BCS230" s="340"/>
      <c r="BCT230" s="340"/>
      <c r="BCU230" s="340"/>
      <c r="BCV230" s="340"/>
      <c r="BCW230" s="340"/>
      <c r="BCX230" s="340"/>
      <c r="BCY230" s="340"/>
      <c r="BCZ230" s="340"/>
      <c r="BDA230" s="340"/>
      <c r="BDB230" s="340"/>
      <c r="BDC230" s="340"/>
      <c r="BDD230" s="340"/>
      <c r="BDE230" s="340"/>
      <c r="BDF230" s="340"/>
      <c r="BDG230" s="340"/>
      <c r="BDH230" s="340"/>
      <c r="BDI230" s="340"/>
      <c r="BDJ230" s="340"/>
      <c r="BDK230" s="340"/>
      <c r="BDL230" s="340"/>
      <c r="BDM230" s="340"/>
      <c r="BDN230" s="340"/>
      <c r="BDO230" s="340"/>
      <c r="BDP230" s="340"/>
      <c r="BDQ230" s="340"/>
      <c r="BDR230" s="340"/>
      <c r="BDS230" s="340"/>
      <c r="BDT230" s="340"/>
      <c r="BDU230" s="340"/>
      <c r="BDV230" s="340"/>
      <c r="BDW230" s="340"/>
      <c r="BDX230" s="340"/>
      <c r="BDY230" s="340"/>
      <c r="BDZ230" s="340"/>
      <c r="BEA230" s="340"/>
      <c r="BEB230" s="340"/>
      <c r="BEC230" s="340"/>
      <c r="BED230" s="340"/>
      <c r="BEE230" s="340"/>
      <c r="BEF230" s="340"/>
      <c r="BEG230" s="340"/>
      <c r="BEH230" s="340"/>
      <c r="BEI230" s="340"/>
      <c r="BEJ230" s="340"/>
      <c r="BEK230" s="340"/>
      <c r="BEL230" s="340"/>
      <c r="BEM230" s="340"/>
      <c r="BEN230" s="340"/>
      <c r="BEO230" s="340"/>
      <c r="BEP230" s="340"/>
      <c r="BEQ230" s="340"/>
      <c r="BER230" s="340"/>
      <c r="BES230" s="340"/>
      <c r="BET230" s="340"/>
      <c r="BEU230" s="340"/>
      <c r="BEV230" s="340"/>
      <c r="BEW230" s="340"/>
      <c r="BEX230" s="340"/>
      <c r="BEY230" s="340"/>
      <c r="BEZ230" s="340"/>
      <c r="BFA230" s="340"/>
      <c r="BFB230" s="340"/>
      <c r="BFC230" s="340"/>
      <c r="BFD230" s="340"/>
      <c r="BFE230" s="340"/>
      <c r="BFF230" s="340"/>
      <c r="BFG230" s="340"/>
      <c r="BFH230" s="340"/>
      <c r="BFI230" s="340"/>
      <c r="BFJ230" s="340"/>
      <c r="BFK230" s="340"/>
      <c r="BFL230" s="340"/>
      <c r="BFM230" s="340"/>
      <c r="BFN230" s="340"/>
      <c r="BFO230" s="340"/>
      <c r="BFP230" s="340"/>
      <c r="BFQ230" s="340"/>
      <c r="BFR230" s="340"/>
      <c r="BFS230" s="340"/>
      <c r="BFT230" s="340"/>
      <c r="BFU230" s="340"/>
      <c r="BFV230" s="340"/>
      <c r="BFW230" s="340"/>
      <c r="BFX230" s="340"/>
      <c r="BFY230" s="340"/>
      <c r="BFZ230" s="340"/>
      <c r="BGA230" s="340"/>
      <c r="BGB230" s="340"/>
      <c r="BGC230" s="340"/>
      <c r="BGD230" s="340"/>
      <c r="BGE230" s="340"/>
      <c r="BGF230" s="340"/>
      <c r="BGG230" s="340"/>
      <c r="BGH230" s="340"/>
      <c r="BGI230" s="340"/>
      <c r="BGJ230" s="340"/>
      <c r="BGK230" s="340"/>
      <c r="BGL230" s="340"/>
      <c r="BGM230" s="340"/>
      <c r="BGN230" s="340"/>
      <c r="BGO230" s="340"/>
      <c r="BGP230" s="340"/>
      <c r="BGQ230" s="340"/>
      <c r="BGR230" s="340"/>
      <c r="BGS230" s="340"/>
      <c r="BGT230" s="340"/>
      <c r="BGU230" s="340"/>
      <c r="BGV230" s="340"/>
      <c r="BGW230" s="340"/>
      <c r="BGX230" s="340"/>
      <c r="BGY230" s="340"/>
      <c r="BGZ230" s="340"/>
      <c r="BHA230" s="340"/>
      <c r="BHB230" s="340"/>
      <c r="BHC230" s="340"/>
      <c r="BHD230" s="340"/>
      <c r="BHE230" s="340"/>
      <c r="BHF230" s="340"/>
      <c r="BHG230" s="340"/>
      <c r="BHH230" s="340"/>
      <c r="BHI230" s="340"/>
      <c r="BHJ230" s="340"/>
      <c r="BHK230" s="340"/>
      <c r="BHL230" s="340"/>
      <c r="BHM230" s="340"/>
      <c r="BHN230" s="340"/>
      <c r="BHO230" s="340"/>
      <c r="BHP230" s="340"/>
      <c r="BHQ230" s="340"/>
      <c r="BHR230" s="340"/>
      <c r="BHS230" s="340"/>
      <c r="BHT230" s="340"/>
      <c r="BHU230" s="340"/>
      <c r="BHV230" s="340"/>
      <c r="BHW230" s="340"/>
      <c r="BHX230" s="340"/>
      <c r="BHY230" s="340"/>
      <c r="BHZ230" s="340"/>
      <c r="BIA230" s="340"/>
      <c r="BIB230" s="340"/>
      <c r="BIC230" s="340"/>
      <c r="BID230" s="340"/>
      <c r="BIE230" s="340"/>
      <c r="BIF230" s="340"/>
      <c r="BIG230" s="340"/>
      <c r="BIH230" s="340"/>
      <c r="BII230" s="340"/>
      <c r="BIJ230" s="340"/>
      <c r="BIK230" s="340"/>
      <c r="BIL230" s="340"/>
      <c r="BIM230" s="340"/>
      <c r="BIN230" s="340"/>
      <c r="BIO230" s="340"/>
      <c r="BIP230" s="340"/>
      <c r="BIQ230" s="340"/>
      <c r="BIR230" s="340"/>
      <c r="BIS230" s="340"/>
      <c r="BIT230" s="340"/>
      <c r="BIU230" s="340"/>
      <c r="BIV230" s="340"/>
      <c r="BIW230" s="340"/>
      <c r="BIX230" s="340"/>
      <c r="BIY230" s="340"/>
      <c r="BIZ230" s="340"/>
      <c r="BJA230" s="340"/>
      <c r="BJB230" s="340"/>
      <c r="BJC230" s="340"/>
      <c r="BJD230" s="340"/>
      <c r="BJE230" s="340"/>
      <c r="BJF230" s="340"/>
      <c r="BJG230" s="340"/>
      <c r="BJH230" s="340"/>
      <c r="BJI230" s="340"/>
      <c r="BJJ230" s="340"/>
      <c r="BJK230" s="340"/>
      <c r="BJL230" s="340"/>
      <c r="BJM230" s="340"/>
      <c r="BJN230" s="340"/>
      <c r="BJO230" s="340"/>
      <c r="BJP230" s="340"/>
      <c r="BJQ230" s="340"/>
      <c r="BJR230" s="340"/>
      <c r="BJS230" s="340"/>
      <c r="BJT230" s="340"/>
      <c r="BJU230" s="340"/>
      <c r="BJV230" s="340"/>
      <c r="BJW230" s="340"/>
      <c r="BJX230" s="340"/>
      <c r="BJY230" s="340"/>
      <c r="BJZ230" s="340"/>
      <c r="BKA230" s="340"/>
      <c r="BKB230" s="340"/>
      <c r="BKC230" s="340"/>
      <c r="BKD230" s="340"/>
      <c r="BKE230" s="340"/>
      <c r="BKF230" s="340"/>
      <c r="BKG230" s="340"/>
      <c r="BKH230" s="340"/>
      <c r="BKI230" s="340"/>
      <c r="BKJ230" s="340"/>
      <c r="BKK230" s="340"/>
      <c r="BKL230" s="340"/>
      <c r="BKM230" s="340"/>
      <c r="BKN230" s="340"/>
      <c r="BKO230" s="340"/>
      <c r="BKP230" s="340"/>
      <c r="BKQ230" s="340"/>
      <c r="BKR230" s="340"/>
      <c r="BKS230" s="340"/>
      <c r="BKT230" s="340"/>
      <c r="BKU230" s="340"/>
      <c r="BKV230" s="340"/>
      <c r="BKW230" s="340"/>
      <c r="BKX230" s="340"/>
      <c r="BKY230" s="340"/>
      <c r="BKZ230" s="340"/>
      <c r="BLA230" s="340"/>
      <c r="BLB230" s="340"/>
      <c r="BLC230" s="340"/>
      <c r="BLD230" s="340"/>
      <c r="BLE230" s="340"/>
      <c r="BLF230" s="340"/>
      <c r="BLG230" s="340"/>
      <c r="BLH230" s="340"/>
      <c r="BLI230" s="340"/>
      <c r="BLJ230" s="340"/>
      <c r="BLK230" s="340"/>
      <c r="BLL230" s="340"/>
      <c r="BLM230" s="340"/>
      <c r="BLN230" s="340"/>
      <c r="BLO230" s="340"/>
      <c r="BLP230" s="340"/>
      <c r="BLQ230" s="340"/>
      <c r="BLR230" s="340"/>
      <c r="BLS230" s="340"/>
      <c r="BLT230" s="340"/>
      <c r="BLU230" s="340"/>
      <c r="BLV230" s="340"/>
      <c r="BLW230" s="340"/>
      <c r="BLX230" s="340"/>
      <c r="BLY230" s="340"/>
      <c r="BLZ230" s="340"/>
      <c r="BMA230" s="340"/>
      <c r="BMB230" s="340"/>
      <c r="BMC230" s="340"/>
      <c r="BMD230" s="340"/>
      <c r="BME230" s="340"/>
      <c r="BMF230" s="340"/>
      <c r="BMG230" s="340"/>
      <c r="BMH230" s="340"/>
      <c r="BMI230" s="340"/>
      <c r="BMJ230" s="340"/>
      <c r="BMK230" s="340"/>
      <c r="BML230" s="340"/>
      <c r="BMM230" s="340"/>
      <c r="BMN230" s="340"/>
      <c r="BMO230" s="340"/>
      <c r="BMP230" s="340"/>
      <c r="BMQ230" s="340"/>
      <c r="BMR230" s="340"/>
      <c r="BMS230" s="340"/>
      <c r="BMT230" s="340"/>
      <c r="BMU230" s="340"/>
      <c r="BMV230" s="340"/>
      <c r="BMW230" s="340"/>
      <c r="BMX230" s="340"/>
      <c r="BMY230" s="340"/>
      <c r="BMZ230" s="340"/>
      <c r="BNA230" s="340"/>
      <c r="BNB230" s="340"/>
      <c r="BNC230" s="340"/>
      <c r="BND230" s="340"/>
      <c r="BNE230" s="340"/>
      <c r="BNF230" s="340"/>
      <c r="BNG230" s="340"/>
      <c r="BNH230" s="340"/>
      <c r="BNI230" s="340"/>
      <c r="BNJ230" s="340"/>
      <c r="BNK230" s="340"/>
      <c r="BNL230" s="340"/>
      <c r="BNM230" s="340"/>
      <c r="BNN230" s="340"/>
      <c r="BNO230" s="340"/>
      <c r="BNP230" s="340"/>
      <c r="BNQ230" s="340"/>
      <c r="BNR230" s="340"/>
      <c r="BNS230" s="340"/>
      <c r="BNT230" s="340"/>
      <c r="BNU230" s="340"/>
      <c r="BNV230" s="340"/>
      <c r="BNW230" s="340"/>
      <c r="BNX230" s="340"/>
      <c r="BNY230" s="340"/>
      <c r="BNZ230" s="340"/>
      <c r="BOA230" s="340"/>
      <c r="BOB230" s="340"/>
      <c r="BOC230" s="340"/>
      <c r="BOD230" s="340"/>
      <c r="BOE230" s="340"/>
      <c r="BOF230" s="340"/>
      <c r="BOG230" s="340"/>
      <c r="BOH230" s="340"/>
      <c r="BOI230" s="340"/>
      <c r="BOJ230" s="340"/>
      <c r="BOK230" s="340"/>
      <c r="BOL230" s="340"/>
      <c r="BOM230" s="340"/>
      <c r="BON230" s="340"/>
      <c r="BOO230" s="340"/>
      <c r="BOP230" s="340"/>
      <c r="BOQ230" s="340"/>
      <c r="BOR230" s="340"/>
      <c r="BOS230" s="340"/>
      <c r="BOT230" s="340"/>
      <c r="BOU230" s="340"/>
      <c r="BOV230" s="340"/>
      <c r="BOW230" s="340"/>
      <c r="BOX230" s="340"/>
      <c r="BOY230" s="340"/>
      <c r="BOZ230" s="340"/>
      <c r="BPA230" s="340"/>
      <c r="BPB230" s="340"/>
      <c r="BPC230" s="340"/>
      <c r="BPD230" s="340"/>
      <c r="BPE230" s="340"/>
      <c r="BPF230" s="340"/>
      <c r="BPG230" s="340"/>
      <c r="BPH230" s="340"/>
      <c r="BPI230" s="340"/>
      <c r="BPJ230" s="340"/>
      <c r="BPK230" s="340"/>
      <c r="BPL230" s="340"/>
      <c r="BPM230" s="340"/>
      <c r="BPN230" s="340"/>
      <c r="BPO230" s="340"/>
      <c r="BPP230" s="340"/>
      <c r="BPQ230" s="340"/>
      <c r="BPR230" s="340"/>
      <c r="BPS230" s="340"/>
      <c r="BPT230" s="340"/>
      <c r="BPU230" s="340"/>
      <c r="BPV230" s="340"/>
      <c r="BPW230" s="340"/>
      <c r="BPX230" s="340"/>
      <c r="BPY230" s="340"/>
      <c r="BPZ230" s="340"/>
      <c r="BQA230" s="340"/>
      <c r="BQB230" s="340"/>
      <c r="BQC230" s="340"/>
      <c r="BQD230" s="340"/>
      <c r="BQE230" s="340"/>
      <c r="BQF230" s="340"/>
      <c r="BQG230" s="340"/>
      <c r="BQH230" s="340"/>
      <c r="BQI230" s="340"/>
      <c r="BQJ230" s="340"/>
      <c r="BQK230" s="340"/>
      <c r="BQL230" s="340"/>
      <c r="BQM230" s="340"/>
      <c r="BQN230" s="340"/>
      <c r="BQO230" s="340"/>
      <c r="BQP230" s="340"/>
      <c r="BQQ230" s="340"/>
      <c r="BQR230" s="340"/>
      <c r="BQS230" s="340"/>
      <c r="BQT230" s="340"/>
      <c r="BQU230" s="340"/>
      <c r="BQV230" s="340"/>
      <c r="BQW230" s="340"/>
      <c r="BQX230" s="340"/>
      <c r="BQY230" s="340"/>
      <c r="BQZ230" s="340"/>
      <c r="BRA230" s="340"/>
      <c r="BRB230" s="340"/>
      <c r="BRC230" s="340"/>
      <c r="BRD230" s="340"/>
      <c r="BRE230" s="340"/>
      <c r="BRF230" s="340"/>
      <c r="BRG230" s="340"/>
      <c r="BRH230" s="340"/>
      <c r="BRI230" s="340"/>
      <c r="BRJ230" s="340"/>
      <c r="BRK230" s="340"/>
      <c r="BRL230" s="340"/>
      <c r="BRM230" s="340"/>
      <c r="BRN230" s="340"/>
      <c r="BRO230" s="340"/>
      <c r="BRP230" s="340"/>
      <c r="BRQ230" s="340"/>
      <c r="BRR230" s="340"/>
      <c r="BRS230" s="340"/>
      <c r="BRT230" s="340"/>
      <c r="BRU230" s="340"/>
      <c r="BRV230" s="340"/>
      <c r="BRW230" s="340"/>
      <c r="BRX230" s="340"/>
      <c r="BRY230" s="340"/>
      <c r="BRZ230" s="340"/>
      <c r="BSA230" s="340"/>
      <c r="BSB230" s="340"/>
      <c r="BSC230" s="340"/>
      <c r="BSD230" s="340"/>
      <c r="BSE230" s="340"/>
      <c r="BSF230" s="340"/>
      <c r="BSG230" s="340"/>
      <c r="BSH230" s="340"/>
      <c r="BSI230" s="340"/>
      <c r="BSJ230" s="340"/>
      <c r="BSK230" s="340"/>
      <c r="BSL230" s="340"/>
      <c r="BSM230" s="340"/>
      <c r="BSN230" s="340"/>
      <c r="BSO230" s="340"/>
      <c r="BSP230" s="340"/>
      <c r="BSQ230" s="340"/>
      <c r="BSR230" s="340"/>
      <c r="BSS230" s="340"/>
      <c r="BST230" s="340"/>
      <c r="BSU230" s="340"/>
      <c r="BSV230" s="340"/>
      <c r="BSW230" s="340"/>
      <c r="BSX230" s="340"/>
      <c r="BSY230" s="340"/>
      <c r="BSZ230" s="340"/>
      <c r="BTA230" s="340"/>
      <c r="BTB230" s="340"/>
      <c r="BTC230" s="340"/>
      <c r="BTD230" s="340"/>
      <c r="BTE230" s="340"/>
      <c r="BTF230" s="340"/>
      <c r="BTG230" s="340"/>
      <c r="BTH230" s="340"/>
      <c r="BTI230" s="340"/>
      <c r="BTJ230" s="340"/>
      <c r="BTK230" s="340"/>
      <c r="BTL230" s="340"/>
      <c r="BTM230" s="340"/>
      <c r="BTN230" s="340"/>
      <c r="BTO230" s="340"/>
      <c r="BTP230" s="340"/>
      <c r="BTQ230" s="340"/>
      <c r="BTR230" s="340"/>
      <c r="BTS230" s="340"/>
      <c r="BTT230" s="340"/>
      <c r="BTU230" s="340"/>
      <c r="BTV230" s="340"/>
      <c r="BTW230" s="340"/>
      <c r="BTX230" s="340"/>
      <c r="BTY230" s="340"/>
      <c r="BTZ230" s="340"/>
      <c r="BUA230" s="340"/>
      <c r="BUB230" s="340"/>
      <c r="BUC230" s="340"/>
      <c r="BUD230" s="340"/>
      <c r="BUE230" s="340"/>
      <c r="BUF230" s="340"/>
      <c r="BUG230" s="340"/>
      <c r="BUH230" s="340"/>
      <c r="BUI230" s="340"/>
      <c r="BUJ230" s="340"/>
      <c r="BUK230" s="340"/>
      <c r="BUL230" s="340"/>
      <c r="BUM230" s="340"/>
      <c r="BUN230" s="340"/>
      <c r="BUO230" s="340"/>
      <c r="BUP230" s="340"/>
      <c r="BUQ230" s="340"/>
      <c r="BUR230" s="340"/>
      <c r="BUS230" s="340"/>
      <c r="BUT230" s="340"/>
      <c r="BUU230" s="340"/>
      <c r="BUV230" s="340"/>
      <c r="BUW230" s="340"/>
      <c r="BUX230" s="340"/>
      <c r="BUY230" s="340"/>
      <c r="BUZ230" s="340"/>
      <c r="BVA230" s="340"/>
      <c r="BVB230" s="340"/>
      <c r="BVC230" s="340"/>
      <c r="BVD230" s="340"/>
      <c r="BVE230" s="340"/>
      <c r="BVF230" s="340"/>
      <c r="BVG230" s="340"/>
      <c r="BVH230" s="340"/>
      <c r="BVI230" s="340"/>
      <c r="BVJ230" s="340"/>
      <c r="BVK230" s="340"/>
      <c r="BVL230" s="340"/>
      <c r="BVM230" s="340"/>
      <c r="BVN230" s="340"/>
      <c r="BVO230" s="340"/>
      <c r="BVP230" s="340"/>
      <c r="BVQ230" s="340"/>
      <c r="BVR230" s="340"/>
      <c r="BVS230" s="340"/>
      <c r="BVT230" s="340"/>
      <c r="BVU230" s="340"/>
      <c r="BVV230" s="340"/>
      <c r="BVW230" s="340"/>
      <c r="BVX230" s="340"/>
      <c r="BVY230" s="340"/>
      <c r="BVZ230" s="340"/>
      <c r="BWA230" s="340"/>
      <c r="BWB230" s="340"/>
      <c r="BWC230" s="340"/>
      <c r="BWD230" s="340"/>
      <c r="BWE230" s="340"/>
      <c r="BWF230" s="340"/>
      <c r="BWG230" s="340"/>
      <c r="BWH230" s="340"/>
      <c r="BWI230" s="340"/>
      <c r="BWJ230" s="340"/>
      <c r="BWK230" s="340"/>
      <c r="BWL230" s="340"/>
      <c r="BWM230" s="340"/>
      <c r="BWN230" s="340"/>
      <c r="BWO230" s="340"/>
      <c r="BWP230" s="340"/>
      <c r="BWQ230" s="340"/>
      <c r="BWR230" s="340"/>
      <c r="BWS230" s="340"/>
      <c r="BWT230" s="340"/>
      <c r="BWU230" s="340"/>
      <c r="BWV230" s="340"/>
      <c r="BWW230" s="340"/>
      <c r="BWX230" s="340"/>
      <c r="BWY230" s="340"/>
      <c r="BWZ230" s="340"/>
      <c r="BXA230" s="340"/>
      <c r="BXB230" s="340"/>
      <c r="BXC230" s="340"/>
      <c r="BXD230" s="340"/>
      <c r="BXE230" s="340"/>
      <c r="BXF230" s="340"/>
      <c r="BXG230" s="340"/>
      <c r="BXH230" s="340"/>
      <c r="BXI230" s="340"/>
      <c r="BXJ230" s="340"/>
      <c r="BXK230" s="340"/>
      <c r="BXL230" s="340"/>
      <c r="BXM230" s="340"/>
      <c r="BXN230" s="340"/>
      <c r="BXO230" s="340"/>
      <c r="BXP230" s="340"/>
      <c r="BXQ230" s="340"/>
      <c r="BXR230" s="340"/>
      <c r="BXS230" s="340"/>
      <c r="BXT230" s="340"/>
      <c r="BXU230" s="340"/>
      <c r="BXV230" s="340"/>
      <c r="BXW230" s="340"/>
      <c r="BXX230" s="340"/>
      <c r="BXY230" s="340"/>
      <c r="BXZ230" s="340"/>
      <c r="BYA230" s="340"/>
      <c r="BYB230" s="340"/>
      <c r="BYC230" s="340"/>
      <c r="BYD230" s="340"/>
      <c r="BYE230" s="340"/>
      <c r="BYF230" s="340"/>
      <c r="BYG230" s="340"/>
      <c r="BYH230" s="340"/>
      <c r="BYI230" s="340"/>
      <c r="BYJ230" s="340"/>
      <c r="BYK230" s="340"/>
      <c r="BYL230" s="340"/>
      <c r="BYM230" s="340"/>
      <c r="BYN230" s="340"/>
      <c r="BYO230" s="340"/>
      <c r="BYP230" s="340"/>
      <c r="BYQ230" s="340"/>
      <c r="BYR230" s="340"/>
      <c r="BYS230" s="340"/>
      <c r="BYT230" s="340"/>
      <c r="BYU230" s="340"/>
      <c r="BYV230" s="340"/>
      <c r="BYW230" s="340"/>
      <c r="BYX230" s="340"/>
      <c r="BYY230" s="340"/>
      <c r="BYZ230" s="340"/>
      <c r="BZA230" s="340"/>
      <c r="BZB230" s="340"/>
      <c r="BZC230" s="340"/>
      <c r="BZD230" s="340"/>
      <c r="BZE230" s="340"/>
      <c r="BZF230" s="340"/>
      <c r="BZG230" s="340"/>
      <c r="BZH230" s="340"/>
      <c r="BZI230" s="340"/>
      <c r="BZJ230" s="340"/>
      <c r="BZK230" s="340"/>
      <c r="BZL230" s="340"/>
      <c r="BZM230" s="340"/>
      <c r="BZN230" s="340"/>
      <c r="BZO230" s="340"/>
      <c r="BZP230" s="340"/>
      <c r="BZQ230" s="340"/>
      <c r="BZR230" s="340"/>
      <c r="BZS230" s="340"/>
      <c r="BZT230" s="340"/>
      <c r="BZU230" s="340"/>
      <c r="BZV230" s="340"/>
      <c r="BZW230" s="340"/>
      <c r="BZX230" s="340"/>
      <c r="BZY230" s="340"/>
      <c r="BZZ230" s="340"/>
      <c r="CAA230" s="340"/>
      <c r="CAB230" s="340"/>
      <c r="CAC230" s="340"/>
      <c r="CAD230" s="340"/>
      <c r="CAE230" s="340"/>
      <c r="CAF230" s="340"/>
      <c r="CAG230" s="340"/>
      <c r="CAH230" s="340"/>
      <c r="CAI230" s="340"/>
      <c r="CAJ230" s="340"/>
      <c r="CAK230" s="340"/>
      <c r="CAL230" s="340"/>
      <c r="CAM230" s="340"/>
      <c r="CAN230" s="340"/>
      <c r="CAO230" s="340"/>
      <c r="CAP230" s="340"/>
      <c r="CAQ230" s="340"/>
      <c r="CAR230" s="340"/>
      <c r="CAS230" s="340"/>
      <c r="CAT230" s="340"/>
      <c r="CAU230" s="340"/>
      <c r="CAV230" s="340"/>
      <c r="CAW230" s="340"/>
      <c r="CAX230" s="340"/>
      <c r="CAY230" s="340"/>
      <c r="CAZ230" s="340"/>
      <c r="CBA230" s="340"/>
      <c r="CBB230" s="340"/>
      <c r="CBC230" s="340"/>
      <c r="CBD230" s="340"/>
      <c r="CBE230" s="340"/>
      <c r="CBF230" s="340"/>
      <c r="CBG230" s="340"/>
      <c r="CBH230" s="340"/>
      <c r="CBI230" s="340"/>
      <c r="CBJ230" s="340"/>
      <c r="CBK230" s="340"/>
      <c r="CBL230" s="340"/>
      <c r="CBM230" s="340"/>
      <c r="CBN230" s="340"/>
      <c r="CBO230" s="340"/>
      <c r="CBP230" s="340"/>
      <c r="CBQ230" s="340"/>
      <c r="CBR230" s="340"/>
      <c r="CBS230" s="340"/>
      <c r="CBT230" s="340"/>
      <c r="CBU230" s="340"/>
      <c r="CBV230" s="340"/>
      <c r="CBW230" s="340"/>
      <c r="CBX230" s="340"/>
      <c r="CBY230" s="340"/>
      <c r="CBZ230" s="340"/>
      <c r="CCA230" s="340"/>
      <c r="CCB230" s="340"/>
      <c r="CCC230" s="340"/>
      <c r="CCD230" s="340"/>
      <c r="CCE230" s="340"/>
      <c r="CCF230" s="340"/>
      <c r="CCG230" s="340"/>
      <c r="CCH230" s="340"/>
      <c r="CCI230" s="340"/>
      <c r="CCJ230" s="340"/>
      <c r="CCK230" s="340"/>
      <c r="CCL230" s="340"/>
      <c r="CCM230" s="340"/>
      <c r="CCN230" s="340"/>
      <c r="CCO230" s="340"/>
      <c r="CCP230" s="340"/>
      <c r="CCQ230" s="340"/>
      <c r="CCR230" s="340"/>
      <c r="CCS230" s="340"/>
      <c r="CCT230" s="340"/>
      <c r="CCU230" s="340"/>
      <c r="CCV230" s="340"/>
      <c r="CCW230" s="340"/>
      <c r="CCX230" s="340"/>
      <c r="CCY230" s="340"/>
      <c r="CCZ230" s="340"/>
      <c r="CDA230" s="340"/>
      <c r="CDB230" s="340"/>
      <c r="CDC230" s="340"/>
      <c r="CDD230" s="340"/>
      <c r="CDE230" s="340"/>
      <c r="CDF230" s="340"/>
      <c r="CDG230" s="340"/>
      <c r="CDH230" s="340"/>
      <c r="CDI230" s="340"/>
      <c r="CDJ230" s="340"/>
      <c r="CDK230" s="340"/>
      <c r="CDL230" s="340"/>
      <c r="CDM230" s="340"/>
      <c r="CDN230" s="340"/>
      <c r="CDO230" s="340"/>
      <c r="CDP230" s="340"/>
      <c r="CDQ230" s="340"/>
      <c r="CDR230" s="340"/>
      <c r="CDS230" s="340"/>
      <c r="CDT230" s="340"/>
      <c r="CDU230" s="340"/>
      <c r="CDV230" s="340"/>
      <c r="CDW230" s="340"/>
      <c r="CDX230" s="340"/>
      <c r="CDY230" s="340"/>
      <c r="CDZ230" s="340"/>
      <c r="CEA230" s="340"/>
      <c r="CEB230" s="340"/>
      <c r="CEC230" s="340"/>
      <c r="CED230" s="340"/>
      <c r="CEE230" s="340"/>
      <c r="CEF230" s="340"/>
      <c r="CEG230" s="340"/>
      <c r="CEH230" s="340"/>
      <c r="CEI230" s="340"/>
      <c r="CEJ230" s="340"/>
      <c r="CEK230" s="340"/>
      <c r="CEL230" s="340"/>
      <c r="CEM230" s="340"/>
      <c r="CEN230" s="340"/>
      <c r="CEO230" s="340"/>
      <c r="CEP230" s="340"/>
      <c r="CEQ230" s="340"/>
      <c r="CER230" s="340"/>
      <c r="CES230" s="340"/>
      <c r="CET230" s="340"/>
      <c r="CEU230" s="340"/>
      <c r="CEV230" s="340"/>
      <c r="CEW230" s="340"/>
      <c r="CEX230" s="340"/>
      <c r="CEY230" s="340"/>
      <c r="CEZ230" s="340"/>
      <c r="CFA230" s="340"/>
      <c r="CFB230" s="340"/>
      <c r="CFC230" s="340"/>
      <c r="CFD230" s="340"/>
      <c r="CFE230" s="340"/>
      <c r="CFF230" s="340"/>
      <c r="CFG230" s="340"/>
      <c r="CFH230" s="340"/>
      <c r="CFI230" s="340"/>
      <c r="CFJ230" s="340"/>
      <c r="CFK230" s="340"/>
      <c r="CFL230" s="340"/>
      <c r="CFM230" s="340"/>
      <c r="CFN230" s="340"/>
      <c r="CFO230" s="340"/>
      <c r="CFP230" s="340"/>
      <c r="CFQ230" s="340"/>
      <c r="CFR230" s="340"/>
      <c r="CFS230" s="340"/>
      <c r="CFT230" s="340"/>
      <c r="CFU230" s="340"/>
      <c r="CFV230" s="340"/>
      <c r="CFW230" s="340"/>
      <c r="CFX230" s="340"/>
      <c r="CFY230" s="340"/>
      <c r="CFZ230" s="340"/>
      <c r="CGA230" s="340"/>
      <c r="CGB230" s="340"/>
      <c r="CGC230" s="340"/>
      <c r="CGD230" s="340"/>
      <c r="CGE230" s="340"/>
      <c r="CGF230" s="340"/>
      <c r="CGG230" s="340"/>
      <c r="CGH230" s="340"/>
      <c r="CGI230" s="340"/>
      <c r="CGJ230" s="340"/>
      <c r="CGK230" s="340"/>
      <c r="CGL230" s="340"/>
      <c r="CGM230" s="340"/>
      <c r="CGN230" s="340"/>
      <c r="CGO230" s="340"/>
      <c r="CGP230" s="340"/>
      <c r="CGQ230" s="340"/>
      <c r="CGR230" s="340"/>
      <c r="CGS230" s="340"/>
      <c r="CGT230" s="340"/>
      <c r="CGU230" s="340"/>
      <c r="CGV230" s="340"/>
      <c r="CGW230" s="340"/>
      <c r="CGX230" s="340"/>
      <c r="CGY230" s="340"/>
      <c r="CGZ230" s="340"/>
      <c r="CHA230" s="340"/>
      <c r="CHB230" s="340"/>
      <c r="CHC230" s="340"/>
      <c r="CHD230" s="340"/>
      <c r="CHE230" s="340"/>
      <c r="CHF230" s="340"/>
      <c r="CHG230" s="340"/>
      <c r="CHH230" s="340"/>
      <c r="CHI230" s="340"/>
      <c r="CHJ230" s="340"/>
      <c r="CHK230" s="340"/>
      <c r="CHL230" s="340"/>
      <c r="CHM230" s="340"/>
      <c r="CHN230" s="340"/>
      <c r="CHO230" s="340"/>
      <c r="CHP230" s="340"/>
      <c r="CHQ230" s="340"/>
      <c r="CHR230" s="340"/>
      <c r="CHS230" s="340"/>
      <c r="CHT230" s="340"/>
      <c r="CHU230" s="340"/>
      <c r="CHV230" s="340"/>
      <c r="CHW230" s="340"/>
      <c r="CHX230" s="340"/>
      <c r="CHY230" s="340"/>
      <c r="CHZ230" s="340"/>
      <c r="CIA230" s="340"/>
      <c r="CIB230" s="340"/>
      <c r="CIC230" s="340"/>
      <c r="CID230" s="340"/>
      <c r="CIE230" s="340"/>
      <c r="CIF230" s="340"/>
      <c r="CIG230" s="340"/>
      <c r="CIH230" s="340"/>
      <c r="CII230" s="340"/>
      <c r="CIJ230" s="340"/>
      <c r="CIK230" s="340"/>
      <c r="CIL230" s="340"/>
      <c r="CIM230" s="340"/>
      <c r="CIN230" s="340"/>
      <c r="CIO230" s="340"/>
      <c r="CIP230" s="340"/>
      <c r="CIQ230" s="340"/>
      <c r="CIR230" s="340"/>
      <c r="CIS230" s="340"/>
      <c r="CIT230" s="340"/>
      <c r="CIU230" s="340"/>
      <c r="CIV230" s="340"/>
      <c r="CIW230" s="340"/>
      <c r="CIX230" s="340"/>
      <c r="CIY230" s="340"/>
      <c r="CIZ230" s="340"/>
      <c r="CJA230" s="340"/>
      <c r="CJB230" s="340"/>
      <c r="CJC230" s="340"/>
      <c r="CJD230" s="340"/>
      <c r="CJE230" s="340"/>
      <c r="CJF230" s="340"/>
      <c r="CJG230" s="340"/>
      <c r="CJH230" s="340"/>
      <c r="CJI230" s="340"/>
      <c r="CJJ230" s="340"/>
      <c r="CJK230" s="340"/>
      <c r="CJL230" s="340"/>
      <c r="CJM230" s="340"/>
      <c r="CJN230" s="340"/>
      <c r="CJO230" s="340"/>
      <c r="CJP230" s="340"/>
      <c r="CJQ230" s="340"/>
      <c r="CJR230" s="340"/>
      <c r="CJS230" s="340"/>
      <c r="CJT230" s="340"/>
      <c r="CJU230" s="340"/>
      <c r="CJV230" s="340"/>
      <c r="CJW230" s="340"/>
      <c r="CJX230" s="340"/>
      <c r="CJY230" s="340"/>
      <c r="CJZ230" s="340"/>
      <c r="CKA230" s="340"/>
      <c r="CKB230" s="340"/>
      <c r="CKC230" s="340"/>
      <c r="CKD230" s="340"/>
      <c r="CKE230" s="340"/>
      <c r="CKF230" s="340"/>
      <c r="CKG230" s="340"/>
      <c r="CKH230" s="340"/>
      <c r="CKI230" s="340"/>
      <c r="CKJ230" s="340"/>
      <c r="CKK230" s="340"/>
      <c r="CKL230" s="340"/>
      <c r="CKM230" s="340"/>
      <c r="CKN230" s="340"/>
      <c r="CKO230" s="340"/>
      <c r="CKP230" s="340"/>
      <c r="CKQ230" s="340"/>
      <c r="CKR230" s="340"/>
      <c r="CKS230" s="340"/>
      <c r="CKT230" s="340"/>
      <c r="CKU230" s="340"/>
      <c r="CKV230" s="340"/>
      <c r="CKW230" s="340"/>
      <c r="CKX230" s="340"/>
      <c r="CKY230" s="340"/>
      <c r="CKZ230" s="340"/>
      <c r="CLA230" s="340"/>
      <c r="CLB230" s="340"/>
      <c r="CLC230" s="340"/>
      <c r="CLD230" s="340"/>
      <c r="CLE230" s="340"/>
      <c r="CLF230" s="340"/>
      <c r="CLG230" s="340"/>
      <c r="CLH230" s="340"/>
      <c r="CLI230" s="340"/>
      <c r="CLJ230" s="340"/>
      <c r="CLK230" s="340"/>
      <c r="CLL230" s="340"/>
      <c r="CLM230" s="340"/>
      <c r="CLN230" s="340"/>
      <c r="CLO230" s="340"/>
      <c r="CLP230" s="340"/>
      <c r="CLQ230" s="340"/>
      <c r="CLR230" s="340"/>
      <c r="CLS230" s="340"/>
      <c r="CLT230" s="340"/>
      <c r="CLU230" s="340"/>
      <c r="CLV230" s="340"/>
      <c r="CLW230" s="340"/>
      <c r="CLX230" s="340"/>
      <c r="CLY230" s="340"/>
      <c r="CLZ230" s="340"/>
      <c r="CMA230" s="340"/>
      <c r="CMB230" s="340"/>
      <c r="CMC230" s="340"/>
      <c r="CMD230" s="340"/>
      <c r="CME230" s="340"/>
      <c r="CMF230" s="340"/>
      <c r="CMG230" s="340"/>
      <c r="CMH230" s="340"/>
      <c r="CMI230" s="340"/>
      <c r="CMJ230" s="340"/>
      <c r="CMK230" s="340"/>
      <c r="CML230" s="340"/>
      <c r="CMM230" s="340"/>
      <c r="CMN230" s="340"/>
      <c r="CMO230" s="340"/>
      <c r="CMP230" s="340"/>
      <c r="CMQ230" s="340"/>
      <c r="CMR230" s="340"/>
      <c r="CMS230" s="340"/>
      <c r="CMT230" s="340"/>
      <c r="CMU230" s="340"/>
      <c r="CMV230" s="340"/>
      <c r="CMW230" s="340"/>
      <c r="CMX230" s="340"/>
      <c r="CMY230" s="340"/>
      <c r="CMZ230" s="340"/>
      <c r="CNA230" s="340"/>
      <c r="CNB230" s="340"/>
      <c r="CNC230" s="340"/>
      <c r="CND230" s="340"/>
      <c r="CNE230" s="340"/>
      <c r="CNF230" s="340"/>
      <c r="CNG230" s="340"/>
      <c r="CNH230" s="340"/>
      <c r="CNI230" s="340"/>
      <c r="CNJ230" s="340"/>
      <c r="CNK230" s="340"/>
      <c r="CNL230" s="340"/>
      <c r="CNM230" s="340"/>
      <c r="CNN230" s="340"/>
      <c r="CNO230" s="340"/>
      <c r="CNP230" s="340"/>
      <c r="CNQ230" s="340"/>
      <c r="CNR230" s="340"/>
      <c r="CNS230" s="340"/>
      <c r="CNT230" s="340"/>
      <c r="CNU230" s="340"/>
      <c r="CNV230" s="340"/>
      <c r="CNW230" s="340"/>
      <c r="CNX230" s="340"/>
      <c r="CNY230" s="340"/>
      <c r="CNZ230" s="340"/>
      <c r="COA230" s="340"/>
      <c r="COB230" s="340"/>
      <c r="COC230" s="340"/>
      <c r="COD230" s="340"/>
      <c r="COE230" s="340"/>
      <c r="COF230" s="340"/>
      <c r="COG230" s="340"/>
      <c r="COH230" s="340"/>
      <c r="COI230" s="340"/>
      <c r="COJ230" s="340"/>
      <c r="COK230" s="340"/>
      <c r="COL230" s="340"/>
      <c r="COM230" s="340"/>
      <c r="CON230" s="340"/>
      <c r="COO230" s="340"/>
      <c r="COP230" s="340"/>
      <c r="COQ230" s="340"/>
      <c r="COR230" s="340"/>
      <c r="COS230" s="340"/>
      <c r="COT230" s="340"/>
      <c r="COU230" s="340"/>
      <c r="COV230" s="340"/>
      <c r="COW230" s="340"/>
      <c r="COX230" s="340"/>
      <c r="COY230" s="340"/>
      <c r="COZ230" s="340"/>
      <c r="CPA230" s="340"/>
      <c r="CPB230" s="340"/>
      <c r="CPC230" s="340"/>
      <c r="CPD230" s="340"/>
      <c r="CPE230" s="340"/>
      <c r="CPF230" s="340"/>
      <c r="CPG230" s="340"/>
      <c r="CPH230" s="340"/>
      <c r="CPI230" s="340"/>
      <c r="CPJ230" s="340"/>
      <c r="CPK230" s="340"/>
      <c r="CPL230" s="340"/>
      <c r="CPM230" s="340"/>
      <c r="CPN230" s="340"/>
      <c r="CPO230" s="340"/>
      <c r="CPP230" s="340"/>
      <c r="CPQ230" s="340"/>
      <c r="CPR230" s="340"/>
      <c r="CPS230" s="340"/>
      <c r="CPT230" s="340"/>
      <c r="CPU230" s="340"/>
      <c r="CPV230" s="340"/>
      <c r="CPW230" s="340"/>
      <c r="CPX230" s="340"/>
      <c r="CPY230" s="340"/>
      <c r="CPZ230" s="340"/>
      <c r="CQA230" s="340"/>
      <c r="CQB230" s="340"/>
      <c r="CQC230" s="340"/>
      <c r="CQD230" s="340"/>
      <c r="CQE230" s="340"/>
      <c r="CQF230" s="340"/>
      <c r="CQG230" s="340"/>
      <c r="CQH230" s="340"/>
      <c r="CQI230" s="340"/>
      <c r="CQJ230" s="340"/>
      <c r="CQK230" s="340"/>
      <c r="CQL230" s="340"/>
      <c r="CQM230" s="340"/>
      <c r="CQN230" s="340"/>
      <c r="CQO230" s="340"/>
      <c r="CQP230" s="340"/>
      <c r="CQQ230" s="340"/>
      <c r="CQR230" s="340"/>
      <c r="CQS230" s="340"/>
      <c r="CQT230" s="340"/>
      <c r="CQU230" s="340"/>
      <c r="CQV230" s="340"/>
      <c r="CQW230" s="340"/>
      <c r="CQX230" s="340"/>
      <c r="CQY230" s="340"/>
      <c r="CQZ230" s="340"/>
      <c r="CRA230" s="340"/>
      <c r="CRB230" s="340"/>
      <c r="CRC230" s="340"/>
      <c r="CRD230" s="340"/>
      <c r="CRE230" s="340"/>
      <c r="CRF230" s="340"/>
      <c r="CRG230" s="340"/>
      <c r="CRH230" s="340"/>
      <c r="CRI230" s="340"/>
      <c r="CRJ230" s="340"/>
      <c r="CRK230" s="340"/>
      <c r="CRL230" s="340"/>
      <c r="CRM230" s="340"/>
      <c r="CRN230" s="340"/>
      <c r="CRO230" s="340"/>
      <c r="CRP230" s="340"/>
      <c r="CRQ230" s="340"/>
      <c r="CRR230" s="340"/>
      <c r="CRS230" s="340"/>
      <c r="CRT230" s="340"/>
      <c r="CRU230" s="340"/>
      <c r="CRV230" s="340"/>
      <c r="CRW230" s="340"/>
      <c r="CRX230" s="340"/>
      <c r="CRY230" s="340"/>
      <c r="CRZ230" s="340"/>
      <c r="CSA230" s="340"/>
      <c r="CSB230" s="340"/>
      <c r="CSC230" s="340"/>
      <c r="CSD230" s="340"/>
      <c r="CSE230" s="340"/>
      <c r="CSF230" s="340"/>
      <c r="CSG230" s="340"/>
      <c r="CSH230" s="340"/>
      <c r="CSI230" s="340"/>
      <c r="CSJ230" s="340"/>
      <c r="CSK230" s="340"/>
      <c r="CSL230" s="340"/>
      <c r="CSM230" s="340"/>
      <c r="CSN230" s="340"/>
      <c r="CSO230" s="340"/>
      <c r="CSP230" s="340"/>
      <c r="CSQ230" s="340"/>
      <c r="CSR230" s="340"/>
      <c r="CSS230" s="340"/>
      <c r="CST230" s="340"/>
      <c r="CSU230" s="340"/>
      <c r="CSV230" s="340"/>
      <c r="CSW230" s="340"/>
      <c r="CSX230" s="340"/>
      <c r="CSY230" s="340"/>
      <c r="CSZ230" s="340"/>
      <c r="CTA230" s="340"/>
      <c r="CTB230" s="340"/>
      <c r="CTC230" s="340"/>
      <c r="CTD230" s="340"/>
      <c r="CTE230" s="340"/>
      <c r="CTF230" s="340"/>
      <c r="CTG230" s="340"/>
      <c r="CTH230" s="340"/>
      <c r="CTI230" s="340"/>
      <c r="CTJ230" s="340"/>
      <c r="CTK230" s="340"/>
      <c r="CTL230" s="340"/>
      <c r="CTM230" s="340"/>
      <c r="CTN230" s="340"/>
      <c r="CTO230" s="340"/>
      <c r="CTP230" s="340"/>
      <c r="CTQ230" s="340"/>
      <c r="CTR230" s="340"/>
      <c r="CTS230" s="340"/>
      <c r="CTT230" s="340"/>
      <c r="CTU230" s="340"/>
      <c r="CTV230" s="340"/>
      <c r="CTW230" s="340"/>
      <c r="CTX230" s="340"/>
      <c r="CTY230" s="340"/>
      <c r="CTZ230" s="340"/>
      <c r="CUA230" s="340"/>
      <c r="CUB230" s="340"/>
      <c r="CUC230" s="340"/>
      <c r="CUD230" s="340"/>
      <c r="CUE230" s="340"/>
      <c r="CUF230" s="340"/>
      <c r="CUG230" s="340"/>
      <c r="CUH230" s="340"/>
      <c r="CUI230" s="340"/>
      <c r="CUJ230" s="340"/>
      <c r="CUK230" s="340"/>
      <c r="CUL230" s="340"/>
      <c r="CUM230" s="340"/>
      <c r="CUN230" s="340"/>
      <c r="CUO230" s="340"/>
      <c r="CUP230" s="340"/>
      <c r="CUQ230" s="340"/>
      <c r="CUR230" s="340"/>
      <c r="CUS230" s="340"/>
      <c r="CUT230" s="340"/>
      <c r="CUU230" s="340"/>
      <c r="CUV230" s="340"/>
      <c r="CUW230" s="340"/>
      <c r="CUX230" s="340"/>
      <c r="CUY230" s="340"/>
      <c r="CUZ230" s="340"/>
      <c r="CVA230" s="340"/>
      <c r="CVB230" s="340"/>
      <c r="CVC230" s="340"/>
      <c r="CVD230" s="340"/>
      <c r="CVE230" s="340"/>
      <c r="CVF230" s="340"/>
      <c r="CVG230" s="340"/>
      <c r="CVH230" s="340"/>
      <c r="CVI230" s="340"/>
      <c r="CVJ230" s="340"/>
      <c r="CVK230" s="340"/>
      <c r="CVL230" s="340"/>
      <c r="CVM230" s="340"/>
      <c r="CVN230" s="340"/>
      <c r="CVO230" s="340"/>
      <c r="CVP230" s="340"/>
      <c r="CVQ230" s="340"/>
      <c r="CVR230" s="340"/>
      <c r="CVS230" s="340"/>
      <c r="CVT230" s="340"/>
      <c r="CVU230" s="340"/>
      <c r="CVV230" s="340"/>
      <c r="CVW230" s="340"/>
      <c r="CVX230" s="340"/>
      <c r="CVY230" s="340"/>
      <c r="CVZ230" s="340"/>
      <c r="CWA230" s="340"/>
      <c r="CWB230" s="340"/>
      <c r="CWC230" s="340"/>
      <c r="CWD230" s="340"/>
      <c r="CWE230" s="340"/>
      <c r="CWF230" s="340"/>
      <c r="CWG230" s="340"/>
      <c r="CWH230" s="340"/>
      <c r="CWI230" s="340"/>
      <c r="CWJ230" s="340"/>
      <c r="CWK230" s="340"/>
      <c r="CWL230" s="340"/>
      <c r="CWM230" s="340"/>
      <c r="CWN230" s="340"/>
      <c r="CWO230" s="340"/>
      <c r="CWP230" s="340"/>
      <c r="CWQ230" s="340"/>
      <c r="CWR230" s="340"/>
      <c r="CWS230" s="340"/>
      <c r="CWT230" s="340"/>
      <c r="CWU230" s="340"/>
      <c r="CWV230" s="340"/>
      <c r="CWW230" s="340"/>
      <c r="CWX230" s="340"/>
      <c r="CWY230" s="340"/>
      <c r="CWZ230" s="340"/>
      <c r="CXA230" s="340"/>
      <c r="CXB230" s="340"/>
      <c r="CXC230" s="340"/>
      <c r="CXD230" s="340"/>
      <c r="CXE230" s="340"/>
      <c r="CXF230" s="340"/>
      <c r="CXG230" s="340"/>
      <c r="CXH230" s="340"/>
      <c r="CXI230" s="340"/>
      <c r="CXJ230" s="340"/>
      <c r="CXK230" s="340"/>
      <c r="CXL230" s="340"/>
      <c r="CXM230" s="340"/>
      <c r="CXN230" s="340"/>
      <c r="CXO230" s="340"/>
      <c r="CXP230" s="340"/>
      <c r="CXQ230" s="340"/>
      <c r="CXR230" s="340"/>
      <c r="CXS230" s="340"/>
      <c r="CXT230" s="340"/>
      <c r="CXU230" s="340"/>
      <c r="CXV230" s="340"/>
      <c r="CXW230" s="340"/>
      <c r="CXX230" s="340"/>
      <c r="CXY230" s="340"/>
      <c r="CXZ230" s="340"/>
      <c r="CYA230" s="340"/>
      <c r="CYB230" s="340"/>
      <c r="CYC230" s="340"/>
      <c r="CYD230" s="340"/>
      <c r="CYE230" s="340"/>
      <c r="CYF230" s="340"/>
      <c r="CYG230" s="340"/>
      <c r="CYH230" s="340"/>
      <c r="CYI230" s="340"/>
      <c r="CYJ230" s="340"/>
      <c r="CYK230" s="340"/>
      <c r="CYL230" s="340"/>
      <c r="CYM230" s="340"/>
      <c r="CYN230" s="340"/>
      <c r="CYO230" s="340"/>
      <c r="CYP230" s="340"/>
      <c r="CYQ230" s="340"/>
      <c r="CYR230" s="340"/>
      <c r="CYS230" s="340"/>
      <c r="CYT230" s="340"/>
      <c r="CYU230" s="340"/>
      <c r="CYV230" s="340"/>
      <c r="CYW230" s="340"/>
      <c r="CYX230" s="340"/>
      <c r="CYY230" s="340"/>
      <c r="CYZ230" s="340"/>
      <c r="CZA230" s="340"/>
      <c r="CZB230" s="340"/>
      <c r="CZC230" s="340"/>
      <c r="CZD230" s="340"/>
      <c r="CZE230" s="340"/>
      <c r="CZF230" s="340"/>
      <c r="CZG230" s="340"/>
      <c r="CZH230" s="340"/>
      <c r="CZI230" s="340"/>
      <c r="CZJ230" s="340"/>
      <c r="CZK230" s="340"/>
      <c r="CZL230" s="340"/>
      <c r="CZM230" s="340"/>
      <c r="CZN230" s="340"/>
      <c r="CZO230" s="340"/>
      <c r="CZP230" s="340"/>
      <c r="CZQ230" s="340"/>
      <c r="CZR230" s="340"/>
      <c r="CZS230" s="340"/>
      <c r="CZT230" s="340"/>
      <c r="CZU230" s="340"/>
      <c r="CZV230" s="340"/>
      <c r="CZW230" s="340"/>
      <c r="CZX230" s="340"/>
      <c r="CZY230" s="340"/>
      <c r="CZZ230" s="340"/>
      <c r="DAA230" s="340"/>
      <c r="DAB230" s="340"/>
      <c r="DAC230" s="340"/>
      <c r="DAD230" s="340"/>
      <c r="DAE230" s="340"/>
      <c r="DAF230" s="340"/>
      <c r="DAG230" s="340"/>
      <c r="DAH230" s="340"/>
      <c r="DAI230" s="340"/>
      <c r="DAJ230" s="340"/>
      <c r="DAK230" s="340"/>
      <c r="DAL230" s="340"/>
      <c r="DAM230" s="340"/>
      <c r="DAN230" s="340"/>
      <c r="DAO230" s="340"/>
      <c r="DAP230" s="340"/>
      <c r="DAQ230" s="340"/>
      <c r="DAR230" s="340"/>
      <c r="DAS230" s="340"/>
      <c r="DAT230" s="340"/>
      <c r="DAU230" s="340"/>
      <c r="DAV230" s="340"/>
      <c r="DAW230" s="340"/>
      <c r="DAX230" s="340"/>
      <c r="DAY230" s="340"/>
      <c r="DAZ230" s="340"/>
      <c r="DBA230" s="340"/>
      <c r="DBB230" s="340"/>
      <c r="DBC230" s="340"/>
      <c r="DBD230" s="340"/>
      <c r="DBE230" s="340"/>
      <c r="DBF230" s="340"/>
      <c r="DBG230" s="340"/>
      <c r="DBH230" s="340"/>
      <c r="DBI230" s="340"/>
      <c r="DBJ230" s="340"/>
      <c r="DBK230" s="340"/>
      <c r="DBL230" s="340"/>
      <c r="DBM230" s="340"/>
      <c r="DBN230" s="340"/>
      <c r="DBO230" s="340"/>
      <c r="DBP230" s="340"/>
      <c r="DBQ230" s="340"/>
      <c r="DBR230" s="340"/>
      <c r="DBS230" s="340"/>
      <c r="DBT230" s="340"/>
      <c r="DBU230" s="340"/>
      <c r="DBV230" s="340"/>
      <c r="DBW230" s="340"/>
      <c r="DBX230" s="340"/>
      <c r="DBY230" s="340"/>
      <c r="DBZ230" s="340"/>
      <c r="DCA230" s="340"/>
      <c r="DCB230" s="340"/>
      <c r="DCC230" s="340"/>
      <c r="DCD230" s="340"/>
      <c r="DCE230" s="340"/>
      <c r="DCF230" s="340"/>
      <c r="DCG230" s="340"/>
      <c r="DCH230" s="340"/>
      <c r="DCI230" s="340"/>
      <c r="DCJ230" s="340"/>
      <c r="DCK230" s="340"/>
      <c r="DCL230" s="340"/>
      <c r="DCM230" s="340"/>
      <c r="DCN230" s="340"/>
      <c r="DCO230" s="340"/>
      <c r="DCP230" s="340"/>
      <c r="DCQ230" s="340"/>
      <c r="DCR230" s="340"/>
      <c r="DCS230" s="340"/>
      <c r="DCT230" s="340"/>
      <c r="DCU230" s="340"/>
      <c r="DCV230" s="340"/>
      <c r="DCW230" s="340"/>
      <c r="DCX230" s="340"/>
      <c r="DCY230" s="340"/>
      <c r="DCZ230" s="340"/>
      <c r="DDA230" s="340"/>
      <c r="DDB230" s="340"/>
      <c r="DDC230" s="340"/>
      <c r="DDD230" s="340"/>
      <c r="DDE230" s="340"/>
      <c r="DDF230" s="340"/>
      <c r="DDG230" s="340"/>
      <c r="DDH230" s="340"/>
      <c r="DDI230" s="340"/>
      <c r="DDJ230" s="340"/>
      <c r="DDK230" s="340"/>
      <c r="DDL230" s="340"/>
      <c r="DDM230" s="340"/>
      <c r="DDN230" s="340"/>
      <c r="DDO230" s="340"/>
      <c r="DDP230" s="340"/>
      <c r="DDQ230" s="340"/>
      <c r="DDR230" s="340"/>
      <c r="DDS230" s="340"/>
      <c r="DDT230" s="340"/>
      <c r="DDU230" s="340"/>
      <c r="DDV230" s="340"/>
      <c r="DDW230" s="340"/>
      <c r="DDX230" s="340"/>
      <c r="DDY230" s="340"/>
      <c r="DDZ230" s="340"/>
      <c r="DEA230" s="340"/>
      <c r="DEB230" s="340"/>
      <c r="DEC230" s="340"/>
      <c r="DED230" s="340"/>
      <c r="DEE230" s="340"/>
      <c r="DEF230" s="340"/>
      <c r="DEG230" s="340"/>
      <c r="DEH230" s="340"/>
      <c r="DEI230" s="340"/>
      <c r="DEJ230" s="340"/>
      <c r="DEK230" s="340"/>
      <c r="DEL230" s="340"/>
      <c r="DEM230" s="340"/>
      <c r="DEN230" s="340"/>
      <c r="DEO230" s="340"/>
      <c r="DEP230" s="340"/>
      <c r="DEQ230" s="340"/>
      <c r="DER230" s="340"/>
      <c r="DES230" s="340"/>
      <c r="DET230" s="340"/>
      <c r="DEU230" s="340"/>
      <c r="DEV230" s="340"/>
      <c r="DEW230" s="340"/>
      <c r="DEX230" s="340"/>
      <c r="DEY230" s="340"/>
      <c r="DEZ230" s="340"/>
      <c r="DFA230" s="340"/>
      <c r="DFB230" s="340"/>
      <c r="DFC230" s="340"/>
      <c r="DFD230" s="340"/>
      <c r="DFE230" s="340"/>
      <c r="DFF230" s="340"/>
      <c r="DFG230" s="340"/>
      <c r="DFH230" s="340"/>
      <c r="DFI230" s="340"/>
      <c r="DFJ230" s="340"/>
      <c r="DFK230" s="340"/>
      <c r="DFL230" s="340"/>
      <c r="DFM230" s="340"/>
      <c r="DFN230" s="340"/>
      <c r="DFO230" s="340"/>
      <c r="DFP230" s="340"/>
      <c r="DFQ230" s="340"/>
      <c r="DFR230" s="340"/>
      <c r="DFS230" s="340"/>
      <c r="DFT230" s="340"/>
      <c r="DFU230" s="340"/>
      <c r="DFV230" s="340"/>
      <c r="DFW230" s="340"/>
      <c r="DFX230" s="340"/>
      <c r="DFY230" s="340"/>
      <c r="DFZ230" s="340"/>
      <c r="DGA230" s="340"/>
      <c r="DGB230" s="340"/>
      <c r="DGC230" s="340"/>
      <c r="DGD230" s="340"/>
      <c r="DGE230" s="340"/>
      <c r="DGF230" s="340"/>
      <c r="DGG230" s="340"/>
      <c r="DGH230" s="340"/>
      <c r="DGI230" s="340"/>
      <c r="DGJ230" s="340"/>
      <c r="DGK230" s="340"/>
      <c r="DGL230" s="340"/>
      <c r="DGM230" s="340"/>
      <c r="DGN230" s="340"/>
      <c r="DGO230" s="340"/>
      <c r="DGP230" s="340"/>
      <c r="DGQ230" s="340"/>
      <c r="DGR230" s="340"/>
      <c r="DGS230" s="340"/>
      <c r="DGT230" s="340"/>
      <c r="DGU230" s="340"/>
      <c r="DGV230" s="340"/>
      <c r="DGW230" s="340"/>
      <c r="DGX230" s="340"/>
      <c r="DGY230" s="340"/>
      <c r="DGZ230" s="340"/>
      <c r="DHA230" s="340"/>
      <c r="DHB230" s="340"/>
      <c r="DHC230" s="340"/>
      <c r="DHD230" s="340"/>
      <c r="DHE230" s="340"/>
      <c r="DHF230" s="340"/>
      <c r="DHG230" s="340"/>
      <c r="DHH230" s="340"/>
      <c r="DHI230" s="340"/>
      <c r="DHJ230" s="340"/>
      <c r="DHK230" s="340"/>
      <c r="DHL230" s="340"/>
      <c r="DHM230" s="340"/>
      <c r="DHN230" s="340"/>
      <c r="DHO230" s="340"/>
      <c r="DHP230" s="340"/>
      <c r="DHQ230" s="340"/>
      <c r="DHR230" s="340"/>
      <c r="DHS230" s="340"/>
      <c r="DHT230" s="340"/>
      <c r="DHU230" s="340"/>
      <c r="DHV230" s="340"/>
      <c r="DHW230" s="340"/>
      <c r="DHX230" s="340"/>
      <c r="DHY230" s="340"/>
      <c r="DHZ230" s="340"/>
      <c r="DIA230" s="340"/>
      <c r="DIB230" s="340"/>
      <c r="DIC230" s="340"/>
      <c r="DID230" s="340"/>
      <c r="DIE230" s="340"/>
      <c r="DIF230" s="340"/>
      <c r="DIG230" s="340"/>
      <c r="DIH230" s="340"/>
      <c r="DII230" s="340"/>
      <c r="DIJ230" s="340"/>
      <c r="DIK230" s="340"/>
      <c r="DIL230" s="340"/>
      <c r="DIM230" s="340"/>
      <c r="DIN230" s="340"/>
      <c r="DIO230" s="340"/>
      <c r="DIP230" s="340"/>
      <c r="DIQ230" s="340"/>
      <c r="DIR230" s="340"/>
      <c r="DIS230" s="340"/>
      <c r="DIT230" s="340"/>
      <c r="DIU230" s="340"/>
      <c r="DIV230" s="340"/>
      <c r="DIW230" s="340"/>
      <c r="DIX230" s="340"/>
      <c r="DIY230" s="340"/>
      <c r="DIZ230" s="340"/>
      <c r="DJA230" s="340"/>
      <c r="DJB230" s="340"/>
      <c r="DJC230" s="340"/>
      <c r="DJD230" s="340"/>
      <c r="DJE230" s="340"/>
      <c r="DJF230" s="340"/>
      <c r="DJG230" s="340"/>
      <c r="DJH230" s="340"/>
      <c r="DJI230" s="340"/>
      <c r="DJJ230" s="340"/>
      <c r="DJK230" s="340"/>
      <c r="DJL230" s="340"/>
      <c r="DJM230" s="340"/>
      <c r="DJN230" s="340"/>
      <c r="DJO230" s="340"/>
      <c r="DJP230" s="340"/>
      <c r="DJQ230" s="340"/>
      <c r="DJR230" s="340"/>
      <c r="DJS230" s="340"/>
      <c r="DJT230" s="340"/>
      <c r="DJU230" s="340"/>
      <c r="DJV230" s="340"/>
      <c r="DJW230" s="340"/>
      <c r="DJX230" s="340"/>
      <c r="DJY230" s="340"/>
      <c r="DJZ230" s="340"/>
      <c r="DKA230" s="340"/>
      <c r="DKB230" s="340"/>
      <c r="DKC230" s="340"/>
      <c r="DKD230" s="340"/>
      <c r="DKE230" s="340"/>
      <c r="DKF230" s="340"/>
      <c r="DKG230" s="340"/>
      <c r="DKH230" s="340"/>
      <c r="DKI230" s="340"/>
      <c r="DKJ230" s="340"/>
      <c r="DKK230" s="340"/>
      <c r="DKL230" s="340"/>
      <c r="DKM230" s="340"/>
      <c r="DKN230" s="340"/>
      <c r="DKO230" s="340"/>
      <c r="DKP230" s="340"/>
      <c r="DKQ230" s="340"/>
      <c r="DKR230" s="340"/>
      <c r="DKS230" s="340"/>
      <c r="DKT230" s="340"/>
      <c r="DKU230" s="340"/>
      <c r="DKV230" s="340"/>
      <c r="DKW230" s="340"/>
      <c r="DKX230" s="340"/>
      <c r="DKY230" s="340"/>
      <c r="DKZ230" s="340"/>
      <c r="DLA230" s="340"/>
      <c r="DLB230" s="340"/>
      <c r="DLC230" s="340"/>
      <c r="DLD230" s="340"/>
      <c r="DLE230" s="340"/>
      <c r="DLF230" s="340"/>
      <c r="DLG230" s="340"/>
      <c r="DLH230" s="340"/>
      <c r="DLI230" s="340"/>
      <c r="DLJ230" s="340"/>
      <c r="DLK230" s="340"/>
      <c r="DLL230" s="340"/>
      <c r="DLM230" s="340"/>
      <c r="DLN230" s="340"/>
      <c r="DLO230" s="340"/>
      <c r="DLP230" s="340"/>
      <c r="DLQ230" s="340"/>
      <c r="DLR230" s="340"/>
      <c r="DLS230" s="340"/>
      <c r="DLT230" s="340"/>
      <c r="DLU230" s="340"/>
      <c r="DLV230" s="340"/>
      <c r="DLW230" s="340"/>
      <c r="DLX230" s="340"/>
      <c r="DLY230" s="340"/>
      <c r="DLZ230" s="340"/>
      <c r="DMA230" s="340"/>
      <c r="DMB230" s="340"/>
      <c r="DMC230" s="340"/>
      <c r="DMD230" s="340"/>
      <c r="DME230" s="340"/>
      <c r="DMF230" s="340"/>
      <c r="DMG230" s="340"/>
      <c r="DMH230" s="340"/>
      <c r="DMI230" s="340"/>
      <c r="DMJ230" s="340"/>
      <c r="DMK230" s="340"/>
      <c r="DML230" s="340"/>
      <c r="DMM230" s="340"/>
      <c r="DMN230" s="340"/>
      <c r="DMO230" s="340"/>
      <c r="DMP230" s="340"/>
      <c r="DMQ230" s="340"/>
      <c r="DMR230" s="340"/>
      <c r="DMS230" s="340"/>
      <c r="DMT230" s="340"/>
      <c r="DMU230" s="340"/>
      <c r="DMV230" s="340"/>
      <c r="DMW230" s="340"/>
      <c r="DMX230" s="340"/>
      <c r="DMY230" s="340"/>
      <c r="DMZ230" s="340"/>
      <c r="DNA230" s="340"/>
      <c r="DNB230" s="340"/>
      <c r="DNC230" s="340"/>
      <c r="DND230" s="340"/>
      <c r="DNE230" s="340"/>
      <c r="DNF230" s="340"/>
      <c r="DNG230" s="340"/>
      <c r="DNH230" s="340"/>
      <c r="DNI230" s="340"/>
      <c r="DNJ230" s="340"/>
      <c r="DNK230" s="340"/>
      <c r="DNL230" s="340"/>
      <c r="DNM230" s="340"/>
      <c r="DNN230" s="340"/>
      <c r="DNO230" s="340"/>
      <c r="DNP230" s="340"/>
      <c r="DNQ230" s="340"/>
      <c r="DNR230" s="340"/>
      <c r="DNS230" s="340"/>
      <c r="DNT230" s="340"/>
      <c r="DNU230" s="340"/>
      <c r="DNV230" s="340"/>
      <c r="DNW230" s="340"/>
      <c r="DNX230" s="340"/>
      <c r="DNY230" s="340"/>
      <c r="DNZ230" s="340"/>
      <c r="DOA230" s="340"/>
      <c r="DOB230" s="340"/>
      <c r="DOC230" s="340"/>
      <c r="DOD230" s="340"/>
      <c r="DOE230" s="340"/>
      <c r="DOF230" s="340"/>
      <c r="DOG230" s="340"/>
      <c r="DOH230" s="340"/>
      <c r="DOI230" s="340"/>
      <c r="DOJ230" s="340"/>
      <c r="DOK230" s="340"/>
      <c r="DOL230" s="340"/>
      <c r="DOM230" s="340"/>
      <c r="DON230" s="340"/>
      <c r="DOO230" s="340"/>
      <c r="DOP230" s="340"/>
      <c r="DOQ230" s="340"/>
      <c r="DOR230" s="340"/>
      <c r="DOS230" s="340"/>
      <c r="DOT230" s="340"/>
      <c r="DOU230" s="340"/>
      <c r="DOV230" s="340"/>
      <c r="DOW230" s="340"/>
      <c r="DOX230" s="340"/>
      <c r="DOY230" s="340"/>
      <c r="DOZ230" s="340"/>
      <c r="DPA230" s="340"/>
      <c r="DPB230" s="340"/>
      <c r="DPC230" s="340"/>
      <c r="DPD230" s="340"/>
      <c r="DPE230" s="340"/>
      <c r="DPF230" s="340"/>
      <c r="DPG230" s="340"/>
      <c r="DPH230" s="340"/>
      <c r="DPI230" s="340"/>
      <c r="DPJ230" s="340"/>
      <c r="DPK230" s="340"/>
      <c r="DPL230" s="340"/>
      <c r="DPM230" s="340"/>
      <c r="DPN230" s="340"/>
      <c r="DPO230" s="340"/>
      <c r="DPP230" s="340"/>
      <c r="DPQ230" s="340"/>
      <c r="DPR230" s="340"/>
      <c r="DPS230" s="340"/>
      <c r="DPT230" s="340"/>
      <c r="DPU230" s="340"/>
      <c r="DPV230" s="340"/>
      <c r="DPW230" s="340"/>
      <c r="DPX230" s="340"/>
      <c r="DPY230" s="340"/>
      <c r="DPZ230" s="340"/>
      <c r="DQA230" s="340"/>
      <c r="DQB230" s="340"/>
      <c r="DQC230" s="340"/>
      <c r="DQD230" s="340"/>
      <c r="DQE230" s="340"/>
      <c r="DQF230" s="340"/>
      <c r="DQG230" s="340"/>
      <c r="DQH230" s="340"/>
      <c r="DQI230" s="340"/>
      <c r="DQJ230" s="340"/>
      <c r="DQK230" s="340"/>
      <c r="DQL230" s="340"/>
      <c r="DQM230" s="340"/>
      <c r="DQN230" s="340"/>
      <c r="DQO230" s="340"/>
      <c r="DQP230" s="340"/>
      <c r="DQQ230" s="340"/>
      <c r="DQR230" s="340"/>
      <c r="DQS230" s="340"/>
      <c r="DQT230" s="340"/>
      <c r="DQU230" s="340"/>
      <c r="DQV230" s="340"/>
      <c r="DQW230" s="340"/>
      <c r="DQX230" s="340"/>
      <c r="DQY230" s="340"/>
      <c r="DQZ230" s="340"/>
      <c r="DRA230" s="340"/>
      <c r="DRB230" s="340"/>
      <c r="DRC230" s="340"/>
      <c r="DRD230" s="340"/>
      <c r="DRE230" s="340"/>
      <c r="DRF230" s="340"/>
      <c r="DRG230" s="340"/>
      <c r="DRH230" s="340"/>
      <c r="DRI230" s="340"/>
      <c r="DRJ230" s="340"/>
      <c r="DRK230" s="340"/>
      <c r="DRL230" s="340"/>
      <c r="DRM230" s="340"/>
      <c r="DRN230" s="340"/>
      <c r="DRO230" s="340"/>
      <c r="DRP230" s="340"/>
      <c r="DRQ230" s="340"/>
      <c r="DRR230" s="340"/>
      <c r="DRS230" s="340"/>
      <c r="DRT230" s="340"/>
      <c r="DRU230" s="340"/>
      <c r="DRV230" s="340"/>
      <c r="DRW230" s="340"/>
      <c r="DRX230" s="340"/>
      <c r="DRY230" s="340"/>
      <c r="DRZ230" s="340"/>
      <c r="DSA230" s="340"/>
      <c r="DSB230" s="340"/>
      <c r="DSC230" s="340"/>
      <c r="DSD230" s="340"/>
      <c r="DSE230" s="340"/>
      <c r="DSF230" s="340"/>
      <c r="DSG230" s="340"/>
      <c r="DSH230" s="340"/>
      <c r="DSI230" s="340"/>
      <c r="DSJ230" s="340"/>
      <c r="DSK230" s="340"/>
      <c r="DSL230" s="340"/>
      <c r="DSM230" s="340"/>
      <c r="DSN230" s="340"/>
      <c r="DSO230" s="340"/>
      <c r="DSP230" s="340"/>
      <c r="DSQ230" s="340"/>
      <c r="DSR230" s="340"/>
      <c r="DSS230" s="340"/>
      <c r="DST230" s="340"/>
      <c r="DSU230" s="340"/>
      <c r="DSV230" s="340"/>
      <c r="DSW230" s="340"/>
      <c r="DSX230" s="340"/>
      <c r="DSY230" s="340"/>
      <c r="DSZ230" s="340"/>
      <c r="DTA230" s="340"/>
      <c r="DTB230" s="340"/>
      <c r="DTC230" s="340"/>
      <c r="DTD230" s="340"/>
      <c r="DTE230" s="340"/>
      <c r="DTF230" s="340"/>
      <c r="DTG230" s="340"/>
      <c r="DTH230" s="340"/>
      <c r="DTI230" s="340"/>
      <c r="DTJ230" s="340"/>
      <c r="DTK230" s="340"/>
      <c r="DTL230" s="340"/>
      <c r="DTM230" s="340"/>
      <c r="DTN230" s="340"/>
      <c r="DTO230" s="340"/>
      <c r="DTP230" s="340"/>
      <c r="DTQ230" s="340"/>
      <c r="DTR230" s="340"/>
      <c r="DTS230" s="340"/>
      <c r="DTT230" s="340"/>
      <c r="DTU230" s="340"/>
      <c r="DTV230" s="340"/>
      <c r="DTW230" s="340"/>
      <c r="DTX230" s="340"/>
      <c r="DTY230" s="340"/>
      <c r="DTZ230" s="340"/>
      <c r="DUA230" s="340"/>
      <c r="DUB230" s="340"/>
      <c r="DUC230" s="340"/>
      <c r="DUD230" s="340"/>
      <c r="DUE230" s="340"/>
      <c r="DUF230" s="340"/>
      <c r="DUG230" s="340"/>
      <c r="DUH230" s="340"/>
      <c r="DUI230" s="340"/>
      <c r="DUJ230" s="340"/>
      <c r="DUK230" s="340"/>
      <c r="DUL230" s="340"/>
      <c r="DUM230" s="340"/>
      <c r="DUN230" s="340"/>
      <c r="DUO230" s="340"/>
      <c r="DUP230" s="340"/>
      <c r="DUQ230" s="340"/>
      <c r="DUR230" s="340"/>
      <c r="DUS230" s="340"/>
      <c r="DUT230" s="340"/>
      <c r="DUU230" s="340"/>
      <c r="DUV230" s="340"/>
      <c r="DUW230" s="340"/>
      <c r="DUX230" s="340"/>
      <c r="DUY230" s="340"/>
      <c r="DUZ230" s="340"/>
      <c r="DVA230" s="340"/>
      <c r="DVB230" s="340"/>
      <c r="DVC230" s="340"/>
      <c r="DVD230" s="340"/>
      <c r="DVE230" s="340"/>
      <c r="DVF230" s="340"/>
      <c r="DVG230" s="340"/>
      <c r="DVH230" s="340"/>
      <c r="DVI230" s="340"/>
      <c r="DVJ230" s="340"/>
      <c r="DVK230" s="340"/>
      <c r="DVL230" s="340"/>
      <c r="DVM230" s="340"/>
      <c r="DVN230" s="340"/>
      <c r="DVO230" s="340"/>
      <c r="DVP230" s="340"/>
      <c r="DVQ230" s="340"/>
      <c r="DVR230" s="340"/>
      <c r="DVS230" s="340"/>
      <c r="DVT230" s="340"/>
      <c r="DVU230" s="340"/>
      <c r="DVV230" s="340"/>
      <c r="DVW230" s="340"/>
      <c r="DVX230" s="340"/>
      <c r="DVY230" s="340"/>
      <c r="DVZ230" s="340"/>
      <c r="DWA230" s="340"/>
      <c r="DWB230" s="340"/>
      <c r="DWC230" s="340"/>
      <c r="DWD230" s="340"/>
      <c r="DWE230" s="340"/>
      <c r="DWF230" s="340"/>
      <c r="DWG230" s="340"/>
      <c r="DWH230" s="340"/>
      <c r="DWI230" s="340"/>
      <c r="DWJ230" s="340"/>
      <c r="DWK230" s="340"/>
      <c r="DWL230" s="340"/>
      <c r="DWM230" s="340"/>
      <c r="DWN230" s="340"/>
      <c r="DWO230" s="340"/>
      <c r="DWP230" s="340"/>
      <c r="DWQ230" s="340"/>
      <c r="DWR230" s="340"/>
      <c r="DWS230" s="340"/>
      <c r="DWT230" s="340"/>
      <c r="DWU230" s="340"/>
      <c r="DWV230" s="340"/>
      <c r="DWW230" s="340"/>
      <c r="DWX230" s="340"/>
      <c r="DWY230" s="340"/>
      <c r="DWZ230" s="340"/>
      <c r="DXA230" s="340"/>
      <c r="DXB230" s="340"/>
      <c r="DXC230" s="340"/>
      <c r="DXD230" s="340"/>
      <c r="DXE230" s="340"/>
      <c r="DXF230" s="340"/>
      <c r="DXG230" s="340"/>
      <c r="DXH230" s="340"/>
      <c r="DXI230" s="340"/>
      <c r="DXJ230" s="340"/>
      <c r="DXK230" s="340"/>
      <c r="DXL230" s="340"/>
      <c r="DXM230" s="340"/>
      <c r="DXN230" s="340"/>
      <c r="DXO230" s="340"/>
      <c r="DXP230" s="340"/>
      <c r="DXQ230" s="340"/>
      <c r="DXR230" s="340"/>
      <c r="DXS230" s="340"/>
      <c r="DXT230" s="340"/>
      <c r="DXU230" s="340"/>
      <c r="DXV230" s="340"/>
      <c r="DXW230" s="340"/>
      <c r="DXX230" s="340"/>
      <c r="DXY230" s="340"/>
      <c r="DXZ230" s="340"/>
      <c r="DYA230" s="340"/>
      <c r="DYB230" s="340"/>
      <c r="DYC230" s="340"/>
      <c r="DYD230" s="340"/>
      <c r="DYE230" s="340"/>
      <c r="DYF230" s="340"/>
      <c r="DYG230" s="340"/>
      <c r="DYH230" s="340"/>
      <c r="DYI230" s="340"/>
      <c r="DYJ230" s="340"/>
      <c r="DYK230" s="340"/>
      <c r="DYL230" s="340"/>
      <c r="DYM230" s="340"/>
      <c r="DYN230" s="340"/>
      <c r="DYO230" s="340"/>
      <c r="DYP230" s="340"/>
      <c r="DYQ230" s="340"/>
      <c r="DYR230" s="340"/>
      <c r="DYS230" s="340"/>
      <c r="DYT230" s="340"/>
      <c r="DYU230" s="340"/>
      <c r="DYV230" s="340"/>
      <c r="DYW230" s="340"/>
      <c r="DYX230" s="340"/>
      <c r="DYY230" s="340"/>
      <c r="DYZ230" s="340"/>
      <c r="DZA230" s="340"/>
      <c r="DZB230" s="340"/>
      <c r="DZC230" s="340"/>
      <c r="DZD230" s="340"/>
      <c r="DZE230" s="340"/>
      <c r="DZF230" s="340"/>
      <c r="DZG230" s="340"/>
      <c r="DZH230" s="340"/>
      <c r="DZI230" s="340"/>
      <c r="DZJ230" s="340"/>
      <c r="DZK230" s="340"/>
      <c r="DZL230" s="340"/>
      <c r="DZM230" s="340"/>
      <c r="DZN230" s="340"/>
      <c r="DZO230" s="340"/>
      <c r="DZP230" s="340"/>
      <c r="DZQ230" s="340"/>
      <c r="DZR230" s="340"/>
      <c r="DZS230" s="340"/>
      <c r="DZT230" s="340"/>
      <c r="DZU230" s="340"/>
      <c r="DZV230" s="340"/>
      <c r="DZW230" s="340"/>
      <c r="DZX230" s="340"/>
      <c r="DZY230" s="340"/>
      <c r="DZZ230" s="340"/>
      <c r="EAA230" s="340"/>
      <c r="EAB230" s="340"/>
      <c r="EAC230" s="340"/>
      <c r="EAD230" s="340"/>
      <c r="EAE230" s="340"/>
      <c r="EAF230" s="340"/>
      <c r="EAG230" s="340"/>
      <c r="EAH230" s="340"/>
      <c r="EAI230" s="340"/>
      <c r="EAJ230" s="340"/>
      <c r="EAK230" s="340"/>
      <c r="EAL230" s="340"/>
      <c r="EAM230" s="340"/>
      <c r="EAN230" s="340"/>
      <c r="EAO230" s="340"/>
      <c r="EAP230" s="340"/>
      <c r="EAQ230" s="340"/>
      <c r="EAR230" s="340"/>
      <c r="EAS230" s="340"/>
      <c r="EAT230" s="340"/>
      <c r="EAU230" s="340"/>
      <c r="EAV230" s="340"/>
      <c r="EAW230" s="340"/>
      <c r="EAX230" s="340"/>
      <c r="EAY230" s="340"/>
      <c r="EAZ230" s="340"/>
      <c r="EBA230" s="340"/>
      <c r="EBB230" s="340"/>
      <c r="EBC230" s="340"/>
      <c r="EBD230" s="340"/>
      <c r="EBE230" s="340"/>
      <c r="EBF230" s="340"/>
      <c r="EBG230" s="340"/>
      <c r="EBH230" s="340"/>
      <c r="EBI230" s="340"/>
      <c r="EBJ230" s="340"/>
      <c r="EBK230" s="340"/>
      <c r="EBL230" s="340"/>
      <c r="EBM230" s="340"/>
      <c r="EBN230" s="340"/>
      <c r="EBO230" s="340"/>
      <c r="EBP230" s="340"/>
      <c r="EBQ230" s="340"/>
      <c r="EBR230" s="340"/>
      <c r="EBS230" s="340"/>
      <c r="EBT230" s="340"/>
      <c r="EBU230" s="340"/>
      <c r="EBV230" s="340"/>
      <c r="EBW230" s="340"/>
      <c r="EBX230" s="340"/>
      <c r="EBY230" s="340"/>
      <c r="EBZ230" s="340"/>
      <c r="ECA230" s="340"/>
      <c r="ECB230" s="340"/>
      <c r="ECC230" s="340"/>
      <c r="ECD230" s="340"/>
      <c r="ECE230" s="340"/>
      <c r="ECF230" s="340"/>
      <c r="ECG230" s="340"/>
      <c r="ECH230" s="340"/>
      <c r="ECI230" s="340"/>
      <c r="ECJ230" s="340"/>
      <c r="ECK230" s="340"/>
      <c r="ECL230" s="340"/>
      <c r="ECM230" s="340"/>
      <c r="ECN230" s="340"/>
      <c r="ECO230" s="340"/>
      <c r="ECP230" s="340"/>
      <c r="ECQ230" s="340"/>
      <c r="ECR230" s="340"/>
      <c r="ECS230" s="340"/>
      <c r="ECT230" s="340"/>
      <c r="ECU230" s="340"/>
      <c r="ECV230" s="340"/>
      <c r="ECW230" s="340"/>
      <c r="ECX230" s="340"/>
      <c r="ECY230" s="340"/>
      <c r="ECZ230" s="340"/>
      <c r="EDA230" s="340"/>
      <c r="EDB230" s="340"/>
      <c r="EDC230" s="340"/>
      <c r="EDD230" s="340"/>
      <c r="EDE230" s="340"/>
      <c r="EDF230" s="340"/>
      <c r="EDG230" s="340"/>
      <c r="EDH230" s="340"/>
      <c r="EDI230" s="340"/>
      <c r="EDJ230" s="340"/>
      <c r="EDK230" s="340"/>
      <c r="EDL230" s="340"/>
      <c r="EDM230" s="340"/>
      <c r="EDN230" s="340"/>
      <c r="EDO230" s="340"/>
      <c r="EDP230" s="340"/>
      <c r="EDQ230" s="340"/>
      <c r="EDR230" s="340"/>
      <c r="EDS230" s="340"/>
      <c r="EDT230" s="340"/>
      <c r="EDU230" s="340"/>
      <c r="EDV230" s="340"/>
      <c r="EDW230" s="340"/>
      <c r="EDX230" s="340"/>
      <c r="EDY230" s="340"/>
      <c r="EDZ230" s="340"/>
      <c r="EEA230" s="340"/>
      <c r="EEB230" s="340"/>
      <c r="EEC230" s="340"/>
      <c r="EED230" s="340"/>
      <c r="EEE230" s="340"/>
      <c r="EEF230" s="340"/>
      <c r="EEG230" s="340"/>
      <c r="EEH230" s="340"/>
      <c r="EEI230" s="340"/>
      <c r="EEJ230" s="340"/>
      <c r="EEK230" s="340"/>
      <c r="EEL230" s="340"/>
      <c r="EEM230" s="340"/>
      <c r="EEN230" s="340"/>
      <c r="EEO230" s="340"/>
      <c r="EEP230" s="340"/>
      <c r="EEQ230" s="340"/>
      <c r="EER230" s="340"/>
      <c r="EES230" s="340"/>
      <c r="EET230" s="340"/>
      <c r="EEU230" s="340"/>
      <c r="EEV230" s="340"/>
      <c r="EEW230" s="340"/>
      <c r="EEX230" s="340"/>
      <c r="EEY230" s="340"/>
      <c r="EEZ230" s="340"/>
      <c r="EFA230" s="340"/>
      <c r="EFB230" s="340"/>
      <c r="EFC230" s="340"/>
      <c r="EFD230" s="340"/>
      <c r="EFE230" s="340"/>
      <c r="EFF230" s="340"/>
      <c r="EFG230" s="340"/>
      <c r="EFH230" s="340"/>
      <c r="EFI230" s="340"/>
      <c r="EFJ230" s="340"/>
      <c r="EFK230" s="340"/>
      <c r="EFL230" s="340"/>
      <c r="EFM230" s="340"/>
      <c r="EFN230" s="340"/>
      <c r="EFO230" s="340"/>
      <c r="EFP230" s="340"/>
      <c r="EFQ230" s="340"/>
      <c r="EFR230" s="340"/>
      <c r="EFS230" s="340"/>
      <c r="EFT230" s="340"/>
      <c r="EFU230" s="340"/>
      <c r="EFV230" s="340"/>
      <c r="EFW230" s="340"/>
      <c r="EFX230" s="340"/>
      <c r="EFY230" s="340"/>
      <c r="EFZ230" s="340"/>
      <c r="EGA230" s="340"/>
      <c r="EGB230" s="340"/>
      <c r="EGC230" s="340"/>
      <c r="EGD230" s="340"/>
      <c r="EGE230" s="340"/>
      <c r="EGF230" s="340"/>
      <c r="EGG230" s="340"/>
      <c r="EGH230" s="340"/>
      <c r="EGI230" s="340"/>
      <c r="EGJ230" s="340"/>
      <c r="EGK230" s="340"/>
      <c r="EGL230" s="340"/>
      <c r="EGM230" s="340"/>
      <c r="EGN230" s="340"/>
      <c r="EGO230" s="340"/>
      <c r="EGP230" s="340"/>
      <c r="EGQ230" s="340"/>
      <c r="EGR230" s="340"/>
      <c r="EGS230" s="340"/>
      <c r="EGT230" s="340"/>
      <c r="EGU230" s="340"/>
      <c r="EGV230" s="340"/>
      <c r="EGW230" s="340"/>
      <c r="EGX230" s="340"/>
      <c r="EGY230" s="340"/>
      <c r="EGZ230" s="340"/>
      <c r="EHA230" s="340"/>
      <c r="EHB230" s="340"/>
      <c r="EHC230" s="340"/>
      <c r="EHD230" s="340"/>
      <c r="EHE230" s="340"/>
      <c r="EHF230" s="340"/>
      <c r="EHG230" s="340"/>
      <c r="EHH230" s="340"/>
      <c r="EHI230" s="340"/>
      <c r="EHJ230" s="340"/>
      <c r="EHK230" s="340"/>
      <c r="EHL230" s="340"/>
      <c r="EHM230" s="340"/>
      <c r="EHN230" s="340"/>
      <c r="EHO230" s="340"/>
      <c r="EHP230" s="340"/>
      <c r="EHQ230" s="340"/>
      <c r="EHR230" s="340"/>
      <c r="EHS230" s="340"/>
      <c r="EHT230" s="340"/>
      <c r="EHU230" s="340"/>
      <c r="EHV230" s="340"/>
      <c r="EHW230" s="340"/>
      <c r="EHX230" s="340"/>
      <c r="EHY230" s="340"/>
      <c r="EHZ230" s="340"/>
      <c r="EIA230" s="340"/>
      <c r="EIB230" s="340"/>
      <c r="EIC230" s="340"/>
      <c r="EID230" s="340"/>
      <c r="EIE230" s="340"/>
      <c r="EIF230" s="340"/>
      <c r="EIG230" s="340"/>
      <c r="EIH230" s="340"/>
      <c r="EII230" s="340"/>
      <c r="EIJ230" s="340"/>
      <c r="EIK230" s="340"/>
      <c r="EIL230" s="340"/>
      <c r="EIM230" s="340"/>
      <c r="EIN230" s="340"/>
      <c r="EIO230" s="340"/>
      <c r="EIP230" s="340"/>
      <c r="EIQ230" s="340"/>
      <c r="EIR230" s="340"/>
      <c r="EIS230" s="340"/>
      <c r="EIT230" s="340"/>
      <c r="EIU230" s="340"/>
      <c r="EIV230" s="340"/>
      <c r="EIW230" s="340"/>
      <c r="EIX230" s="340"/>
      <c r="EIY230" s="340"/>
      <c r="EIZ230" s="340"/>
      <c r="EJA230" s="340"/>
      <c r="EJB230" s="340"/>
      <c r="EJC230" s="340"/>
      <c r="EJD230" s="340"/>
      <c r="EJE230" s="340"/>
      <c r="EJF230" s="340"/>
      <c r="EJG230" s="340"/>
      <c r="EJH230" s="340"/>
      <c r="EJI230" s="340"/>
      <c r="EJJ230" s="340"/>
      <c r="EJK230" s="340"/>
      <c r="EJL230" s="340"/>
      <c r="EJM230" s="340"/>
      <c r="EJN230" s="340"/>
      <c r="EJO230" s="340"/>
      <c r="EJP230" s="340"/>
      <c r="EJQ230" s="340"/>
      <c r="EJR230" s="340"/>
      <c r="EJS230" s="340"/>
      <c r="EJT230" s="340"/>
      <c r="EJU230" s="340"/>
      <c r="EJV230" s="340"/>
      <c r="EJW230" s="340"/>
      <c r="EJX230" s="340"/>
      <c r="EJY230" s="340"/>
      <c r="EJZ230" s="340"/>
      <c r="EKA230" s="340"/>
      <c r="EKB230" s="340"/>
      <c r="EKC230" s="340"/>
      <c r="EKD230" s="340"/>
      <c r="EKE230" s="340"/>
      <c r="EKF230" s="340"/>
      <c r="EKG230" s="340"/>
      <c r="EKH230" s="340"/>
      <c r="EKI230" s="340"/>
      <c r="EKJ230" s="340"/>
      <c r="EKK230" s="340"/>
      <c r="EKL230" s="340"/>
      <c r="EKM230" s="340"/>
      <c r="EKN230" s="340"/>
      <c r="EKO230" s="340"/>
      <c r="EKP230" s="340"/>
      <c r="EKQ230" s="340"/>
      <c r="EKR230" s="340"/>
      <c r="EKS230" s="340"/>
      <c r="EKT230" s="340"/>
      <c r="EKU230" s="340"/>
      <c r="EKV230" s="340"/>
      <c r="EKW230" s="340"/>
      <c r="EKX230" s="340"/>
      <c r="EKY230" s="340"/>
      <c r="EKZ230" s="340"/>
      <c r="ELA230" s="340"/>
      <c r="ELB230" s="340"/>
      <c r="ELC230" s="340"/>
      <c r="ELD230" s="340"/>
      <c r="ELE230" s="340"/>
      <c r="ELF230" s="340"/>
      <c r="ELG230" s="340"/>
      <c r="ELH230" s="340"/>
      <c r="ELI230" s="340"/>
      <c r="ELJ230" s="340"/>
      <c r="ELK230" s="340"/>
      <c r="ELL230" s="340"/>
      <c r="ELM230" s="340"/>
      <c r="ELN230" s="340"/>
      <c r="ELO230" s="340"/>
      <c r="ELP230" s="340"/>
      <c r="ELQ230" s="340"/>
      <c r="ELR230" s="340"/>
      <c r="ELS230" s="340"/>
      <c r="ELT230" s="340"/>
      <c r="ELU230" s="340"/>
      <c r="ELV230" s="340"/>
      <c r="ELW230" s="340"/>
      <c r="ELX230" s="340"/>
      <c r="ELY230" s="340"/>
      <c r="ELZ230" s="340"/>
      <c r="EMA230" s="340"/>
      <c r="EMB230" s="340"/>
      <c r="EMC230" s="340"/>
      <c r="EMD230" s="340"/>
      <c r="EME230" s="340"/>
      <c r="EMF230" s="340"/>
      <c r="EMG230" s="340"/>
      <c r="EMH230" s="340"/>
      <c r="EMI230" s="340"/>
      <c r="EMJ230" s="340"/>
      <c r="EMK230" s="340"/>
      <c r="EML230" s="340"/>
      <c r="EMM230" s="340"/>
      <c r="EMN230" s="340"/>
      <c r="EMO230" s="340"/>
      <c r="EMP230" s="340"/>
      <c r="EMQ230" s="340"/>
      <c r="EMR230" s="340"/>
      <c r="EMS230" s="340"/>
      <c r="EMT230" s="340"/>
      <c r="EMU230" s="340"/>
      <c r="EMV230" s="340"/>
      <c r="EMW230" s="340"/>
      <c r="EMX230" s="340"/>
      <c r="EMY230" s="340"/>
      <c r="EMZ230" s="340"/>
      <c r="ENA230" s="340"/>
      <c r="ENB230" s="340"/>
      <c r="ENC230" s="340"/>
      <c r="END230" s="340"/>
      <c r="ENE230" s="340"/>
      <c r="ENF230" s="340"/>
      <c r="ENG230" s="340"/>
      <c r="ENH230" s="340"/>
      <c r="ENI230" s="340"/>
      <c r="ENJ230" s="340"/>
      <c r="ENK230" s="340"/>
      <c r="ENL230" s="340"/>
      <c r="ENM230" s="340"/>
      <c r="ENN230" s="340"/>
      <c r="ENO230" s="340"/>
      <c r="ENP230" s="340"/>
      <c r="ENQ230" s="340"/>
      <c r="ENR230" s="340"/>
      <c r="ENS230" s="340"/>
      <c r="ENT230" s="340"/>
      <c r="ENU230" s="340"/>
      <c r="ENV230" s="340"/>
      <c r="ENW230" s="340"/>
      <c r="ENX230" s="340"/>
      <c r="ENY230" s="340"/>
      <c r="ENZ230" s="340"/>
      <c r="EOA230" s="340"/>
      <c r="EOB230" s="340"/>
      <c r="EOC230" s="340"/>
      <c r="EOD230" s="340"/>
      <c r="EOE230" s="340"/>
      <c r="EOF230" s="340"/>
      <c r="EOG230" s="340"/>
      <c r="EOH230" s="340"/>
      <c r="EOI230" s="340"/>
      <c r="EOJ230" s="340"/>
      <c r="EOK230" s="340"/>
      <c r="EOL230" s="340"/>
      <c r="EOM230" s="340"/>
      <c r="EON230" s="340"/>
      <c r="EOO230" s="340"/>
      <c r="EOP230" s="340"/>
      <c r="EOQ230" s="340"/>
      <c r="EOR230" s="340"/>
      <c r="EOS230" s="340"/>
      <c r="EOT230" s="340"/>
      <c r="EOU230" s="340"/>
      <c r="EOV230" s="340"/>
      <c r="EOW230" s="340"/>
      <c r="EOX230" s="340"/>
      <c r="EOY230" s="340"/>
      <c r="EOZ230" s="340"/>
      <c r="EPA230" s="340"/>
      <c r="EPB230" s="340"/>
      <c r="EPC230" s="340"/>
      <c r="EPD230" s="340"/>
      <c r="EPE230" s="340"/>
      <c r="EPF230" s="340"/>
      <c r="EPG230" s="340"/>
      <c r="EPH230" s="340"/>
      <c r="EPI230" s="340"/>
      <c r="EPJ230" s="340"/>
      <c r="EPK230" s="340"/>
      <c r="EPL230" s="340"/>
      <c r="EPM230" s="340"/>
      <c r="EPN230" s="340"/>
      <c r="EPO230" s="340"/>
      <c r="EPP230" s="340"/>
      <c r="EPQ230" s="340"/>
      <c r="EPR230" s="340"/>
      <c r="EPS230" s="340"/>
      <c r="EPT230" s="340"/>
      <c r="EPU230" s="340"/>
      <c r="EPV230" s="340"/>
      <c r="EPW230" s="340"/>
      <c r="EPX230" s="340"/>
      <c r="EPY230" s="340"/>
      <c r="EPZ230" s="340"/>
      <c r="EQA230" s="340"/>
      <c r="EQB230" s="340"/>
      <c r="EQC230" s="340"/>
      <c r="EQD230" s="340"/>
      <c r="EQE230" s="340"/>
      <c r="EQF230" s="340"/>
      <c r="EQG230" s="340"/>
      <c r="EQH230" s="340"/>
      <c r="EQI230" s="340"/>
      <c r="EQJ230" s="340"/>
      <c r="EQK230" s="340"/>
      <c r="EQL230" s="340"/>
      <c r="EQM230" s="340"/>
      <c r="EQN230" s="340"/>
      <c r="EQO230" s="340"/>
      <c r="EQP230" s="340"/>
      <c r="EQQ230" s="340"/>
      <c r="EQR230" s="340"/>
      <c r="EQS230" s="340"/>
      <c r="EQT230" s="340"/>
      <c r="EQU230" s="340"/>
      <c r="EQV230" s="340"/>
      <c r="EQW230" s="340"/>
      <c r="EQX230" s="340"/>
      <c r="EQY230" s="340"/>
      <c r="EQZ230" s="340"/>
      <c r="ERA230" s="340"/>
      <c r="ERB230" s="340"/>
      <c r="ERC230" s="340"/>
      <c r="ERD230" s="340"/>
      <c r="ERE230" s="340"/>
      <c r="ERF230" s="340"/>
      <c r="ERG230" s="340"/>
      <c r="ERH230" s="340"/>
      <c r="ERI230" s="340"/>
      <c r="ERJ230" s="340"/>
      <c r="ERK230" s="340"/>
      <c r="ERL230" s="340"/>
      <c r="ERM230" s="340"/>
      <c r="ERN230" s="340"/>
      <c r="ERO230" s="340"/>
      <c r="ERP230" s="340"/>
      <c r="ERQ230" s="340"/>
      <c r="ERR230" s="340"/>
      <c r="ERS230" s="340"/>
      <c r="ERT230" s="340"/>
      <c r="ERU230" s="340"/>
      <c r="ERV230" s="340"/>
      <c r="ERW230" s="340"/>
      <c r="ERX230" s="340"/>
      <c r="ERY230" s="340"/>
      <c r="ERZ230" s="340"/>
      <c r="ESA230" s="340"/>
      <c r="ESB230" s="340"/>
      <c r="ESC230" s="340"/>
      <c r="ESD230" s="340"/>
      <c r="ESE230" s="340"/>
      <c r="ESF230" s="340"/>
      <c r="ESG230" s="340"/>
      <c r="ESH230" s="340"/>
      <c r="ESI230" s="340"/>
      <c r="ESJ230" s="340"/>
      <c r="ESK230" s="340"/>
      <c r="ESL230" s="340"/>
      <c r="ESM230" s="340"/>
      <c r="ESN230" s="340"/>
      <c r="ESO230" s="340"/>
      <c r="ESP230" s="340"/>
      <c r="ESQ230" s="340"/>
      <c r="ESR230" s="340"/>
      <c r="ESS230" s="340"/>
      <c r="EST230" s="340"/>
      <c r="ESU230" s="340"/>
      <c r="ESV230" s="340"/>
      <c r="ESW230" s="340"/>
      <c r="ESX230" s="340"/>
      <c r="ESY230" s="340"/>
      <c r="ESZ230" s="340"/>
      <c r="ETA230" s="340"/>
      <c r="ETB230" s="340"/>
      <c r="ETC230" s="340"/>
      <c r="ETD230" s="340"/>
      <c r="ETE230" s="340"/>
      <c r="ETF230" s="340"/>
      <c r="ETG230" s="340"/>
      <c r="ETH230" s="340"/>
      <c r="ETI230" s="340"/>
      <c r="ETJ230" s="340"/>
      <c r="ETK230" s="340"/>
      <c r="ETL230" s="340"/>
      <c r="ETM230" s="340"/>
      <c r="ETN230" s="340"/>
      <c r="ETO230" s="340"/>
      <c r="ETP230" s="340"/>
      <c r="ETQ230" s="340"/>
      <c r="ETR230" s="340"/>
      <c r="ETS230" s="340"/>
      <c r="ETT230" s="340"/>
      <c r="ETU230" s="340"/>
      <c r="ETV230" s="340"/>
      <c r="ETW230" s="340"/>
      <c r="ETX230" s="340"/>
      <c r="ETY230" s="340"/>
      <c r="ETZ230" s="340"/>
      <c r="EUA230" s="340"/>
      <c r="EUB230" s="340"/>
      <c r="EUC230" s="340"/>
      <c r="EUD230" s="340"/>
      <c r="EUE230" s="340"/>
      <c r="EUF230" s="340"/>
      <c r="EUG230" s="340"/>
      <c r="EUH230" s="340"/>
      <c r="EUI230" s="340"/>
      <c r="EUJ230" s="340"/>
      <c r="EUK230" s="340"/>
      <c r="EUL230" s="340"/>
      <c r="EUM230" s="340"/>
      <c r="EUN230" s="340"/>
      <c r="EUO230" s="340"/>
      <c r="EUP230" s="340"/>
      <c r="EUQ230" s="340"/>
      <c r="EUR230" s="340"/>
      <c r="EUS230" s="340"/>
      <c r="EUT230" s="340"/>
      <c r="EUU230" s="340"/>
      <c r="EUV230" s="340"/>
      <c r="EUW230" s="340"/>
      <c r="EUX230" s="340"/>
      <c r="EUY230" s="340"/>
      <c r="EUZ230" s="340"/>
      <c r="EVA230" s="340"/>
      <c r="EVB230" s="340"/>
      <c r="EVC230" s="340"/>
      <c r="EVD230" s="340"/>
      <c r="EVE230" s="340"/>
      <c r="EVF230" s="340"/>
      <c r="EVG230" s="340"/>
      <c r="EVH230" s="340"/>
      <c r="EVI230" s="340"/>
      <c r="EVJ230" s="340"/>
      <c r="EVK230" s="340"/>
      <c r="EVL230" s="340"/>
      <c r="EVM230" s="340"/>
      <c r="EVN230" s="340"/>
      <c r="EVO230" s="340"/>
      <c r="EVP230" s="340"/>
      <c r="EVQ230" s="340"/>
      <c r="EVR230" s="340"/>
      <c r="EVS230" s="340"/>
      <c r="EVT230" s="340"/>
      <c r="EVU230" s="340"/>
      <c r="EVV230" s="340"/>
      <c r="EVW230" s="340"/>
      <c r="EVX230" s="340"/>
      <c r="EVY230" s="340"/>
      <c r="EVZ230" s="340"/>
      <c r="EWA230" s="340"/>
      <c r="EWB230" s="340"/>
      <c r="EWC230" s="340"/>
      <c r="EWD230" s="340"/>
      <c r="EWE230" s="340"/>
      <c r="EWF230" s="340"/>
      <c r="EWG230" s="340"/>
      <c r="EWH230" s="340"/>
      <c r="EWI230" s="340"/>
      <c r="EWJ230" s="340"/>
      <c r="EWK230" s="340"/>
      <c r="EWL230" s="340"/>
      <c r="EWM230" s="340"/>
      <c r="EWN230" s="340"/>
      <c r="EWO230" s="340"/>
      <c r="EWP230" s="340"/>
      <c r="EWQ230" s="340"/>
      <c r="EWR230" s="340"/>
      <c r="EWS230" s="340"/>
      <c r="EWT230" s="340"/>
      <c r="EWU230" s="340"/>
      <c r="EWV230" s="340"/>
      <c r="EWW230" s="340"/>
      <c r="EWX230" s="340"/>
      <c r="EWY230" s="340"/>
      <c r="EWZ230" s="340"/>
      <c r="EXA230" s="340"/>
      <c r="EXB230" s="340"/>
      <c r="EXC230" s="340"/>
      <c r="EXD230" s="340"/>
      <c r="EXE230" s="340"/>
      <c r="EXF230" s="340"/>
      <c r="EXG230" s="340"/>
      <c r="EXH230" s="340"/>
      <c r="EXI230" s="340"/>
      <c r="EXJ230" s="340"/>
      <c r="EXK230" s="340"/>
      <c r="EXL230" s="340"/>
      <c r="EXM230" s="340"/>
      <c r="EXN230" s="340"/>
      <c r="EXO230" s="340"/>
      <c r="EXP230" s="340"/>
      <c r="EXQ230" s="340"/>
      <c r="EXR230" s="340"/>
      <c r="EXS230" s="340"/>
      <c r="EXT230" s="340"/>
      <c r="EXU230" s="340"/>
      <c r="EXV230" s="340"/>
      <c r="EXW230" s="340"/>
      <c r="EXX230" s="340"/>
      <c r="EXY230" s="340"/>
      <c r="EXZ230" s="340"/>
      <c r="EYA230" s="340"/>
      <c r="EYB230" s="340"/>
      <c r="EYC230" s="340"/>
      <c r="EYD230" s="340"/>
      <c r="EYE230" s="340"/>
      <c r="EYF230" s="340"/>
      <c r="EYG230" s="340"/>
      <c r="EYH230" s="340"/>
      <c r="EYI230" s="340"/>
      <c r="EYJ230" s="340"/>
      <c r="EYK230" s="340"/>
      <c r="EYL230" s="340"/>
      <c r="EYM230" s="340"/>
      <c r="EYN230" s="340"/>
      <c r="EYO230" s="340"/>
      <c r="EYP230" s="340"/>
      <c r="EYQ230" s="340"/>
      <c r="EYR230" s="340"/>
      <c r="EYS230" s="340"/>
      <c r="EYT230" s="340"/>
      <c r="EYU230" s="340"/>
      <c r="EYV230" s="340"/>
      <c r="EYW230" s="340"/>
      <c r="EYX230" s="340"/>
      <c r="EYY230" s="340"/>
      <c r="EYZ230" s="340"/>
      <c r="EZA230" s="340"/>
      <c r="EZB230" s="340"/>
      <c r="EZC230" s="340"/>
      <c r="EZD230" s="340"/>
      <c r="EZE230" s="340"/>
      <c r="EZF230" s="340"/>
      <c r="EZG230" s="340"/>
      <c r="EZH230" s="340"/>
      <c r="EZI230" s="340"/>
      <c r="EZJ230" s="340"/>
      <c r="EZK230" s="340"/>
      <c r="EZL230" s="340"/>
      <c r="EZM230" s="340"/>
      <c r="EZN230" s="340"/>
      <c r="EZO230" s="340"/>
      <c r="EZP230" s="340"/>
      <c r="EZQ230" s="340"/>
      <c r="EZR230" s="340"/>
      <c r="EZS230" s="340"/>
      <c r="EZT230" s="340"/>
      <c r="EZU230" s="340"/>
      <c r="EZV230" s="340"/>
      <c r="EZW230" s="340"/>
      <c r="EZX230" s="340"/>
      <c r="EZY230" s="340"/>
      <c r="EZZ230" s="340"/>
      <c r="FAA230" s="340"/>
      <c r="FAB230" s="340"/>
      <c r="FAC230" s="340"/>
      <c r="FAD230" s="340"/>
      <c r="FAE230" s="340"/>
      <c r="FAF230" s="340"/>
      <c r="FAG230" s="340"/>
      <c r="FAH230" s="340"/>
      <c r="FAI230" s="340"/>
      <c r="FAJ230" s="340"/>
      <c r="FAK230" s="340"/>
      <c r="FAL230" s="340"/>
      <c r="FAM230" s="340"/>
      <c r="FAN230" s="340"/>
      <c r="FAO230" s="340"/>
      <c r="FAP230" s="340"/>
      <c r="FAQ230" s="340"/>
      <c r="FAR230" s="340"/>
      <c r="FAS230" s="340"/>
      <c r="FAT230" s="340"/>
      <c r="FAU230" s="340"/>
      <c r="FAV230" s="340"/>
      <c r="FAW230" s="340"/>
      <c r="FAX230" s="340"/>
      <c r="FAY230" s="340"/>
      <c r="FAZ230" s="340"/>
      <c r="FBA230" s="340"/>
      <c r="FBB230" s="340"/>
      <c r="FBC230" s="340"/>
      <c r="FBD230" s="340"/>
      <c r="FBE230" s="340"/>
      <c r="FBF230" s="340"/>
      <c r="FBG230" s="340"/>
      <c r="FBH230" s="340"/>
      <c r="FBI230" s="340"/>
      <c r="FBJ230" s="340"/>
      <c r="FBK230" s="340"/>
      <c r="FBL230" s="340"/>
      <c r="FBM230" s="340"/>
      <c r="FBN230" s="340"/>
      <c r="FBO230" s="340"/>
      <c r="FBP230" s="340"/>
      <c r="FBQ230" s="340"/>
      <c r="FBR230" s="340"/>
      <c r="FBS230" s="340"/>
      <c r="FBT230" s="340"/>
      <c r="FBU230" s="340"/>
      <c r="FBV230" s="340"/>
      <c r="FBW230" s="340"/>
      <c r="FBX230" s="340"/>
      <c r="FBY230" s="340"/>
      <c r="FBZ230" s="340"/>
      <c r="FCA230" s="340"/>
      <c r="FCB230" s="340"/>
      <c r="FCC230" s="340"/>
      <c r="FCD230" s="340"/>
      <c r="FCE230" s="340"/>
      <c r="FCF230" s="340"/>
      <c r="FCG230" s="340"/>
      <c r="FCH230" s="340"/>
      <c r="FCI230" s="340"/>
      <c r="FCJ230" s="340"/>
      <c r="FCK230" s="340"/>
      <c r="FCL230" s="340"/>
      <c r="FCM230" s="340"/>
      <c r="FCN230" s="340"/>
      <c r="FCO230" s="340"/>
      <c r="FCP230" s="340"/>
      <c r="FCQ230" s="340"/>
      <c r="FCR230" s="340"/>
      <c r="FCS230" s="340"/>
      <c r="FCT230" s="340"/>
      <c r="FCU230" s="340"/>
      <c r="FCV230" s="340"/>
      <c r="FCW230" s="340"/>
      <c r="FCX230" s="340"/>
      <c r="FCY230" s="340"/>
      <c r="FCZ230" s="340"/>
      <c r="FDA230" s="340"/>
      <c r="FDB230" s="340"/>
      <c r="FDC230" s="340"/>
      <c r="FDD230" s="340"/>
      <c r="FDE230" s="340"/>
      <c r="FDF230" s="340"/>
      <c r="FDG230" s="340"/>
      <c r="FDH230" s="340"/>
      <c r="FDI230" s="340"/>
      <c r="FDJ230" s="340"/>
      <c r="FDK230" s="340"/>
      <c r="FDL230" s="340"/>
      <c r="FDM230" s="340"/>
      <c r="FDN230" s="340"/>
      <c r="FDO230" s="340"/>
      <c r="FDP230" s="340"/>
      <c r="FDQ230" s="340"/>
      <c r="FDR230" s="340"/>
      <c r="FDS230" s="340"/>
      <c r="FDT230" s="340"/>
      <c r="FDU230" s="340"/>
      <c r="FDV230" s="340"/>
      <c r="FDW230" s="340"/>
      <c r="FDX230" s="340"/>
      <c r="FDY230" s="340"/>
      <c r="FDZ230" s="340"/>
      <c r="FEA230" s="340"/>
      <c r="FEB230" s="340"/>
      <c r="FEC230" s="340"/>
      <c r="FED230" s="340"/>
      <c r="FEE230" s="340"/>
      <c r="FEF230" s="340"/>
      <c r="FEG230" s="340"/>
      <c r="FEH230" s="340"/>
      <c r="FEI230" s="340"/>
      <c r="FEJ230" s="340"/>
      <c r="FEK230" s="340"/>
      <c r="FEL230" s="340"/>
      <c r="FEM230" s="340"/>
      <c r="FEN230" s="340"/>
      <c r="FEO230" s="340"/>
      <c r="FEP230" s="340"/>
      <c r="FEQ230" s="340"/>
      <c r="FER230" s="340"/>
      <c r="FES230" s="340"/>
      <c r="FET230" s="340"/>
      <c r="FEU230" s="340"/>
      <c r="FEV230" s="340"/>
      <c r="FEW230" s="340"/>
      <c r="FEX230" s="340"/>
      <c r="FEY230" s="340"/>
      <c r="FEZ230" s="340"/>
      <c r="FFA230" s="340"/>
      <c r="FFB230" s="340"/>
      <c r="FFC230" s="340"/>
      <c r="FFD230" s="340"/>
      <c r="FFE230" s="340"/>
      <c r="FFF230" s="340"/>
      <c r="FFG230" s="340"/>
      <c r="FFH230" s="340"/>
      <c r="FFI230" s="340"/>
      <c r="FFJ230" s="340"/>
      <c r="FFK230" s="340"/>
      <c r="FFL230" s="340"/>
      <c r="FFM230" s="340"/>
      <c r="FFN230" s="340"/>
      <c r="FFO230" s="340"/>
      <c r="FFP230" s="340"/>
      <c r="FFQ230" s="340"/>
      <c r="FFR230" s="340"/>
      <c r="FFS230" s="340"/>
      <c r="FFT230" s="340"/>
      <c r="FFU230" s="340"/>
      <c r="FFV230" s="340"/>
      <c r="FFW230" s="340"/>
      <c r="FFX230" s="340"/>
      <c r="FFY230" s="340"/>
      <c r="FFZ230" s="340"/>
      <c r="FGA230" s="340"/>
      <c r="FGB230" s="340"/>
      <c r="FGC230" s="340"/>
      <c r="FGD230" s="340"/>
      <c r="FGE230" s="340"/>
      <c r="FGF230" s="340"/>
      <c r="FGG230" s="340"/>
      <c r="FGH230" s="340"/>
      <c r="FGI230" s="340"/>
      <c r="FGJ230" s="340"/>
      <c r="FGK230" s="340"/>
      <c r="FGL230" s="340"/>
      <c r="FGM230" s="340"/>
      <c r="FGN230" s="340"/>
      <c r="FGO230" s="340"/>
      <c r="FGP230" s="340"/>
      <c r="FGQ230" s="340"/>
      <c r="FGR230" s="340"/>
      <c r="FGS230" s="340"/>
      <c r="FGT230" s="340"/>
      <c r="FGU230" s="340"/>
      <c r="FGV230" s="340"/>
      <c r="FGW230" s="340"/>
      <c r="FGX230" s="340"/>
      <c r="FGY230" s="340"/>
      <c r="FGZ230" s="340"/>
      <c r="FHA230" s="340"/>
      <c r="FHB230" s="340"/>
      <c r="FHC230" s="340"/>
      <c r="FHD230" s="340"/>
      <c r="FHE230" s="340"/>
      <c r="FHF230" s="340"/>
      <c r="FHG230" s="340"/>
      <c r="FHH230" s="340"/>
      <c r="FHI230" s="340"/>
      <c r="FHJ230" s="340"/>
      <c r="FHK230" s="340"/>
      <c r="FHL230" s="340"/>
      <c r="FHM230" s="340"/>
      <c r="FHN230" s="340"/>
      <c r="FHO230" s="340"/>
      <c r="FHP230" s="340"/>
      <c r="FHQ230" s="340"/>
      <c r="FHR230" s="340"/>
      <c r="FHS230" s="340"/>
      <c r="FHT230" s="340"/>
      <c r="FHU230" s="340"/>
      <c r="FHV230" s="340"/>
      <c r="FHW230" s="340"/>
      <c r="FHX230" s="340"/>
      <c r="FHY230" s="340"/>
      <c r="FHZ230" s="340"/>
      <c r="FIA230" s="340"/>
      <c r="FIB230" s="340"/>
      <c r="FIC230" s="340"/>
      <c r="FID230" s="340"/>
      <c r="FIE230" s="340"/>
      <c r="FIF230" s="340"/>
      <c r="FIG230" s="340"/>
      <c r="FIH230" s="340"/>
      <c r="FII230" s="340"/>
      <c r="FIJ230" s="340"/>
      <c r="FIK230" s="340"/>
      <c r="FIL230" s="340"/>
      <c r="FIM230" s="340"/>
      <c r="FIN230" s="340"/>
      <c r="FIO230" s="340"/>
      <c r="FIP230" s="340"/>
      <c r="FIQ230" s="340"/>
      <c r="FIR230" s="340"/>
      <c r="FIS230" s="340"/>
      <c r="FIT230" s="340"/>
      <c r="FIU230" s="340"/>
      <c r="FIV230" s="340"/>
      <c r="FIW230" s="340"/>
      <c r="FIX230" s="340"/>
      <c r="FIY230" s="340"/>
      <c r="FIZ230" s="340"/>
      <c r="FJA230" s="340"/>
      <c r="FJB230" s="340"/>
      <c r="FJC230" s="340"/>
      <c r="FJD230" s="340"/>
      <c r="FJE230" s="340"/>
      <c r="FJF230" s="340"/>
      <c r="FJG230" s="340"/>
      <c r="FJH230" s="340"/>
      <c r="FJI230" s="340"/>
      <c r="FJJ230" s="340"/>
      <c r="FJK230" s="340"/>
      <c r="FJL230" s="340"/>
      <c r="FJM230" s="340"/>
      <c r="FJN230" s="340"/>
      <c r="FJO230" s="340"/>
      <c r="FJP230" s="340"/>
      <c r="FJQ230" s="340"/>
      <c r="FJR230" s="340"/>
      <c r="FJS230" s="340"/>
      <c r="FJT230" s="340"/>
      <c r="FJU230" s="340"/>
      <c r="FJV230" s="340"/>
      <c r="FJW230" s="340"/>
      <c r="FJX230" s="340"/>
      <c r="FJY230" s="340"/>
      <c r="FJZ230" s="340"/>
      <c r="FKA230" s="340"/>
      <c r="FKB230" s="340"/>
      <c r="FKC230" s="340"/>
      <c r="FKD230" s="340"/>
      <c r="FKE230" s="340"/>
      <c r="FKF230" s="340"/>
      <c r="FKG230" s="340"/>
      <c r="FKH230" s="340"/>
      <c r="FKI230" s="340"/>
      <c r="FKJ230" s="340"/>
      <c r="FKK230" s="340"/>
      <c r="FKL230" s="340"/>
      <c r="FKM230" s="340"/>
      <c r="FKN230" s="340"/>
      <c r="FKO230" s="340"/>
      <c r="FKP230" s="340"/>
      <c r="FKQ230" s="340"/>
      <c r="FKR230" s="340"/>
      <c r="FKS230" s="340"/>
      <c r="FKT230" s="340"/>
      <c r="FKU230" s="340"/>
      <c r="FKV230" s="340"/>
      <c r="FKW230" s="340"/>
      <c r="FKX230" s="340"/>
      <c r="FKY230" s="340"/>
      <c r="FKZ230" s="340"/>
      <c r="FLA230" s="340"/>
      <c r="FLB230" s="340"/>
      <c r="FLC230" s="340"/>
      <c r="FLD230" s="340"/>
      <c r="FLE230" s="340"/>
      <c r="FLF230" s="340"/>
      <c r="FLG230" s="340"/>
      <c r="FLH230" s="340"/>
      <c r="FLI230" s="340"/>
      <c r="FLJ230" s="340"/>
      <c r="FLK230" s="340"/>
      <c r="FLL230" s="340"/>
      <c r="FLM230" s="340"/>
      <c r="FLN230" s="340"/>
      <c r="FLO230" s="340"/>
      <c r="FLP230" s="340"/>
      <c r="FLQ230" s="340"/>
      <c r="FLR230" s="340"/>
      <c r="FLS230" s="340"/>
      <c r="FLT230" s="340"/>
      <c r="FLU230" s="340"/>
      <c r="FLV230" s="340"/>
      <c r="FLW230" s="340"/>
      <c r="FLX230" s="340"/>
      <c r="FLY230" s="340"/>
      <c r="FLZ230" s="340"/>
      <c r="FMA230" s="340"/>
      <c r="FMB230" s="340"/>
      <c r="FMC230" s="340"/>
      <c r="FMD230" s="340"/>
      <c r="FME230" s="340"/>
      <c r="FMF230" s="340"/>
      <c r="FMG230" s="340"/>
      <c r="FMH230" s="340"/>
      <c r="FMI230" s="340"/>
      <c r="FMJ230" s="340"/>
      <c r="FMK230" s="340"/>
      <c r="FML230" s="340"/>
      <c r="FMM230" s="340"/>
      <c r="FMN230" s="340"/>
      <c r="FMO230" s="340"/>
      <c r="FMP230" s="340"/>
      <c r="FMQ230" s="340"/>
      <c r="FMR230" s="340"/>
      <c r="FMS230" s="340"/>
      <c r="FMT230" s="340"/>
      <c r="FMU230" s="340"/>
      <c r="FMV230" s="340"/>
      <c r="FMW230" s="340"/>
      <c r="FMX230" s="340"/>
      <c r="FMY230" s="340"/>
      <c r="FMZ230" s="340"/>
      <c r="FNA230" s="340"/>
      <c r="FNB230" s="340"/>
      <c r="FNC230" s="340"/>
      <c r="FND230" s="340"/>
      <c r="FNE230" s="340"/>
      <c r="FNF230" s="340"/>
      <c r="FNG230" s="340"/>
      <c r="FNH230" s="340"/>
      <c r="FNI230" s="340"/>
      <c r="FNJ230" s="340"/>
      <c r="FNK230" s="340"/>
      <c r="FNL230" s="340"/>
      <c r="FNM230" s="340"/>
      <c r="FNN230" s="340"/>
      <c r="FNO230" s="340"/>
      <c r="FNP230" s="340"/>
      <c r="FNQ230" s="340"/>
      <c r="FNR230" s="340"/>
      <c r="FNS230" s="340"/>
      <c r="FNT230" s="340"/>
      <c r="FNU230" s="340"/>
      <c r="FNV230" s="340"/>
      <c r="FNW230" s="340"/>
      <c r="FNX230" s="340"/>
      <c r="FNY230" s="340"/>
      <c r="FNZ230" s="340"/>
      <c r="FOA230" s="340"/>
      <c r="FOB230" s="340"/>
      <c r="FOC230" s="340"/>
      <c r="FOD230" s="340"/>
      <c r="FOE230" s="340"/>
      <c r="FOF230" s="340"/>
      <c r="FOG230" s="340"/>
      <c r="FOH230" s="340"/>
      <c r="FOI230" s="340"/>
      <c r="FOJ230" s="340"/>
      <c r="FOK230" s="340"/>
      <c r="FOL230" s="340"/>
      <c r="FOM230" s="340"/>
      <c r="FON230" s="340"/>
      <c r="FOO230" s="340"/>
      <c r="FOP230" s="340"/>
      <c r="FOQ230" s="340"/>
      <c r="FOR230" s="340"/>
      <c r="FOS230" s="340"/>
      <c r="FOT230" s="340"/>
      <c r="FOU230" s="340"/>
      <c r="FOV230" s="340"/>
      <c r="FOW230" s="340"/>
      <c r="FOX230" s="340"/>
      <c r="FOY230" s="340"/>
      <c r="FOZ230" s="340"/>
      <c r="FPA230" s="340"/>
      <c r="FPB230" s="340"/>
      <c r="FPC230" s="340"/>
      <c r="FPD230" s="340"/>
      <c r="FPE230" s="340"/>
      <c r="FPF230" s="340"/>
      <c r="FPG230" s="340"/>
      <c r="FPH230" s="340"/>
      <c r="FPI230" s="340"/>
      <c r="FPJ230" s="340"/>
      <c r="FPK230" s="340"/>
      <c r="FPL230" s="340"/>
      <c r="FPM230" s="340"/>
      <c r="FPN230" s="340"/>
      <c r="FPO230" s="340"/>
      <c r="FPP230" s="340"/>
      <c r="FPQ230" s="340"/>
      <c r="FPR230" s="340"/>
      <c r="FPS230" s="340"/>
      <c r="FPT230" s="340"/>
      <c r="FPU230" s="340"/>
      <c r="FPV230" s="340"/>
      <c r="FPW230" s="340"/>
      <c r="FPX230" s="340"/>
      <c r="FPY230" s="340"/>
      <c r="FPZ230" s="340"/>
      <c r="FQA230" s="340"/>
      <c r="FQB230" s="340"/>
      <c r="FQC230" s="340"/>
      <c r="FQD230" s="340"/>
      <c r="FQE230" s="340"/>
      <c r="FQF230" s="340"/>
      <c r="FQG230" s="340"/>
      <c r="FQH230" s="340"/>
      <c r="FQI230" s="340"/>
      <c r="FQJ230" s="340"/>
      <c r="FQK230" s="340"/>
      <c r="FQL230" s="340"/>
      <c r="FQM230" s="340"/>
      <c r="FQN230" s="340"/>
      <c r="FQO230" s="340"/>
      <c r="FQP230" s="340"/>
      <c r="FQQ230" s="340"/>
      <c r="FQR230" s="340"/>
      <c r="FQS230" s="340"/>
      <c r="FQT230" s="340"/>
      <c r="FQU230" s="340"/>
      <c r="FQV230" s="340"/>
      <c r="FQW230" s="340"/>
      <c r="FQX230" s="340"/>
      <c r="FQY230" s="340"/>
      <c r="FQZ230" s="340"/>
      <c r="FRA230" s="340"/>
      <c r="FRB230" s="340"/>
      <c r="FRC230" s="340"/>
      <c r="FRD230" s="340"/>
      <c r="FRE230" s="340"/>
      <c r="FRF230" s="340"/>
      <c r="FRG230" s="340"/>
      <c r="FRH230" s="340"/>
      <c r="FRI230" s="340"/>
      <c r="FRJ230" s="340"/>
      <c r="FRK230" s="340"/>
      <c r="FRL230" s="340"/>
      <c r="FRM230" s="340"/>
      <c r="FRN230" s="340"/>
      <c r="FRO230" s="340"/>
      <c r="FRP230" s="340"/>
      <c r="FRQ230" s="340"/>
      <c r="FRR230" s="340"/>
      <c r="FRS230" s="340"/>
      <c r="FRT230" s="340"/>
      <c r="FRU230" s="340"/>
      <c r="FRV230" s="340"/>
      <c r="FRW230" s="340"/>
      <c r="FRX230" s="340"/>
      <c r="FRY230" s="340"/>
      <c r="FRZ230" s="340"/>
      <c r="FSA230" s="340"/>
      <c r="FSB230" s="340"/>
      <c r="FSC230" s="340"/>
      <c r="FSD230" s="340"/>
      <c r="FSE230" s="340"/>
      <c r="FSF230" s="340"/>
      <c r="FSG230" s="340"/>
      <c r="FSH230" s="340"/>
      <c r="FSI230" s="340"/>
      <c r="FSJ230" s="340"/>
      <c r="FSK230" s="340"/>
      <c r="FSL230" s="340"/>
      <c r="FSM230" s="340"/>
      <c r="FSN230" s="340"/>
      <c r="FSO230" s="340"/>
      <c r="FSP230" s="340"/>
      <c r="FSQ230" s="340"/>
      <c r="FSR230" s="340"/>
      <c r="FSS230" s="340"/>
      <c r="FST230" s="340"/>
      <c r="FSU230" s="340"/>
      <c r="FSV230" s="340"/>
      <c r="FSW230" s="340"/>
      <c r="FSX230" s="340"/>
      <c r="FSY230" s="340"/>
      <c r="FSZ230" s="340"/>
      <c r="FTA230" s="340"/>
      <c r="FTB230" s="340"/>
      <c r="FTC230" s="340"/>
      <c r="FTD230" s="340"/>
      <c r="FTE230" s="340"/>
      <c r="FTF230" s="340"/>
      <c r="FTG230" s="340"/>
      <c r="FTH230" s="340"/>
      <c r="FTI230" s="340"/>
      <c r="FTJ230" s="340"/>
      <c r="FTK230" s="340"/>
      <c r="FTL230" s="340"/>
      <c r="FTM230" s="340"/>
      <c r="FTN230" s="340"/>
      <c r="FTO230" s="340"/>
      <c r="FTP230" s="340"/>
      <c r="FTQ230" s="340"/>
      <c r="FTR230" s="340"/>
      <c r="FTS230" s="340"/>
      <c r="FTT230" s="340"/>
      <c r="FTU230" s="340"/>
      <c r="FTV230" s="340"/>
      <c r="FTW230" s="340"/>
      <c r="FTX230" s="340"/>
      <c r="FTY230" s="340"/>
      <c r="FTZ230" s="340"/>
      <c r="FUA230" s="340"/>
      <c r="FUB230" s="340"/>
      <c r="FUC230" s="340"/>
      <c r="FUD230" s="340"/>
      <c r="FUE230" s="340"/>
      <c r="FUF230" s="340"/>
      <c r="FUG230" s="340"/>
      <c r="FUH230" s="340"/>
      <c r="FUI230" s="340"/>
      <c r="FUJ230" s="340"/>
      <c r="FUK230" s="340"/>
      <c r="FUL230" s="340"/>
      <c r="FUM230" s="340"/>
      <c r="FUN230" s="340"/>
      <c r="FUO230" s="340"/>
      <c r="FUP230" s="340"/>
      <c r="FUQ230" s="340"/>
      <c r="FUR230" s="340"/>
      <c r="FUS230" s="340"/>
      <c r="FUT230" s="340"/>
      <c r="FUU230" s="340"/>
      <c r="FUV230" s="340"/>
      <c r="FUW230" s="340"/>
      <c r="FUX230" s="340"/>
      <c r="FUY230" s="340"/>
      <c r="FUZ230" s="340"/>
      <c r="FVA230" s="340"/>
      <c r="FVB230" s="340"/>
      <c r="FVC230" s="340"/>
      <c r="FVD230" s="340"/>
      <c r="FVE230" s="340"/>
      <c r="FVF230" s="340"/>
      <c r="FVG230" s="340"/>
      <c r="FVH230" s="340"/>
      <c r="FVI230" s="340"/>
      <c r="FVJ230" s="340"/>
      <c r="FVK230" s="340"/>
      <c r="FVL230" s="340"/>
      <c r="FVM230" s="340"/>
      <c r="FVN230" s="340"/>
      <c r="FVO230" s="340"/>
      <c r="FVP230" s="340"/>
      <c r="FVQ230" s="340"/>
      <c r="FVR230" s="340"/>
      <c r="FVS230" s="340"/>
      <c r="FVT230" s="340"/>
      <c r="FVU230" s="340"/>
      <c r="FVV230" s="340"/>
      <c r="FVW230" s="340"/>
      <c r="FVX230" s="340"/>
      <c r="FVY230" s="340"/>
      <c r="FVZ230" s="340"/>
      <c r="FWA230" s="340"/>
      <c r="FWB230" s="340"/>
      <c r="FWC230" s="340"/>
      <c r="FWD230" s="340"/>
      <c r="FWE230" s="340"/>
      <c r="FWF230" s="340"/>
      <c r="FWG230" s="340"/>
      <c r="FWH230" s="340"/>
      <c r="FWI230" s="340"/>
      <c r="FWJ230" s="340"/>
      <c r="FWK230" s="340"/>
      <c r="FWL230" s="340"/>
      <c r="FWM230" s="340"/>
      <c r="FWN230" s="340"/>
      <c r="FWO230" s="340"/>
      <c r="FWP230" s="340"/>
      <c r="FWQ230" s="340"/>
      <c r="FWR230" s="340"/>
      <c r="FWS230" s="340"/>
      <c r="FWT230" s="340"/>
      <c r="FWU230" s="340"/>
      <c r="FWV230" s="340"/>
      <c r="FWW230" s="340"/>
      <c r="FWX230" s="340"/>
      <c r="FWY230" s="340"/>
      <c r="FWZ230" s="340"/>
      <c r="FXA230" s="340"/>
      <c r="FXB230" s="340"/>
      <c r="FXC230" s="340"/>
      <c r="FXD230" s="340"/>
      <c r="FXE230" s="340"/>
      <c r="FXF230" s="340"/>
      <c r="FXG230" s="340"/>
      <c r="FXH230" s="340"/>
      <c r="FXI230" s="340"/>
      <c r="FXJ230" s="340"/>
      <c r="FXK230" s="340"/>
      <c r="FXL230" s="340"/>
      <c r="FXM230" s="340"/>
      <c r="FXN230" s="340"/>
      <c r="FXO230" s="340"/>
      <c r="FXP230" s="340"/>
      <c r="FXQ230" s="340"/>
      <c r="FXR230" s="340"/>
      <c r="FXS230" s="340"/>
      <c r="FXT230" s="340"/>
      <c r="FXU230" s="340"/>
      <c r="FXV230" s="340"/>
      <c r="FXW230" s="340"/>
      <c r="FXX230" s="340"/>
      <c r="FXY230" s="340"/>
      <c r="FXZ230" s="340"/>
      <c r="FYA230" s="340"/>
      <c r="FYB230" s="340"/>
      <c r="FYC230" s="340"/>
      <c r="FYD230" s="340"/>
      <c r="FYE230" s="340"/>
      <c r="FYF230" s="340"/>
      <c r="FYG230" s="340"/>
      <c r="FYH230" s="340"/>
      <c r="FYI230" s="340"/>
      <c r="FYJ230" s="340"/>
      <c r="FYK230" s="340"/>
      <c r="FYL230" s="340"/>
      <c r="FYM230" s="340"/>
      <c r="FYN230" s="340"/>
      <c r="FYO230" s="340"/>
      <c r="FYP230" s="340"/>
      <c r="FYQ230" s="340"/>
      <c r="FYR230" s="340"/>
      <c r="FYS230" s="340"/>
      <c r="FYT230" s="340"/>
      <c r="FYU230" s="340"/>
      <c r="FYV230" s="340"/>
      <c r="FYW230" s="340"/>
      <c r="FYX230" s="340"/>
      <c r="FYY230" s="340"/>
      <c r="FYZ230" s="340"/>
      <c r="FZA230" s="340"/>
      <c r="FZB230" s="340"/>
      <c r="FZC230" s="340"/>
      <c r="FZD230" s="340"/>
      <c r="FZE230" s="340"/>
      <c r="FZF230" s="340"/>
      <c r="FZG230" s="340"/>
      <c r="FZH230" s="340"/>
      <c r="FZI230" s="340"/>
      <c r="FZJ230" s="340"/>
      <c r="FZK230" s="340"/>
      <c r="FZL230" s="340"/>
      <c r="FZM230" s="340"/>
      <c r="FZN230" s="340"/>
      <c r="FZO230" s="340"/>
      <c r="FZP230" s="340"/>
      <c r="FZQ230" s="340"/>
      <c r="FZR230" s="340"/>
      <c r="FZS230" s="340"/>
      <c r="FZT230" s="340"/>
      <c r="FZU230" s="340"/>
      <c r="FZV230" s="340"/>
      <c r="FZW230" s="340"/>
      <c r="FZX230" s="340"/>
      <c r="FZY230" s="340"/>
      <c r="FZZ230" s="340"/>
      <c r="GAA230" s="340"/>
      <c r="GAB230" s="340"/>
      <c r="GAC230" s="340"/>
      <c r="GAD230" s="340"/>
      <c r="GAE230" s="340"/>
      <c r="GAF230" s="340"/>
      <c r="GAG230" s="340"/>
      <c r="GAH230" s="340"/>
      <c r="GAI230" s="340"/>
      <c r="GAJ230" s="340"/>
      <c r="GAK230" s="340"/>
      <c r="GAL230" s="340"/>
      <c r="GAM230" s="340"/>
      <c r="GAN230" s="340"/>
      <c r="GAO230" s="340"/>
      <c r="GAP230" s="340"/>
      <c r="GAQ230" s="340"/>
      <c r="GAR230" s="340"/>
      <c r="GAS230" s="340"/>
      <c r="GAT230" s="340"/>
      <c r="GAU230" s="340"/>
      <c r="GAV230" s="340"/>
      <c r="GAW230" s="340"/>
      <c r="GAX230" s="340"/>
      <c r="GAY230" s="340"/>
      <c r="GAZ230" s="340"/>
      <c r="GBA230" s="340"/>
      <c r="GBB230" s="340"/>
      <c r="GBC230" s="340"/>
      <c r="GBD230" s="340"/>
      <c r="GBE230" s="340"/>
      <c r="GBF230" s="340"/>
      <c r="GBG230" s="340"/>
      <c r="GBH230" s="340"/>
      <c r="GBI230" s="340"/>
      <c r="GBJ230" s="340"/>
      <c r="GBK230" s="340"/>
      <c r="GBL230" s="340"/>
      <c r="GBM230" s="340"/>
      <c r="GBN230" s="340"/>
      <c r="GBO230" s="340"/>
      <c r="GBP230" s="340"/>
      <c r="GBQ230" s="340"/>
      <c r="GBR230" s="340"/>
      <c r="GBS230" s="340"/>
      <c r="GBT230" s="340"/>
      <c r="GBU230" s="340"/>
      <c r="GBV230" s="340"/>
      <c r="GBW230" s="340"/>
      <c r="GBX230" s="340"/>
      <c r="GBY230" s="340"/>
      <c r="GBZ230" s="340"/>
      <c r="GCA230" s="340"/>
      <c r="GCB230" s="340"/>
      <c r="GCC230" s="340"/>
      <c r="GCD230" s="340"/>
      <c r="GCE230" s="340"/>
      <c r="GCF230" s="340"/>
      <c r="GCG230" s="340"/>
      <c r="GCH230" s="340"/>
      <c r="GCI230" s="340"/>
      <c r="GCJ230" s="340"/>
      <c r="GCK230" s="340"/>
      <c r="GCL230" s="340"/>
      <c r="GCM230" s="340"/>
      <c r="GCN230" s="340"/>
      <c r="GCO230" s="340"/>
      <c r="GCP230" s="340"/>
      <c r="GCQ230" s="340"/>
      <c r="GCR230" s="340"/>
      <c r="GCS230" s="340"/>
      <c r="GCT230" s="340"/>
      <c r="GCU230" s="340"/>
      <c r="GCV230" s="340"/>
      <c r="GCW230" s="340"/>
      <c r="GCX230" s="340"/>
      <c r="GCY230" s="340"/>
      <c r="GCZ230" s="340"/>
      <c r="GDA230" s="340"/>
      <c r="GDB230" s="340"/>
      <c r="GDC230" s="340"/>
      <c r="GDD230" s="340"/>
      <c r="GDE230" s="340"/>
      <c r="GDF230" s="340"/>
      <c r="GDG230" s="340"/>
      <c r="GDH230" s="340"/>
      <c r="GDI230" s="340"/>
      <c r="GDJ230" s="340"/>
      <c r="GDK230" s="340"/>
      <c r="GDL230" s="340"/>
      <c r="GDM230" s="340"/>
      <c r="GDN230" s="340"/>
      <c r="GDO230" s="340"/>
      <c r="GDP230" s="340"/>
      <c r="GDQ230" s="340"/>
      <c r="GDR230" s="340"/>
      <c r="GDS230" s="340"/>
      <c r="GDT230" s="340"/>
      <c r="GDU230" s="340"/>
      <c r="GDV230" s="340"/>
      <c r="GDW230" s="340"/>
      <c r="GDX230" s="340"/>
      <c r="GDY230" s="340"/>
      <c r="GDZ230" s="340"/>
      <c r="GEA230" s="340"/>
      <c r="GEB230" s="340"/>
      <c r="GEC230" s="340"/>
      <c r="GED230" s="340"/>
      <c r="GEE230" s="340"/>
      <c r="GEF230" s="340"/>
      <c r="GEG230" s="340"/>
      <c r="GEH230" s="340"/>
      <c r="GEI230" s="340"/>
      <c r="GEJ230" s="340"/>
      <c r="GEK230" s="340"/>
      <c r="GEL230" s="340"/>
      <c r="GEM230" s="340"/>
      <c r="GEN230" s="340"/>
      <c r="GEO230" s="340"/>
      <c r="GEP230" s="340"/>
      <c r="GEQ230" s="340"/>
      <c r="GER230" s="340"/>
      <c r="GES230" s="340"/>
      <c r="GET230" s="340"/>
      <c r="GEU230" s="340"/>
      <c r="GEV230" s="340"/>
      <c r="GEW230" s="340"/>
      <c r="GEX230" s="340"/>
      <c r="GEY230" s="340"/>
      <c r="GEZ230" s="340"/>
      <c r="GFA230" s="340"/>
      <c r="GFB230" s="340"/>
      <c r="GFC230" s="340"/>
      <c r="GFD230" s="340"/>
      <c r="GFE230" s="340"/>
      <c r="GFF230" s="340"/>
      <c r="GFG230" s="340"/>
      <c r="GFH230" s="340"/>
      <c r="GFI230" s="340"/>
      <c r="GFJ230" s="340"/>
      <c r="GFK230" s="340"/>
      <c r="GFL230" s="340"/>
      <c r="GFM230" s="340"/>
      <c r="GFN230" s="340"/>
      <c r="GFO230" s="340"/>
      <c r="GFP230" s="340"/>
      <c r="GFQ230" s="340"/>
      <c r="GFR230" s="340"/>
      <c r="GFS230" s="340"/>
      <c r="GFT230" s="340"/>
      <c r="GFU230" s="340"/>
      <c r="GFV230" s="340"/>
      <c r="GFW230" s="340"/>
      <c r="GFX230" s="340"/>
      <c r="GFY230" s="340"/>
      <c r="GFZ230" s="340"/>
      <c r="GGA230" s="340"/>
      <c r="GGB230" s="340"/>
      <c r="GGC230" s="340"/>
      <c r="GGD230" s="340"/>
      <c r="GGE230" s="340"/>
      <c r="GGF230" s="340"/>
      <c r="GGG230" s="340"/>
      <c r="GGH230" s="340"/>
      <c r="GGI230" s="340"/>
      <c r="GGJ230" s="340"/>
      <c r="GGK230" s="340"/>
      <c r="GGL230" s="340"/>
      <c r="GGM230" s="340"/>
      <c r="GGN230" s="340"/>
      <c r="GGO230" s="340"/>
      <c r="GGP230" s="340"/>
      <c r="GGQ230" s="340"/>
      <c r="GGR230" s="340"/>
      <c r="GGS230" s="340"/>
      <c r="GGT230" s="340"/>
      <c r="GGU230" s="340"/>
      <c r="GGV230" s="340"/>
      <c r="GGW230" s="340"/>
      <c r="GGX230" s="340"/>
      <c r="GGY230" s="340"/>
      <c r="GGZ230" s="340"/>
      <c r="GHA230" s="340"/>
      <c r="GHB230" s="340"/>
      <c r="GHC230" s="340"/>
      <c r="GHD230" s="340"/>
      <c r="GHE230" s="340"/>
      <c r="GHF230" s="340"/>
      <c r="GHG230" s="340"/>
      <c r="GHH230" s="340"/>
      <c r="GHI230" s="340"/>
      <c r="GHJ230" s="340"/>
      <c r="GHK230" s="340"/>
      <c r="GHL230" s="340"/>
      <c r="GHM230" s="340"/>
      <c r="GHN230" s="340"/>
      <c r="GHO230" s="340"/>
      <c r="GHP230" s="340"/>
      <c r="GHQ230" s="340"/>
      <c r="GHR230" s="340"/>
      <c r="GHS230" s="340"/>
      <c r="GHT230" s="340"/>
      <c r="GHU230" s="340"/>
      <c r="GHV230" s="340"/>
      <c r="GHW230" s="340"/>
      <c r="GHX230" s="340"/>
      <c r="GHY230" s="340"/>
      <c r="GHZ230" s="340"/>
      <c r="GIA230" s="340"/>
      <c r="GIB230" s="340"/>
      <c r="GIC230" s="340"/>
      <c r="GID230" s="340"/>
      <c r="GIE230" s="340"/>
      <c r="GIF230" s="340"/>
      <c r="GIG230" s="340"/>
      <c r="GIH230" s="340"/>
      <c r="GII230" s="340"/>
      <c r="GIJ230" s="340"/>
      <c r="GIK230" s="340"/>
      <c r="GIL230" s="340"/>
      <c r="GIM230" s="340"/>
      <c r="GIN230" s="340"/>
      <c r="GIO230" s="340"/>
      <c r="GIP230" s="340"/>
      <c r="GIQ230" s="340"/>
      <c r="GIR230" s="340"/>
      <c r="GIS230" s="340"/>
      <c r="GIT230" s="340"/>
      <c r="GIU230" s="340"/>
      <c r="GIV230" s="340"/>
      <c r="GIW230" s="340"/>
      <c r="GIX230" s="340"/>
      <c r="GIY230" s="340"/>
      <c r="GIZ230" s="340"/>
      <c r="GJA230" s="340"/>
      <c r="GJB230" s="340"/>
      <c r="GJC230" s="340"/>
      <c r="GJD230" s="340"/>
      <c r="GJE230" s="340"/>
      <c r="GJF230" s="340"/>
      <c r="GJG230" s="340"/>
      <c r="GJH230" s="340"/>
      <c r="GJI230" s="340"/>
      <c r="GJJ230" s="340"/>
      <c r="GJK230" s="340"/>
      <c r="GJL230" s="340"/>
      <c r="GJM230" s="340"/>
      <c r="GJN230" s="340"/>
      <c r="GJO230" s="340"/>
      <c r="GJP230" s="340"/>
      <c r="GJQ230" s="340"/>
      <c r="GJR230" s="340"/>
      <c r="GJS230" s="340"/>
      <c r="GJT230" s="340"/>
      <c r="GJU230" s="340"/>
      <c r="GJV230" s="340"/>
      <c r="GJW230" s="340"/>
      <c r="GJX230" s="340"/>
      <c r="GJY230" s="340"/>
      <c r="GJZ230" s="340"/>
      <c r="GKA230" s="340"/>
      <c r="GKB230" s="340"/>
      <c r="GKC230" s="340"/>
      <c r="GKD230" s="340"/>
      <c r="GKE230" s="340"/>
      <c r="GKF230" s="340"/>
      <c r="GKG230" s="340"/>
      <c r="GKH230" s="340"/>
      <c r="GKI230" s="340"/>
      <c r="GKJ230" s="340"/>
      <c r="GKK230" s="340"/>
      <c r="GKL230" s="340"/>
      <c r="GKM230" s="340"/>
      <c r="GKN230" s="340"/>
      <c r="GKO230" s="340"/>
      <c r="GKP230" s="340"/>
      <c r="GKQ230" s="340"/>
      <c r="GKR230" s="340"/>
      <c r="GKS230" s="340"/>
      <c r="GKT230" s="340"/>
      <c r="GKU230" s="340"/>
      <c r="GKV230" s="340"/>
      <c r="GKW230" s="340"/>
      <c r="GKX230" s="340"/>
      <c r="GKY230" s="340"/>
      <c r="GKZ230" s="340"/>
      <c r="GLA230" s="340"/>
      <c r="GLB230" s="340"/>
      <c r="GLC230" s="340"/>
      <c r="GLD230" s="340"/>
      <c r="GLE230" s="340"/>
      <c r="GLF230" s="340"/>
      <c r="GLG230" s="340"/>
      <c r="GLH230" s="340"/>
      <c r="GLI230" s="340"/>
      <c r="GLJ230" s="340"/>
      <c r="GLK230" s="340"/>
      <c r="GLL230" s="340"/>
      <c r="GLM230" s="340"/>
      <c r="GLN230" s="340"/>
      <c r="GLO230" s="340"/>
      <c r="GLP230" s="340"/>
      <c r="GLQ230" s="340"/>
      <c r="GLR230" s="340"/>
      <c r="GLS230" s="340"/>
      <c r="GLT230" s="340"/>
      <c r="GLU230" s="340"/>
      <c r="GLV230" s="340"/>
      <c r="GLW230" s="340"/>
      <c r="GLX230" s="340"/>
      <c r="GLY230" s="340"/>
      <c r="GLZ230" s="340"/>
      <c r="GMA230" s="340"/>
      <c r="GMB230" s="340"/>
      <c r="GMC230" s="340"/>
      <c r="GMD230" s="340"/>
      <c r="GME230" s="340"/>
      <c r="GMF230" s="340"/>
      <c r="GMG230" s="340"/>
      <c r="GMH230" s="340"/>
      <c r="GMI230" s="340"/>
      <c r="GMJ230" s="340"/>
      <c r="GMK230" s="340"/>
      <c r="GML230" s="340"/>
      <c r="GMM230" s="340"/>
      <c r="GMN230" s="340"/>
      <c r="GMO230" s="340"/>
      <c r="GMP230" s="340"/>
      <c r="GMQ230" s="340"/>
      <c r="GMR230" s="340"/>
      <c r="GMS230" s="340"/>
      <c r="GMT230" s="340"/>
      <c r="GMU230" s="340"/>
      <c r="GMV230" s="340"/>
      <c r="GMW230" s="340"/>
      <c r="GMX230" s="340"/>
      <c r="GMY230" s="340"/>
      <c r="GMZ230" s="340"/>
      <c r="GNA230" s="340"/>
      <c r="GNB230" s="340"/>
      <c r="GNC230" s="340"/>
      <c r="GND230" s="340"/>
      <c r="GNE230" s="340"/>
      <c r="GNF230" s="340"/>
      <c r="GNG230" s="340"/>
      <c r="GNH230" s="340"/>
      <c r="GNI230" s="340"/>
      <c r="GNJ230" s="340"/>
      <c r="GNK230" s="340"/>
      <c r="GNL230" s="340"/>
      <c r="GNM230" s="340"/>
      <c r="GNN230" s="340"/>
      <c r="GNO230" s="340"/>
      <c r="GNP230" s="340"/>
      <c r="GNQ230" s="340"/>
      <c r="GNR230" s="340"/>
      <c r="GNS230" s="340"/>
      <c r="GNT230" s="340"/>
      <c r="GNU230" s="340"/>
      <c r="GNV230" s="340"/>
      <c r="GNW230" s="340"/>
      <c r="GNX230" s="340"/>
      <c r="GNY230" s="340"/>
      <c r="GNZ230" s="340"/>
      <c r="GOA230" s="340"/>
      <c r="GOB230" s="340"/>
      <c r="GOC230" s="340"/>
      <c r="GOD230" s="340"/>
      <c r="GOE230" s="340"/>
      <c r="GOF230" s="340"/>
      <c r="GOG230" s="340"/>
      <c r="GOH230" s="340"/>
      <c r="GOI230" s="340"/>
      <c r="GOJ230" s="340"/>
      <c r="GOK230" s="340"/>
      <c r="GOL230" s="340"/>
      <c r="GOM230" s="340"/>
      <c r="GON230" s="340"/>
      <c r="GOO230" s="340"/>
      <c r="GOP230" s="340"/>
      <c r="GOQ230" s="340"/>
      <c r="GOR230" s="340"/>
      <c r="GOS230" s="340"/>
      <c r="GOT230" s="340"/>
      <c r="GOU230" s="340"/>
      <c r="GOV230" s="340"/>
      <c r="GOW230" s="340"/>
      <c r="GOX230" s="340"/>
      <c r="GOY230" s="340"/>
      <c r="GOZ230" s="340"/>
      <c r="GPA230" s="340"/>
      <c r="GPB230" s="340"/>
      <c r="GPC230" s="340"/>
      <c r="GPD230" s="340"/>
      <c r="GPE230" s="340"/>
      <c r="GPF230" s="340"/>
      <c r="GPG230" s="340"/>
      <c r="GPH230" s="340"/>
      <c r="GPI230" s="340"/>
      <c r="GPJ230" s="340"/>
      <c r="GPK230" s="340"/>
      <c r="GPL230" s="340"/>
      <c r="GPM230" s="340"/>
      <c r="GPN230" s="340"/>
      <c r="GPO230" s="340"/>
      <c r="GPP230" s="340"/>
      <c r="GPQ230" s="340"/>
      <c r="GPR230" s="340"/>
      <c r="GPS230" s="340"/>
      <c r="GPT230" s="340"/>
      <c r="GPU230" s="340"/>
      <c r="GPV230" s="340"/>
      <c r="GPW230" s="340"/>
      <c r="GPX230" s="340"/>
      <c r="GPY230" s="340"/>
      <c r="GPZ230" s="340"/>
      <c r="GQA230" s="340"/>
      <c r="GQB230" s="340"/>
      <c r="GQC230" s="340"/>
      <c r="GQD230" s="340"/>
      <c r="GQE230" s="340"/>
      <c r="GQF230" s="340"/>
      <c r="GQG230" s="340"/>
      <c r="GQH230" s="340"/>
      <c r="GQI230" s="340"/>
      <c r="GQJ230" s="340"/>
      <c r="GQK230" s="340"/>
      <c r="GQL230" s="340"/>
      <c r="GQM230" s="340"/>
      <c r="GQN230" s="340"/>
      <c r="GQO230" s="340"/>
      <c r="GQP230" s="340"/>
      <c r="GQQ230" s="340"/>
      <c r="GQR230" s="340"/>
      <c r="GQS230" s="340"/>
      <c r="GQT230" s="340"/>
      <c r="GQU230" s="340"/>
      <c r="GQV230" s="340"/>
      <c r="GQW230" s="340"/>
      <c r="GQX230" s="340"/>
      <c r="GQY230" s="340"/>
      <c r="GQZ230" s="340"/>
      <c r="GRA230" s="340"/>
      <c r="GRB230" s="340"/>
      <c r="GRC230" s="340"/>
      <c r="GRD230" s="340"/>
      <c r="GRE230" s="340"/>
      <c r="GRF230" s="340"/>
      <c r="GRG230" s="340"/>
      <c r="GRH230" s="340"/>
      <c r="GRI230" s="340"/>
      <c r="GRJ230" s="340"/>
      <c r="GRK230" s="340"/>
      <c r="GRL230" s="340"/>
      <c r="GRM230" s="340"/>
      <c r="GRN230" s="340"/>
      <c r="GRO230" s="340"/>
      <c r="GRP230" s="340"/>
      <c r="GRQ230" s="340"/>
      <c r="GRR230" s="340"/>
      <c r="GRS230" s="340"/>
      <c r="GRT230" s="340"/>
      <c r="GRU230" s="340"/>
      <c r="GRV230" s="340"/>
      <c r="GRW230" s="340"/>
      <c r="GRX230" s="340"/>
      <c r="GRY230" s="340"/>
      <c r="GRZ230" s="340"/>
      <c r="GSA230" s="340"/>
      <c r="GSB230" s="340"/>
      <c r="GSC230" s="340"/>
      <c r="GSD230" s="340"/>
      <c r="GSE230" s="340"/>
      <c r="GSF230" s="340"/>
      <c r="GSG230" s="340"/>
      <c r="GSH230" s="340"/>
      <c r="GSI230" s="340"/>
      <c r="GSJ230" s="340"/>
      <c r="GSK230" s="340"/>
      <c r="GSL230" s="340"/>
      <c r="GSM230" s="340"/>
      <c r="GSN230" s="340"/>
      <c r="GSO230" s="340"/>
      <c r="GSP230" s="340"/>
      <c r="GSQ230" s="340"/>
      <c r="GSR230" s="340"/>
      <c r="GSS230" s="340"/>
      <c r="GST230" s="340"/>
      <c r="GSU230" s="340"/>
      <c r="GSV230" s="340"/>
      <c r="GSW230" s="340"/>
      <c r="GSX230" s="340"/>
      <c r="GSY230" s="340"/>
      <c r="GSZ230" s="340"/>
      <c r="GTA230" s="340"/>
      <c r="GTB230" s="340"/>
      <c r="GTC230" s="340"/>
      <c r="GTD230" s="340"/>
      <c r="GTE230" s="340"/>
      <c r="GTF230" s="340"/>
      <c r="GTG230" s="340"/>
      <c r="GTH230" s="340"/>
      <c r="GTI230" s="340"/>
      <c r="GTJ230" s="340"/>
      <c r="GTK230" s="340"/>
      <c r="GTL230" s="340"/>
      <c r="GTM230" s="340"/>
      <c r="GTN230" s="340"/>
      <c r="GTO230" s="340"/>
      <c r="GTP230" s="340"/>
      <c r="GTQ230" s="340"/>
      <c r="GTR230" s="340"/>
      <c r="GTS230" s="340"/>
      <c r="GTT230" s="340"/>
      <c r="GTU230" s="340"/>
      <c r="GTV230" s="340"/>
      <c r="GTW230" s="340"/>
      <c r="GTX230" s="340"/>
      <c r="GTY230" s="340"/>
      <c r="GTZ230" s="340"/>
      <c r="GUA230" s="340"/>
      <c r="GUB230" s="340"/>
      <c r="GUC230" s="340"/>
      <c r="GUD230" s="340"/>
      <c r="GUE230" s="340"/>
      <c r="GUF230" s="340"/>
      <c r="GUG230" s="340"/>
      <c r="GUH230" s="340"/>
      <c r="GUI230" s="340"/>
      <c r="GUJ230" s="340"/>
      <c r="GUK230" s="340"/>
      <c r="GUL230" s="340"/>
      <c r="GUM230" s="340"/>
      <c r="GUN230" s="340"/>
      <c r="GUO230" s="340"/>
      <c r="GUP230" s="340"/>
      <c r="GUQ230" s="340"/>
      <c r="GUR230" s="340"/>
      <c r="GUS230" s="340"/>
      <c r="GUT230" s="340"/>
      <c r="GUU230" s="340"/>
      <c r="GUV230" s="340"/>
      <c r="GUW230" s="340"/>
      <c r="GUX230" s="340"/>
      <c r="GUY230" s="340"/>
      <c r="GUZ230" s="340"/>
      <c r="GVA230" s="340"/>
      <c r="GVB230" s="340"/>
      <c r="GVC230" s="340"/>
      <c r="GVD230" s="340"/>
      <c r="GVE230" s="340"/>
      <c r="GVF230" s="340"/>
      <c r="GVG230" s="340"/>
      <c r="GVH230" s="340"/>
      <c r="GVI230" s="340"/>
      <c r="GVJ230" s="340"/>
      <c r="GVK230" s="340"/>
      <c r="GVL230" s="340"/>
      <c r="GVM230" s="340"/>
      <c r="GVN230" s="340"/>
      <c r="GVO230" s="340"/>
      <c r="GVP230" s="340"/>
      <c r="GVQ230" s="340"/>
      <c r="GVR230" s="340"/>
      <c r="GVS230" s="340"/>
      <c r="GVT230" s="340"/>
      <c r="GVU230" s="340"/>
      <c r="GVV230" s="340"/>
      <c r="GVW230" s="340"/>
      <c r="GVX230" s="340"/>
      <c r="GVY230" s="340"/>
      <c r="GVZ230" s="340"/>
      <c r="GWA230" s="340"/>
      <c r="GWB230" s="340"/>
      <c r="GWC230" s="340"/>
      <c r="GWD230" s="340"/>
      <c r="GWE230" s="340"/>
      <c r="GWF230" s="340"/>
      <c r="GWG230" s="340"/>
      <c r="GWH230" s="340"/>
      <c r="GWI230" s="340"/>
      <c r="GWJ230" s="340"/>
      <c r="GWK230" s="340"/>
      <c r="GWL230" s="340"/>
      <c r="GWM230" s="340"/>
      <c r="GWN230" s="340"/>
      <c r="GWO230" s="340"/>
      <c r="GWP230" s="340"/>
      <c r="GWQ230" s="340"/>
      <c r="GWR230" s="340"/>
      <c r="GWS230" s="340"/>
      <c r="GWT230" s="340"/>
      <c r="GWU230" s="340"/>
      <c r="GWV230" s="340"/>
      <c r="GWW230" s="340"/>
      <c r="GWX230" s="340"/>
      <c r="GWY230" s="340"/>
      <c r="GWZ230" s="340"/>
      <c r="GXA230" s="340"/>
      <c r="GXB230" s="340"/>
      <c r="GXC230" s="340"/>
      <c r="GXD230" s="340"/>
      <c r="GXE230" s="340"/>
      <c r="GXF230" s="340"/>
      <c r="GXG230" s="340"/>
      <c r="GXH230" s="340"/>
      <c r="GXI230" s="340"/>
      <c r="GXJ230" s="340"/>
      <c r="GXK230" s="340"/>
      <c r="GXL230" s="340"/>
      <c r="GXM230" s="340"/>
      <c r="GXN230" s="340"/>
      <c r="GXO230" s="340"/>
      <c r="GXP230" s="340"/>
      <c r="GXQ230" s="340"/>
      <c r="GXR230" s="340"/>
      <c r="GXS230" s="340"/>
      <c r="GXT230" s="340"/>
      <c r="GXU230" s="340"/>
      <c r="GXV230" s="340"/>
      <c r="GXW230" s="340"/>
      <c r="GXX230" s="340"/>
      <c r="GXY230" s="340"/>
      <c r="GXZ230" s="340"/>
      <c r="GYA230" s="340"/>
      <c r="GYB230" s="340"/>
      <c r="GYC230" s="340"/>
      <c r="GYD230" s="340"/>
      <c r="GYE230" s="340"/>
      <c r="GYF230" s="340"/>
      <c r="GYG230" s="340"/>
      <c r="GYH230" s="340"/>
      <c r="GYI230" s="340"/>
      <c r="GYJ230" s="340"/>
      <c r="GYK230" s="340"/>
      <c r="GYL230" s="340"/>
      <c r="GYM230" s="340"/>
      <c r="GYN230" s="340"/>
      <c r="GYO230" s="340"/>
      <c r="GYP230" s="340"/>
      <c r="GYQ230" s="340"/>
      <c r="GYR230" s="340"/>
      <c r="GYS230" s="340"/>
      <c r="GYT230" s="340"/>
      <c r="GYU230" s="340"/>
      <c r="GYV230" s="340"/>
      <c r="GYW230" s="340"/>
      <c r="GYX230" s="340"/>
      <c r="GYY230" s="340"/>
      <c r="GYZ230" s="340"/>
      <c r="GZA230" s="340"/>
      <c r="GZB230" s="340"/>
      <c r="GZC230" s="340"/>
      <c r="GZD230" s="340"/>
      <c r="GZE230" s="340"/>
      <c r="GZF230" s="340"/>
      <c r="GZG230" s="340"/>
      <c r="GZH230" s="340"/>
      <c r="GZI230" s="340"/>
      <c r="GZJ230" s="340"/>
      <c r="GZK230" s="340"/>
      <c r="GZL230" s="340"/>
      <c r="GZM230" s="340"/>
      <c r="GZN230" s="340"/>
      <c r="GZO230" s="340"/>
      <c r="GZP230" s="340"/>
      <c r="GZQ230" s="340"/>
      <c r="GZR230" s="340"/>
      <c r="GZS230" s="340"/>
      <c r="GZT230" s="340"/>
      <c r="GZU230" s="340"/>
      <c r="GZV230" s="340"/>
      <c r="GZW230" s="340"/>
      <c r="GZX230" s="340"/>
      <c r="GZY230" s="340"/>
      <c r="GZZ230" s="340"/>
      <c r="HAA230" s="340"/>
      <c r="HAB230" s="340"/>
      <c r="HAC230" s="340"/>
      <c r="HAD230" s="340"/>
      <c r="HAE230" s="340"/>
      <c r="HAF230" s="340"/>
      <c r="HAG230" s="340"/>
      <c r="HAH230" s="340"/>
      <c r="HAI230" s="340"/>
      <c r="HAJ230" s="340"/>
      <c r="HAK230" s="340"/>
      <c r="HAL230" s="340"/>
      <c r="HAM230" s="340"/>
      <c r="HAN230" s="340"/>
      <c r="HAO230" s="340"/>
      <c r="HAP230" s="340"/>
      <c r="HAQ230" s="340"/>
      <c r="HAR230" s="340"/>
      <c r="HAS230" s="340"/>
      <c r="HAT230" s="340"/>
      <c r="HAU230" s="340"/>
      <c r="HAV230" s="340"/>
      <c r="HAW230" s="340"/>
      <c r="HAX230" s="340"/>
      <c r="HAY230" s="340"/>
      <c r="HAZ230" s="340"/>
      <c r="HBA230" s="340"/>
      <c r="HBB230" s="340"/>
      <c r="HBC230" s="340"/>
      <c r="HBD230" s="340"/>
      <c r="HBE230" s="340"/>
      <c r="HBF230" s="340"/>
      <c r="HBG230" s="340"/>
      <c r="HBH230" s="340"/>
      <c r="HBI230" s="340"/>
      <c r="HBJ230" s="340"/>
      <c r="HBK230" s="340"/>
      <c r="HBL230" s="340"/>
      <c r="HBM230" s="340"/>
      <c r="HBN230" s="340"/>
      <c r="HBO230" s="340"/>
      <c r="HBP230" s="340"/>
      <c r="HBQ230" s="340"/>
      <c r="HBR230" s="340"/>
      <c r="HBS230" s="340"/>
      <c r="HBT230" s="340"/>
      <c r="HBU230" s="340"/>
      <c r="HBV230" s="340"/>
      <c r="HBW230" s="340"/>
      <c r="HBX230" s="340"/>
      <c r="HBY230" s="340"/>
      <c r="HBZ230" s="340"/>
      <c r="HCA230" s="340"/>
      <c r="HCB230" s="340"/>
      <c r="HCC230" s="340"/>
      <c r="HCD230" s="340"/>
      <c r="HCE230" s="340"/>
      <c r="HCF230" s="340"/>
      <c r="HCG230" s="340"/>
      <c r="HCH230" s="340"/>
      <c r="HCI230" s="340"/>
      <c r="HCJ230" s="340"/>
      <c r="HCK230" s="340"/>
      <c r="HCL230" s="340"/>
      <c r="HCM230" s="340"/>
      <c r="HCN230" s="340"/>
      <c r="HCO230" s="340"/>
      <c r="HCP230" s="340"/>
      <c r="HCQ230" s="340"/>
      <c r="HCR230" s="340"/>
      <c r="HCS230" s="340"/>
      <c r="HCT230" s="340"/>
      <c r="HCU230" s="340"/>
      <c r="HCV230" s="340"/>
      <c r="HCW230" s="340"/>
      <c r="HCX230" s="340"/>
      <c r="HCY230" s="340"/>
      <c r="HCZ230" s="340"/>
      <c r="HDA230" s="340"/>
      <c r="HDB230" s="340"/>
      <c r="HDC230" s="340"/>
      <c r="HDD230" s="340"/>
      <c r="HDE230" s="340"/>
      <c r="HDF230" s="340"/>
      <c r="HDG230" s="340"/>
      <c r="HDH230" s="340"/>
      <c r="HDI230" s="340"/>
      <c r="HDJ230" s="340"/>
      <c r="HDK230" s="340"/>
      <c r="HDL230" s="340"/>
      <c r="HDM230" s="340"/>
      <c r="HDN230" s="340"/>
      <c r="HDO230" s="340"/>
      <c r="HDP230" s="340"/>
      <c r="HDQ230" s="340"/>
      <c r="HDR230" s="340"/>
      <c r="HDS230" s="340"/>
      <c r="HDT230" s="340"/>
      <c r="HDU230" s="340"/>
      <c r="HDV230" s="340"/>
      <c r="HDW230" s="340"/>
      <c r="HDX230" s="340"/>
      <c r="HDY230" s="340"/>
      <c r="HDZ230" s="340"/>
      <c r="HEA230" s="340"/>
      <c r="HEB230" s="340"/>
      <c r="HEC230" s="340"/>
      <c r="HED230" s="340"/>
      <c r="HEE230" s="340"/>
      <c r="HEF230" s="340"/>
      <c r="HEG230" s="340"/>
      <c r="HEH230" s="340"/>
      <c r="HEI230" s="340"/>
      <c r="HEJ230" s="340"/>
      <c r="HEK230" s="340"/>
      <c r="HEL230" s="340"/>
      <c r="HEM230" s="340"/>
      <c r="HEN230" s="340"/>
      <c r="HEO230" s="340"/>
      <c r="HEP230" s="340"/>
      <c r="HEQ230" s="340"/>
      <c r="HER230" s="340"/>
      <c r="HES230" s="340"/>
      <c r="HET230" s="340"/>
      <c r="HEU230" s="340"/>
      <c r="HEV230" s="340"/>
      <c r="HEW230" s="340"/>
      <c r="HEX230" s="340"/>
      <c r="HEY230" s="340"/>
      <c r="HEZ230" s="340"/>
      <c r="HFA230" s="340"/>
      <c r="HFB230" s="340"/>
      <c r="HFC230" s="340"/>
      <c r="HFD230" s="340"/>
      <c r="HFE230" s="340"/>
      <c r="HFF230" s="340"/>
      <c r="HFG230" s="340"/>
      <c r="HFH230" s="340"/>
      <c r="HFI230" s="340"/>
      <c r="HFJ230" s="340"/>
      <c r="HFK230" s="340"/>
      <c r="HFL230" s="340"/>
      <c r="HFM230" s="340"/>
      <c r="HFN230" s="340"/>
      <c r="HFO230" s="340"/>
      <c r="HFP230" s="340"/>
      <c r="HFQ230" s="340"/>
      <c r="HFR230" s="340"/>
      <c r="HFS230" s="340"/>
      <c r="HFT230" s="340"/>
      <c r="HFU230" s="340"/>
      <c r="HFV230" s="340"/>
      <c r="HFW230" s="340"/>
      <c r="HFX230" s="340"/>
      <c r="HFY230" s="340"/>
      <c r="HFZ230" s="340"/>
      <c r="HGA230" s="340"/>
      <c r="HGB230" s="340"/>
      <c r="HGC230" s="340"/>
      <c r="HGD230" s="340"/>
      <c r="HGE230" s="340"/>
      <c r="HGF230" s="340"/>
      <c r="HGG230" s="340"/>
      <c r="HGH230" s="340"/>
      <c r="HGI230" s="340"/>
      <c r="HGJ230" s="340"/>
      <c r="HGK230" s="340"/>
      <c r="HGL230" s="340"/>
      <c r="HGM230" s="340"/>
      <c r="HGN230" s="340"/>
      <c r="HGO230" s="340"/>
      <c r="HGP230" s="340"/>
      <c r="HGQ230" s="340"/>
      <c r="HGR230" s="340"/>
      <c r="HGS230" s="340"/>
      <c r="HGT230" s="340"/>
      <c r="HGU230" s="340"/>
      <c r="HGV230" s="340"/>
      <c r="HGW230" s="340"/>
      <c r="HGX230" s="340"/>
      <c r="HGY230" s="340"/>
      <c r="HGZ230" s="340"/>
      <c r="HHA230" s="340"/>
      <c r="HHB230" s="340"/>
      <c r="HHC230" s="340"/>
      <c r="HHD230" s="340"/>
      <c r="HHE230" s="340"/>
      <c r="HHF230" s="340"/>
      <c r="HHG230" s="340"/>
      <c r="HHH230" s="340"/>
      <c r="HHI230" s="340"/>
      <c r="HHJ230" s="340"/>
      <c r="HHK230" s="340"/>
      <c r="HHL230" s="340"/>
      <c r="HHM230" s="340"/>
      <c r="HHN230" s="340"/>
      <c r="HHO230" s="340"/>
      <c r="HHP230" s="340"/>
      <c r="HHQ230" s="340"/>
      <c r="HHR230" s="340"/>
      <c r="HHS230" s="340"/>
      <c r="HHT230" s="340"/>
      <c r="HHU230" s="340"/>
      <c r="HHV230" s="340"/>
      <c r="HHW230" s="340"/>
      <c r="HHX230" s="340"/>
      <c r="HHY230" s="340"/>
      <c r="HHZ230" s="340"/>
      <c r="HIA230" s="340"/>
      <c r="HIB230" s="340"/>
      <c r="HIC230" s="340"/>
      <c r="HID230" s="340"/>
      <c r="HIE230" s="340"/>
      <c r="HIF230" s="340"/>
      <c r="HIG230" s="340"/>
      <c r="HIH230" s="340"/>
      <c r="HII230" s="340"/>
      <c r="HIJ230" s="340"/>
      <c r="HIK230" s="340"/>
      <c r="HIL230" s="340"/>
      <c r="HIM230" s="340"/>
      <c r="HIN230" s="340"/>
      <c r="HIO230" s="340"/>
      <c r="HIP230" s="340"/>
      <c r="HIQ230" s="340"/>
      <c r="HIR230" s="340"/>
      <c r="HIS230" s="340"/>
      <c r="HIT230" s="340"/>
      <c r="HIU230" s="340"/>
      <c r="HIV230" s="340"/>
      <c r="HIW230" s="340"/>
      <c r="HIX230" s="340"/>
      <c r="HIY230" s="340"/>
      <c r="HIZ230" s="340"/>
      <c r="HJA230" s="340"/>
      <c r="HJB230" s="340"/>
      <c r="HJC230" s="340"/>
      <c r="HJD230" s="340"/>
      <c r="HJE230" s="340"/>
      <c r="HJF230" s="340"/>
      <c r="HJG230" s="340"/>
      <c r="HJH230" s="340"/>
      <c r="HJI230" s="340"/>
      <c r="HJJ230" s="340"/>
      <c r="HJK230" s="340"/>
      <c r="HJL230" s="340"/>
      <c r="HJM230" s="340"/>
      <c r="HJN230" s="340"/>
      <c r="HJO230" s="340"/>
      <c r="HJP230" s="340"/>
      <c r="HJQ230" s="340"/>
      <c r="HJR230" s="340"/>
      <c r="HJS230" s="340"/>
      <c r="HJT230" s="340"/>
      <c r="HJU230" s="340"/>
      <c r="HJV230" s="340"/>
      <c r="HJW230" s="340"/>
      <c r="HJX230" s="340"/>
      <c r="HJY230" s="340"/>
      <c r="HJZ230" s="340"/>
      <c r="HKA230" s="340"/>
      <c r="HKB230" s="340"/>
      <c r="HKC230" s="340"/>
      <c r="HKD230" s="340"/>
      <c r="HKE230" s="340"/>
      <c r="HKF230" s="340"/>
      <c r="HKG230" s="340"/>
      <c r="HKH230" s="340"/>
      <c r="HKI230" s="340"/>
      <c r="HKJ230" s="340"/>
      <c r="HKK230" s="340"/>
      <c r="HKL230" s="340"/>
      <c r="HKM230" s="340"/>
      <c r="HKN230" s="340"/>
      <c r="HKO230" s="340"/>
      <c r="HKP230" s="340"/>
      <c r="HKQ230" s="340"/>
      <c r="HKR230" s="340"/>
      <c r="HKS230" s="340"/>
      <c r="HKT230" s="340"/>
      <c r="HKU230" s="340"/>
      <c r="HKV230" s="340"/>
      <c r="HKW230" s="340"/>
      <c r="HKX230" s="340"/>
      <c r="HKY230" s="340"/>
      <c r="HKZ230" s="340"/>
      <c r="HLA230" s="340"/>
      <c r="HLB230" s="340"/>
      <c r="HLC230" s="340"/>
      <c r="HLD230" s="340"/>
      <c r="HLE230" s="340"/>
      <c r="HLF230" s="340"/>
      <c r="HLG230" s="340"/>
      <c r="HLH230" s="340"/>
      <c r="HLI230" s="340"/>
      <c r="HLJ230" s="340"/>
      <c r="HLK230" s="340"/>
      <c r="HLL230" s="340"/>
      <c r="HLM230" s="340"/>
      <c r="HLN230" s="340"/>
      <c r="HLO230" s="340"/>
      <c r="HLP230" s="340"/>
      <c r="HLQ230" s="340"/>
      <c r="HLR230" s="340"/>
      <c r="HLS230" s="340"/>
      <c r="HLT230" s="340"/>
      <c r="HLU230" s="340"/>
      <c r="HLV230" s="340"/>
      <c r="HLW230" s="340"/>
      <c r="HLX230" s="340"/>
      <c r="HLY230" s="340"/>
      <c r="HLZ230" s="340"/>
      <c r="HMA230" s="340"/>
      <c r="HMB230" s="340"/>
      <c r="HMC230" s="340"/>
      <c r="HMD230" s="340"/>
      <c r="HME230" s="340"/>
      <c r="HMF230" s="340"/>
      <c r="HMG230" s="340"/>
      <c r="HMH230" s="340"/>
      <c r="HMI230" s="340"/>
      <c r="HMJ230" s="340"/>
      <c r="HMK230" s="340"/>
      <c r="HML230" s="340"/>
      <c r="HMM230" s="340"/>
      <c r="HMN230" s="340"/>
      <c r="HMO230" s="340"/>
      <c r="HMP230" s="340"/>
      <c r="HMQ230" s="340"/>
      <c r="HMR230" s="340"/>
      <c r="HMS230" s="340"/>
      <c r="HMT230" s="340"/>
      <c r="HMU230" s="340"/>
      <c r="HMV230" s="340"/>
      <c r="HMW230" s="340"/>
      <c r="HMX230" s="340"/>
      <c r="HMY230" s="340"/>
      <c r="HMZ230" s="340"/>
      <c r="HNA230" s="340"/>
      <c r="HNB230" s="340"/>
      <c r="HNC230" s="340"/>
      <c r="HND230" s="340"/>
      <c r="HNE230" s="340"/>
      <c r="HNF230" s="340"/>
      <c r="HNG230" s="340"/>
      <c r="HNH230" s="340"/>
      <c r="HNI230" s="340"/>
      <c r="HNJ230" s="340"/>
      <c r="HNK230" s="340"/>
      <c r="HNL230" s="340"/>
      <c r="HNM230" s="340"/>
      <c r="HNN230" s="340"/>
      <c r="HNO230" s="340"/>
      <c r="HNP230" s="340"/>
      <c r="HNQ230" s="340"/>
      <c r="HNR230" s="340"/>
      <c r="HNS230" s="340"/>
      <c r="HNT230" s="340"/>
      <c r="HNU230" s="340"/>
      <c r="HNV230" s="340"/>
      <c r="HNW230" s="340"/>
      <c r="HNX230" s="340"/>
      <c r="HNY230" s="340"/>
      <c r="HNZ230" s="340"/>
      <c r="HOA230" s="340"/>
      <c r="HOB230" s="340"/>
      <c r="HOC230" s="340"/>
      <c r="HOD230" s="340"/>
      <c r="HOE230" s="340"/>
      <c r="HOF230" s="340"/>
      <c r="HOG230" s="340"/>
      <c r="HOH230" s="340"/>
      <c r="HOI230" s="340"/>
      <c r="HOJ230" s="340"/>
      <c r="HOK230" s="340"/>
      <c r="HOL230" s="340"/>
      <c r="HOM230" s="340"/>
      <c r="HON230" s="340"/>
      <c r="HOO230" s="340"/>
      <c r="HOP230" s="340"/>
      <c r="HOQ230" s="340"/>
      <c r="HOR230" s="340"/>
      <c r="HOS230" s="340"/>
      <c r="HOT230" s="340"/>
      <c r="HOU230" s="340"/>
      <c r="HOV230" s="340"/>
      <c r="HOW230" s="340"/>
      <c r="HOX230" s="340"/>
      <c r="HOY230" s="340"/>
      <c r="HOZ230" s="340"/>
      <c r="HPA230" s="340"/>
      <c r="HPB230" s="340"/>
      <c r="HPC230" s="340"/>
      <c r="HPD230" s="340"/>
      <c r="HPE230" s="340"/>
      <c r="HPF230" s="340"/>
      <c r="HPG230" s="340"/>
      <c r="HPH230" s="340"/>
      <c r="HPI230" s="340"/>
      <c r="HPJ230" s="340"/>
      <c r="HPK230" s="340"/>
      <c r="HPL230" s="340"/>
      <c r="HPM230" s="340"/>
      <c r="HPN230" s="340"/>
      <c r="HPO230" s="340"/>
      <c r="HPP230" s="340"/>
      <c r="HPQ230" s="340"/>
      <c r="HPR230" s="340"/>
      <c r="HPS230" s="340"/>
      <c r="HPT230" s="340"/>
      <c r="HPU230" s="340"/>
      <c r="HPV230" s="340"/>
      <c r="HPW230" s="340"/>
      <c r="HPX230" s="340"/>
      <c r="HPY230" s="340"/>
      <c r="HPZ230" s="340"/>
      <c r="HQA230" s="340"/>
      <c r="HQB230" s="340"/>
      <c r="HQC230" s="340"/>
      <c r="HQD230" s="340"/>
      <c r="HQE230" s="340"/>
      <c r="HQF230" s="340"/>
      <c r="HQG230" s="340"/>
      <c r="HQH230" s="340"/>
      <c r="HQI230" s="340"/>
      <c r="HQJ230" s="340"/>
      <c r="HQK230" s="340"/>
      <c r="HQL230" s="340"/>
      <c r="HQM230" s="340"/>
      <c r="HQN230" s="340"/>
      <c r="HQO230" s="340"/>
      <c r="HQP230" s="340"/>
      <c r="HQQ230" s="340"/>
      <c r="HQR230" s="340"/>
      <c r="HQS230" s="340"/>
      <c r="HQT230" s="340"/>
      <c r="HQU230" s="340"/>
      <c r="HQV230" s="340"/>
      <c r="HQW230" s="340"/>
      <c r="HQX230" s="340"/>
      <c r="HQY230" s="340"/>
      <c r="HQZ230" s="340"/>
      <c r="HRA230" s="340"/>
      <c r="HRB230" s="340"/>
      <c r="HRC230" s="340"/>
      <c r="HRD230" s="340"/>
      <c r="HRE230" s="340"/>
      <c r="HRF230" s="340"/>
      <c r="HRG230" s="340"/>
      <c r="HRH230" s="340"/>
      <c r="HRI230" s="340"/>
      <c r="HRJ230" s="340"/>
      <c r="HRK230" s="340"/>
      <c r="HRL230" s="340"/>
      <c r="HRM230" s="340"/>
      <c r="HRN230" s="340"/>
      <c r="HRO230" s="340"/>
      <c r="HRP230" s="340"/>
      <c r="HRQ230" s="340"/>
      <c r="HRR230" s="340"/>
      <c r="HRS230" s="340"/>
      <c r="HRT230" s="340"/>
      <c r="HRU230" s="340"/>
      <c r="HRV230" s="340"/>
      <c r="HRW230" s="340"/>
      <c r="HRX230" s="340"/>
      <c r="HRY230" s="340"/>
      <c r="HRZ230" s="340"/>
      <c r="HSA230" s="340"/>
      <c r="HSB230" s="340"/>
      <c r="HSC230" s="340"/>
      <c r="HSD230" s="340"/>
      <c r="HSE230" s="340"/>
      <c r="HSF230" s="340"/>
      <c r="HSG230" s="340"/>
      <c r="HSH230" s="340"/>
      <c r="HSI230" s="340"/>
      <c r="HSJ230" s="340"/>
      <c r="HSK230" s="340"/>
      <c r="HSL230" s="340"/>
      <c r="HSM230" s="340"/>
      <c r="HSN230" s="340"/>
      <c r="HSO230" s="340"/>
      <c r="HSP230" s="340"/>
      <c r="HSQ230" s="340"/>
      <c r="HSR230" s="340"/>
      <c r="HSS230" s="340"/>
      <c r="HST230" s="340"/>
      <c r="HSU230" s="340"/>
      <c r="HSV230" s="340"/>
      <c r="HSW230" s="340"/>
      <c r="HSX230" s="340"/>
      <c r="HSY230" s="340"/>
      <c r="HSZ230" s="340"/>
      <c r="HTA230" s="340"/>
      <c r="HTB230" s="340"/>
      <c r="HTC230" s="340"/>
      <c r="HTD230" s="340"/>
      <c r="HTE230" s="340"/>
      <c r="HTF230" s="340"/>
      <c r="HTG230" s="340"/>
      <c r="HTH230" s="340"/>
      <c r="HTI230" s="340"/>
      <c r="HTJ230" s="340"/>
      <c r="HTK230" s="340"/>
      <c r="HTL230" s="340"/>
      <c r="HTM230" s="340"/>
      <c r="HTN230" s="340"/>
      <c r="HTO230" s="340"/>
      <c r="HTP230" s="340"/>
      <c r="HTQ230" s="340"/>
      <c r="HTR230" s="340"/>
      <c r="HTS230" s="340"/>
      <c r="HTT230" s="340"/>
      <c r="HTU230" s="340"/>
      <c r="HTV230" s="340"/>
      <c r="HTW230" s="340"/>
      <c r="HTX230" s="340"/>
      <c r="HTY230" s="340"/>
      <c r="HTZ230" s="340"/>
      <c r="HUA230" s="340"/>
      <c r="HUB230" s="340"/>
      <c r="HUC230" s="340"/>
      <c r="HUD230" s="340"/>
      <c r="HUE230" s="340"/>
      <c r="HUF230" s="340"/>
      <c r="HUG230" s="340"/>
      <c r="HUH230" s="340"/>
      <c r="HUI230" s="340"/>
      <c r="HUJ230" s="340"/>
      <c r="HUK230" s="340"/>
      <c r="HUL230" s="340"/>
      <c r="HUM230" s="340"/>
      <c r="HUN230" s="340"/>
      <c r="HUO230" s="340"/>
      <c r="HUP230" s="340"/>
      <c r="HUQ230" s="340"/>
      <c r="HUR230" s="340"/>
      <c r="HUS230" s="340"/>
      <c r="HUT230" s="340"/>
      <c r="HUU230" s="340"/>
      <c r="HUV230" s="340"/>
      <c r="HUW230" s="340"/>
      <c r="HUX230" s="340"/>
      <c r="HUY230" s="340"/>
      <c r="HUZ230" s="340"/>
      <c r="HVA230" s="340"/>
      <c r="HVB230" s="340"/>
      <c r="HVC230" s="340"/>
      <c r="HVD230" s="340"/>
      <c r="HVE230" s="340"/>
      <c r="HVF230" s="340"/>
      <c r="HVG230" s="340"/>
      <c r="HVH230" s="340"/>
      <c r="HVI230" s="340"/>
      <c r="HVJ230" s="340"/>
      <c r="HVK230" s="340"/>
      <c r="HVL230" s="340"/>
      <c r="HVM230" s="340"/>
      <c r="HVN230" s="340"/>
      <c r="HVO230" s="340"/>
      <c r="HVP230" s="340"/>
      <c r="HVQ230" s="340"/>
      <c r="HVR230" s="340"/>
      <c r="HVS230" s="340"/>
      <c r="HVT230" s="340"/>
      <c r="HVU230" s="340"/>
      <c r="HVV230" s="340"/>
      <c r="HVW230" s="340"/>
      <c r="HVX230" s="340"/>
      <c r="HVY230" s="340"/>
      <c r="HVZ230" s="340"/>
      <c r="HWA230" s="340"/>
      <c r="HWB230" s="340"/>
      <c r="HWC230" s="340"/>
      <c r="HWD230" s="340"/>
      <c r="HWE230" s="340"/>
      <c r="HWF230" s="340"/>
      <c r="HWG230" s="340"/>
      <c r="HWH230" s="340"/>
      <c r="HWI230" s="340"/>
      <c r="HWJ230" s="340"/>
      <c r="HWK230" s="340"/>
      <c r="HWL230" s="340"/>
      <c r="HWM230" s="340"/>
      <c r="HWN230" s="340"/>
      <c r="HWO230" s="340"/>
      <c r="HWP230" s="340"/>
      <c r="HWQ230" s="340"/>
      <c r="HWR230" s="340"/>
      <c r="HWS230" s="340"/>
      <c r="HWT230" s="340"/>
      <c r="HWU230" s="340"/>
      <c r="HWV230" s="340"/>
      <c r="HWW230" s="340"/>
      <c r="HWX230" s="340"/>
      <c r="HWY230" s="340"/>
      <c r="HWZ230" s="340"/>
      <c r="HXA230" s="340"/>
      <c r="HXB230" s="340"/>
      <c r="HXC230" s="340"/>
      <c r="HXD230" s="340"/>
      <c r="HXE230" s="340"/>
      <c r="HXF230" s="340"/>
      <c r="HXG230" s="340"/>
      <c r="HXH230" s="340"/>
      <c r="HXI230" s="340"/>
      <c r="HXJ230" s="340"/>
      <c r="HXK230" s="340"/>
      <c r="HXL230" s="340"/>
      <c r="HXM230" s="340"/>
      <c r="HXN230" s="340"/>
      <c r="HXO230" s="340"/>
      <c r="HXP230" s="340"/>
      <c r="HXQ230" s="340"/>
      <c r="HXR230" s="340"/>
      <c r="HXS230" s="340"/>
      <c r="HXT230" s="340"/>
      <c r="HXU230" s="340"/>
      <c r="HXV230" s="340"/>
      <c r="HXW230" s="340"/>
      <c r="HXX230" s="340"/>
      <c r="HXY230" s="340"/>
      <c r="HXZ230" s="340"/>
      <c r="HYA230" s="340"/>
      <c r="HYB230" s="340"/>
      <c r="HYC230" s="340"/>
      <c r="HYD230" s="340"/>
      <c r="HYE230" s="340"/>
      <c r="HYF230" s="340"/>
      <c r="HYG230" s="340"/>
      <c r="HYH230" s="340"/>
      <c r="HYI230" s="340"/>
      <c r="HYJ230" s="340"/>
      <c r="HYK230" s="340"/>
      <c r="HYL230" s="340"/>
      <c r="HYM230" s="340"/>
      <c r="HYN230" s="340"/>
      <c r="HYO230" s="340"/>
      <c r="HYP230" s="340"/>
      <c r="HYQ230" s="340"/>
      <c r="HYR230" s="340"/>
      <c r="HYS230" s="340"/>
      <c r="HYT230" s="340"/>
      <c r="HYU230" s="340"/>
      <c r="HYV230" s="340"/>
      <c r="HYW230" s="340"/>
      <c r="HYX230" s="340"/>
      <c r="HYY230" s="340"/>
      <c r="HYZ230" s="340"/>
      <c r="HZA230" s="340"/>
      <c r="HZB230" s="340"/>
      <c r="HZC230" s="340"/>
      <c r="HZD230" s="340"/>
      <c r="HZE230" s="340"/>
      <c r="HZF230" s="340"/>
      <c r="HZG230" s="340"/>
      <c r="HZH230" s="340"/>
      <c r="HZI230" s="340"/>
      <c r="HZJ230" s="340"/>
      <c r="HZK230" s="340"/>
      <c r="HZL230" s="340"/>
      <c r="HZM230" s="340"/>
      <c r="HZN230" s="340"/>
      <c r="HZO230" s="340"/>
      <c r="HZP230" s="340"/>
      <c r="HZQ230" s="340"/>
      <c r="HZR230" s="340"/>
      <c r="HZS230" s="340"/>
      <c r="HZT230" s="340"/>
      <c r="HZU230" s="340"/>
      <c r="HZV230" s="340"/>
      <c r="HZW230" s="340"/>
      <c r="HZX230" s="340"/>
      <c r="HZY230" s="340"/>
      <c r="HZZ230" s="340"/>
      <c r="IAA230" s="340"/>
      <c r="IAB230" s="340"/>
      <c r="IAC230" s="340"/>
      <c r="IAD230" s="340"/>
      <c r="IAE230" s="340"/>
      <c r="IAF230" s="340"/>
      <c r="IAG230" s="340"/>
      <c r="IAH230" s="340"/>
      <c r="IAI230" s="340"/>
      <c r="IAJ230" s="340"/>
      <c r="IAK230" s="340"/>
      <c r="IAL230" s="340"/>
      <c r="IAM230" s="340"/>
      <c r="IAN230" s="340"/>
      <c r="IAO230" s="340"/>
      <c r="IAP230" s="340"/>
      <c r="IAQ230" s="340"/>
      <c r="IAR230" s="340"/>
      <c r="IAS230" s="340"/>
      <c r="IAT230" s="340"/>
      <c r="IAU230" s="340"/>
      <c r="IAV230" s="340"/>
      <c r="IAW230" s="340"/>
      <c r="IAX230" s="340"/>
      <c r="IAY230" s="340"/>
      <c r="IAZ230" s="340"/>
      <c r="IBA230" s="340"/>
      <c r="IBB230" s="340"/>
      <c r="IBC230" s="340"/>
      <c r="IBD230" s="340"/>
      <c r="IBE230" s="340"/>
      <c r="IBF230" s="340"/>
      <c r="IBG230" s="340"/>
      <c r="IBH230" s="340"/>
      <c r="IBI230" s="340"/>
      <c r="IBJ230" s="340"/>
      <c r="IBK230" s="340"/>
      <c r="IBL230" s="340"/>
      <c r="IBM230" s="340"/>
      <c r="IBN230" s="340"/>
      <c r="IBO230" s="340"/>
      <c r="IBP230" s="340"/>
      <c r="IBQ230" s="340"/>
      <c r="IBR230" s="340"/>
      <c r="IBS230" s="340"/>
      <c r="IBT230" s="340"/>
      <c r="IBU230" s="340"/>
      <c r="IBV230" s="340"/>
      <c r="IBW230" s="340"/>
      <c r="IBX230" s="340"/>
      <c r="IBY230" s="340"/>
      <c r="IBZ230" s="340"/>
      <c r="ICA230" s="340"/>
      <c r="ICB230" s="340"/>
      <c r="ICC230" s="340"/>
      <c r="ICD230" s="340"/>
      <c r="ICE230" s="340"/>
      <c r="ICF230" s="340"/>
      <c r="ICG230" s="340"/>
      <c r="ICH230" s="340"/>
      <c r="ICI230" s="340"/>
      <c r="ICJ230" s="340"/>
      <c r="ICK230" s="340"/>
      <c r="ICL230" s="340"/>
      <c r="ICM230" s="340"/>
      <c r="ICN230" s="340"/>
      <c r="ICO230" s="340"/>
      <c r="ICP230" s="340"/>
      <c r="ICQ230" s="340"/>
      <c r="ICR230" s="340"/>
      <c r="ICS230" s="340"/>
      <c r="ICT230" s="340"/>
      <c r="ICU230" s="340"/>
      <c r="ICV230" s="340"/>
      <c r="ICW230" s="340"/>
      <c r="ICX230" s="340"/>
      <c r="ICY230" s="340"/>
      <c r="ICZ230" s="340"/>
      <c r="IDA230" s="340"/>
      <c r="IDB230" s="340"/>
      <c r="IDC230" s="340"/>
      <c r="IDD230" s="340"/>
      <c r="IDE230" s="340"/>
      <c r="IDF230" s="340"/>
      <c r="IDG230" s="340"/>
      <c r="IDH230" s="340"/>
      <c r="IDI230" s="340"/>
      <c r="IDJ230" s="340"/>
      <c r="IDK230" s="340"/>
      <c r="IDL230" s="340"/>
      <c r="IDM230" s="340"/>
      <c r="IDN230" s="340"/>
      <c r="IDO230" s="340"/>
      <c r="IDP230" s="340"/>
      <c r="IDQ230" s="340"/>
      <c r="IDR230" s="340"/>
      <c r="IDS230" s="340"/>
      <c r="IDT230" s="340"/>
      <c r="IDU230" s="340"/>
      <c r="IDV230" s="340"/>
      <c r="IDW230" s="340"/>
      <c r="IDX230" s="340"/>
      <c r="IDY230" s="340"/>
      <c r="IDZ230" s="340"/>
      <c r="IEA230" s="340"/>
      <c r="IEB230" s="340"/>
      <c r="IEC230" s="340"/>
      <c r="IED230" s="340"/>
      <c r="IEE230" s="340"/>
      <c r="IEF230" s="340"/>
      <c r="IEG230" s="340"/>
      <c r="IEH230" s="340"/>
      <c r="IEI230" s="340"/>
      <c r="IEJ230" s="340"/>
      <c r="IEK230" s="340"/>
      <c r="IEL230" s="340"/>
      <c r="IEM230" s="340"/>
      <c r="IEN230" s="340"/>
      <c r="IEO230" s="340"/>
      <c r="IEP230" s="340"/>
      <c r="IEQ230" s="340"/>
      <c r="IER230" s="340"/>
      <c r="IES230" s="340"/>
      <c r="IET230" s="340"/>
      <c r="IEU230" s="340"/>
      <c r="IEV230" s="340"/>
      <c r="IEW230" s="340"/>
      <c r="IEX230" s="340"/>
      <c r="IEY230" s="340"/>
      <c r="IEZ230" s="340"/>
      <c r="IFA230" s="340"/>
      <c r="IFB230" s="340"/>
      <c r="IFC230" s="340"/>
      <c r="IFD230" s="340"/>
      <c r="IFE230" s="340"/>
      <c r="IFF230" s="340"/>
      <c r="IFG230" s="340"/>
      <c r="IFH230" s="340"/>
      <c r="IFI230" s="340"/>
      <c r="IFJ230" s="340"/>
      <c r="IFK230" s="340"/>
      <c r="IFL230" s="340"/>
      <c r="IFM230" s="340"/>
      <c r="IFN230" s="340"/>
      <c r="IFO230" s="340"/>
      <c r="IFP230" s="340"/>
      <c r="IFQ230" s="340"/>
      <c r="IFR230" s="340"/>
      <c r="IFS230" s="340"/>
      <c r="IFT230" s="340"/>
      <c r="IFU230" s="340"/>
      <c r="IFV230" s="340"/>
      <c r="IFW230" s="340"/>
      <c r="IFX230" s="340"/>
      <c r="IFY230" s="340"/>
      <c r="IFZ230" s="340"/>
      <c r="IGA230" s="340"/>
      <c r="IGB230" s="340"/>
      <c r="IGC230" s="340"/>
      <c r="IGD230" s="340"/>
      <c r="IGE230" s="340"/>
      <c r="IGF230" s="340"/>
      <c r="IGG230" s="340"/>
      <c r="IGH230" s="340"/>
      <c r="IGI230" s="340"/>
      <c r="IGJ230" s="340"/>
      <c r="IGK230" s="340"/>
      <c r="IGL230" s="340"/>
      <c r="IGM230" s="340"/>
      <c r="IGN230" s="340"/>
      <c r="IGO230" s="340"/>
      <c r="IGP230" s="340"/>
      <c r="IGQ230" s="340"/>
      <c r="IGR230" s="340"/>
      <c r="IGS230" s="340"/>
      <c r="IGT230" s="340"/>
      <c r="IGU230" s="340"/>
      <c r="IGV230" s="340"/>
      <c r="IGW230" s="340"/>
      <c r="IGX230" s="340"/>
      <c r="IGY230" s="340"/>
      <c r="IGZ230" s="340"/>
      <c r="IHA230" s="340"/>
      <c r="IHB230" s="340"/>
      <c r="IHC230" s="340"/>
      <c r="IHD230" s="340"/>
      <c r="IHE230" s="340"/>
      <c r="IHF230" s="340"/>
      <c r="IHG230" s="340"/>
      <c r="IHH230" s="340"/>
      <c r="IHI230" s="340"/>
      <c r="IHJ230" s="340"/>
      <c r="IHK230" s="340"/>
      <c r="IHL230" s="340"/>
      <c r="IHM230" s="340"/>
      <c r="IHN230" s="340"/>
      <c r="IHO230" s="340"/>
      <c r="IHP230" s="340"/>
      <c r="IHQ230" s="340"/>
      <c r="IHR230" s="340"/>
      <c r="IHS230" s="340"/>
      <c r="IHT230" s="340"/>
      <c r="IHU230" s="340"/>
      <c r="IHV230" s="340"/>
      <c r="IHW230" s="340"/>
      <c r="IHX230" s="340"/>
      <c r="IHY230" s="340"/>
      <c r="IHZ230" s="340"/>
      <c r="IIA230" s="340"/>
      <c r="IIB230" s="340"/>
      <c r="IIC230" s="340"/>
      <c r="IID230" s="340"/>
      <c r="IIE230" s="340"/>
      <c r="IIF230" s="340"/>
      <c r="IIG230" s="340"/>
      <c r="IIH230" s="340"/>
      <c r="III230" s="340"/>
      <c r="IIJ230" s="340"/>
      <c r="IIK230" s="340"/>
      <c r="IIL230" s="340"/>
      <c r="IIM230" s="340"/>
      <c r="IIN230" s="340"/>
      <c r="IIO230" s="340"/>
      <c r="IIP230" s="340"/>
      <c r="IIQ230" s="340"/>
      <c r="IIR230" s="340"/>
      <c r="IIS230" s="340"/>
      <c r="IIT230" s="340"/>
      <c r="IIU230" s="340"/>
      <c r="IIV230" s="340"/>
      <c r="IIW230" s="340"/>
      <c r="IIX230" s="340"/>
      <c r="IIY230" s="340"/>
      <c r="IIZ230" s="340"/>
      <c r="IJA230" s="340"/>
      <c r="IJB230" s="340"/>
      <c r="IJC230" s="340"/>
      <c r="IJD230" s="340"/>
      <c r="IJE230" s="340"/>
      <c r="IJF230" s="340"/>
      <c r="IJG230" s="340"/>
      <c r="IJH230" s="340"/>
      <c r="IJI230" s="340"/>
      <c r="IJJ230" s="340"/>
      <c r="IJK230" s="340"/>
      <c r="IJL230" s="340"/>
      <c r="IJM230" s="340"/>
      <c r="IJN230" s="340"/>
      <c r="IJO230" s="340"/>
      <c r="IJP230" s="340"/>
      <c r="IJQ230" s="340"/>
      <c r="IJR230" s="340"/>
      <c r="IJS230" s="340"/>
      <c r="IJT230" s="340"/>
      <c r="IJU230" s="340"/>
      <c r="IJV230" s="340"/>
      <c r="IJW230" s="340"/>
      <c r="IJX230" s="340"/>
      <c r="IJY230" s="340"/>
      <c r="IJZ230" s="340"/>
      <c r="IKA230" s="340"/>
      <c r="IKB230" s="340"/>
      <c r="IKC230" s="340"/>
      <c r="IKD230" s="340"/>
      <c r="IKE230" s="340"/>
      <c r="IKF230" s="340"/>
      <c r="IKG230" s="340"/>
      <c r="IKH230" s="340"/>
      <c r="IKI230" s="340"/>
      <c r="IKJ230" s="340"/>
      <c r="IKK230" s="340"/>
      <c r="IKL230" s="340"/>
      <c r="IKM230" s="340"/>
      <c r="IKN230" s="340"/>
      <c r="IKO230" s="340"/>
      <c r="IKP230" s="340"/>
      <c r="IKQ230" s="340"/>
      <c r="IKR230" s="340"/>
      <c r="IKS230" s="340"/>
      <c r="IKT230" s="340"/>
      <c r="IKU230" s="340"/>
      <c r="IKV230" s="340"/>
      <c r="IKW230" s="340"/>
      <c r="IKX230" s="340"/>
      <c r="IKY230" s="340"/>
      <c r="IKZ230" s="340"/>
      <c r="ILA230" s="340"/>
      <c r="ILB230" s="340"/>
      <c r="ILC230" s="340"/>
      <c r="ILD230" s="340"/>
      <c r="ILE230" s="340"/>
      <c r="ILF230" s="340"/>
      <c r="ILG230" s="340"/>
      <c r="ILH230" s="340"/>
      <c r="ILI230" s="340"/>
      <c r="ILJ230" s="340"/>
      <c r="ILK230" s="340"/>
      <c r="ILL230" s="340"/>
      <c r="ILM230" s="340"/>
      <c r="ILN230" s="340"/>
      <c r="ILO230" s="340"/>
      <c r="ILP230" s="340"/>
      <c r="ILQ230" s="340"/>
      <c r="ILR230" s="340"/>
      <c r="ILS230" s="340"/>
      <c r="ILT230" s="340"/>
      <c r="ILU230" s="340"/>
      <c r="ILV230" s="340"/>
      <c r="ILW230" s="340"/>
      <c r="ILX230" s="340"/>
      <c r="ILY230" s="340"/>
      <c r="ILZ230" s="340"/>
      <c r="IMA230" s="340"/>
      <c r="IMB230" s="340"/>
      <c r="IMC230" s="340"/>
      <c r="IMD230" s="340"/>
      <c r="IME230" s="340"/>
      <c r="IMF230" s="340"/>
      <c r="IMG230" s="340"/>
      <c r="IMH230" s="340"/>
      <c r="IMI230" s="340"/>
      <c r="IMJ230" s="340"/>
      <c r="IMK230" s="340"/>
      <c r="IML230" s="340"/>
      <c r="IMM230" s="340"/>
      <c r="IMN230" s="340"/>
      <c r="IMO230" s="340"/>
      <c r="IMP230" s="340"/>
      <c r="IMQ230" s="340"/>
      <c r="IMR230" s="340"/>
      <c r="IMS230" s="340"/>
      <c r="IMT230" s="340"/>
      <c r="IMU230" s="340"/>
      <c r="IMV230" s="340"/>
      <c r="IMW230" s="340"/>
      <c r="IMX230" s="340"/>
      <c r="IMY230" s="340"/>
      <c r="IMZ230" s="340"/>
      <c r="INA230" s="340"/>
      <c r="INB230" s="340"/>
      <c r="INC230" s="340"/>
      <c r="IND230" s="340"/>
      <c r="INE230" s="340"/>
      <c r="INF230" s="340"/>
      <c r="ING230" s="340"/>
      <c r="INH230" s="340"/>
      <c r="INI230" s="340"/>
      <c r="INJ230" s="340"/>
      <c r="INK230" s="340"/>
      <c r="INL230" s="340"/>
      <c r="INM230" s="340"/>
      <c r="INN230" s="340"/>
      <c r="INO230" s="340"/>
      <c r="INP230" s="340"/>
      <c r="INQ230" s="340"/>
      <c r="INR230" s="340"/>
      <c r="INS230" s="340"/>
      <c r="INT230" s="340"/>
      <c r="INU230" s="340"/>
      <c r="INV230" s="340"/>
      <c r="INW230" s="340"/>
      <c r="INX230" s="340"/>
      <c r="INY230" s="340"/>
      <c r="INZ230" s="340"/>
      <c r="IOA230" s="340"/>
      <c r="IOB230" s="340"/>
      <c r="IOC230" s="340"/>
      <c r="IOD230" s="340"/>
      <c r="IOE230" s="340"/>
      <c r="IOF230" s="340"/>
      <c r="IOG230" s="340"/>
      <c r="IOH230" s="340"/>
      <c r="IOI230" s="340"/>
      <c r="IOJ230" s="340"/>
      <c r="IOK230" s="340"/>
      <c r="IOL230" s="340"/>
      <c r="IOM230" s="340"/>
      <c r="ION230" s="340"/>
      <c r="IOO230" s="340"/>
      <c r="IOP230" s="340"/>
      <c r="IOQ230" s="340"/>
      <c r="IOR230" s="340"/>
      <c r="IOS230" s="340"/>
      <c r="IOT230" s="340"/>
      <c r="IOU230" s="340"/>
      <c r="IOV230" s="340"/>
      <c r="IOW230" s="340"/>
      <c r="IOX230" s="340"/>
      <c r="IOY230" s="340"/>
      <c r="IOZ230" s="340"/>
      <c r="IPA230" s="340"/>
      <c r="IPB230" s="340"/>
      <c r="IPC230" s="340"/>
      <c r="IPD230" s="340"/>
      <c r="IPE230" s="340"/>
      <c r="IPF230" s="340"/>
      <c r="IPG230" s="340"/>
      <c r="IPH230" s="340"/>
      <c r="IPI230" s="340"/>
      <c r="IPJ230" s="340"/>
      <c r="IPK230" s="340"/>
      <c r="IPL230" s="340"/>
      <c r="IPM230" s="340"/>
      <c r="IPN230" s="340"/>
      <c r="IPO230" s="340"/>
      <c r="IPP230" s="340"/>
      <c r="IPQ230" s="340"/>
      <c r="IPR230" s="340"/>
      <c r="IPS230" s="340"/>
      <c r="IPT230" s="340"/>
      <c r="IPU230" s="340"/>
      <c r="IPV230" s="340"/>
      <c r="IPW230" s="340"/>
      <c r="IPX230" s="340"/>
      <c r="IPY230" s="340"/>
      <c r="IPZ230" s="340"/>
      <c r="IQA230" s="340"/>
      <c r="IQB230" s="340"/>
      <c r="IQC230" s="340"/>
      <c r="IQD230" s="340"/>
      <c r="IQE230" s="340"/>
      <c r="IQF230" s="340"/>
      <c r="IQG230" s="340"/>
      <c r="IQH230" s="340"/>
      <c r="IQI230" s="340"/>
      <c r="IQJ230" s="340"/>
      <c r="IQK230" s="340"/>
      <c r="IQL230" s="340"/>
      <c r="IQM230" s="340"/>
      <c r="IQN230" s="340"/>
      <c r="IQO230" s="340"/>
      <c r="IQP230" s="340"/>
      <c r="IQQ230" s="340"/>
      <c r="IQR230" s="340"/>
      <c r="IQS230" s="340"/>
      <c r="IQT230" s="340"/>
      <c r="IQU230" s="340"/>
      <c r="IQV230" s="340"/>
      <c r="IQW230" s="340"/>
      <c r="IQX230" s="340"/>
      <c r="IQY230" s="340"/>
      <c r="IQZ230" s="340"/>
      <c r="IRA230" s="340"/>
      <c r="IRB230" s="340"/>
      <c r="IRC230" s="340"/>
      <c r="IRD230" s="340"/>
      <c r="IRE230" s="340"/>
      <c r="IRF230" s="340"/>
      <c r="IRG230" s="340"/>
      <c r="IRH230" s="340"/>
      <c r="IRI230" s="340"/>
      <c r="IRJ230" s="340"/>
      <c r="IRK230" s="340"/>
      <c r="IRL230" s="340"/>
      <c r="IRM230" s="340"/>
      <c r="IRN230" s="340"/>
      <c r="IRO230" s="340"/>
      <c r="IRP230" s="340"/>
      <c r="IRQ230" s="340"/>
      <c r="IRR230" s="340"/>
      <c r="IRS230" s="340"/>
      <c r="IRT230" s="340"/>
      <c r="IRU230" s="340"/>
      <c r="IRV230" s="340"/>
      <c r="IRW230" s="340"/>
      <c r="IRX230" s="340"/>
      <c r="IRY230" s="340"/>
      <c r="IRZ230" s="340"/>
      <c r="ISA230" s="340"/>
      <c r="ISB230" s="340"/>
      <c r="ISC230" s="340"/>
      <c r="ISD230" s="340"/>
      <c r="ISE230" s="340"/>
      <c r="ISF230" s="340"/>
      <c r="ISG230" s="340"/>
      <c r="ISH230" s="340"/>
      <c r="ISI230" s="340"/>
      <c r="ISJ230" s="340"/>
      <c r="ISK230" s="340"/>
      <c r="ISL230" s="340"/>
      <c r="ISM230" s="340"/>
      <c r="ISN230" s="340"/>
      <c r="ISO230" s="340"/>
      <c r="ISP230" s="340"/>
      <c r="ISQ230" s="340"/>
      <c r="ISR230" s="340"/>
      <c r="ISS230" s="340"/>
      <c r="IST230" s="340"/>
      <c r="ISU230" s="340"/>
      <c r="ISV230" s="340"/>
      <c r="ISW230" s="340"/>
      <c r="ISX230" s="340"/>
      <c r="ISY230" s="340"/>
      <c r="ISZ230" s="340"/>
      <c r="ITA230" s="340"/>
      <c r="ITB230" s="340"/>
      <c r="ITC230" s="340"/>
      <c r="ITD230" s="340"/>
      <c r="ITE230" s="340"/>
      <c r="ITF230" s="340"/>
      <c r="ITG230" s="340"/>
      <c r="ITH230" s="340"/>
      <c r="ITI230" s="340"/>
      <c r="ITJ230" s="340"/>
      <c r="ITK230" s="340"/>
      <c r="ITL230" s="340"/>
      <c r="ITM230" s="340"/>
      <c r="ITN230" s="340"/>
      <c r="ITO230" s="340"/>
      <c r="ITP230" s="340"/>
      <c r="ITQ230" s="340"/>
      <c r="ITR230" s="340"/>
      <c r="ITS230" s="340"/>
      <c r="ITT230" s="340"/>
      <c r="ITU230" s="340"/>
      <c r="ITV230" s="340"/>
      <c r="ITW230" s="340"/>
      <c r="ITX230" s="340"/>
      <c r="ITY230" s="340"/>
      <c r="ITZ230" s="340"/>
      <c r="IUA230" s="340"/>
      <c r="IUB230" s="340"/>
      <c r="IUC230" s="340"/>
      <c r="IUD230" s="340"/>
      <c r="IUE230" s="340"/>
      <c r="IUF230" s="340"/>
      <c r="IUG230" s="340"/>
      <c r="IUH230" s="340"/>
      <c r="IUI230" s="340"/>
      <c r="IUJ230" s="340"/>
      <c r="IUK230" s="340"/>
      <c r="IUL230" s="340"/>
      <c r="IUM230" s="340"/>
      <c r="IUN230" s="340"/>
      <c r="IUO230" s="340"/>
      <c r="IUP230" s="340"/>
      <c r="IUQ230" s="340"/>
      <c r="IUR230" s="340"/>
      <c r="IUS230" s="340"/>
      <c r="IUT230" s="340"/>
      <c r="IUU230" s="340"/>
      <c r="IUV230" s="340"/>
      <c r="IUW230" s="340"/>
      <c r="IUX230" s="340"/>
      <c r="IUY230" s="340"/>
      <c r="IUZ230" s="340"/>
      <c r="IVA230" s="340"/>
      <c r="IVB230" s="340"/>
      <c r="IVC230" s="340"/>
      <c r="IVD230" s="340"/>
      <c r="IVE230" s="340"/>
      <c r="IVF230" s="340"/>
      <c r="IVG230" s="340"/>
      <c r="IVH230" s="340"/>
      <c r="IVI230" s="340"/>
      <c r="IVJ230" s="340"/>
      <c r="IVK230" s="340"/>
      <c r="IVL230" s="340"/>
      <c r="IVM230" s="340"/>
      <c r="IVN230" s="340"/>
      <c r="IVO230" s="340"/>
      <c r="IVP230" s="340"/>
      <c r="IVQ230" s="340"/>
      <c r="IVR230" s="340"/>
      <c r="IVS230" s="340"/>
      <c r="IVT230" s="340"/>
      <c r="IVU230" s="340"/>
      <c r="IVV230" s="340"/>
      <c r="IVW230" s="340"/>
      <c r="IVX230" s="340"/>
      <c r="IVY230" s="340"/>
      <c r="IVZ230" s="340"/>
      <c r="IWA230" s="340"/>
      <c r="IWB230" s="340"/>
      <c r="IWC230" s="340"/>
      <c r="IWD230" s="340"/>
      <c r="IWE230" s="340"/>
      <c r="IWF230" s="340"/>
      <c r="IWG230" s="340"/>
      <c r="IWH230" s="340"/>
      <c r="IWI230" s="340"/>
      <c r="IWJ230" s="340"/>
      <c r="IWK230" s="340"/>
      <c r="IWL230" s="340"/>
      <c r="IWM230" s="340"/>
      <c r="IWN230" s="340"/>
      <c r="IWO230" s="340"/>
      <c r="IWP230" s="340"/>
      <c r="IWQ230" s="340"/>
      <c r="IWR230" s="340"/>
      <c r="IWS230" s="340"/>
      <c r="IWT230" s="340"/>
      <c r="IWU230" s="340"/>
      <c r="IWV230" s="340"/>
      <c r="IWW230" s="340"/>
      <c r="IWX230" s="340"/>
      <c r="IWY230" s="340"/>
      <c r="IWZ230" s="340"/>
      <c r="IXA230" s="340"/>
      <c r="IXB230" s="340"/>
      <c r="IXC230" s="340"/>
      <c r="IXD230" s="340"/>
      <c r="IXE230" s="340"/>
      <c r="IXF230" s="340"/>
      <c r="IXG230" s="340"/>
      <c r="IXH230" s="340"/>
      <c r="IXI230" s="340"/>
      <c r="IXJ230" s="340"/>
      <c r="IXK230" s="340"/>
      <c r="IXL230" s="340"/>
      <c r="IXM230" s="340"/>
      <c r="IXN230" s="340"/>
      <c r="IXO230" s="340"/>
      <c r="IXP230" s="340"/>
      <c r="IXQ230" s="340"/>
      <c r="IXR230" s="340"/>
      <c r="IXS230" s="340"/>
      <c r="IXT230" s="340"/>
      <c r="IXU230" s="340"/>
      <c r="IXV230" s="340"/>
      <c r="IXW230" s="340"/>
      <c r="IXX230" s="340"/>
      <c r="IXY230" s="340"/>
      <c r="IXZ230" s="340"/>
      <c r="IYA230" s="340"/>
      <c r="IYB230" s="340"/>
      <c r="IYC230" s="340"/>
      <c r="IYD230" s="340"/>
      <c r="IYE230" s="340"/>
      <c r="IYF230" s="340"/>
      <c r="IYG230" s="340"/>
      <c r="IYH230" s="340"/>
      <c r="IYI230" s="340"/>
      <c r="IYJ230" s="340"/>
      <c r="IYK230" s="340"/>
      <c r="IYL230" s="340"/>
      <c r="IYM230" s="340"/>
      <c r="IYN230" s="340"/>
      <c r="IYO230" s="340"/>
      <c r="IYP230" s="340"/>
      <c r="IYQ230" s="340"/>
      <c r="IYR230" s="340"/>
      <c r="IYS230" s="340"/>
      <c r="IYT230" s="340"/>
      <c r="IYU230" s="340"/>
      <c r="IYV230" s="340"/>
      <c r="IYW230" s="340"/>
      <c r="IYX230" s="340"/>
      <c r="IYY230" s="340"/>
      <c r="IYZ230" s="340"/>
      <c r="IZA230" s="340"/>
      <c r="IZB230" s="340"/>
      <c r="IZC230" s="340"/>
      <c r="IZD230" s="340"/>
      <c r="IZE230" s="340"/>
      <c r="IZF230" s="340"/>
      <c r="IZG230" s="340"/>
      <c r="IZH230" s="340"/>
      <c r="IZI230" s="340"/>
      <c r="IZJ230" s="340"/>
      <c r="IZK230" s="340"/>
      <c r="IZL230" s="340"/>
      <c r="IZM230" s="340"/>
      <c r="IZN230" s="340"/>
      <c r="IZO230" s="340"/>
      <c r="IZP230" s="340"/>
      <c r="IZQ230" s="340"/>
      <c r="IZR230" s="340"/>
      <c r="IZS230" s="340"/>
      <c r="IZT230" s="340"/>
      <c r="IZU230" s="340"/>
      <c r="IZV230" s="340"/>
      <c r="IZW230" s="340"/>
      <c r="IZX230" s="340"/>
      <c r="IZY230" s="340"/>
      <c r="IZZ230" s="340"/>
      <c r="JAA230" s="340"/>
      <c r="JAB230" s="340"/>
      <c r="JAC230" s="340"/>
      <c r="JAD230" s="340"/>
      <c r="JAE230" s="340"/>
      <c r="JAF230" s="340"/>
      <c r="JAG230" s="340"/>
      <c r="JAH230" s="340"/>
      <c r="JAI230" s="340"/>
      <c r="JAJ230" s="340"/>
      <c r="JAK230" s="340"/>
      <c r="JAL230" s="340"/>
      <c r="JAM230" s="340"/>
      <c r="JAN230" s="340"/>
      <c r="JAO230" s="340"/>
      <c r="JAP230" s="340"/>
      <c r="JAQ230" s="340"/>
      <c r="JAR230" s="340"/>
      <c r="JAS230" s="340"/>
      <c r="JAT230" s="340"/>
      <c r="JAU230" s="340"/>
      <c r="JAV230" s="340"/>
      <c r="JAW230" s="340"/>
      <c r="JAX230" s="340"/>
      <c r="JAY230" s="340"/>
      <c r="JAZ230" s="340"/>
      <c r="JBA230" s="340"/>
      <c r="JBB230" s="340"/>
      <c r="JBC230" s="340"/>
      <c r="JBD230" s="340"/>
      <c r="JBE230" s="340"/>
      <c r="JBF230" s="340"/>
      <c r="JBG230" s="340"/>
      <c r="JBH230" s="340"/>
      <c r="JBI230" s="340"/>
      <c r="JBJ230" s="340"/>
      <c r="JBK230" s="340"/>
      <c r="JBL230" s="340"/>
      <c r="JBM230" s="340"/>
      <c r="JBN230" s="340"/>
      <c r="JBO230" s="340"/>
      <c r="JBP230" s="340"/>
      <c r="JBQ230" s="340"/>
      <c r="JBR230" s="340"/>
      <c r="JBS230" s="340"/>
      <c r="JBT230" s="340"/>
      <c r="JBU230" s="340"/>
      <c r="JBV230" s="340"/>
      <c r="JBW230" s="340"/>
      <c r="JBX230" s="340"/>
      <c r="JBY230" s="340"/>
      <c r="JBZ230" s="340"/>
      <c r="JCA230" s="340"/>
      <c r="JCB230" s="340"/>
      <c r="JCC230" s="340"/>
      <c r="JCD230" s="340"/>
      <c r="JCE230" s="340"/>
      <c r="JCF230" s="340"/>
      <c r="JCG230" s="340"/>
      <c r="JCH230" s="340"/>
      <c r="JCI230" s="340"/>
      <c r="JCJ230" s="340"/>
      <c r="JCK230" s="340"/>
      <c r="JCL230" s="340"/>
      <c r="JCM230" s="340"/>
      <c r="JCN230" s="340"/>
      <c r="JCO230" s="340"/>
      <c r="JCP230" s="340"/>
      <c r="JCQ230" s="340"/>
      <c r="JCR230" s="340"/>
      <c r="JCS230" s="340"/>
      <c r="JCT230" s="340"/>
      <c r="JCU230" s="340"/>
      <c r="JCV230" s="340"/>
      <c r="JCW230" s="340"/>
      <c r="JCX230" s="340"/>
      <c r="JCY230" s="340"/>
      <c r="JCZ230" s="340"/>
      <c r="JDA230" s="340"/>
      <c r="JDB230" s="340"/>
      <c r="JDC230" s="340"/>
      <c r="JDD230" s="340"/>
      <c r="JDE230" s="340"/>
      <c r="JDF230" s="340"/>
      <c r="JDG230" s="340"/>
      <c r="JDH230" s="340"/>
      <c r="JDI230" s="340"/>
      <c r="JDJ230" s="340"/>
      <c r="JDK230" s="340"/>
      <c r="JDL230" s="340"/>
      <c r="JDM230" s="340"/>
      <c r="JDN230" s="340"/>
      <c r="JDO230" s="340"/>
      <c r="JDP230" s="340"/>
      <c r="JDQ230" s="340"/>
      <c r="JDR230" s="340"/>
      <c r="JDS230" s="340"/>
      <c r="JDT230" s="340"/>
      <c r="JDU230" s="340"/>
      <c r="JDV230" s="340"/>
      <c r="JDW230" s="340"/>
      <c r="JDX230" s="340"/>
      <c r="JDY230" s="340"/>
      <c r="JDZ230" s="340"/>
      <c r="JEA230" s="340"/>
      <c r="JEB230" s="340"/>
      <c r="JEC230" s="340"/>
      <c r="JED230" s="340"/>
      <c r="JEE230" s="340"/>
      <c r="JEF230" s="340"/>
      <c r="JEG230" s="340"/>
      <c r="JEH230" s="340"/>
      <c r="JEI230" s="340"/>
      <c r="JEJ230" s="340"/>
      <c r="JEK230" s="340"/>
      <c r="JEL230" s="340"/>
      <c r="JEM230" s="340"/>
      <c r="JEN230" s="340"/>
      <c r="JEO230" s="340"/>
      <c r="JEP230" s="340"/>
      <c r="JEQ230" s="340"/>
      <c r="JER230" s="340"/>
      <c r="JES230" s="340"/>
      <c r="JET230" s="340"/>
      <c r="JEU230" s="340"/>
      <c r="JEV230" s="340"/>
      <c r="JEW230" s="340"/>
      <c r="JEX230" s="340"/>
      <c r="JEY230" s="340"/>
      <c r="JEZ230" s="340"/>
      <c r="JFA230" s="340"/>
      <c r="JFB230" s="340"/>
      <c r="JFC230" s="340"/>
      <c r="JFD230" s="340"/>
      <c r="JFE230" s="340"/>
      <c r="JFF230" s="340"/>
      <c r="JFG230" s="340"/>
      <c r="JFH230" s="340"/>
      <c r="JFI230" s="340"/>
      <c r="JFJ230" s="340"/>
      <c r="JFK230" s="340"/>
      <c r="JFL230" s="340"/>
      <c r="JFM230" s="340"/>
      <c r="JFN230" s="340"/>
      <c r="JFO230" s="340"/>
      <c r="JFP230" s="340"/>
      <c r="JFQ230" s="340"/>
      <c r="JFR230" s="340"/>
      <c r="JFS230" s="340"/>
      <c r="JFT230" s="340"/>
      <c r="JFU230" s="340"/>
      <c r="JFV230" s="340"/>
      <c r="JFW230" s="340"/>
      <c r="JFX230" s="340"/>
      <c r="JFY230" s="340"/>
      <c r="JFZ230" s="340"/>
      <c r="JGA230" s="340"/>
      <c r="JGB230" s="340"/>
      <c r="JGC230" s="340"/>
      <c r="JGD230" s="340"/>
      <c r="JGE230" s="340"/>
      <c r="JGF230" s="340"/>
      <c r="JGG230" s="340"/>
      <c r="JGH230" s="340"/>
      <c r="JGI230" s="340"/>
      <c r="JGJ230" s="340"/>
      <c r="JGK230" s="340"/>
      <c r="JGL230" s="340"/>
      <c r="JGM230" s="340"/>
      <c r="JGN230" s="340"/>
      <c r="JGO230" s="340"/>
      <c r="JGP230" s="340"/>
      <c r="JGQ230" s="340"/>
      <c r="JGR230" s="340"/>
      <c r="JGS230" s="340"/>
      <c r="JGT230" s="340"/>
      <c r="JGU230" s="340"/>
      <c r="JGV230" s="340"/>
      <c r="JGW230" s="340"/>
      <c r="JGX230" s="340"/>
      <c r="JGY230" s="340"/>
      <c r="JGZ230" s="340"/>
      <c r="JHA230" s="340"/>
      <c r="JHB230" s="340"/>
      <c r="JHC230" s="340"/>
      <c r="JHD230" s="340"/>
      <c r="JHE230" s="340"/>
      <c r="JHF230" s="340"/>
      <c r="JHG230" s="340"/>
      <c r="JHH230" s="340"/>
      <c r="JHI230" s="340"/>
      <c r="JHJ230" s="340"/>
      <c r="JHK230" s="340"/>
      <c r="JHL230" s="340"/>
      <c r="JHM230" s="340"/>
      <c r="JHN230" s="340"/>
      <c r="JHO230" s="340"/>
      <c r="JHP230" s="340"/>
      <c r="JHQ230" s="340"/>
      <c r="JHR230" s="340"/>
      <c r="JHS230" s="340"/>
      <c r="JHT230" s="340"/>
      <c r="JHU230" s="340"/>
      <c r="JHV230" s="340"/>
      <c r="JHW230" s="340"/>
      <c r="JHX230" s="340"/>
      <c r="JHY230" s="340"/>
      <c r="JHZ230" s="340"/>
      <c r="JIA230" s="340"/>
      <c r="JIB230" s="340"/>
      <c r="JIC230" s="340"/>
      <c r="JID230" s="340"/>
      <c r="JIE230" s="340"/>
      <c r="JIF230" s="340"/>
      <c r="JIG230" s="340"/>
      <c r="JIH230" s="340"/>
      <c r="JII230" s="340"/>
      <c r="JIJ230" s="340"/>
      <c r="JIK230" s="340"/>
      <c r="JIL230" s="340"/>
      <c r="JIM230" s="340"/>
      <c r="JIN230" s="340"/>
      <c r="JIO230" s="340"/>
      <c r="JIP230" s="340"/>
      <c r="JIQ230" s="340"/>
      <c r="JIR230" s="340"/>
      <c r="JIS230" s="340"/>
      <c r="JIT230" s="340"/>
      <c r="JIU230" s="340"/>
      <c r="JIV230" s="340"/>
      <c r="JIW230" s="340"/>
      <c r="JIX230" s="340"/>
      <c r="JIY230" s="340"/>
      <c r="JIZ230" s="340"/>
      <c r="JJA230" s="340"/>
      <c r="JJB230" s="340"/>
      <c r="JJC230" s="340"/>
      <c r="JJD230" s="340"/>
      <c r="JJE230" s="340"/>
      <c r="JJF230" s="340"/>
      <c r="JJG230" s="340"/>
      <c r="JJH230" s="340"/>
      <c r="JJI230" s="340"/>
      <c r="JJJ230" s="340"/>
      <c r="JJK230" s="340"/>
      <c r="JJL230" s="340"/>
      <c r="JJM230" s="340"/>
      <c r="JJN230" s="340"/>
      <c r="JJO230" s="340"/>
      <c r="JJP230" s="340"/>
      <c r="JJQ230" s="340"/>
      <c r="JJR230" s="340"/>
      <c r="JJS230" s="340"/>
      <c r="JJT230" s="340"/>
      <c r="JJU230" s="340"/>
      <c r="JJV230" s="340"/>
      <c r="JJW230" s="340"/>
      <c r="JJX230" s="340"/>
      <c r="JJY230" s="340"/>
      <c r="JJZ230" s="340"/>
      <c r="JKA230" s="340"/>
      <c r="JKB230" s="340"/>
      <c r="JKC230" s="340"/>
      <c r="JKD230" s="340"/>
      <c r="JKE230" s="340"/>
      <c r="JKF230" s="340"/>
      <c r="JKG230" s="340"/>
      <c r="JKH230" s="340"/>
      <c r="JKI230" s="340"/>
      <c r="JKJ230" s="340"/>
      <c r="JKK230" s="340"/>
      <c r="JKL230" s="340"/>
      <c r="JKM230" s="340"/>
      <c r="JKN230" s="340"/>
      <c r="JKO230" s="340"/>
      <c r="JKP230" s="340"/>
      <c r="JKQ230" s="340"/>
      <c r="JKR230" s="340"/>
      <c r="JKS230" s="340"/>
      <c r="JKT230" s="340"/>
      <c r="JKU230" s="340"/>
      <c r="JKV230" s="340"/>
      <c r="JKW230" s="340"/>
      <c r="JKX230" s="340"/>
      <c r="JKY230" s="340"/>
      <c r="JKZ230" s="340"/>
      <c r="JLA230" s="340"/>
      <c r="JLB230" s="340"/>
      <c r="JLC230" s="340"/>
      <c r="JLD230" s="340"/>
      <c r="JLE230" s="340"/>
      <c r="JLF230" s="340"/>
      <c r="JLG230" s="340"/>
      <c r="JLH230" s="340"/>
      <c r="JLI230" s="340"/>
      <c r="JLJ230" s="340"/>
      <c r="JLK230" s="340"/>
      <c r="JLL230" s="340"/>
      <c r="JLM230" s="340"/>
      <c r="JLN230" s="340"/>
      <c r="JLO230" s="340"/>
      <c r="JLP230" s="340"/>
      <c r="JLQ230" s="340"/>
      <c r="JLR230" s="340"/>
      <c r="JLS230" s="340"/>
      <c r="JLT230" s="340"/>
      <c r="JLU230" s="340"/>
      <c r="JLV230" s="340"/>
      <c r="JLW230" s="340"/>
      <c r="JLX230" s="340"/>
      <c r="JLY230" s="340"/>
      <c r="JLZ230" s="340"/>
      <c r="JMA230" s="340"/>
      <c r="JMB230" s="340"/>
      <c r="JMC230" s="340"/>
      <c r="JMD230" s="340"/>
      <c r="JME230" s="340"/>
      <c r="JMF230" s="340"/>
      <c r="JMG230" s="340"/>
      <c r="JMH230" s="340"/>
      <c r="JMI230" s="340"/>
      <c r="JMJ230" s="340"/>
      <c r="JMK230" s="340"/>
      <c r="JML230" s="340"/>
      <c r="JMM230" s="340"/>
      <c r="JMN230" s="340"/>
      <c r="JMO230" s="340"/>
      <c r="JMP230" s="340"/>
      <c r="JMQ230" s="340"/>
      <c r="JMR230" s="340"/>
      <c r="JMS230" s="340"/>
      <c r="JMT230" s="340"/>
      <c r="JMU230" s="340"/>
      <c r="JMV230" s="340"/>
      <c r="JMW230" s="340"/>
      <c r="JMX230" s="340"/>
      <c r="JMY230" s="340"/>
      <c r="JMZ230" s="340"/>
      <c r="JNA230" s="340"/>
      <c r="JNB230" s="340"/>
      <c r="JNC230" s="340"/>
      <c r="JND230" s="340"/>
      <c r="JNE230" s="340"/>
      <c r="JNF230" s="340"/>
      <c r="JNG230" s="340"/>
      <c r="JNH230" s="340"/>
      <c r="JNI230" s="340"/>
      <c r="JNJ230" s="340"/>
      <c r="JNK230" s="340"/>
      <c r="JNL230" s="340"/>
      <c r="JNM230" s="340"/>
      <c r="JNN230" s="340"/>
      <c r="JNO230" s="340"/>
      <c r="JNP230" s="340"/>
      <c r="JNQ230" s="340"/>
      <c r="JNR230" s="340"/>
      <c r="JNS230" s="340"/>
      <c r="JNT230" s="340"/>
      <c r="JNU230" s="340"/>
      <c r="JNV230" s="340"/>
      <c r="JNW230" s="340"/>
      <c r="JNX230" s="340"/>
      <c r="JNY230" s="340"/>
      <c r="JNZ230" s="340"/>
      <c r="JOA230" s="340"/>
      <c r="JOB230" s="340"/>
      <c r="JOC230" s="340"/>
      <c r="JOD230" s="340"/>
      <c r="JOE230" s="340"/>
      <c r="JOF230" s="340"/>
      <c r="JOG230" s="340"/>
      <c r="JOH230" s="340"/>
      <c r="JOI230" s="340"/>
      <c r="JOJ230" s="340"/>
      <c r="JOK230" s="340"/>
      <c r="JOL230" s="340"/>
      <c r="JOM230" s="340"/>
      <c r="JON230" s="340"/>
      <c r="JOO230" s="340"/>
      <c r="JOP230" s="340"/>
      <c r="JOQ230" s="340"/>
      <c r="JOR230" s="340"/>
      <c r="JOS230" s="340"/>
      <c r="JOT230" s="340"/>
      <c r="JOU230" s="340"/>
      <c r="JOV230" s="340"/>
      <c r="JOW230" s="340"/>
      <c r="JOX230" s="340"/>
      <c r="JOY230" s="340"/>
      <c r="JOZ230" s="340"/>
      <c r="JPA230" s="340"/>
      <c r="JPB230" s="340"/>
      <c r="JPC230" s="340"/>
      <c r="JPD230" s="340"/>
      <c r="JPE230" s="340"/>
      <c r="JPF230" s="340"/>
      <c r="JPG230" s="340"/>
      <c r="JPH230" s="340"/>
      <c r="JPI230" s="340"/>
      <c r="JPJ230" s="340"/>
      <c r="JPK230" s="340"/>
      <c r="JPL230" s="340"/>
      <c r="JPM230" s="340"/>
      <c r="JPN230" s="340"/>
      <c r="JPO230" s="340"/>
      <c r="JPP230" s="340"/>
      <c r="JPQ230" s="340"/>
      <c r="JPR230" s="340"/>
      <c r="JPS230" s="340"/>
      <c r="JPT230" s="340"/>
      <c r="JPU230" s="340"/>
      <c r="JPV230" s="340"/>
      <c r="JPW230" s="340"/>
      <c r="JPX230" s="340"/>
      <c r="JPY230" s="340"/>
      <c r="JPZ230" s="340"/>
      <c r="JQA230" s="340"/>
      <c r="JQB230" s="340"/>
      <c r="JQC230" s="340"/>
      <c r="JQD230" s="340"/>
      <c r="JQE230" s="340"/>
      <c r="JQF230" s="340"/>
      <c r="JQG230" s="340"/>
      <c r="JQH230" s="340"/>
      <c r="JQI230" s="340"/>
      <c r="JQJ230" s="340"/>
      <c r="JQK230" s="340"/>
      <c r="JQL230" s="340"/>
      <c r="JQM230" s="340"/>
      <c r="JQN230" s="340"/>
      <c r="JQO230" s="340"/>
      <c r="JQP230" s="340"/>
      <c r="JQQ230" s="340"/>
      <c r="JQR230" s="340"/>
      <c r="JQS230" s="340"/>
      <c r="JQT230" s="340"/>
      <c r="JQU230" s="340"/>
      <c r="JQV230" s="340"/>
      <c r="JQW230" s="340"/>
      <c r="JQX230" s="340"/>
      <c r="JQY230" s="340"/>
      <c r="JQZ230" s="340"/>
      <c r="JRA230" s="340"/>
      <c r="JRB230" s="340"/>
      <c r="JRC230" s="340"/>
      <c r="JRD230" s="340"/>
      <c r="JRE230" s="340"/>
      <c r="JRF230" s="340"/>
      <c r="JRG230" s="340"/>
      <c r="JRH230" s="340"/>
      <c r="JRI230" s="340"/>
      <c r="JRJ230" s="340"/>
      <c r="JRK230" s="340"/>
      <c r="JRL230" s="340"/>
      <c r="JRM230" s="340"/>
      <c r="JRN230" s="340"/>
      <c r="JRO230" s="340"/>
      <c r="JRP230" s="340"/>
      <c r="JRQ230" s="340"/>
      <c r="JRR230" s="340"/>
      <c r="JRS230" s="340"/>
      <c r="JRT230" s="340"/>
      <c r="JRU230" s="340"/>
      <c r="JRV230" s="340"/>
      <c r="JRW230" s="340"/>
      <c r="JRX230" s="340"/>
      <c r="JRY230" s="340"/>
      <c r="JRZ230" s="340"/>
      <c r="JSA230" s="340"/>
      <c r="JSB230" s="340"/>
      <c r="JSC230" s="340"/>
      <c r="JSD230" s="340"/>
      <c r="JSE230" s="340"/>
      <c r="JSF230" s="340"/>
      <c r="JSG230" s="340"/>
      <c r="JSH230" s="340"/>
      <c r="JSI230" s="340"/>
      <c r="JSJ230" s="340"/>
      <c r="JSK230" s="340"/>
      <c r="JSL230" s="340"/>
      <c r="JSM230" s="340"/>
      <c r="JSN230" s="340"/>
      <c r="JSO230" s="340"/>
      <c r="JSP230" s="340"/>
      <c r="JSQ230" s="340"/>
      <c r="JSR230" s="340"/>
      <c r="JSS230" s="340"/>
      <c r="JST230" s="340"/>
      <c r="JSU230" s="340"/>
      <c r="JSV230" s="340"/>
      <c r="JSW230" s="340"/>
      <c r="JSX230" s="340"/>
      <c r="JSY230" s="340"/>
      <c r="JSZ230" s="340"/>
      <c r="JTA230" s="340"/>
      <c r="JTB230" s="340"/>
      <c r="JTC230" s="340"/>
      <c r="JTD230" s="340"/>
      <c r="JTE230" s="340"/>
      <c r="JTF230" s="340"/>
      <c r="JTG230" s="340"/>
      <c r="JTH230" s="340"/>
      <c r="JTI230" s="340"/>
      <c r="JTJ230" s="340"/>
      <c r="JTK230" s="340"/>
      <c r="JTL230" s="340"/>
      <c r="JTM230" s="340"/>
      <c r="JTN230" s="340"/>
      <c r="JTO230" s="340"/>
      <c r="JTP230" s="340"/>
      <c r="JTQ230" s="340"/>
      <c r="JTR230" s="340"/>
      <c r="JTS230" s="340"/>
      <c r="JTT230" s="340"/>
      <c r="JTU230" s="340"/>
      <c r="JTV230" s="340"/>
      <c r="JTW230" s="340"/>
      <c r="JTX230" s="340"/>
      <c r="JTY230" s="340"/>
      <c r="JTZ230" s="340"/>
      <c r="JUA230" s="340"/>
      <c r="JUB230" s="340"/>
      <c r="JUC230" s="340"/>
      <c r="JUD230" s="340"/>
      <c r="JUE230" s="340"/>
      <c r="JUF230" s="340"/>
      <c r="JUG230" s="340"/>
      <c r="JUH230" s="340"/>
      <c r="JUI230" s="340"/>
      <c r="JUJ230" s="340"/>
      <c r="JUK230" s="340"/>
      <c r="JUL230" s="340"/>
      <c r="JUM230" s="340"/>
      <c r="JUN230" s="340"/>
      <c r="JUO230" s="340"/>
      <c r="JUP230" s="340"/>
      <c r="JUQ230" s="340"/>
      <c r="JUR230" s="340"/>
      <c r="JUS230" s="340"/>
      <c r="JUT230" s="340"/>
      <c r="JUU230" s="340"/>
      <c r="JUV230" s="340"/>
      <c r="JUW230" s="340"/>
      <c r="JUX230" s="340"/>
      <c r="JUY230" s="340"/>
      <c r="JUZ230" s="340"/>
      <c r="JVA230" s="340"/>
      <c r="JVB230" s="340"/>
      <c r="JVC230" s="340"/>
      <c r="JVD230" s="340"/>
      <c r="JVE230" s="340"/>
      <c r="JVF230" s="340"/>
      <c r="JVG230" s="340"/>
      <c r="JVH230" s="340"/>
      <c r="JVI230" s="340"/>
      <c r="JVJ230" s="340"/>
      <c r="JVK230" s="340"/>
      <c r="JVL230" s="340"/>
      <c r="JVM230" s="340"/>
      <c r="JVN230" s="340"/>
      <c r="JVO230" s="340"/>
      <c r="JVP230" s="340"/>
      <c r="JVQ230" s="340"/>
      <c r="JVR230" s="340"/>
      <c r="JVS230" s="340"/>
      <c r="JVT230" s="340"/>
      <c r="JVU230" s="340"/>
      <c r="JVV230" s="340"/>
      <c r="JVW230" s="340"/>
      <c r="JVX230" s="340"/>
      <c r="JVY230" s="340"/>
      <c r="JVZ230" s="340"/>
      <c r="JWA230" s="340"/>
      <c r="JWB230" s="340"/>
      <c r="JWC230" s="340"/>
      <c r="JWD230" s="340"/>
      <c r="JWE230" s="340"/>
      <c r="JWF230" s="340"/>
      <c r="JWG230" s="340"/>
      <c r="JWH230" s="340"/>
      <c r="JWI230" s="340"/>
      <c r="JWJ230" s="340"/>
      <c r="JWK230" s="340"/>
      <c r="JWL230" s="340"/>
      <c r="JWM230" s="340"/>
      <c r="JWN230" s="340"/>
      <c r="JWO230" s="340"/>
      <c r="JWP230" s="340"/>
      <c r="JWQ230" s="340"/>
      <c r="JWR230" s="340"/>
      <c r="JWS230" s="340"/>
      <c r="JWT230" s="340"/>
      <c r="JWU230" s="340"/>
      <c r="JWV230" s="340"/>
      <c r="JWW230" s="340"/>
      <c r="JWX230" s="340"/>
      <c r="JWY230" s="340"/>
      <c r="JWZ230" s="340"/>
      <c r="JXA230" s="340"/>
      <c r="JXB230" s="340"/>
      <c r="JXC230" s="340"/>
      <c r="JXD230" s="340"/>
      <c r="JXE230" s="340"/>
      <c r="JXF230" s="340"/>
      <c r="JXG230" s="340"/>
      <c r="JXH230" s="340"/>
      <c r="JXI230" s="340"/>
      <c r="JXJ230" s="340"/>
      <c r="JXK230" s="340"/>
      <c r="JXL230" s="340"/>
      <c r="JXM230" s="340"/>
      <c r="JXN230" s="340"/>
      <c r="JXO230" s="340"/>
      <c r="JXP230" s="340"/>
      <c r="JXQ230" s="340"/>
      <c r="JXR230" s="340"/>
      <c r="JXS230" s="340"/>
      <c r="JXT230" s="340"/>
      <c r="JXU230" s="340"/>
      <c r="JXV230" s="340"/>
      <c r="JXW230" s="340"/>
      <c r="JXX230" s="340"/>
      <c r="JXY230" s="340"/>
      <c r="JXZ230" s="340"/>
      <c r="JYA230" s="340"/>
      <c r="JYB230" s="340"/>
      <c r="JYC230" s="340"/>
      <c r="JYD230" s="340"/>
      <c r="JYE230" s="340"/>
      <c r="JYF230" s="340"/>
      <c r="JYG230" s="340"/>
      <c r="JYH230" s="340"/>
      <c r="JYI230" s="340"/>
      <c r="JYJ230" s="340"/>
      <c r="JYK230" s="340"/>
      <c r="JYL230" s="340"/>
      <c r="JYM230" s="340"/>
      <c r="JYN230" s="340"/>
      <c r="JYO230" s="340"/>
      <c r="JYP230" s="340"/>
      <c r="JYQ230" s="340"/>
      <c r="JYR230" s="340"/>
      <c r="JYS230" s="340"/>
      <c r="JYT230" s="340"/>
      <c r="JYU230" s="340"/>
      <c r="JYV230" s="340"/>
      <c r="JYW230" s="340"/>
      <c r="JYX230" s="340"/>
      <c r="JYY230" s="340"/>
      <c r="JYZ230" s="340"/>
      <c r="JZA230" s="340"/>
      <c r="JZB230" s="340"/>
      <c r="JZC230" s="340"/>
      <c r="JZD230" s="340"/>
      <c r="JZE230" s="340"/>
      <c r="JZF230" s="340"/>
      <c r="JZG230" s="340"/>
      <c r="JZH230" s="340"/>
      <c r="JZI230" s="340"/>
      <c r="JZJ230" s="340"/>
      <c r="JZK230" s="340"/>
      <c r="JZL230" s="340"/>
      <c r="JZM230" s="340"/>
      <c r="JZN230" s="340"/>
      <c r="JZO230" s="340"/>
      <c r="JZP230" s="340"/>
      <c r="JZQ230" s="340"/>
      <c r="JZR230" s="340"/>
      <c r="JZS230" s="340"/>
      <c r="JZT230" s="340"/>
      <c r="JZU230" s="340"/>
      <c r="JZV230" s="340"/>
      <c r="JZW230" s="340"/>
      <c r="JZX230" s="340"/>
      <c r="JZY230" s="340"/>
      <c r="JZZ230" s="340"/>
      <c r="KAA230" s="340"/>
      <c r="KAB230" s="340"/>
      <c r="KAC230" s="340"/>
      <c r="KAD230" s="340"/>
      <c r="KAE230" s="340"/>
      <c r="KAF230" s="340"/>
      <c r="KAG230" s="340"/>
      <c r="KAH230" s="340"/>
      <c r="KAI230" s="340"/>
      <c r="KAJ230" s="340"/>
      <c r="KAK230" s="340"/>
      <c r="KAL230" s="340"/>
      <c r="KAM230" s="340"/>
      <c r="KAN230" s="340"/>
      <c r="KAO230" s="340"/>
      <c r="KAP230" s="340"/>
      <c r="KAQ230" s="340"/>
      <c r="KAR230" s="340"/>
      <c r="KAS230" s="340"/>
      <c r="KAT230" s="340"/>
      <c r="KAU230" s="340"/>
      <c r="KAV230" s="340"/>
      <c r="KAW230" s="340"/>
      <c r="KAX230" s="340"/>
      <c r="KAY230" s="340"/>
      <c r="KAZ230" s="340"/>
      <c r="KBA230" s="340"/>
      <c r="KBB230" s="340"/>
      <c r="KBC230" s="340"/>
      <c r="KBD230" s="340"/>
      <c r="KBE230" s="340"/>
      <c r="KBF230" s="340"/>
      <c r="KBG230" s="340"/>
      <c r="KBH230" s="340"/>
      <c r="KBI230" s="340"/>
      <c r="KBJ230" s="340"/>
      <c r="KBK230" s="340"/>
      <c r="KBL230" s="340"/>
      <c r="KBM230" s="340"/>
      <c r="KBN230" s="340"/>
      <c r="KBO230" s="340"/>
      <c r="KBP230" s="340"/>
      <c r="KBQ230" s="340"/>
      <c r="KBR230" s="340"/>
      <c r="KBS230" s="340"/>
      <c r="KBT230" s="340"/>
      <c r="KBU230" s="340"/>
      <c r="KBV230" s="340"/>
      <c r="KBW230" s="340"/>
      <c r="KBX230" s="340"/>
      <c r="KBY230" s="340"/>
      <c r="KBZ230" s="340"/>
      <c r="KCA230" s="340"/>
      <c r="KCB230" s="340"/>
      <c r="KCC230" s="340"/>
      <c r="KCD230" s="340"/>
      <c r="KCE230" s="340"/>
      <c r="KCF230" s="340"/>
      <c r="KCG230" s="340"/>
      <c r="KCH230" s="340"/>
      <c r="KCI230" s="340"/>
      <c r="KCJ230" s="340"/>
      <c r="KCK230" s="340"/>
      <c r="KCL230" s="340"/>
      <c r="KCM230" s="340"/>
      <c r="KCN230" s="340"/>
      <c r="KCO230" s="340"/>
      <c r="KCP230" s="340"/>
      <c r="KCQ230" s="340"/>
      <c r="KCR230" s="340"/>
      <c r="KCS230" s="340"/>
      <c r="KCT230" s="340"/>
      <c r="KCU230" s="340"/>
      <c r="KCV230" s="340"/>
      <c r="KCW230" s="340"/>
      <c r="KCX230" s="340"/>
      <c r="KCY230" s="340"/>
      <c r="KCZ230" s="340"/>
      <c r="KDA230" s="340"/>
      <c r="KDB230" s="340"/>
      <c r="KDC230" s="340"/>
      <c r="KDD230" s="340"/>
      <c r="KDE230" s="340"/>
      <c r="KDF230" s="340"/>
      <c r="KDG230" s="340"/>
      <c r="KDH230" s="340"/>
      <c r="KDI230" s="340"/>
      <c r="KDJ230" s="340"/>
      <c r="KDK230" s="340"/>
      <c r="KDL230" s="340"/>
      <c r="KDM230" s="340"/>
      <c r="KDN230" s="340"/>
      <c r="KDO230" s="340"/>
      <c r="KDP230" s="340"/>
      <c r="KDQ230" s="340"/>
      <c r="KDR230" s="340"/>
      <c r="KDS230" s="340"/>
      <c r="KDT230" s="340"/>
      <c r="KDU230" s="340"/>
      <c r="KDV230" s="340"/>
      <c r="KDW230" s="340"/>
      <c r="KDX230" s="340"/>
      <c r="KDY230" s="340"/>
      <c r="KDZ230" s="340"/>
      <c r="KEA230" s="340"/>
      <c r="KEB230" s="340"/>
      <c r="KEC230" s="340"/>
      <c r="KED230" s="340"/>
      <c r="KEE230" s="340"/>
      <c r="KEF230" s="340"/>
      <c r="KEG230" s="340"/>
      <c r="KEH230" s="340"/>
      <c r="KEI230" s="340"/>
      <c r="KEJ230" s="340"/>
      <c r="KEK230" s="340"/>
      <c r="KEL230" s="340"/>
      <c r="KEM230" s="340"/>
      <c r="KEN230" s="340"/>
      <c r="KEO230" s="340"/>
      <c r="KEP230" s="340"/>
      <c r="KEQ230" s="340"/>
      <c r="KER230" s="340"/>
      <c r="KES230" s="340"/>
      <c r="KET230" s="340"/>
      <c r="KEU230" s="340"/>
      <c r="KEV230" s="340"/>
      <c r="KEW230" s="340"/>
      <c r="KEX230" s="340"/>
      <c r="KEY230" s="340"/>
      <c r="KEZ230" s="340"/>
      <c r="KFA230" s="340"/>
      <c r="KFB230" s="340"/>
      <c r="KFC230" s="340"/>
      <c r="KFD230" s="340"/>
      <c r="KFE230" s="340"/>
      <c r="KFF230" s="340"/>
      <c r="KFG230" s="340"/>
      <c r="KFH230" s="340"/>
      <c r="KFI230" s="340"/>
      <c r="KFJ230" s="340"/>
      <c r="KFK230" s="340"/>
      <c r="KFL230" s="340"/>
      <c r="KFM230" s="340"/>
      <c r="KFN230" s="340"/>
      <c r="KFO230" s="340"/>
      <c r="KFP230" s="340"/>
      <c r="KFQ230" s="340"/>
      <c r="KFR230" s="340"/>
      <c r="KFS230" s="340"/>
      <c r="KFT230" s="340"/>
      <c r="KFU230" s="340"/>
      <c r="KFV230" s="340"/>
      <c r="KFW230" s="340"/>
      <c r="KFX230" s="340"/>
      <c r="KFY230" s="340"/>
      <c r="KFZ230" s="340"/>
      <c r="KGA230" s="340"/>
      <c r="KGB230" s="340"/>
      <c r="KGC230" s="340"/>
      <c r="KGD230" s="340"/>
      <c r="KGE230" s="340"/>
      <c r="KGF230" s="340"/>
      <c r="KGG230" s="340"/>
      <c r="KGH230" s="340"/>
      <c r="KGI230" s="340"/>
      <c r="KGJ230" s="340"/>
      <c r="KGK230" s="340"/>
      <c r="KGL230" s="340"/>
      <c r="KGM230" s="340"/>
      <c r="KGN230" s="340"/>
      <c r="KGO230" s="340"/>
      <c r="KGP230" s="340"/>
      <c r="KGQ230" s="340"/>
      <c r="KGR230" s="340"/>
      <c r="KGS230" s="340"/>
      <c r="KGT230" s="340"/>
      <c r="KGU230" s="340"/>
      <c r="KGV230" s="340"/>
      <c r="KGW230" s="340"/>
      <c r="KGX230" s="340"/>
      <c r="KGY230" s="340"/>
      <c r="KGZ230" s="340"/>
      <c r="KHA230" s="340"/>
      <c r="KHB230" s="340"/>
      <c r="KHC230" s="340"/>
      <c r="KHD230" s="340"/>
      <c r="KHE230" s="340"/>
      <c r="KHF230" s="340"/>
      <c r="KHG230" s="340"/>
      <c r="KHH230" s="340"/>
      <c r="KHI230" s="340"/>
      <c r="KHJ230" s="340"/>
      <c r="KHK230" s="340"/>
      <c r="KHL230" s="340"/>
      <c r="KHM230" s="340"/>
      <c r="KHN230" s="340"/>
      <c r="KHO230" s="340"/>
      <c r="KHP230" s="340"/>
      <c r="KHQ230" s="340"/>
      <c r="KHR230" s="340"/>
      <c r="KHS230" s="340"/>
      <c r="KHT230" s="340"/>
      <c r="KHU230" s="340"/>
      <c r="KHV230" s="340"/>
      <c r="KHW230" s="340"/>
      <c r="KHX230" s="340"/>
      <c r="KHY230" s="340"/>
      <c r="KHZ230" s="340"/>
      <c r="KIA230" s="340"/>
      <c r="KIB230" s="340"/>
      <c r="KIC230" s="340"/>
      <c r="KID230" s="340"/>
      <c r="KIE230" s="340"/>
      <c r="KIF230" s="340"/>
      <c r="KIG230" s="340"/>
      <c r="KIH230" s="340"/>
      <c r="KII230" s="340"/>
      <c r="KIJ230" s="340"/>
      <c r="KIK230" s="340"/>
      <c r="KIL230" s="340"/>
      <c r="KIM230" s="340"/>
      <c r="KIN230" s="340"/>
      <c r="KIO230" s="340"/>
      <c r="KIP230" s="340"/>
      <c r="KIQ230" s="340"/>
      <c r="KIR230" s="340"/>
      <c r="KIS230" s="340"/>
      <c r="KIT230" s="340"/>
      <c r="KIU230" s="340"/>
      <c r="KIV230" s="340"/>
      <c r="KIW230" s="340"/>
      <c r="KIX230" s="340"/>
      <c r="KIY230" s="340"/>
      <c r="KIZ230" s="340"/>
      <c r="KJA230" s="340"/>
      <c r="KJB230" s="340"/>
      <c r="KJC230" s="340"/>
      <c r="KJD230" s="340"/>
      <c r="KJE230" s="340"/>
      <c r="KJF230" s="340"/>
      <c r="KJG230" s="340"/>
      <c r="KJH230" s="340"/>
      <c r="KJI230" s="340"/>
      <c r="KJJ230" s="340"/>
      <c r="KJK230" s="340"/>
      <c r="KJL230" s="340"/>
      <c r="KJM230" s="340"/>
      <c r="KJN230" s="340"/>
      <c r="KJO230" s="340"/>
      <c r="KJP230" s="340"/>
      <c r="KJQ230" s="340"/>
      <c r="KJR230" s="340"/>
      <c r="KJS230" s="340"/>
      <c r="KJT230" s="340"/>
      <c r="KJU230" s="340"/>
      <c r="KJV230" s="340"/>
      <c r="KJW230" s="340"/>
      <c r="KJX230" s="340"/>
      <c r="KJY230" s="340"/>
      <c r="KJZ230" s="340"/>
      <c r="KKA230" s="340"/>
      <c r="KKB230" s="340"/>
      <c r="KKC230" s="340"/>
      <c r="KKD230" s="340"/>
      <c r="KKE230" s="340"/>
      <c r="KKF230" s="340"/>
      <c r="KKG230" s="340"/>
      <c r="KKH230" s="340"/>
      <c r="KKI230" s="340"/>
      <c r="KKJ230" s="340"/>
      <c r="KKK230" s="340"/>
      <c r="KKL230" s="340"/>
      <c r="KKM230" s="340"/>
      <c r="KKN230" s="340"/>
      <c r="KKO230" s="340"/>
      <c r="KKP230" s="340"/>
      <c r="KKQ230" s="340"/>
      <c r="KKR230" s="340"/>
      <c r="KKS230" s="340"/>
      <c r="KKT230" s="340"/>
      <c r="KKU230" s="340"/>
      <c r="KKV230" s="340"/>
      <c r="KKW230" s="340"/>
      <c r="KKX230" s="340"/>
      <c r="KKY230" s="340"/>
      <c r="KKZ230" s="340"/>
      <c r="KLA230" s="340"/>
      <c r="KLB230" s="340"/>
      <c r="KLC230" s="340"/>
      <c r="KLD230" s="340"/>
      <c r="KLE230" s="340"/>
      <c r="KLF230" s="340"/>
      <c r="KLG230" s="340"/>
      <c r="KLH230" s="340"/>
      <c r="KLI230" s="340"/>
      <c r="KLJ230" s="340"/>
      <c r="KLK230" s="340"/>
      <c r="KLL230" s="340"/>
      <c r="KLM230" s="340"/>
      <c r="KLN230" s="340"/>
      <c r="KLO230" s="340"/>
      <c r="KLP230" s="340"/>
      <c r="KLQ230" s="340"/>
      <c r="KLR230" s="340"/>
      <c r="KLS230" s="340"/>
      <c r="KLT230" s="340"/>
      <c r="KLU230" s="340"/>
      <c r="KLV230" s="340"/>
      <c r="KLW230" s="340"/>
      <c r="KLX230" s="340"/>
      <c r="KLY230" s="340"/>
      <c r="KLZ230" s="340"/>
      <c r="KMA230" s="340"/>
      <c r="KMB230" s="340"/>
      <c r="KMC230" s="340"/>
      <c r="KMD230" s="340"/>
      <c r="KME230" s="340"/>
      <c r="KMF230" s="340"/>
      <c r="KMG230" s="340"/>
      <c r="KMH230" s="340"/>
      <c r="KMI230" s="340"/>
      <c r="KMJ230" s="340"/>
      <c r="KMK230" s="340"/>
      <c r="KML230" s="340"/>
      <c r="KMM230" s="340"/>
      <c r="KMN230" s="340"/>
      <c r="KMO230" s="340"/>
      <c r="KMP230" s="340"/>
      <c r="KMQ230" s="340"/>
      <c r="KMR230" s="340"/>
      <c r="KMS230" s="340"/>
      <c r="KMT230" s="340"/>
      <c r="KMU230" s="340"/>
      <c r="KMV230" s="340"/>
      <c r="KMW230" s="340"/>
      <c r="KMX230" s="340"/>
      <c r="KMY230" s="340"/>
      <c r="KMZ230" s="340"/>
      <c r="KNA230" s="340"/>
      <c r="KNB230" s="340"/>
      <c r="KNC230" s="340"/>
      <c r="KND230" s="340"/>
      <c r="KNE230" s="340"/>
      <c r="KNF230" s="340"/>
      <c r="KNG230" s="340"/>
      <c r="KNH230" s="340"/>
      <c r="KNI230" s="340"/>
      <c r="KNJ230" s="340"/>
      <c r="KNK230" s="340"/>
      <c r="KNL230" s="340"/>
      <c r="KNM230" s="340"/>
      <c r="KNN230" s="340"/>
      <c r="KNO230" s="340"/>
      <c r="KNP230" s="340"/>
      <c r="KNQ230" s="340"/>
      <c r="KNR230" s="340"/>
      <c r="KNS230" s="340"/>
      <c r="KNT230" s="340"/>
      <c r="KNU230" s="340"/>
      <c r="KNV230" s="340"/>
      <c r="KNW230" s="340"/>
      <c r="KNX230" s="340"/>
      <c r="KNY230" s="340"/>
      <c r="KNZ230" s="340"/>
      <c r="KOA230" s="340"/>
      <c r="KOB230" s="340"/>
      <c r="KOC230" s="340"/>
      <c r="KOD230" s="340"/>
      <c r="KOE230" s="340"/>
      <c r="KOF230" s="340"/>
      <c r="KOG230" s="340"/>
      <c r="KOH230" s="340"/>
      <c r="KOI230" s="340"/>
      <c r="KOJ230" s="340"/>
      <c r="KOK230" s="340"/>
      <c r="KOL230" s="340"/>
      <c r="KOM230" s="340"/>
      <c r="KON230" s="340"/>
      <c r="KOO230" s="340"/>
      <c r="KOP230" s="340"/>
      <c r="KOQ230" s="340"/>
      <c r="KOR230" s="340"/>
      <c r="KOS230" s="340"/>
      <c r="KOT230" s="340"/>
      <c r="KOU230" s="340"/>
      <c r="KOV230" s="340"/>
      <c r="KOW230" s="340"/>
      <c r="KOX230" s="340"/>
      <c r="KOY230" s="340"/>
      <c r="KOZ230" s="340"/>
      <c r="KPA230" s="340"/>
      <c r="KPB230" s="340"/>
      <c r="KPC230" s="340"/>
      <c r="KPD230" s="340"/>
      <c r="KPE230" s="340"/>
      <c r="KPF230" s="340"/>
      <c r="KPG230" s="340"/>
      <c r="KPH230" s="340"/>
      <c r="KPI230" s="340"/>
      <c r="KPJ230" s="340"/>
      <c r="KPK230" s="340"/>
      <c r="KPL230" s="340"/>
      <c r="KPM230" s="340"/>
      <c r="KPN230" s="340"/>
      <c r="KPO230" s="340"/>
      <c r="KPP230" s="340"/>
      <c r="KPQ230" s="340"/>
      <c r="KPR230" s="340"/>
      <c r="KPS230" s="340"/>
      <c r="KPT230" s="340"/>
      <c r="KPU230" s="340"/>
      <c r="KPV230" s="340"/>
      <c r="KPW230" s="340"/>
      <c r="KPX230" s="340"/>
      <c r="KPY230" s="340"/>
      <c r="KPZ230" s="340"/>
      <c r="KQA230" s="340"/>
      <c r="KQB230" s="340"/>
      <c r="KQC230" s="340"/>
      <c r="KQD230" s="340"/>
      <c r="KQE230" s="340"/>
      <c r="KQF230" s="340"/>
      <c r="KQG230" s="340"/>
      <c r="KQH230" s="340"/>
      <c r="KQI230" s="340"/>
      <c r="KQJ230" s="340"/>
      <c r="KQK230" s="340"/>
      <c r="KQL230" s="340"/>
      <c r="KQM230" s="340"/>
      <c r="KQN230" s="340"/>
      <c r="KQO230" s="340"/>
      <c r="KQP230" s="340"/>
      <c r="KQQ230" s="340"/>
      <c r="KQR230" s="340"/>
      <c r="KQS230" s="340"/>
      <c r="KQT230" s="340"/>
      <c r="KQU230" s="340"/>
      <c r="KQV230" s="340"/>
      <c r="KQW230" s="340"/>
      <c r="KQX230" s="340"/>
      <c r="KQY230" s="340"/>
      <c r="KQZ230" s="340"/>
      <c r="KRA230" s="340"/>
      <c r="KRB230" s="340"/>
      <c r="KRC230" s="340"/>
      <c r="KRD230" s="340"/>
      <c r="KRE230" s="340"/>
      <c r="KRF230" s="340"/>
      <c r="KRG230" s="340"/>
      <c r="KRH230" s="340"/>
      <c r="KRI230" s="340"/>
      <c r="KRJ230" s="340"/>
      <c r="KRK230" s="340"/>
      <c r="KRL230" s="340"/>
      <c r="KRM230" s="340"/>
      <c r="KRN230" s="340"/>
      <c r="KRO230" s="340"/>
      <c r="KRP230" s="340"/>
      <c r="KRQ230" s="340"/>
      <c r="KRR230" s="340"/>
      <c r="KRS230" s="340"/>
      <c r="KRT230" s="340"/>
      <c r="KRU230" s="340"/>
      <c r="KRV230" s="340"/>
      <c r="KRW230" s="340"/>
      <c r="KRX230" s="340"/>
      <c r="KRY230" s="340"/>
      <c r="KRZ230" s="340"/>
      <c r="KSA230" s="340"/>
      <c r="KSB230" s="340"/>
      <c r="KSC230" s="340"/>
      <c r="KSD230" s="340"/>
      <c r="KSE230" s="340"/>
      <c r="KSF230" s="340"/>
      <c r="KSG230" s="340"/>
      <c r="KSH230" s="340"/>
      <c r="KSI230" s="340"/>
      <c r="KSJ230" s="340"/>
      <c r="KSK230" s="340"/>
      <c r="KSL230" s="340"/>
      <c r="KSM230" s="340"/>
      <c r="KSN230" s="340"/>
      <c r="KSO230" s="340"/>
      <c r="KSP230" s="340"/>
      <c r="KSQ230" s="340"/>
      <c r="KSR230" s="340"/>
      <c r="KSS230" s="340"/>
      <c r="KST230" s="340"/>
      <c r="KSU230" s="340"/>
      <c r="KSV230" s="340"/>
      <c r="KSW230" s="340"/>
      <c r="KSX230" s="340"/>
      <c r="KSY230" s="340"/>
      <c r="KSZ230" s="340"/>
      <c r="KTA230" s="340"/>
      <c r="KTB230" s="340"/>
      <c r="KTC230" s="340"/>
      <c r="KTD230" s="340"/>
      <c r="KTE230" s="340"/>
      <c r="KTF230" s="340"/>
      <c r="KTG230" s="340"/>
      <c r="KTH230" s="340"/>
      <c r="KTI230" s="340"/>
      <c r="KTJ230" s="340"/>
      <c r="KTK230" s="340"/>
      <c r="KTL230" s="340"/>
      <c r="KTM230" s="340"/>
      <c r="KTN230" s="340"/>
      <c r="KTO230" s="340"/>
      <c r="KTP230" s="340"/>
      <c r="KTQ230" s="340"/>
      <c r="KTR230" s="340"/>
      <c r="KTS230" s="340"/>
      <c r="KTT230" s="340"/>
      <c r="KTU230" s="340"/>
      <c r="KTV230" s="340"/>
      <c r="KTW230" s="340"/>
      <c r="KTX230" s="340"/>
      <c r="KTY230" s="340"/>
      <c r="KTZ230" s="340"/>
      <c r="KUA230" s="340"/>
      <c r="KUB230" s="340"/>
      <c r="KUC230" s="340"/>
      <c r="KUD230" s="340"/>
      <c r="KUE230" s="340"/>
      <c r="KUF230" s="340"/>
      <c r="KUG230" s="340"/>
      <c r="KUH230" s="340"/>
      <c r="KUI230" s="340"/>
      <c r="KUJ230" s="340"/>
      <c r="KUK230" s="340"/>
      <c r="KUL230" s="340"/>
      <c r="KUM230" s="340"/>
      <c r="KUN230" s="340"/>
      <c r="KUO230" s="340"/>
      <c r="KUP230" s="340"/>
      <c r="KUQ230" s="340"/>
      <c r="KUR230" s="340"/>
      <c r="KUS230" s="340"/>
      <c r="KUT230" s="340"/>
      <c r="KUU230" s="340"/>
      <c r="KUV230" s="340"/>
      <c r="KUW230" s="340"/>
      <c r="KUX230" s="340"/>
      <c r="KUY230" s="340"/>
      <c r="KUZ230" s="340"/>
      <c r="KVA230" s="340"/>
      <c r="KVB230" s="340"/>
      <c r="KVC230" s="340"/>
      <c r="KVD230" s="340"/>
      <c r="KVE230" s="340"/>
      <c r="KVF230" s="340"/>
      <c r="KVG230" s="340"/>
      <c r="KVH230" s="340"/>
      <c r="KVI230" s="340"/>
      <c r="KVJ230" s="340"/>
      <c r="KVK230" s="340"/>
      <c r="KVL230" s="340"/>
      <c r="KVM230" s="340"/>
      <c r="KVN230" s="340"/>
      <c r="KVO230" s="340"/>
      <c r="KVP230" s="340"/>
      <c r="KVQ230" s="340"/>
      <c r="KVR230" s="340"/>
      <c r="KVS230" s="340"/>
      <c r="KVT230" s="340"/>
      <c r="KVU230" s="340"/>
      <c r="KVV230" s="340"/>
      <c r="KVW230" s="340"/>
      <c r="KVX230" s="340"/>
      <c r="KVY230" s="340"/>
      <c r="KVZ230" s="340"/>
      <c r="KWA230" s="340"/>
      <c r="KWB230" s="340"/>
      <c r="KWC230" s="340"/>
      <c r="KWD230" s="340"/>
      <c r="KWE230" s="340"/>
      <c r="KWF230" s="340"/>
      <c r="KWG230" s="340"/>
      <c r="KWH230" s="340"/>
      <c r="KWI230" s="340"/>
      <c r="KWJ230" s="340"/>
      <c r="KWK230" s="340"/>
      <c r="KWL230" s="340"/>
      <c r="KWM230" s="340"/>
      <c r="KWN230" s="340"/>
      <c r="KWO230" s="340"/>
      <c r="KWP230" s="340"/>
      <c r="KWQ230" s="340"/>
      <c r="KWR230" s="340"/>
      <c r="KWS230" s="340"/>
      <c r="KWT230" s="340"/>
      <c r="KWU230" s="340"/>
      <c r="KWV230" s="340"/>
      <c r="KWW230" s="340"/>
      <c r="KWX230" s="340"/>
      <c r="KWY230" s="340"/>
      <c r="KWZ230" s="340"/>
      <c r="KXA230" s="340"/>
      <c r="KXB230" s="340"/>
      <c r="KXC230" s="340"/>
      <c r="KXD230" s="340"/>
      <c r="KXE230" s="340"/>
      <c r="KXF230" s="340"/>
      <c r="KXG230" s="340"/>
      <c r="KXH230" s="340"/>
      <c r="KXI230" s="340"/>
      <c r="KXJ230" s="340"/>
      <c r="KXK230" s="340"/>
      <c r="KXL230" s="340"/>
      <c r="KXM230" s="340"/>
      <c r="KXN230" s="340"/>
      <c r="KXO230" s="340"/>
      <c r="KXP230" s="340"/>
      <c r="KXQ230" s="340"/>
      <c r="KXR230" s="340"/>
      <c r="KXS230" s="340"/>
      <c r="KXT230" s="340"/>
      <c r="KXU230" s="340"/>
      <c r="KXV230" s="340"/>
      <c r="KXW230" s="340"/>
      <c r="KXX230" s="340"/>
      <c r="KXY230" s="340"/>
      <c r="KXZ230" s="340"/>
      <c r="KYA230" s="340"/>
      <c r="KYB230" s="340"/>
      <c r="KYC230" s="340"/>
      <c r="KYD230" s="340"/>
      <c r="KYE230" s="340"/>
      <c r="KYF230" s="340"/>
      <c r="KYG230" s="340"/>
      <c r="KYH230" s="340"/>
      <c r="KYI230" s="340"/>
      <c r="KYJ230" s="340"/>
      <c r="KYK230" s="340"/>
      <c r="KYL230" s="340"/>
      <c r="KYM230" s="340"/>
      <c r="KYN230" s="340"/>
      <c r="KYO230" s="340"/>
      <c r="KYP230" s="340"/>
      <c r="KYQ230" s="340"/>
      <c r="KYR230" s="340"/>
      <c r="KYS230" s="340"/>
      <c r="KYT230" s="340"/>
      <c r="KYU230" s="340"/>
      <c r="KYV230" s="340"/>
      <c r="KYW230" s="340"/>
      <c r="KYX230" s="340"/>
      <c r="KYY230" s="340"/>
      <c r="KYZ230" s="340"/>
      <c r="KZA230" s="340"/>
      <c r="KZB230" s="340"/>
      <c r="KZC230" s="340"/>
      <c r="KZD230" s="340"/>
      <c r="KZE230" s="340"/>
      <c r="KZF230" s="340"/>
      <c r="KZG230" s="340"/>
      <c r="KZH230" s="340"/>
      <c r="KZI230" s="340"/>
      <c r="KZJ230" s="340"/>
      <c r="KZK230" s="340"/>
      <c r="KZL230" s="340"/>
      <c r="KZM230" s="340"/>
      <c r="KZN230" s="340"/>
      <c r="KZO230" s="340"/>
      <c r="KZP230" s="340"/>
      <c r="KZQ230" s="340"/>
      <c r="KZR230" s="340"/>
      <c r="KZS230" s="340"/>
      <c r="KZT230" s="340"/>
      <c r="KZU230" s="340"/>
      <c r="KZV230" s="340"/>
      <c r="KZW230" s="340"/>
      <c r="KZX230" s="340"/>
      <c r="KZY230" s="340"/>
      <c r="KZZ230" s="340"/>
      <c r="LAA230" s="340"/>
      <c r="LAB230" s="340"/>
      <c r="LAC230" s="340"/>
      <c r="LAD230" s="340"/>
      <c r="LAE230" s="340"/>
      <c r="LAF230" s="340"/>
      <c r="LAG230" s="340"/>
      <c r="LAH230" s="340"/>
      <c r="LAI230" s="340"/>
      <c r="LAJ230" s="340"/>
      <c r="LAK230" s="340"/>
      <c r="LAL230" s="340"/>
      <c r="LAM230" s="340"/>
      <c r="LAN230" s="340"/>
      <c r="LAO230" s="340"/>
      <c r="LAP230" s="340"/>
      <c r="LAQ230" s="340"/>
      <c r="LAR230" s="340"/>
      <c r="LAS230" s="340"/>
      <c r="LAT230" s="340"/>
      <c r="LAU230" s="340"/>
      <c r="LAV230" s="340"/>
      <c r="LAW230" s="340"/>
      <c r="LAX230" s="340"/>
      <c r="LAY230" s="340"/>
      <c r="LAZ230" s="340"/>
      <c r="LBA230" s="340"/>
      <c r="LBB230" s="340"/>
      <c r="LBC230" s="340"/>
      <c r="LBD230" s="340"/>
      <c r="LBE230" s="340"/>
      <c r="LBF230" s="340"/>
      <c r="LBG230" s="340"/>
      <c r="LBH230" s="340"/>
      <c r="LBI230" s="340"/>
      <c r="LBJ230" s="340"/>
      <c r="LBK230" s="340"/>
      <c r="LBL230" s="340"/>
      <c r="LBM230" s="340"/>
      <c r="LBN230" s="340"/>
      <c r="LBO230" s="340"/>
      <c r="LBP230" s="340"/>
      <c r="LBQ230" s="340"/>
      <c r="LBR230" s="340"/>
      <c r="LBS230" s="340"/>
      <c r="LBT230" s="340"/>
      <c r="LBU230" s="340"/>
      <c r="LBV230" s="340"/>
      <c r="LBW230" s="340"/>
      <c r="LBX230" s="340"/>
      <c r="LBY230" s="340"/>
      <c r="LBZ230" s="340"/>
      <c r="LCA230" s="340"/>
      <c r="LCB230" s="340"/>
      <c r="LCC230" s="340"/>
      <c r="LCD230" s="340"/>
      <c r="LCE230" s="340"/>
      <c r="LCF230" s="340"/>
      <c r="LCG230" s="340"/>
      <c r="LCH230" s="340"/>
      <c r="LCI230" s="340"/>
      <c r="LCJ230" s="340"/>
      <c r="LCK230" s="340"/>
      <c r="LCL230" s="340"/>
      <c r="LCM230" s="340"/>
      <c r="LCN230" s="340"/>
      <c r="LCO230" s="340"/>
      <c r="LCP230" s="340"/>
      <c r="LCQ230" s="340"/>
      <c r="LCR230" s="340"/>
      <c r="LCS230" s="340"/>
      <c r="LCT230" s="340"/>
      <c r="LCU230" s="340"/>
      <c r="LCV230" s="340"/>
      <c r="LCW230" s="340"/>
      <c r="LCX230" s="340"/>
      <c r="LCY230" s="340"/>
      <c r="LCZ230" s="340"/>
      <c r="LDA230" s="340"/>
      <c r="LDB230" s="340"/>
      <c r="LDC230" s="340"/>
      <c r="LDD230" s="340"/>
      <c r="LDE230" s="340"/>
      <c r="LDF230" s="340"/>
      <c r="LDG230" s="340"/>
      <c r="LDH230" s="340"/>
      <c r="LDI230" s="340"/>
      <c r="LDJ230" s="340"/>
      <c r="LDK230" s="340"/>
      <c r="LDL230" s="340"/>
      <c r="LDM230" s="340"/>
      <c r="LDN230" s="340"/>
      <c r="LDO230" s="340"/>
      <c r="LDP230" s="340"/>
      <c r="LDQ230" s="340"/>
      <c r="LDR230" s="340"/>
      <c r="LDS230" s="340"/>
      <c r="LDT230" s="340"/>
      <c r="LDU230" s="340"/>
      <c r="LDV230" s="340"/>
      <c r="LDW230" s="340"/>
      <c r="LDX230" s="340"/>
      <c r="LDY230" s="340"/>
      <c r="LDZ230" s="340"/>
      <c r="LEA230" s="340"/>
      <c r="LEB230" s="340"/>
      <c r="LEC230" s="340"/>
      <c r="LED230" s="340"/>
      <c r="LEE230" s="340"/>
      <c r="LEF230" s="340"/>
      <c r="LEG230" s="340"/>
      <c r="LEH230" s="340"/>
      <c r="LEI230" s="340"/>
      <c r="LEJ230" s="340"/>
      <c r="LEK230" s="340"/>
      <c r="LEL230" s="340"/>
      <c r="LEM230" s="340"/>
      <c r="LEN230" s="340"/>
      <c r="LEO230" s="340"/>
      <c r="LEP230" s="340"/>
      <c r="LEQ230" s="340"/>
      <c r="LER230" s="340"/>
      <c r="LES230" s="340"/>
      <c r="LET230" s="340"/>
      <c r="LEU230" s="340"/>
      <c r="LEV230" s="340"/>
      <c r="LEW230" s="340"/>
      <c r="LEX230" s="340"/>
      <c r="LEY230" s="340"/>
      <c r="LEZ230" s="340"/>
      <c r="LFA230" s="340"/>
      <c r="LFB230" s="340"/>
      <c r="LFC230" s="340"/>
      <c r="LFD230" s="340"/>
      <c r="LFE230" s="340"/>
      <c r="LFF230" s="340"/>
      <c r="LFG230" s="340"/>
      <c r="LFH230" s="340"/>
      <c r="LFI230" s="340"/>
      <c r="LFJ230" s="340"/>
      <c r="LFK230" s="340"/>
      <c r="LFL230" s="340"/>
      <c r="LFM230" s="340"/>
      <c r="LFN230" s="340"/>
      <c r="LFO230" s="340"/>
      <c r="LFP230" s="340"/>
      <c r="LFQ230" s="340"/>
      <c r="LFR230" s="340"/>
      <c r="LFS230" s="340"/>
      <c r="LFT230" s="340"/>
      <c r="LFU230" s="340"/>
      <c r="LFV230" s="340"/>
      <c r="LFW230" s="340"/>
      <c r="LFX230" s="340"/>
      <c r="LFY230" s="340"/>
      <c r="LFZ230" s="340"/>
      <c r="LGA230" s="340"/>
      <c r="LGB230" s="340"/>
      <c r="LGC230" s="340"/>
      <c r="LGD230" s="340"/>
      <c r="LGE230" s="340"/>
      <c r="LGF230" s="340"/>
      <c r="LGG230" s="340"/>
      <c r="LGH230" s="340"/>
      <c r="LGI230" s="340"/>
      <c r="LGJ230" s="340"/>
      <c r="LGK230" s="340"/>
      <c r="LGL230" s="340"/>
      <c r="LGM230" s="340"/>
      <c r="LGN230" s="340"/>
      <c r="LGO230" s="340"/>
      <c r="LGP230" s="340"/>
      <c r="LGQ230" s="340"/>
      <c r="LGR230" s="340"/>
      <c r="LGS230" s="340"/>
      <c r="LGT230" s="340"/>
      <c r="LGU230" s="340"/>
      <c r="LGV230" s="340"/>
      <c r="LGW230" s="340"/>
      <c r="LGX230" s="340"/>
      <c r="LGY230" s="340"/>
      <c r="LGZ230" s="340"/>
      <c r="LHA230" s="340"/>
      <c r="LHB230" s="340"/>
      <c r="LHC230" s="340"/>
      <c r="LHD230" s="340"/>
      <c r="LHE230" s="340"/>
      <c r="LHF230" s="340"/>
      <c r="LHG230" s="340"/>
      <c r="LHH230" s="340"/>
      <c r="LHI230" s="340"/>
      <c r="LHJ230" s="340"/>
      <c r="LHK230" s="340"/>
      <c r="LHL230" s="340"/>
      <c r="LHM230" s="340"/>
      <c r="LHN230" s="340"/>
      <c r="LHO230" s="340"/>
      <c r="LHP230" s="340"/>
      <c r="LHQ230" s="340"/>
      <c r="LHR230" s="340"/>
      <c r="LHS230" s="340"/>
      <c r="LHT230" s="340"/>
      <c r="LHU230" s="340"/>
      <c r="LHV230" s="340"/>
      <c r="LHW230" s="340"/>
      <c r="LHX230" s="340"/>
      <c r="LHY230" s="340"/>
      <c r="LHZ230" s="340"/>
      <c r="LIA230" s="340"/>
      <c r="LIB230" s="340"/>
      <c r="LIC230" s="340"/>
      <c r="LID230" s="340"/>
      <c r="LIE230" s="340"/>
      <c r="LIF230" s="340"/>
      <c r="LIG230" s="340"/>
      <c r="LIH230" s="340"/>
      <c r="LII230" s="340"/>
      <c r="LIJ230" s="340"/>
      <c r="LIK230" s="340"/>
      <c r="LIL230" s="340"/>
      <c r="LIM230" s="340"/>
      <c r="LIN230" s="340"/>
      <c r="LIO230" s="340"/>
      <c r="LIP230" s="340"/>
      <c r="LIQ230" s="340"/>
      <c r="LIR230" s="340"/>
      <c r="LIS230" s="340"/>
      <c r="LIT230" s="340"/>
      <c r="LIU230" s="340"/>
      <c r="LIV230" s="340"/>
      <c r="LIW230" s="340"/>
      <c r="LIX230" s="340"/>
      <c r="LIY230" s="340"/>
      <c r="LIZ230" s="340"/>
      <c r="LJA230" s="340"/>
      <c r="LJB230" s="340"/>
      <c r="LJC230" s="340"/>
      <c r="LJD230" s="340"/>
      <c r="LJE230" s="340"/>
      <c r="LJF230" s="340"/>
      <c r="LJG230" s="340"/>
      <c r="LJH230" s="340"/>
      <c r="LJI230" s="340"/>
      <c r="LJJ230" s="340"/>
      <c r="LJK230" s="340"/>
      <c r="LJL230" s="340"/>
      <c r="LJM230" s="340"/>
      <c r="LJN230" s="340"/>
      <c r="LJO230" s="340"/>
      <c r="LJP230" s="340"/>
      <c r="LJQ230" s="340"/>
      <c r="LJR230" s="340"/>
      <c r="LJS230" s="340"/>
      <c r="LJT230" s="340"/>
      <c r="LJU230" s="340"/>
      <c r="LJV230" s="340"/>
      <c r="LJW230" s="340"/>
      <c r="LJX230" s="340"/>
      <c r="LJY230" s="340"/>
      <c r="LJZ230" s="340"/>
      <c r="LKA230" s="340"/>
      <c r="LKB230" s="340"/>
      <c r="LKC230" s="340"/>
      <c r="LKD230" s="340"/>
      <c r="LKE230" s="340"/>
      <c r="LKF230" s="340"/>
      <c r="LKG230" s="340"/>
      <c r="LKH230" s="340"/>
      <c r="LKI230" s="340"/>
      <c r="LKJ230" s="340"/>
      <c r="LKK230" s="340"/>
      <c r="LKL230" s="340"/>
      <c r="LKM230" s="340"/>
      <c r="LKN230" s="340"/>
      <c r="LKO230" s="340"/>
      <c r="LKP230" s="340"/>
      <c r="LKQ230" s="340"/>
      <c r="LKR230" s="340"/>
      <c r="LKS230" s="340"/>
      <c r="LKT230" s="340"/>
      <c r="LKU230" s="340"/>
      <c r="LKV230" s="340"/>
      <c r="LKW230" s="340"/>
      <c r="LKX230" s="340"/>
      <c r="LKY230" s="340"/>
      <c r="LKZ230" s="340"/>
      <c r="LLA230" s="340"/>
      <c r="LLB230" s="340"/>
      <c r="LLC230" s="340"/>
      <c r="LLD230" s="340"/>
      <c r="LLE230" s="340"/>
      <c r="LLF230" s="340"/>
      <c r="LLG230" s="340"/>
      <c r="LLH230" s="340"/>
      <c r="LLI230" s="340"/>
      <c r="LLJ230" s="340"/>
      <c r="LLK230" s="340"/>
      <c r="LLL230" s="340"/>
      <c r="LLM230" s="340"/>
      <c r="LLN230" s="340"/>
      <c r="LLO230" s="340"/>
      <c r="LLP230" s="340"/>
      <c r="LLQ230" s="340"/>
      <c r="LLR230" s="340"/>
      <c r="LLS230" s="340"/>
      <c r="LLT230" s="340"/>
      <c r="LLU230" s="340"/>
      <c r="LLV230" s="340"/>
      <c r="LLW230" s="340"/>
      <c r="LLX230" s="340"/>
      <c r="LLY230" s="340"/>
      <c r="LLZ230" s="340"/>
      <c r="LMA230" s="340"/>
      <c r="LMB230" s="340"/>
      <c r="LMC230" s="340"/>
      <c r="LMD230" s="340"/>
      <c r="LME230" s="340"/>
      <c r="LMF230" s="340"/>
      <c r="LMG230" s="340"/>
      <c r="LMH230" s="340"/>
      <c r="LMI230" s="340"/>
      <c r="LMJ230" s="340"/>
      <c r="LMK230" s="340"/>
      <c r="LML230" s="340"/>
      <c r="LMM230" s="340"/>
      <c r="LMN230" s="340"/>
      <c r="LMO230" s="340"/>
      <c r="LMP230" s="340"/>
      <c r="LMQ230" s="340"/>
      <c r="LMR230" s="340"/>
      <c r="LMS230" s="340"/>
      <c r="LMT230" s="340"/>
      <c r="LMU230" s="340"/>
      <c r="LMV230" s="340"/>
      <c r="LMW230" s="340"/>
      <c r="LMX230" s="340"/>
      <c r="LMY230" s="340"/>
      <c r="LMZ230" s="340"/>
      <c r="LNA230" s="340"/>
      <c r="LNB230" s="340"/>
      <c r="LNC230" s="340"/>
      <c r="LND230" s="340"/>
      <c r="LNE230" s="340"/>
      <c r="LNF230" s="340"/>
      <c r="LNG230" s="340"/>
      <c r="LNH230" s="340"/>
      <c r="LNI230" s="340"/>
      <c r="LNJ230" s="340"/>
      <c r="LNK230" s="340"/>
      <c r="LNL230" s="340"/>
      <c r="LNM230" s="340"/>
      <c r="LNN230" s="340"/>
      <c r="LNO230" s="340"/>
      <c r="LNP230" s="340"/>
      <c r="LNQ230" s="340"/>
      <c r="LNR230" s="340"/>
      <c r="LNS230" s="340"/>
      <c r="LNT230" s="340"/>
      <c r="LNU230" s="340"/>
      <c r="LNV230" s="340"/>
      <c r="LNW230" s="340"/>
      <c r="LNX230" s="340"/>
      <c r="LNY230" s="340"/>
      <c r="LNZ230" s="340"/>
      <c r="LOA230" s="340"/>
      <c r="LOB230" s="340"/>
      <c r="LOC230" s="340"/>
      <c r="LOD230" s="340"/>
      <c r="LOE230" s="340"/>
      <c r="LOF230" s="340"/>
      <c r="LOG230" s="340"/>
      <c r="LOH230" s="340"/>
      <c r="LOI230" s="340"/>
      <c r="LOJ230" s="340"/>
      <c r="LOK230" s="340"/>
      <c r="LOL230" s="340"/>
      <c r="LOM230" s="340"/>
      <c r="LON230" s="340"/>
      <c r="LOO230" s="340"/>
      <c r="LOP230" s="340"/>
      <c r="LOQ230" s="340"/>
      <c r="LOR230" s="340"/>
      <c r="LOS230" s="340"/>
      <c r="LOT230" s="340"/>
      <c r="LOU230" s="340"/>
      <c r="LOV230" s="340"/>
      <c r="LOW230" s="340"/>
      <c r="LOX230" s="340"/>
      <c r="LOY230" s="340"/>
      <c r="LOZ230" s="340"/>
      <c r="LPA230" s="340"/>
      <c r="LPB230" s="340"/>
      <c r="LPC230" s="340"/>
      <c r="LPD230" s="340"/>
      <c r="LPE230" s="340"/>
      <c r="LPF230" s="340"/>
      <c r="LPG230" s="340"/>
      <c r="LPH230" s="340"/>
      <c r="LPI230" s="340"/>
      <c r="LPJ230" s="340"/>
      <c r="LPK230" s="340"/>
      <c r="LPL230" s="340"/>
      <c r="LPM230" s="340"/>
      <c r="LPN230" s="340"/>
      <c r="LPO230" s="340"/>
      <c r="LPP230" s="340"/>
      <c r="LPQ230" s="340"/>
      <c r="LPR230" s="340"/>
      <c r="LPS230" s="340"/>
      <c r="LPT230" s="340"/>
      <c r="LPU230" s="340"/>
      <c r="LPV230" s="340"/>
      <c r="LPW230" s="340"/>
      <c r="LPX230" s="340"/>
      <c r="LPY230" s="340"/>
      <c r="LPZ230" s="340"/>
      <c r="LQA230" s="340"/>
      <c r="LQB230" s="340"/>
      <c r="LQC230" s="340"/>
      <c r="LQD230" s="340"/>
      <c r="LQE230" s="340"/>
      <c r="LQF230" s="340"/>
      <c r="LQG230" s="340"/>
      <c r="LQH230" s="340"/>
      <c r="LQI230" s="340"/>
      <c r="LQJ230" s="340"/>
      <c r="LQK230" s="340"/>
      <c r="LQL230" s="340"/>
      <c r="LQM230" s="340"/>
      <c r="LQN230" s="340"/>
      <c r="LQO230" s="340"/>
      <c r="LQP230" s="340"/>
      <c r="LQQ230" s="340"/>
      <c r="LQR230" s="340"/>
      <c r="LQS230" s="340"/>
      <c r="LQT230" s="340"/>
      <c r="LQU230" s="340"/>
      <c r="LQV230" s="340"/>
      <c r="LQW230" s="340"/>
      <c r="LQX230" s="340"/>
      <c r="LQY230" s="340"/>
      <c r="LQZ230" s="340"/>
      <c r="LRA230" s="340"/>
      <c r="LRB230" s="340"/>
      <c r="LRC230" s="340"/>
      <c r="LRD230" s="340"/>
      <c r="LRE230" s="340"/>
      <c r="LRF230" s="340"/>
      <c r="LRG230" s="340"/>
      <c r="LRH230" s="340"/>
      <c r="LRI230" s="340"/>
      <c r="LRJ230" s="340"/>
      <c r="LRK230" s="340"/>
      <c r="LRL230" s="340"/>
      <c r="LRM230" s="340"/>
      <c r="LRN230" s="340"/>
      <c r="LRO230" s="340"/>
      <c r="LRP230" s="340"/>
      <c r="LRQ230" s="340"/>
      <c r="LRR230" s="340"/>
      <c r="LRS230" s="340"/>
      <c r="LRT230" s="340"/>
      <c r="LRU230" s="340"/>
      <c r="LRV230" s="340"/>
      <c r="LRW230" s="340"/>
      <c r="LRX230" s="340"/>
      <c r="LRY230" s="340"/>
      <c r="LRZ230" s="340"/>
      <c r="LSA230" s="340"/>
      <c r="LSB230" s="340"/>
      <c r="LSC230" s="340"/>
      <c r="LSD230" s="340"/>
      <c r="LSE230" s="340"/>
      <c r="LSF230" s="340"/>
      <c r="LSG230" s="340"/>
      <c r="LSH230" s="340"/>
      <c r="LSI230" s="340"/>
      <c r="LSJ230" s="340"/>
      <c r="LSK230" s="340"/>
      <c r="LSL230" s="340"/>
      <c r="LSM230" s="340"/>
      <c r="LSN230" s="340"/>
      <c r="LSO230" s="340"/>
      <c r="LSP230" s="340"/>
      <c r="LSQ230" s="340"/>
      <c r="LSR230" s="340"/>
      <c r="LSS230" s="340"/>
      <c r="LST230" s="340"/>
      <c r="LSU230" s="340"/>
      <c r="LSV230" s="340"/>
      <c r="LSW230" s="340"/>
      <c r="LSX230" s="340"/>
      <c r="LSY230" s="340"/>
      <c r="LSZ230" s="340"/>
      <c r="LTA230" s="340"/>
      <c r="LTB230" s="340"/>
      <c r="LTC230" s="340"/>
      <c r="LTD230" s="340"/>
      <c r="LTE230" s="340"/>
      <c r="LTF230" s="340"/>
      <c r="LTG230" s="340"/>
      <c r="LTH230" s="340"/>
      <c r="LTI230" s="340"/>
      <c r="LTJ230" s="340"/>
      <c r="LTK230" s="340"/>
      <c r="LTL230" s="340"/>
      <c r="LTM230" s="340"/>
      <c r="LTN230" s="340"/>
      <c r="LTO230" s="340"/>
      <c r="LTP230" s="340"/>
      <c r="LTQ230" s="340"/>
      <c r="LTR230" s="340"/>
      <c r="LTS230" s="340"/>
      <c r="LTT230" s="340"/>
      <c r="LTU230" s="340"/>
      <c r="LTV230" s="340"/>
      <c r="LTW230" s="340"/>
      <c r="LTX230" s="340"/>
      <c r="LTY230" s="340"/>
      <c r="LTZ230" s="340"/>
      <c r="LUA230" s="340"/>
      <c r="LUB230" s="340"/>
      <c r="LUC230" s="340"/>
      <c r="LUD230" s="340"/>
      <c r="LUE230" s="340"/>
      <c r="LUF230" s="340"/>
      <c r="LUG230" s="340"/>
      <c r="LUH230" s="340"/>
      <c r="LUI230" s="340"/>
      <c r="LUJ230" s="340"/>
      <c r="LUK230" s="340"/>
      <c r="LUL230" s="340"/>
      <c r="LUM230" s="340"/>
      <c r="LUN230" s="340"/>
      <c r="LUO230" s="340"/>
      <c r="LUP230" s="340"/>
      <c r="LUQ230" s="340"/>
      <c r="LUR230" s="340"/>
      <c r="LUS230" s="340"/>
      <c r="LUT230" s="340"/>
      <c r="LUU230" s="340"/>
      <c r="LUV230" s="340"/>
      <c r="LUW230" s="340"/>
      <c r="LUX230" s="340"/>
      <c r="LUY230" s="340"/>
      <c r="LUZ230" s="340"/>
      <c r="LVA230" s="340"/>
      <c r="LVB230" s="340"/>
      <c r="LVC230" s="340"/>
      <c r="LVD230" s="340"/>
      <c r="LVE230" s="340"/>
      <c r="LVF230" s="340"/>
      <c r="LVG230" s="340"/>
      <c r="LVH230" s="340"/>
      <c r="LVI230" s="340"/>
      <c r="LVJ230" s="340"/>
      <c r="LVK230" s="340"/>
      <c r="LVL230" s="340"/>
      <c r="LVM230" s="340"/>
      <c r="LVN230" s="340"/>
      <c r="LVO230" s="340"/>
      <c r="LVP230" s="340"/>
      <c r="LVQ230" s="340"/>
      <c r="LVR230" s="340"/>
      <c r="LVS230" s="340"/>
      <c r="LVT230" s="340"/>
      <c r="LVU230" s="340"/>
      <c r="LVV230" s="340"/>
      <c r="LVW230" s="340"/>
      <c r="LVX230" s="340"/>
      <c r="LVY230" s="340"/>
      <c r="LVZ230" s="340"/>
      <c r="LWA230" s="340"/>
      <c r="LWB230" s="340"/>
      <c r="LWC230" s="340"/>
      <c r="LWD230" s="340"/>
      <c r="LWE230" s="340"/>
      <c r="LWF230" s="340"/>
      <c r="LWG230" s="340"/>
      <c r="LWH230" s="340"/>
      <c r="LWI230" s="340"/>
      <c r="LWJ230" s="340"/>
      <c r="LWK230" s="340"/>
      <c r="LWL230" s="340"/>
      <c r="LWM230" s="340"/>
      <c r="LWN230" s="340"/>
      <c r="LWO230" s="340"/>
      <c r="LWP230" s="340"/>
      <c r="LWQ230" s="340"/>
      <c r="LWR230" s="340"/>
      <c r="LWS230" s="340"/>
      <c r="LWT230" s="340"/>
      <c r="LWU230" s="340"/>
      <c r="LWV230" s="340"/>
      <c r="LWW230" s="340"/>
      <c r="LWX230" s="340"/>
      <c r="LWY230" s="340"/>
      <c r="LWZ230" s="340"/>
      <c r="LXA230" s="340"/>
      <c r="LXB230" s="340"/>
      <c r="LXC230" s="340"/>
      <c r="LXD230" s="340"/>
      <c r="LXE230" s="340"/>
      <c r="LXF230" s="340"/>
      <c r="LXG230" s="340"/>
      <c r="LXH230" s="340"/>
      <c r="LXI230" s="340"/>
      <c r="LXJ230" s="340"/>
      <c r="LXK230" s="340"/>
      <c r="LXL230" s="340"/>
      <c r="LXM230" s="340"/>
      <c r="LXN230" s="340"/>
      <c r="LXO230" s="340"/>
      <c r="LXP230" s="340"/>
      <c r="LXQ230" s="340"/>
      <c r="LXR230" s="340"/>
      <c r="LXS230" s="340"/>
      <c r="LXT230" s="340"/>
      <c r="LXU230" s="340"/>
      <c r="LXV230" s="340"/>
      <c r="LXW230" s="340"/>
      <c r="LXX230" s="340"/>
      <c r="LXY230" s="340"/>
      <c r="LXZ230" s="340"/>
      <c r="LYA230" s="340"/>
      <c r="LYB230" s="340"/>
      <c r="LYC230" s="340"/>
      <c r="LYD230" s="340"/>
      <c r="LYE230" s="340"/>
      <c r="LYF230" s="340"/>
      <c r="LYG230" s="340"/>
      <c r="LYH230" s="340"/>
      <c r="LYI230" s="340"/>
      <c r="LYJ230" s="340"/>
      <c r="LYK230" s="340"/>
      <c r="LYL230" s="340"/>
      <c r="LYM230" s="340"/>
      <c r="LYN230" s="340"/>
      <c r="LYO230" s="340"/>
      <c r="LYP230" s="340"/>
      <c r="LYQ230" s="340"/>
      <c r="LYR230" s="340"/>
      <c r="LYS230" s="340"/>
      <c r="LYT230" s="340"/>
      <c r="LYU230" s="340"/>
      <c r="LYV230" s="340"/>
      <c r="LYW230" s="340"/>
      <c r="LYX230" s="340"/>
      <c r="LYY230" s="340"/>
      <c r="LYZ230" s="340"/>
      <c r="LZA230" s="340"/>
      <c r="LZB230" s="340"/>
      <c r="LZC230" s="340"/>
      <c r="LZD230" s="340"/>
      <c r="LZE230" s="340"/>
      <c r="LZF230" s="340"/>
      <c r="LZG230" s="340"/>
      <c r="LZH230" s="340"/>
      <c r="LZI230" s="340"/>
      <c r="LZJ230" s="340"/>
      <c r="LZK230" s="340"/>
      <c r="LZL230" s="340"/>
      <c r="LZM230" s="340"/>
      <c r="LZN230" s="340"/>
      <c r="LZO230" s="340"/>
      <c r="LZP230" s="340"/>
      <c r="LZQ230" s="340"/>
      <c r="LZR230" s="340"/>
      <c r="LZS230" s="340"/>
      <c r="LZT230" s="340"/>
      <c r="LZU230" s="340"/>
      <c r="LZV230" s="340"/>
      <c r="LZW230" s="340"/>
      <c r="LZX230" s="340"/>
      <c r="LZY230" s="340"/>
      <c r="LZZ230" s="340"/>
      <c r="MAA230" s="340"/>
      <c r="MAB230" s="340"/>
      <c r="MAC230" s="340"/>
      <c r="MAD230" s="340"/>
      <c r="MAE230" s="340"/>
      <c r="MAF230" s="340"/>
      <c r="MAG230" s="340"/>
      <c r="MAH230" s="340"/>
      <c r="MAI230" s="340"/>
      <c r="MAJ230" s="340"/>
      <c r="MAK230" s="340"/>
      <c r="MAL230" s="340"/>
      <c r="MAM230" s="340"/>
      <c r="MAN230" s="340"/>
      <c r="MAO230" s="340"/>
      <c r="MAP230" s="340"/>
      <c r="MAQ230" s="340"/>
      <c r="MAR230" s="340"/>
      <c r="MAS230" s="340"/>
      <c r="MAT230" s="340"/>
      <c r="MAU230" s="340"/>
      <c r="MAV230" s="340"/>
      <c r="MAW230" s="340"/>
      <c r="MAX230" s="340"/>
      <c r="MAY230" s="340"/>
      <c r="MAZ230" s="340"/>
      <c r="MBA230" s="340"/>
      <c r="MBB230" s="340"/>
      <c r="MBC230" s="340"/>
      <c r="MBD230" s="340"/>
      <c r="MBE230" s="340"/>
      <c r="MBF230" s="340"/>
      <c r="MBG230" s="340"/>
      <c r="MBH230" s="340"/>
      <c r="MBI230" s="340"/>
      <c r="MBJ230" s="340"/>
      <c r="MBK230" s="340"/>
      <c r="MBL230" s="340"/>
      <c r="MBM230" s="340"/>
      <c r="MBN230" s="340"/>
      <c r="MBO230" s="340"/>
      <c r="MBP230" s="340"/>
      <c r="MBQ230" s="340"/>
      <c r="MBR230" s="340"/>
      <c r="MBS230" s="340"/>
      <c r="MBT230" s="340"/>
      <c r="MBU230" s="340"/>
      <c r="MBV230" s="340"/>
      <c r="MBW230" s="340"/>
      <c r="MBX230" s="340"/>
      <c r="MBY230" s="340"/>
      <c r="MBZ230" s="340"/>
      <c r="MCA230" s="340"/>
      <c r="MCB230" s="340"/>
      <c r="MCC230" s="340"/>
      <c r="MCD230" s="340"/>
      <c r="MCE230" s="340"/>
      <c r="MCF230" s="340"/>
      <c r="MCG230" s="340"/>
      <c r="MCH230" s="340"/>
      <c r="MCI230" s="340"/>
      <c r="MCJ230" s="340"/>
      <c r="MCK230" s="340"/>
      <c r="MCL230" s="340"/>
      <c r="MCM230" s="340"/>
      <c r="MCN230" s="340"/>
      <c r="MCO230" s="340"/>
      <c r="MCP230" s="340"/>
      <c r="MCQ230" s="340"/>
      <c r="MCR230" s="340"/>
      <c r="MCS230" s="340"/>
      <c r="MCT230" s="340"/>
      <c r="MCU230" s="340"/>
      <c r="MCV230" s="340"/>
      <c r="MCW230" s="340"/>
      <c r="MCX230" s="340"/>
      <c r="MCY230" s="340"/>
      <c r="MCZ230" s="340"/>
      <c r="MDA230" s="340"/>
      <c r="MDB230" s="340"/>
      <c r="MDC230" s="340"/>
      <c r="MDD230" s="340"/>
      <c r="MDE230" s="340"/>
      <c r="MDF230" s="340"/>
      <c r="MDG230" s="340"/>
      <c r="MDH230" s="340"/>
      <c r="MDI230" s="340"/>
      <c r="MDJ230" s="340"/>
      <c r="MDK230" s="340"/>
      <c r="MDL230" s="340"/>
      <c r="MDM230" s="340"/>
      <c r="MDN230" s="340"/>
      <c r="MDO230" s="340"/>
      <c r="MDP230" s="340"/>
      <c r="MDQ230" s="340"/>
      <c r="MDR230" s="340"/>
      <c r="MDS230" s="340"/>
      <c r="MDT230" s="340"/>
      <c r="MDU230" s="340"/>
      <c r="MDV230" s="340"/>
      <c r="MDW230" s="340"/>
      <c r="MDX230" s="340"/>
      <c r="MDY230" s="340"/>
      <c r="MDZ230" s="340"/>
      <c r="MEA230" s="340"/>
      <c r="MEB230" s="340"/>
      <c r="MEC230" s="340"/>
      <c r="MED230" s="340"/>
      <c r="MEE230" s="340"/>
      <c r="MEF230" s="340"/>
      <c r="MEG230" s="340"/>
      <c r="MEH230" s="340"/>
      <c r="MEI230" s="340"/>
      <c r="MEJ230" s="340"/>
      <c r="MEK230" s="340"/>
      <c r="MEL230" s="340"/>
      <c r="MEM230" s="340"/>
      <c r="MEN230" s="340"/>
      <c r="MEO230" s="340"/>
      <c r="MEP230" s="340"/>
      <c r="MEQ230" s="340"/>
      <c r="MER230" s="340"/>
      <c r="MES230" s="340"/>
      <c r="MET230" s="340"/>
      <c r="MEU230" s="340"/>
      <c r="MEV230" s="340"/>
      <c r="MEW230" s="340"/>
      <c r="MEX230" s="340"/>
      <c r="MEY230" s="340"/>
      <c r="MEZ230" s="340"/>
      <c r="MFA230" s="340"/>
      <c r="MFB230" s="340"/>
      <c r="MFC230" s="340"/>
      <c r="MFD230" s="340"/>
      <c r="MFE230" s="340"/>
      <c r="MFF230" s="340"/>
      <c r="MFG230" s="340"/>
      <c r="MFH230" s="340"/>
      <c r="MFI230" s="340"/>
      <c r="MFJ230" s="340"/>
      <c r="MFK230" s="340"/>
      <c r="MFL230" s="340"/>
      <c r="MFM230" s="340"/>
      <c r="MFN230" s="340"/>
      <c r="MFO230" s="340"/>
      <c r="MFP230" s="340"/>
      <c r="MFQ230" s="340"/>
      <c r="MFR230" s="340"/>
      <c r="MFS230" s="340"/>
      <c r="MFT230" s="340"/>
      <c r="MFU230" s="340"/>
      <c r="MFV230" s="340"/>
      <c r="MFW230" s="340"/>
      <c r="MFX230" s="340"/>
      <c r="MFY230" s="340"/>
      <c r="MFZ230" s="340"/>
      <c r="MGA230" s="340"/>
      <c r="MGB230" s="340"/>
      <c r="MGC230" s="340"/>
      <c r="MGD230" s="340"/>
      <c r="MGE230" s="340"/>
      <c r="MGF230" s="340"/>
      <c r="MGG230" s="340"/>
      <c r="MGH230" s="340"/>
      <c r="MGI230" s="340"/>
      <c r="MGJ230" s="340"/>
      <c r="MGK230" s="340"/>
      <c r="MGL230" s="340"/>
      <c r="MGM230" s="340"/>
      <c r="MGN230" s="340"/>
      <c r="MGO230" s="340"/>
      <c r="MGP230" s="340"/>
      <c r="MGQ230" s="340"/>
      <c r="MGR230" s="340"/>
      <c r="MGS230" s="340"/>
      <c r="MGT230" s="340"/>
      <c r="MGU230" s="340"/>
      <c r="MGV230" s="340"/>
      <c r="MGW230" s="340"/>
      <c r="MGX230" s="340"/>
      <c r="MGY230" s="340"/>
      <c r="MGZ230" s="340"/>
      <c r="MHA230" s="340"/>
      <c r="MHB230" s="340"/>
      <c r="MHC230" s="340"/>
      <c r="MHD230" s="340"/>
      <c r="MHE230" s="340"/>
      <c r="MHF230" s="340"/>
      <c r="MHG230" s="340"/>
      <c r="MHH230" s="340"/>
      <c r="MHI230" s="340"/>
      <c r="MHJ230" s="340"/>
      <c r="MHK230" s="340"/>
      <c r="MHL230" s="340"/>
      <c r="MHM230" s="340"/>
      <c r="MHN230" s="340"/>
      <c r="MHO230" s="340"/>
      <c r="MHP230" s="340"/>
      <c r="MHQ230" s="340"/>
      <c r="MHR230" s="340"/>
      <c r="MHS230" s="340"/>
      <c r="MHT230" s="340"/>
      <c r="MHU230" s="340"/>
      <c r="MHV230" s="340"/>
      <c r="MHW230" s="340"/>
      <c r="MHX230" s="340"/>
      <c r="MHY230" s="340"/>
      <c r="MHZ230" s="340"/>
      <c r="MIA230" s="340"/>
      <c r="MIB230" s="340"/>
      <c r="MIC230" s="340"/>
      <c r="MID230" s="340"/>
      <c r="MIE230" s="340"/>
      <c r="MIF230" s="340"/>
      <c r="MIG230" s="340"/>
      <c r="MIH230" s="340"/>
      <c r="MII230" s="340"/>
      <c r="MIJ230" s="340"/>
      <c r="MIK230" s="340"/>
      <c r="MIL230" s="340"/>
      <c r="MIM230" s="340"/>
      <c r="MIN230" s="340"/>
      <c r="MIO230" s="340"/>
      <c r="MIP230" s="340"/>
      <c r="MIQ230" s="340"/>
      <c r="MIR230" s="340"/>
      <c r="MIS230" s="340"/>
      <c r="MIT230" s="340"/>
      <c r="MIU230" s="340"/>
      <c r="MIV230" s="340"/>
      <c r="MIW230" s="340"/>
      <c r="MIX230" s="340"/>
      <c r="MIY230" s="340"/>
      <c r="MIZ230" s="340"/>
      <c r="MJA230" s="340"/>
      <c r="MJB230" s="340"/>
      <c r="MJC230" s="340"/>
      <c r="MJD230" s="340"/>
      <c r="MJE230" s="340"/>
      <c r="MJF230" s="340"/>
      <c r="MJG230" s="340"/>
      <c r="MJH230" s="340"/>
      <c r="MJI230" s="340"/>
      <c r="MJJ230" s="340"/>
      <c r="MJK230" s="340"/>
      <c r="MJL230" s="340"/>
      <c r="MJM230" s="340"/>
      <c r="MJN230" s="340"/>
      <c r="MJO230" s="340"/>
      <c r="MJP230" s="340"/>
      <c r="MJQ230" s="340"/>
      <c r="MJR230" s="340"/>
      <c r="MJS230" s="340"/>
      <c r="MJT230" s="340"/>
      <c r="MJU230" s="340"/>
      <c r="MJV230" s="340"/>
      <c r="MJW230" s="340"/>
      <c r="MJX230" s="340"/>
      <c r="MJY230" s="340"/>
      <c r="MJZ230" s="340"/>
      <c r="MKA230" s="340"/>
      <c r="MKB230" s="340"/>
      <c r="MKC230" s="340"/>
      <c r="MKD230" s="340"/>
      <c r="MKE230" s="340"/>
      <c r="MKF230" s="340"/>
      <c r="MKG230" s="340"/>
      <c r="MKH230" s="340"/>
      <c r="MKI230" s="340"/>
      <c r="MKJ230" s="340"/>
      <c r="MKK230" s="340"/>
      <c r="MKL230" s="340"/>
      <c r="MKM230" s="340"/>
      <c r="MKN230" s="340"/>
      <c r="MKO230" s="340"/>
      <c r="MKP230" s="340"/>
      <c r="MKQ230" s="340"/>
      <c r="MKR230" s="340"/>
      <c r="MKS230" s="340"/>
      <c r="MKT230" s="340"/>
      <c r="MKU230" s="340"/>
      <c r="MKV230" s="340"/>
      <c r="MKW230" s="340"/>
      <c r="MKX230" s="340"/>
      <c r="MKY230" s="340"/>
      <c r="MKZ230" s="340"/>
      <c r="MLA230" s="340"/>
      <c r="MLB230" s="340"/>
      <c r="MLC230" s="340"/>
      <c r="MLD230" s="340"/>
      <c r="MLE230" s="340"/>
      <c r="MLF230" s="340"/>
      <c r="MLG230" s="340"/>
      <c r="MLH230" s="340"/>
      <c r="MLI230" s="340"/>
      <c r="MLJ230" s="340"/>
      <c r="MLK230" s="340"/>
      <c r="MLL230" s="340"/>
      <c r="MLM230" s="340"/>
      <c r="MLN230" s="340"/>
      <c r="MLO230" s="340"/>
      <c r="MLP230" s="340"/>
      <c r="MLQ230" s="340"/>
      <c r="MLR230" s="340"/>
      <c r="MLS230" s="340"/>
      <c r="MLT230" s="340"/>
      <c r="MLU230" s="340"/>
      <c r="MLV230" s="340"/>
      <c r="MLW230" s="340"/>
      <c r="MLX230" s="340"/>
      <c r="MLY230" s="340"/>
      <c r="MLZ230" s="340"/>
      <c r="MMA230" s="340"/>
      <c r="MMB230" s="340"/>
      <c r="MMC230" s="340"/>
      <c r="MMD230" s="340"/>
      <c r="MME230" s="340"/>
      <c r="MMF230" s="340"/>
      <c r="MMG230" s="340"/>
      <c r="MMH230" s="340"/>
      <c r="MMI230" s="340"/>
      <c r="MMJ230" s="340"/>
      <c r="MMK230" s="340"/>
      <c r="MML230" s="340"/>
      <c r="MMM230" s="340"/>
      <c r="MMN230" s="340"/>
      <c r="MMO230" s="340"/>
      <c r="MMP230" s="340"/>
      <c r="MMQ230" s="340"/>
      <c r="MMR230" s="340"/>
      <c r="MMS230" s="340"/>
      <c r="MMT230" s="340"/>
      <c r="MMU230" s="340"/>
      <c r="MMV230" s="340"/>
      <c r="MMW230" s="340"/>
      <c r="MMX230" s="340"/>
      <c r="MMY230" s="340"/>
      <c r="MMZ230" s="340"/>
      <c r="MNA230" s="340"/>
      <c r="MNB230" s="340"/>
      <c r="MNC230" s="340"/>
      <c r="MND230" s="340"/>
      <c r="MNE230" s="340"/>
      <c r="MNF230" s="340"/>
      <c r="MNG230" s="340"/>
      <c r="MNH230" s="340"/>
      <c r="MNI230" s="340"/>
      <c r="MNJ230" s="340"/>
      <c r="MNK230" s="340"/>
      <c r="MNL230" s="340"/>
      <c r="MNM230" s="340"/>
      <c r="MNN230" s="340"/>
      <c r="MNO230" s="340"/>
      <c r="MNP230" s="340"/>
      <c r="MNQ230" s="340"/>
      <c r="MNR230" s="340"/>
      <c r="MNS230" s="340"/>
      <c r="MNT230" s="340"/>
      <c r="MNU230" s="340"/>
      <c r="MNV230" s="340"/>
      <c r="MNW230" s="340"/>
      <c r="MNX230" s="340"/>
      <c r="MNY230" s="340"/>
      <c r="MNZ230" s="340"/>
      <c r="MOA230" s="340"/>
      <c r="MOB230" s="340"/>
      <c r="MOC230" s="340"/>
      <c r="MOD230" s="340"/>
      <c r="MOE230" s="340"/>
      <c r="MOF230" s="340"/>
      <c r="MOG230" s="340"/>
      <c r="MOH230" s="340"/>
      <c r="MOI230" s="340"/>
      <c r="MOJ230" s="340"/>
      <c r="MOK230" s="340"/>
      <c r="MOL230" s="340"/>
      <c r="MOM230" s="340"/>
      <c r="MON230" s="340"/>
      <c r="MOO230" s="340"/>
      <c r="MOP230" s="340"/>
      <c r="MOQ230" s="340"/>
      <c r="MOR230" s="340"/>
      <c r="MOS230" s="340"/>
      <c r="MOT230" s="340"/>
      <c r="MOU230" s="340"/>
      <c r="MOV230" s="340"/>
      <c r="MOW230" s="340"/>
      <c r="MOX230" s="340"/>
      <c r="MOY230" s="340"/>
      <c r="MOZ230" s="340"/>
      <c r="MPA230" s="340"/>
      <c r="MPB230" s="340"/>
      <c r="MPC230" s="340"/>
      <c r="MPD230" s="340"/>
      <c r="MPE230" s="340"/>
      <c r="MPF230" s="340"/>
      <c r="MPG230" s="340"/>
      <c r="MPH230" s="340"/>
      <c r="MPI230" s="340"/>
      <c r="MPJ230" s="340"/>
      <c r="MPK230" s="340"/>
      <c r="MPL230" s="340"/>
      <c r="MPM230" s="340"/>
      <c r="MPN230" s="340"/>
      <c r="MPO230" s="340"/>
      <c r="MPP230" s="340"/>
      <c r="MPQ230" s="340"/>
      <c r="MPR230" s="340"/>
      <c r="MPS230" s="340"/>
      <c r="MPT230" s="340"/>
      <c r="MPU230" s="340"/>
      <c r="MPV230" s="340"/>
      <c r="MPW230" s="340"/>
      <c r="MPX230" s="340"/>
      <c r="MPY230" s="340"/>
      <c r="MPZ230" s="340"/>
      <c r="MQA230" s="340"/>
      <c r="MQB230" s="340"/>
      <c r="MQC230" s="340"/>
      <c r="MQD230" s="340"/>
      <c r="MQE230" s="340"/>
      <c r="MQF230" s="340"/>
      <c r="MQG230" s="340"/>
      <c r="MQH230" s="340"/>
      <c r="MQI230" s="340"/>
      <c r="MQJ230" s="340"/>
      <c r="MQK230" s="340"/>
      <c r="MQL230" s="340"/>
      <c r="MQM230" s="340"/>
      <c r="MQN230" s="340"/>
      <c r="MQO230" s="340"/>
      <c r="MQP230" s="340"/>
      <c r="MQQ230" s="340"/>
      <c r="MQR230" s="340"/>
      <c r="MQS230" s="340"/>
      <c r="MQT230" s="340"/>
      <c r="MQU230" s="340"/>
      <c r="MQV230" s="340"/>
      <c r="MQW230" s="340"/>
      <c r="MQX230" s="340"/>
      <c r="MQY230" s="340"/>
      <c r="MQZ230" s="340"/>
      <c r="MRA230" s="340"/>
      <c r="MRB230" s="340"/>
      <c r="MRC230" s="340"/>
      <c r="MRD230" s="340"/>
      <c r="MRE230" s="340"/>
      <c r="MRF230" s="340"/>
      <c r="MRG230" s="340"/>
      <c r="MRH230" s="340"/>
      <c r="MRI230" s="340"/>
      <c r="MRJ230" s="340"/>
      <c r="MRK230" s="340"/>
      <c r="MRL230" s="340"/>
      <c r="MRM230" s="340"/>
      <c r="MRN230" s="340"/>
      <c r="MRO230" s="340"/>
      <c r="MRP230" s="340"/>
      <c r="MRQ230" s="340"/>
      <c r="MRR230" s="340"/>
      <c r="MRS230" s="340"/>
      <c r="MRT230" s="340"/>
      <c r="MRU230" s="340"/>
      <c r="MRV230" s="340"/>
      <c r="MRW230" s="340"/>
      <c r="MRX230" s="340"/>
      <c r="MRY230" s="340"/>
      <c r="MRZ230" s="340"/>
      <c r="MSA230" s="340"/>
      <c r="MSB230" s="340"/>
      <c r="MSC230" s="340"/>
      <c r="MSD230" s="340"/>
      <c r="MSE230" s="340"/>
      <c r="MSF230" s="340"/>
      <c r="MSG230" s="340"/>
      <c r="MSH230" s="340"/>
      <c r="MSI230" s="340"/>
      <c r="MSJ230" s="340"/>
      <c r="MSK230" s="340"/>
      <c r="MSL230" s="340"/>
      <c r="MSM230" s="340"/>
      <c r="MSN230" s="340"/>
      <c r="MSO230" s="340"/>
      <c r="MSP230" s="340"/>
      <c r="MSQ230" s="340"/>
      <c r="MSR230" s="340"/>
      <c r="MSS230" s="340"/>
      <c r="MST230" s="340"/>
      <c r="MSU230" s="340"/>
      <c r="MSV230" s="340"/>
      <c r="MSW230" s="340"/>
      <c r="MSX230" s="340"/>
      <c r="MSY230" s="340"/>
      <c r="MSZ230" s="340"/>
      <c r="MTA230" s="340"/>
      <c r="MTB230" s="340"/>
      <c r="MTC230" s="340"/>
      <c r="MTD230" s="340"/>
      <c r="MTE230" s="340"/>
      <c r="MTF230" s="340"/>
      <c r="MTG230" s="340"/>
      <c r="MTH230" s="340"/>
      <c r="MTI230" s="340"/>
      <c r="MTJ230" s="340"/>
      <c r="MTK230" s="340"/>
      <c r="MTL230" s="340"/>
      <c r="MTM230" s="340"/>
      <c r="MTN230" s="340"/>
      <c r="MTO230" s="340"/>
      <c r="MTP230" s="340"/>
      <c r="MTQ230" s="340"/>
      <c r="MTR230" s="340"/>
      <c r="MTS230" s="340"/>
      <c r="MTT230" s="340"/>
      <c r="MTU230" s="340"/>
      <c r="MTV230" s="340"/>
      <c r="MTW230" s="340"/>
      <c r="MTX230" s="340"/>
      <c r="MTY230" s="340"/>
      <c r="MTZ230" s="340"/>
      <c r="MUA230" s="340"/>
      <c r="MUB230" s="340"/>
      <c r="MUC230" s="340"/>
      <c r="MUD230" s="340"/>
      <c r="MUE230" s="340"/>
      <c r="MUF230" s="340"/>
      <c r="MUG230" s="340"/>
      <c r="MUH230" s="340"/>
      <c r="MUI230" s="340"/>
      <c r="MUJ230" s="340"/>
      <c r="MUK230" s="340"/>
      <c r="MUL230" s="340"/>
      <c r="MUM230" s="340"/>
      <c r="MUN230" s="340"/>
      <c r="MUO230" s="340"/>
      <c r="MUP230" s="340"/>
      <c r="MUQ230" s="340"/>
      <c r="MUR230" s="340"/>
      <c r="MUS230" s="340"/>
      <c r="MUT230" s="340"/>
      <c r="MUU230" s="340"/>
      <c r="MUV230" s="340"/>
      <c r="MUW230" s="340"/>
      <c r="MUX230" s="340"/>
      <c r="MUY230" s="340"/>
      <c r="MUZ230" s="340"/>
      <c r="MVA230" s="340"/>
      <c r="MVB230" s="340"/>
      <c r="MVC230" s="340"/>
      <c r="MVD230" s="340"/>
      <c r="MVE230" s="340"/>
      <c r="MVF230" s="340"/>
      <c r="MVG230" s="340"/>
      <c r="MVH230" s="340"/>
      <c r="MVI230" s="340"/>
      <c r="MVJ230" s="340"/>
      <c r="MVK230" s="340"/>
      <c r="MVL230" s="340"/>
      <c r="MVM230" s="340"/>
      <c r="MVN230" s="340"/>
      <c r="MVO230" s="340"/>
      <c r="MVP230" s="340"/>
      <c r="MVQ230" s="340"/>
      <c r="MVR230" s="340"/>
      <c r="MVS230" s="340"/>
      <c r="MVT230" s="340"/>
      <c r="MVU230" s="340"/>
      <c r="MVV230" s="340"/>
      <c r="MVW230" s="340"/>
      <c r="MVX230" s="340"/>
      <c r="MVY230" s="340"/>
      <c r="MVZ230" s="340"/>
      <c r="MWA230" s="340"/>
      <c r="MWB230" s="340"/>
      <c r="MWC230" s="340"/>
      <c r="MWD230" s="340"/>
      <c r="MWE230" s="340"/>
      <c r="MWF230" s="340"/>
      <c r="MWG230" s="340"/>
      <c r="MWH230" s="340"/>
      <c r="MWI230" s="340"/>
      <c r="MWJ230" s="340"/>
      <c r="MWK230" s="340"/>
      <c r="MWL230" s="340"/>
      <c r="MWM230" s="340"/>
      <c r="MWN230" s="340"/>
      <c r="MWO230" s="340"/>
      <c r="MWP230" s="340"/>
      <c r="MWQ230" s="340"/>
      <c r="MWR230" s="340"/>
      <c r="MWS230" s="340"/>
      <c r="MWT230" s="340"/>
      <c r="MWU230" s="340"/>
      <c r="MWV230" s="340"/>
      <c r="MWW230" s="340"/>
      <c r="MWX230" s="340"/>
      <c r="MWY230" s="340"/>
      <c r="MWZ230" s="340"/>
      <c r="MXA230" s="340"/>
      <c r="MXB230" s="340"/>
      <c r="MXC230" s="340"/>
      <c r="MXD230" s="340"/>
      <c r="MXE230" s="340"/>
      <c r="MXF230" s="340"/>
      <c r="MXG230" s="340"/>
      <c r="MXH230" s="340"/>
      <c r="MXI230" s="340"/>
      <c r="MXJ230" s="340"/>
      <c r="MXK230" s="340"/>
      <c r="MXL230" s="340"/>
      <c r="MXM230" s="340"/>
      <c r="MXN230" s="340"/>
      <c r="MXO230" s="340"/>
      <c r="MXP230" s="340"/>
      <c r="MXQ230" s="340"/>
      <c r="MXR230" s="340"/>
      <c r="MXS230" s="340"/>
      <c r="MXT230" s="340"/>
      <c r="MXU230" s="340"/>
      <c r="MXV230" s="340"/>
      <c r="MXW230" s="340"/>
      <c r="MXX230" s="340"/>
      <c r="MXY230" s="340"/>
      <c r="MXZ230" s="340"/>
      <c r="MYA230" s="340"/>
      <c r="MYB230" s="340"/>
      <c r="MYC230" s="340"/>
      <c r="MYD230" s="340"/>
      <c r="MYE230" s="340"/>
      <c r="MYF230" s="340"/>
      <c r="MYG230" s="340"/>
      <c r="MYH230" s="340"/>
      <c r="MYI230" s="340"/>
      <c r="MYJ230" s="340"/>
      <c r="MYK230" s="340"/>
      <c r="MYL230" s="340"/>
      <c r="MYM230" s="340"/>
      <c r="MYN230" s="340"/>
      <c r="MYO230" s="340"/>
      <c r="MYP230" s="340"/>
      <c r="MYQ230" s="340"/>
      <c r="MYR230" s="340"/>
      <c r="MYS230" s="340"/>
      <c r="MYT230" s="340"/>
      <c r="MYU230" s="340"/>
      <c r="MYV230" s="340"/>
      <c r="MYW230" s="340"/>
      <c r="MYX230" s="340"/>
      <c r="MYY230" s="340"/>
      <c r="MYZ230" s="340"/>
      <c r="MZA230" s="340"/>
      <c r="MZB230" s="340"/>
      <c r="MZC230" s="340"/>
      <c r="MZD230" s="340"/>
      <c r="MZE230" s="340"/>
      <c r="MZF230" s="340"/>
      <c r="MZG230" s="340"/>
      <c r="MZH230" s="340"/>
      <c r="MZI230" s="340"/>
      <c r="MZJ230" s="340"/>
      <c r="MZK230" s="340"/>
      <c r="MZL230" s="340"/>
      <c r="MZM230" s="340"/>
      <c r="MZN230" s="340"/>
      <c r="MZO230" s="340"/>
      <c r="MZP230" s="340"/>
      <c r="MZQ230" s="340"/>
      <c r="MZR230" s="340"/>
      <c r="MZS230" s="340"/>
      <c r="MZT230" s="340"/>
      <c r="MZU230" s="340"/>
      <c r="MZV230" s="340"/>
      <c r="MZW230" s="340"/>
      <c r="MZX230" s="340"/>
      <c r="MZY230" s="340"/>
      <c r="MZZ230" s="340"/>
      <c r="NAA230" s="340"/>
      <c r="NAB230" s="340"/>
      <c r="NAC230" s="340"/>
      <c r="NAD230" s="340"/>
      <c r="NAE230" s="340"/>
      <c r="NAF230" s="340"/>
      <c r="NAG230" s="340"/>
      <c r="NAH230" s="340"/>
      <c r="NAI230" s="340"/>
      <c r="NAJ230" s="340"/>
      <c r="NAK230" s="340"/>
      <c r="NAL230" s="340"/>
      <c r="NAM230" s="340"/>
      <c r="NAN230" s="340"/>
      <c r="NAO230" s="340"/>
      <c r="NAP230" s="340"/>
      <c r="NAQ230" s="340"/>
      <c r="NAR230" s="340"/>
      <c r="NAS230" s="340"/>
      <c r="NAT230" s="340"/>
      <c r="NAU230" s="340"/>
      <c r="NAV230" s="340"/>
      <c r="NAW230" s="340"/>
      <c r="NAX230" s="340"/>
      <c r="NAY230" s="340"/>
      <c r="NAZ230" s="340"/>
      <c r="NBA230" s="340"/>
      <c r="NBB230" s="340"/>
      <c r="NBC230" s="340"/>
      <c r="NBD230" s="340"/>
      <c r="NBE230" s="340"/>
      <c r="NBF230" s="340"/>
      <c r="NBG230" s="340"/>
      <c r="NBH230" s="340"/>
      <c r="NBI230" s="340"/>
      <c r="NBJ230" s="340"/>
      <c r="NBK230" s="340"/>
      <c r="NBL230" s="340"/>
      <c r="NBM230" s="340"/>
      <c r="NBN230" s="340"/>
      <c r="NBO230" s="340"/>
      <c r="NBP230" s="340"/>
      <c r="NBQ230" s="340"/>
      <c r="NBR230" s="340"/>
      <c r="NBS230" s="340"/>
      <c r="NBT230" s="340"/>
      <c r="NBU230" s="340"/>
      <c r="NBV230" s="340"/>
      <c r="NBW230" s="340"/>
      <c r="NBX230" s="340"/>
      <c r="NBY230" s="340"/>
      <c r="NBZ230" s="340"/>
      <c r="NCA230" s="340"/>
      <c r="NCB230" s="340"/>
      <c r="NCC230" s="340"/>
      <c r="NCD230" s="340"/>
      <c r="NCE230" s="340"/>
      <c r="NCF230" s="340"/>
      <c r="NCG230" s="340"/>
      <c r="NCH230" s="340"/>
      <c r="NCI230" s="340"/>
      <c r="NCJ230" s="340"/>
      <c r="NCK230" s="340"/>
      <c r="NCL230" s="340"/>
      <c r="NCM230" s="340"/>
      <c r="NCN230" s="340"/>
      <c r="NCO230" s="340"/>
      <c r="NCP230" s="340"/>
      <c r="NCQ230" s="340"/>
      <c r="NCR230" s="340"/>
      <c r="NCS230" s="340"/>
      <c r="NCT230" s="340"/>
      <c r="NCU230" s="340"/>
      <c r="NCV230" s="340"/>
      <c r="NCW230" s="340"/>
      <c r="NCX230" s="340"/>
      <c r="NCY230" s="340"/>
      <c r="NCZ230" s="340"/>
      <c r="NDA230" s="340"/>
      <c r="NDB230" s="340"/>
      <c r="NDC230" s="340"/>
      <c r="NDD230" s="340"/>
      <c r="NDE230" s="340"/>
      <c r="NDF230" s="340"/>
      <c r="NDG230" s="340"/>
      <c r="NDH230" s="340"/>
      <c r="NDI230" s="340"/>
      <c r="NDJ230" s="340"/>
      <c r="NDK230" s="340"/>
      <c r="NDL230" s="340"/>
      <c r="NDM230" s="340"/>
      <c r="NDN230" s="340"/>
      <c r="NDO230" s="340"/>
      <c r="NDP230" s="340"/>
      <c r="NDQ230" s="340"/>
      <c r="NDR230" s="340"/>
      <c r="NDS230" s="340"/>
      <c r="NDT230" s="340"/>
      <c r="NDU230" s="340"/>
      <c r="NDV230" s="340"/>
      <c r="NDW230" s="340"/>
      <c r="NDX230" s="340"/>
      <c r="NDY230" s="340"/>
      <c r="NDZ230" s="340"/>
      <c r="NEA230" s="340"/>
      <c r="NEB230" s="340"/>
      <c r="NEC230" s="340"/>
      <c r="NED230" s="340"/>
      <c r="NEE230" s="340"/>
      <c r="NEF230" s="340"/>
      <c r="NEG230" s="340"/>
      <c r="NEH230" s="340"/>
      <c r="NEI230" s="340"/>
      <c r="NEJ230" s="340"/>
      <c r="NEK230" s="340"/>
      <c r="NEL230" s="340"/>
      <c r="NEM230" s="340"/>
      <c r="NEN230" s="340"/>
      <c r="NEO230" s="340"/>
      <c r="NEP230" s="340"/>
      <c r="NEQ230" s="340"/>
      <c r="NER230" s="340"/>
      <c r="NES230" s="340"/>
      <c r="NET230" s="340"/>
      <c r="NEU230" s="340"/>
      <c r="NEV230" s="340"/>
      <c r="NEW230" s="340"/>
      <c r="NEX230" s="340"/>
      <c r="NEY230" s="340"/>
      <c r="NEZ230" s="340"/>
      <c r="NFA230" s="340"/>
      <c r="NFB230" s="340"/>
      <c r="NFC230" s="340"/>
      <c r="NFD230" s="340"/>
      <c r="NFE230" s="340"/>
      <c r="NFF230" s="340"/>
      <c r="NFG230" s="340"/>
      <c r="NFH230" s="340"/>
      <c r="NFI230" s="340"/>
      <c r="NFJ230" s="340"/>
      <c r="NFK230" s="340"/>
      <c r="NFL230" s="340"/>
      <c r="NFM230" s="340"/>
      <c r="NFN230" s="340"/>
      <c r="NFO230" s="340"/>
      <c r="NFP230" s="340"/>
      <c r="NFQ230" s="340"/>
      <c r="NFR230" s="340"/>
      <c r="NFS230" s="340"/>
      <c r="NFT230" s="340"/>
      <c r="NFU230" s="340"/>
      <c r="NFV230" s="340"/>
      <c r="NFW230" s="340"/>
      <c r="NFX230" s="340"/>
      <c r="NFY230" s="340"/>
      <c r="NFZ230" s="340"/>
      <c r="NGA230" s="340"/>
      <c r="NGB230" s="340"/>
      <c r="NGC230" s="340"/>
      <c r="NGD230" s="340"/>
      <c r="NGE230" s="340"/>
      <c r="NGF230" s="340"/>
      <c r="NGG230" s="340"/>
      <c r="NGH230" s="340"/>
      <c r="NGI230" s="340"/>
      <c r="NGJ230" s="340"/>
      <c r="NGK230" s="340"/>
      <c r="NGL230" s="340"/>
      <c r="NGM230" s="340"/>
      <c r="NGN230" s="340"/>
      <c r="NGO230" s="340"/>
      <c r="NGP230" s="340"/>
      <c r="NGQ230" s="340"/>
      <c r="NGR230" s="340"/>
      <c r="NGS230" s="340"/>
      <c r="NGT230" s="340"/>
      <c r="NGU230" s="340"/>
      <c r="NGV230" s="340"/>
      <c r="NGW230" s="340"/>
      <c r="NGX230" s="340"/>
      <c r="NGY230" s="340"/>
      <c r="NGZ230" s="340"/>
      <c r="NHA230" s="340"/>
      <c r="NHB230" s="340"/>
      <c r="NHC230" s="340"/>
      <c r="NHD230" s="340"/>
      <c r="NHE230" s="340"/>
      <c r="NHF230" s="340"/>
      <c r="NHG230" s="340"/>
      <c r="NHH230" s="340"/>
      <c r="NHI230" s="340"/>
      <c r="NHJ230" s="340"/>
      <c r="NHK230" s="340"/>
      <c r="NHL230" s="340"/>
      <c r="NHM230" s="340"/>
      <c r="NHN230" s="340"/>
      <c r="NHO230" s="340"/>
      <c r="NHP230" s="340"/>
      <c r="NHQ230" s="340"/>
      <c r="NHR230" s="340"/>
      <c r="NHS230" s="340"/>
      <c r="NHT230" s="340"/>
      <c r="NHU230" s="340"/>
      <c r="NHV230" s="340"/>
      <c r="NHW230" s="340"/>
      <c r="NHX230" s="340"/>
      <c r="NHY230" s="340"/>
      <c r="NHZ230" s="340"/>
      <c r="NIA230" s="340"/>
      <c r="NIB230" s="340"/>
      <c r="NIC230" s="340"/>
      <c r="NID230" s="340"/>
      <c r="NIE230" s="340"/>
      <c r="NIF230" s="340"/>
      <c r="NIG230" s="340"/>
      <c r="NIH230" s="340"/>
      <c r="NII230" s="340"/>
      <c r="NIJ230" s="340"/>
      <c r="NIK230" s="340"/>
      <c r="NIL230" s="340"/>
      <c r="NIM230" s="340"/>
      <c r="NIN230" s="340"/>
      <c r="NIO230" s="340"/>
      <c r="NIP230" s="340"/>
      <c r="NIQ230" s="340"/>
      <c r="NIR230" s="340"/>
      <c r="NIS230" s="340"/>
      <c r="NIT230" s="340"/>
      <c r="NIU230" s="340"/>
      <c r="NIV230" s="340"/>
      <c r="NIW230" s="340"/>
      <c r="NIX230" s="340"/>
      <c r="NIY230" s="340"/>
      <c r="NIZ230" s="340"/>
      <c r="NJA230" s="340"/>
      <c r="NJB230" s="340"/>
      <c r="NJC230" s="340"/>
      <c r="NJD230" s="340"/>
      <c r="NJE230" s="340"/>
      <c r="NJF230" s="340"/>
      <c r="NJG230" s="340"/>
      <c r="NJH230" s="340"/>
      <c r="NJI230" s="340"/>
      <c r="NJJ230" s="340"/>
      <c r="NJK230" s="340"/>
      <c r="NJL230" s="340"/>
      <c r="NJM230" s="340"/>
      <c r="NJN230" s="340"/>
      <c r="NJO230" s="340"/>
      <c r="NJP230" s="340"/>
      <c r="NJQ230" s="340"/>
      <c r="NJR230" s="340"/>
      <c r="NJS230" s="340"/>
      <c r="NJT230" s="340"/>
      <c r="NJU230" s="340"/>
      <c r="NJV230" s="340"/>
      <c r="NJW230" s="340"/>
      <c r="NJX230" s="340"/>
      <c r="NJY230" s="340"/>
      <c r="NJZ230" s="340"/>
      <c r="NKA230" s="340"/>
      <c r="NKB230" s="340"/>
      <c r="NKC230" s="340"/>
      <c r="NKD230" s="340"/>
      <c r="NKE230" s="340"/>
      <c r="NKF230" s="340"/>
      <c r="NKG230" s="340"/>
      <c r="NKH230" s="340"/>
      <c r="NKI230" s="340"/>
      <c r="NKJ230" s="340"/>
      <c r="NKK230" s="340"/>
      <c r="NKL230" s="340"/>
      <c r="NKM230" s="340"/>
      <c r="NKN230" s="340"/>
      <c r="NKO230" s="340"/>
      <c r="NKP230" s="340"/>
      <c r="NKQ230" s="340"/>
      <c r="NKR230" s="340"/>
      <c r="NKS230" s="340"/>
      <c r="NKT230" s="340"/>
      <c r="NKU230" s="340"/>
      <c r="NKV230" s="340"/>
      <c r="NKW230" s="340"/>
      <c r="NKX230" s="340"/>
      <c r="NKY230" s="340"/>
      <c r="NKZ230" s="340"/>
      <c r="NLA230" s="340"/>
      <c r="NLB230" s="340"/>
      <c r="NLC230" s="340"/>
      <c r="NLD230" s="340"/>
      <c r="NLE230" s="340"/>
      <c r="NLF230" s="340"/>
      <c r="NLG230" s="340"/>
      <c r="NLH230" s="340"/>
      <c r="NLI230" s="340"/>
      <c r="NLJ230" s="340"/>
      <c r="NLK230" s="340"/>
      <c r="NLL230" s="340"/>
      <c r="NLM230" s="340"/>
      <c r="NLN230" s="340"/>
      <c r="NLO230" s="340"/>
      <c r="NLP230" s="340"/>
      <c r="NLQ230" s="340"/>
      <c r="NLR230" s="340"/>
      <c r="NLS230" s="340"/>
      <c r="NLT230" s="340"/>
      <c r="NLU230" s="340"/>
      <c r="NLV230" s="340"/>
      <c r="NLW230" s="340"/>
      <c r="NLX230" s="340"/>
      <c r="NLY230" s="340"/>
      <c r="NLZ230" s="340"/>
      <c r="NMA230" s="340"/>
      <c r="NMB230" s="340"/>
      <c r="NMC230" s="340"/>
      <c r="NMD230" s="340"/>
      <c r="NME230" s="340"/>
      <c r="NMF230" s="340"/>
      <c r="NMG230" s="340"/>
      <c r="NMH230" s="340"/>
      <c r="NMI230" s="340"/>
      <c r="NMJ230" s="340"/>
      <c r="NMK230" s="340"/>
      <c r="NML230" s="340"/>
      <c r="NMM230" s="340"/>
      <c r="NMN230" s="340"/>
      <c r="NMO230" s="340"/>
      <c r="NMP230" s="340"/>
      <c r="NMQ230" s="340"/>
      <c r="NMR230" s="340"/>
      <c r="NMS230" s="340"/>
      <c r="NMT230" s="340"/>
      <c r="NMU230" s="340"/>
      <c r="NMV230" s="340"/>
      <c r="NMW230" s="340"/>
      <c r="NMX230" s="340"/>
      <c r="NMY230" s="340"/>
      <c r="NMZ230" s="340"/>
      <c r="NNA230" s="340"/>
      <c r="NNB230" s="340"/>
      <c r="NNC230" s="340"/>
      <c r="NND230" s="340"/>
      <c r="NNE230" s="340"/>
      <c r="NNF230" s="340"/>
      <c r="NNG230" s="340"/>
      <c r="NNH230" s="340"/>
      <c r="NNI230" s="340"/>
      <c r="NNJ230" s="340"/>
      <c r="NNK230" s="340"/>
      <c r="NNL230" s="340"/>
      <c r="NNM230" s="340"/>
      <c r="NNN230" s="340"/>
      <c r="NNO230" s="340"/>
      <c r="NNP230" s="340"/>
      <c r="NNQ230" s="340"/>
      <c r="NNR230" s="340"/>
      <c r="NNS230" s="340"/>
      <c r="NNT230" s="340"/>
      <c r="NNU230" s="340"/>
      <c r="NNV230" s="340"/>
      <c r="NNW230" s="340"/>
      <c r="NNX230" s="340"/>
      <c r="NNY230" s="340"/>
      <c r="NNZ230" s="340"/>
      <c r="NOA230" s="340"/>
      <c r="NOB230" s="340"/>
      <c r="NOC230" s="340"/>
      <c r="NOD230" s="340"/>
      <c r="NOE230" s="340"/>
      <c r="NOF230" s="340"/>
      <c r="NOG230" s="340"/>
      <c r="NOH230" s="340"/>
      <c r="NOI230" s="340"/>
      <c r="NOJ230" s="340"/>
      <c r="NOK230" s="340"/>
      <c r="NOL230" s="340"/>
      <c r="NOM230" s="340"/>
      <c r="NON230" s="340"/>
      <c r="NOO230" s="340"/>
      <c r="NOP230" s="340"/>
      <c r="NOQ230" s="340"/>
      <c r="NOR230" s="340"/>
      <c r="NOS230" s="340"/>
      <c r="NOT230" s="340"/>
      <c r="NOU230" s="340"/>
      <c r="NOV230" s="340"/>
      <c r="NOW230" s="340"/>
      <c r="NOX230" s="340"/>
      <c r="NOY230" s="340"/>
      <c r="NOZ230" s="340"/>
      <c r="NPA230" s="340"/>
      <c r="NPB230" s="340"/>
      <c r="NPC230" s="340"/>
      <c r="NPD230" s="340"/>
      <c r="NPE230" s="340"/>
      <c r="NPF230" s="340"/>
      <c r="NPG230" s="340"/>
      <c r="NPH230" s="340"/>
      <c r="NPI230" s="340"/>
      <c r="NPJ230" s="340"/>
      <c r="NPK230" s="340"/>
      <c r="NPL230" s="340"/>
      <c r="NPM230" s="340"/>
      <c r="NPN230" s="340"/>
      <c r="NPO230" s="340"/>
      <c r="NPP230" s="340"/>
      <c r="NPQ230" s="340"/>
      <c r="NPR230" s="340"/>
      <c r="NPS230" s="340"/>
      <c r="NPT230" s="340"/>
      <c r="NPU230" s="340"/>
      <c r="NPV230" s="340"/>
      <c r="NPW230" s="340"/>
      <c r="NPX230" s="340"/>
      <c r="NPY230" s="340"/>
      <c r="NPZ230" s="340"/>
      <c r="NQA230" s="340"/>
      <c r="NQB230" s="340"/>
      <c r="NQC230" s="340"/>
      <c r="NQD230" s="340"/>
      <c r="NQE230" s="340"/>
      <c r="NQF230" s="340"/>
      <c r="NQG230" s="340"/>
      <c r="NQH230" s="340"/>
      <c r="NQI230" s="340"/>
      <c r="NQJ230" s="340"/>
      <c r="NQK230" s="340"/>
      <c r="NQL230" s="340"/>
      <c r="NQM230" s="340"/>
      <c r="NQN230" s="340"/>
      <c r="NQO230" s="340"/>
      <c r="NQP230" s="340"/>
      <c r="NQQ230" s="340"/>
      <c r="NQR230" s="340"/>
      <c r="NQS230" s="340"/>
      <c r="NQT230" s="340"/>
      <c r="NQU230" s="340"/>
      <c r="NQV230" s="340"/>
      <c r="NQW230" s="340"/>
      <c r="NQX230" s="340"/>
      <c r="NQY230" s="340"/>
      <c r="NQZ230" s="340"/>
      <c r="NRA230" s="340"/>
      <c r="NRB230" s="340"/>
      <c r="NRC230" s="340"/>
      <c r="NRD230" s="340"/>
      <c r="NRE230" s="340"/>
      <c r="NRF230" s="340"/>
      <c r="NRG230" s="340"/>
      <c r="NRH230" s="340"/>
      <c r="NRI230" s="340"/>
      <c r="NRJ230" s="340"/>
      <c r="NRK230" s="340"/>
      <c r="NRL230" s="340"/>
      <c r="NRM230" s="340"/>
      <c r="NRN230" s="340"/>
      <c r="NRO230" s="340"/>
      <c r="NRP230" s="340"/>
      <c r="NRQ230" s="340"/>
      <c r="NRR230" s="340"/>
      <c r="NRS230" s="340"/>
      <c r="NRT230" s="340"/>
      <c r="NRU230" s="340"/>
      <c r="NRV230" s="340"/>
      <c r="NRW230" s="340"/>
      <c r="NRX230" s="340"/>
      <c r="NRY230" s="340"/>
      <c r="NRZ230" s="340"/>
      <c r="NSA230" s="340"/>
      <c r="NSB230" s="340"/>
      <c r="NSC230" s="340"/>
      <c r="NSD230" s="340"/>
      <c r="NSE230" s="340"/>
      <c r="NSF230" s="340"/>
      <c r="NSG230" s="340"/>
      <c r="NSH230" s="340"/>
      <c r="NSI230" s="340"/>
      <c r="NSJ230" s="340"/>
      <c r="NSK230" s="340"/>
      <c r="NSL230" s="340"/>
      <c r="NSM230" s="340"/>
      <c r="NSN230" s="340"/>
      <c r="NSO230" s="340"/>
      <c r="NSP230" s="340"/>
      <c r="NSQ230" s="340"/>
      <c r="NSR230" s="340"/>
      <c r="NSS230" s="340"/>
      <c r="NST230" s="340"/>
      <c r="NSU230" s="340"/>
      <c r="NSV230" s="340"/>
      <c r="NSW230" s="340"/>
      <c r="NSX230" s="340"/>
      <c r="NSY230" s="340"/>
      <c r="NSZ230" s="340"/>
      <c r="NTA230" s="340"/>
      <c r="NTB230" s="340"/>
      <c r="NTC230" s="340"/>
      <c r="NTD230" s="340"/>
      <c r="NTE230" s="340"/>
      <c r="NTF230" s="340"/>
      <c r="NTG230" s="340"/>
      <c r="NTH230" s="340"/>
      <c r="NTI230" s="340"/>
      <c r="NTJ230" s="340"/>
      <c r="NTK230" s="340"/>
      <c r="NTL230" s="340"/>
      <c r="NTM230" s="340"/>
      <c r="NTN230" s="340"/>
      <c r="NTO230" s="340"/>
      <c r="NTP230" s="340"/>
      <c r="NTQ230" s="340"/>
      <c r="NTR230" s="340"/>
      <c r="NTS230" s="340"/>
      <c r="NTT230" s="340"/>
      <c r="NTU230" s="340"/>
      <c r="NTV230" s="340"/>
      <c r="NTW230" s="340"/>
      <c r="NTX230" s="340"/>
      <c r="NTY230" s="340"/>
      <c r="NTZ230" s="340"/>
      <c r="NUA230" s="340"/>
      <c r="NUB230" s="340"/>
      <c r="NUC230" s="340"/>
      <c r="NUD230" s="340"/>
      <c r="NUE230" s="340"/>
      <c r="NUF230" s="340"/>
      <c r="NUG230" s="340"/>
      <c r="NUH230" s="340"/>
      <c r="NUI230" s="340"/>
      <c r="NUJ230" s="340"/>
      <c r="NUK230" s="340"/>
      <c r="NUL230" s="340"/>
      <c r="NUM230" s="340"/>
      <c r="NUN230" s="340"/>
      <c r="NUO230" s="340"/>
      <c r="NUP230" s="340"/>
      <c r="NUQ230" s="340"/>
      <c r="NUR230" s="340"/>
      <c r="NUS230" s="340"/>
      <c r="NUT230" s="340"/>
      <c r="NUU230" s="340"/>
      <c r="NUV230" s="340"/>
      <c r="NUW230" s="340"/>
      <c r="NUX230" s="340"/>
      <c r="NUY230" s="340"/>
      <c r="NUZ230" s="340"/>
      <c r="NVA230" s="340"/>
      <c r="NVB230" s="340"/>
      <c r="NVC230" s="340"/>
      <c r="NVD230" s="340"/>
      <c r="NVE230" s="340"/>
      <c r="NVF230" s="340"/>
      <c r="NVG230" s="340"/>
      <c r="NVH230" s="340"/>
      <c r="NVI230" s="340"/>
      <c r="NVJ230" s="340"/>
      <c r="NVK230" s="340"/>
      <c r="NVL230" s="340"/>
      <c r="NVM230" s="340"/>
      <c r="NVN230" s="340"/>
      <c r="NVO230" s="340"/>
      <c r="NVP230" s="340"/>
      <c r="NVQ230" s="340"/>
      <c r="NVR230" s="340"/>
      <c r="NVS230" s="340"/>
      <c r="NVT230" s="340"/>
      <c r="NVU230" s="340"/>
      <c r="NVV230" s="340"/>
      <c r="NVW230" s="340"/>
      <c r="NVX230" s="340"/>
      <c r="NVY230" s="340"/>
      <c r="NVZ230" s="340"/>
      <c r="NWA230" s="340"/>
      <c r="NWB230" s="340"/>
      <c r="NWC230" s="340"/>
      <c r="NWD230" s="340"/>
      <c r="NWE230" s="340"/>
      <c r="NWF230" s="340"/>
      <c r="NWG230" s="340"/>
      <c r="NWH230" s="340"/>
      <c r="NWI230" s="340"/>
      <c r="NWJ230" s="340"/>
      <c r="NWK230" s="340"/>
      <c r="NWL230" s="340"/>
      <c r="NWM230" s="340"/>
      <c r="NWN230" s="340"/>
      <c r="NWO230" s="340"/>
      <c r="NWP230" s="340"/>
      <c r="NWQ230" s="340"/>
      <c r="NWR230" s="340"/>
      <c r="NWS230" s="340"/>
      <c r="NWT230" s="340"/>
      <c r="NWU230" s="340"/>
      <c r="NWV230" s="340"/>
      <c r="NWW230" s="340"/>
      <c r="NWX230" s="340"/>
      <c r="NWY230" s="340"/>
      <c r="NWZ230" s="340"/>
      <c r="NXA230" s="340"/>
      <c r="NXB230" s="340"/>
      <c r="NXC230" s="340"/>
      <c r="NXD230" s="340"/>
      <c r="NXE230" s="340"/>
      <c r="NXF230" s="340"/>
      <c r="NXG230" s="340"/>
      <c r="NXH230" s="340"/>
      <c r="NXI230" s="340"/>
      <c r="NXJ230" s="340"/>
      <c r="NXK230" s="340"/>
      <c r="NXL230" s="340"/>
      <c r="NXM230" s="340"/>
      <c r="NXN230" s="340"/>
      <c r="NXO230" s="340"/>
      <c r="NXP230" s="340"/>
      <c r="NXQ230" s="340"/>
      <c r="NXR230" s="340"/>
      <c r="NXS230" s="340"/>
      <c r="NXT230" s="340"/>
      <c r="NXU230" s="340"/>
      <c r="NXV230" s="340"/>
      <c r="NXW230" s="340"/>
      <c r="NXX230" s="340"/>
      <c r="NXY230" s="340"/>
      <c r="NXZ230" s="340"/>
      <c r="NYA230" s="340"/>
      <c r="NYB230" s="340"/>
      <c r="NYC230" s="340"/>
      <c r="NYD230" s="340"/>
      <c r="NYE230" s="340"/>
      <c r="NYF230" s="340"/>
      <c r="NYG230" s="340"/>
      <c r="NYH230" s="340"/>
      <c r="NYI230" s="340"/>
      <c r="NYJ230" s="340"/>
      <c r="NYK230" s="340"/>
      <c r="NYL230" s="340"/>
      <c r="NYM230" s="340"/>
      <c r="NYN230" s="340"/>
      <c r="NYO230" s="340"/>
      <c r="NYP230" s="340"/>
      <c r="NYQ230" s="340"/>
      <c r="NYR230" s="340"/>
      <c r="NYS230" s="340"/>
      <c r="NYT230" s="340"/>
      <c r="NYU230" s="340"/>
      <c r="NYV230" s="340"/>
      <c r="NYW230" s="340"/>
      <c r="NYX230" s="340"/>
      <c r="NYY230" s="340"/>
      <c r="NYZ230" s="340"/>
      <c r="NZA230" s="340"/>
      <c r="NZB230" s="340"/>
      <c r="NZC230" s="340"/>
      <c r="NZD230" s="340"/>
      <c r="NZE230" s="340"/>
      <c r="NZF230" s="340"/>
      <c r="NZG230" s="340"/>
      <c r="NZH230" s="340"/>
      <c r="NZI230" s="340"/>
      <c r="NZJ230" s="340"/>
      <c r="NZK230" s="340"/>
      <c r="NZL230" s="340"/>
      <c r="NZM230" s="340"/>
      <c r="NZN230" s="340"/>
      <c r="NZO230" s="340"/>
      <c r="NZP230" s="340"/>
      <c r="NZQ230" s="340"/>
      <c r="NZR230" s="340"/>
      <c r="NZS230" s="340"/>
      <c r="NZT230" s="340"/>
      <c r="NZU230" s="340"/>
      <c r="NZV230" s="340"/>
      <c r="NZW230" s="340"/>
      <c r="NZX230" s="340"/>
      <c r="NZY230" s="340"/>
      <c r="NZZ230" s="340"/>
      <c r="OAA230" s="340"/>
      <c r="OAB230" s="340"/>
      <c r="OAC230" s="340"/>
      <c r="OAD230" s="340"/>
      <c r="OAE230" s="340"/>
      <c r="OAF230" s="340"/>
      <c r="OAG230" s="340"/>
      <c r="OAH230" s="340"/>
      <c r="OAI230" s="340"/>
      <c r="OAJ230" s="340"/>
      <c r="OAK230" s="340"/>
      <c r="OAL230" s="340"/>
      <c r="OAM230" s="340"/>
      <c r="OAN230" s="340"/>
      <c r="OAO230" s="340"/>
      <c r="OAP230" s="340"/>
      <c r="OAQ230" s="340"/>
      <c r="OAR230" s="340"/>
      <c r="OAS230" s="340"/>
      <c r="OAT230" s="340"/>
      <c r="OAU230" s="340"/>
      <c r="OAV230" s="340"/>
      <c r="OAW230" s="340"/>
      <c r="OAX230" s="340"/>
      <c r="OAY230" s="340"/>
      <c r="OAZ230" s="340"/>
      <c r="OBA230" s="340"/>
      <c r="OBB230" s="340"/>
      <c r="OBC230" s="340"/>
      <c r="OBD230" s="340"/>
      <c r="OBE230" s="340"/>
      <c r="OBF230" s="340"/>
      <c r="OBG230" s="340"/>
      <c r="OBH230" s="340"/>
      <c r="OBI230" s="340"/>
      <c r="OBJ230" s="340"/>
      <c r="OBK230" s="340"/>
      <c r="OBL230" s="340"/>
      <c r="OBM230" s="340"/>
      <c r="OBN230" s="340"/>
      <c r="OBO230" s="340"/>
      <c r="OBP230" s="340"/>
      <c r="OBQ230" s="340"/>
      <c r="OBR230" s="340"/>
      <c r="OBS230" s="340"/>
      <c r="OBT230" s="340"/>
      <c r="OBU230" s="340"/>
      <c r="OBV230" s="340"/>
      <c r="OBW230" s="340"/>
      <c r="OBX230" s="340"/>
      <c r="OBY230" s="340"/>
      <c r="OBZ230" s="340"/>
      <c r="OCA230" s="340"/>
      <c r="OCB230" s="340"/>
      <c r="OCC230" s="340"/>
      <c r="OCD230" s="340"/>
      <c r="OCE230" s="340"/>
      <c r="OCF230" s="340"/>
      <c r="OCG230" s="340"/>
      <c r="OCH230" s="340"/>
      <c r="OCI230" s="340"/>
      <c r="OCJ230" s="340"/>
      <c r="OCK230" s="340"/>
      <c r="OCL230" s="340"/>
      <c r="OCM230" s="340"/>
      <c r="OCN230" s="340"/>
      <c r="OCO230" s="340"/>
      <c r="OCP230" s="340"/>
      <c r="OCQ230" s="340"/>
      <c r="OCR230" s="340"/>
      <c r="OCS230" s="340"/>
      <c r="OCT230" s="340"/>
      <c r="OCU230" s="340"/>
      <c r="OCV230" s="340"/>
      <c r="OCW230" s="340"/>
      <c r="OCX230" s="340"/>
      <c r="OCY230" s="340"/>
      <c r="OCZ230" s="340"/>
      <c r="ODA230" s="340"/>
      <c r="ODB230" s="340"/>
      <c r="ODC230" s="340"/>
      <c r="ODD230" s="340"/>
      <c r="ODE230" s="340"/>
      <c r="ODF230" s="340"/>
      <c r="ODG230" s="340"/>
      <c r="ODH230" s="340"/>
      <c r="ODI230" s="340"/>
      <c r="ODJ230" s="340"/>
      <c r="ODK230" s="340"/>
      <c r="ODL230" s="340"/>
      <c r="ODM230" s="340"/>
      <c r="ODN230" s="340"/>
      <c r="ODO230" s="340"/>
      <c r="ODP230" s="340"/>
      <c r="ODQ230" s="340"/>
      <c r="ODR230" s="340"/>
      <c r="ODS230" s="340"/>
      <c r="ODT230" s="340"/>
      <c r="ODU230" s="340"/>
      <c r="ODV230" s="340"/>
      <c r="ODW230" s="340"/>
      <c r="ODX230" s="340"/>
      <c r="ODY230" s="340"/>
      <c r="ODZ230" s="340"/>
      <c r="OEA230" s="340"/>
      <c r="OEB230" s="340"/>
      <c r="OEC230" s="340"/>
      <c r="OED230" s="340"/>
      <c r="OEE230" s="340"/>
      <c r="OEF230" s="340"/>
      <c r="OEG230" s="340"/>
      <c r="OEH230" s="340"/>
      <c r="OEI230" s="340"/>
      <c r="OEJ230" s="340"/>
      <c r="OEK230" s="340"/>
      <c r="OEL230" s="340"/>
      <c r="OEM230" s="340"/>
      <c r="OEN230" s="340"/>
      <c r="OEO230" s="340"/>
      <c r="OEP230" s="340"/>
      <c r="OEQ230" s="340"/>
      <c r="OER230" s="340"/>
      <c r="OES230" s="340"/>
      <c r="OET230" s="340"/>
      <c r="OEU230" s="340"/>
      <c r="OEV230" s="340"/>
      <c r="OEW230" s="340"/>
      <c r="OEX230" s="340"/>
      <c r="OEY230" s="340"/>
      <c r="OEZ230" s="340"/>
      <c r="OFA230" s="340"/>
      <c r="OFB230" s="340"/>
      <c r="OFC230" s="340"/>
      <c r="OFD230" s="340"/>
      <c r="OFE230" s="340"/>
      <c r="OFF230" s="340"/>
      <c r="OFG230" s="340"/>
      <c r="OFH230" s="340"/>
      <c r="OFI230" s="340"/>
      <c r="OFJ230" s="340"/>
      <c r="OFK230" s="340"/>
      <c r="OFL230" s="340"/>
      <c r="OFM230" s="340"/>
      <c r="OFN230" s="340"/>
      <c r="OFO230" s="340"/>
      <c r="OFP230" s="340"/>
      <c r="OFQ230" s="340"/>
      <c r="OFR230" s="340"/>
      <c r="OFS230" s="340"/>
      <c r="OFT230" s="340"/>
      <c r="OFU230" s="340"/>
      <c r="OFV230" s="340"/>
      <c r="OFW230" s="340"/>
      <c r="OFX230" s="340"/>
      <c r="OFY230" s="340"/>
      <c r="OFZ230" s="340"/>
      <c r="OGA230" s="340"/>
      <c r="OGB230" s="340"/>
      <c r="OGC230" s="340"/>
      <c r="OGD230" s="340"/>
      <c r="OGE230" s="340"/>
      <c r="OGF230" s="340"/>
      <c r="OGG230" s="340"/>
      <c r="OGH230" s="340"/>
      <c r="OGI230" s="340"/>
      <c r="OGJ230" s="340"/>
      <c r="OGK230" s="340"/>
      <c r="OGL230" s="340"/>
      <c r="OGM230" s="340"/>
      <c r="OGN230" s="340"/>
      <c r="OGO230" s="340"/>
      <c r="OGP230" s="340"/>
      <c r="OGQ230" s="340"/>
      <c r="OGR230" s="340"/>
      <c r="OGS230" s="340"/>
      <c r="OGT230" s="340"/>
      <c r="OGU230" s="340"/>
      <c r="OGV230" s="340"/>
      <c r="OGW230" s="340"/>
      <c r="OGX230" s="340"/>
      <c r="OGY230" s="340"/>
      <c r="OGZ230" s="340"/>
      <c r="OHA230" s="340"/>
      <c r="OHB230" s="340"/>
      <c r="OHC230" s="340"/>
      <c r="OHD230" s="340"/>
      <c r="OHE230" s="340"/>
      <c r="OHF230" s="340"/>
      <c r="OHG230" s="340"/>
      <c r="OHH230" s="340"/>
      <c r="OHI230" s="340"/>
      <c r="OHJ230" s="340"/>
      <c r="OHK230" s="340"/>
      <c r="OHL230" s="340"/>
      <c r="OHM230" s="340"/>
      <c r="OHN230" s="340"/>
      <c r="OHO230" s="340"/>
      <c r="OHP230" s="340"/>
      <c r="OHQ230" s="340"/>
      <c r="OHR230" s="340"/>
      <c r="OHS230" s="340"/>
      <c r="OHT230" s="340"/>
      <c r="OHU230" s="340"/>
      <c r="OHV230" s="340"/>
      <c r="OHW230" s="340"/>
      <c r="OHX230" s="340"/>
      <c r="OHY230" s="340"/>
      <c r="OHZ230" s="340"/>
      <c r="OIA230" s="340"/>
      <c r="OIB230" s="340"/>
      <c r="OIC230" s="340"/>
      <c r="OID230" s="340"/>
      <c r="OIE230" s="340"/>
      <c r="OIF230" s="340"/>
      <c r="OIG230" s="340"/>
      <c r="OIH230" s="340"/>
      <c r="OII230" s="340"/>
      <c r="OIJ230" s="340"/>
      <c r="OIK230" s="340"/>
      <c r="OIL230" s="340"/>
      <c r="OIM230" s="340"/>
      <c r="OIN230" s="340"/>
      <c r="OIO230" s="340"/>
      <c r="OIP230" s="340"/>
      <c r="OIQ230" s="340"/>
      <c r="OIR230" s="340"/>
      <c r="OIS230" s="340"/>
      <c r="OIT230" s="340"/>
      <c r="OIU230" s="340"/>
      <c r="OIV230" s="340"/>
      <c r="OIW230" s="340"/>
      <c r="OIX230" s="340"/>
      <c r="OIY230" s="340"/>
      <c r="OIZ230" s="340"/>
      <c r="OJA230" s="340"/>
      <c r="OJB230" s="340"/>
      <c r="OJC230" s="340"/>
      <c r="OJD230" s="340"/>
      <c r="OJE230" s="340"/>
      <c r="OJF230" s="340"/>
      <c r="OJG230" s="340"/>
      <c r="OJH230" s="340"/>
      <c r="OJI230" s="340"/>
      <c r="OJJ230" s="340"/>
      <c r="OJK230" s="340"/>
      <c r="OJL230" s="340"/>
      <c r="OJM230" s="340"/>
      <c r="OJN230" s="340"/>
      <c r="OJO230" s="340"/>
      <c r="OJP230" s="340"/>
      <c r="OJQ230" s="340"/>
      <c r="OJR230" s="340"/>
      <c r="OJS230" s="340"/>
      <c r="OJT230" s="340"/>
      <c r="OJU230" s="340"/>
      <c r="OJV230" s="340"/>
      <c r="OJW230" s="340"/>
      <c r="OJX230" s="340"/>
      <c r="OJY230" s="340"/>
      <c r="OJZ230" s="340"/>
      <c r="OKA230" s="340"/>
      <c r="OKB230" s="340"/>
      <c r="OKC230" s="340"/>
      <c r="OKD230" s="340"/>
      <c r="OKE230" s="340"/>
      <c r="OKF230" s="340"/>
      <c r="OKG230" s="340"/>
      <c r="OKH230" s="340"/>
      <c r="OKI230" s="340"/>
      <c r="OKJ230" s="340"/>
      <c r="OKK230" s="340"/>
      <c r="OKL230" s="340"/>
      <c r="OKM230" s="340"/>
      <c r="OKN230" s="340"/>
      <c r="OKO230" s="340"/>
      <c r="OKP230" s="340"/>
      <c r="OKQ230" s="340"/>
      <c r="OKR230" s="340"/>
      <c r="OKS230" s="340"/>
      <c r="OKT230" s="340"/>
      <c r="OKU230" s="340"/>
      <c r="OKV230" s="340"/>
      <c r="OKW230" s="340"/>
      <c r="OKX230" s="340"/>
      <c r="OKY230" s="340"/>
      <c r="OKZ230" s="340"/>
      <c r="OLA230" s="340"/>
      <c r="OLB230" s="340"/>
      <c r="OLC230" s="340"/>
      <c r="OLD230" s="340"/>
      <c r="OLE230" s="340"/>
      <c r="OLF230" s="340"/>
      <c r="OLG230" s="340"/>
      <c r="OLH230" s="340"/>
      <c r="OLI230" s="340"/>
      <c r="OLJ230" s="340"/>
      <c r="OLK230" s="340"/>
      <c r="OLL230" s="340"/>
      <c r="OLM230" s="340"/>
      <c r="OLN230" s="340"/>
      <c r="OLO230" s="340"/>
      <c r="OLP230" s="340"/>
      <c r="OLQ230" s="340"/>
      <c r="OLR230" s="340"/>
      <c r="OLS230" s="340"/>
      <c r="OLT230" s="340"/>
      <c r="OLU230" s="340"/>
      <c r="OLV230" s="340"/>
      <c r="OLW230" s="340"/>
      <c r="OLX230" s="340"/>
      <c r="OLY230" s="340"/>
      <c r="OLZ230" s="340"/>
      <c r="OMA230" s="340"/>
      <c r="OMB230" s="340"/>
      <c r="OMC230" s="340"/>
      <c r="OMD230" s="340"/>
      <c r="OME230" s="340"/>
      <c r="OMF230" s="340"/>
      <c r="OMG230" s="340"/>
      <c r="OMH230" s="340"/>
      <c r="OMI230" s="340"/>
      <c r="OMJ230" s="340"/>
      <c r="OMK230" s="340"/>
      <c r="OML230" s="340"/>
      <c r="OMM230" s="340"/>
      <c r="OMN230" s="340"/>
      <c r="OMO230" s="340"/>
      <c r="OMP230" s="340"/>
      <c r="OMQ230" s="340"/>
      <c r="OMR230" s="340"/>
      <c r="OMS230" s="340"/>
      <c r="OMT230" s="340"/>
      <c r="OMU230" s="340"/>
      <c r="OMV230" s="340"/>
      <c r="OMW230" s="340"/>
      <c r="OMX230" s="340"/>
      <c r="OMY230" s="340"/>
      <c r="OMZ230" s="340"/>
      <c r="ONA230" s="340"/>
      <c r="ONB230" s="340"/>
      <c r="ONC230" s="340"/>
      <c r="OND230" s="340"/>
      <c r="ONE230" s="340"/>
      <c r="ONF230" s="340"/>
      <c r="ONG230" s="340"/>
      <c r="ONH230" s="340"/>
      <c r="ONI230" s="340"/>
      <c r="ONJ230" s="340"/>
      <c r="ONK230" s="340"/>
      <c r="ONL230" s="340"/>
      <c r="ONM230" s="340"/>
      <c r="ONN230" s="340"/>
      <c r="ONO230" s="340"/>
      <c r="ONP230" s="340"/>
      <c r="ONQ230" s="340"/>
      <c r="ONR230" s="340"/>
      <c r="ONS230" s="340"/>
      <c r="ONT230" s="340"/>
      <c r="ONU230" s="340"/>
      <c r="ONV230" s="340"/>
      <c r="ONW230" s="340"/>
      <c r="ONX230" s="340"/>
      <c r="ONY230" s="340"/>
      <c r="ONZ230" s="340"/>
      <c r="OOA230" s="340"/>
      <c r="OOB230" s="340"/>
      <c r="OOC230" s="340"/>
      <c r="OOD230" s="340"/>
      <c r="OOE230" s="340"/>
      <c r="OOF230" s="340"/>
      <c r="OOG230" s="340"/>
      <c r="OOH230" s="340"/>
      <c r="OOI230" s="340"/>
      <c r="OOJ230" s="340"/>
      <c r="OOK230" s="340"/>
      <c r="OOL230" s="340"/>
      <c r="OOM230" s="340"/>
      <c r="OON230" s="340"/>
      <c r="OOO230" s="340"/>
      <c r="OOP230" s="340"/>
      <c r="OOQ230" s="340"/>
      <c r="OOR230" s="340"/>
      <c r="OOS230" s="340"/>
      <c r="OOT230" s="340"/>
      <c r="OOU230" s="340"/>
      <c r="OOV230" s="340"/>
      <c r="OOW230" s="340"/>
      <c r="OOX230" s="340"/>
      <c r="OOY230" s="340"/>
      <c r="OOZ230" s="340"/>
      <c r="OPA230" s="340"/>
      <c r="OPB230" s="340"/>
      <c r="OPC230" s="340"/>
      <c r="OPD230" s="340"/>
      <c r="OPE230" s="340"/>
      <c r="OPF230" s="340"/>
      <c r="OPG230" s="340"/>
      <c r="OPH230" s="340"/>
      <c r="OPI230" s="340"/>
      <c r="OPJ230" s="340"/>
      <c r="OPK230" s="340"/>
      <c r="OPL230" s="340"/>
      <c r="OPM230" s="340"/>
      <c r="OPN230" s="340"/>
      <c r="OPO230" s="340"/>
      <c r="OPP230" s="340"/>
      <c r="OPQ230" s="340"/>
      <c r="OPR230" s="340"/>
      <c r="OPS230" s="340"/>
      <c r="OPT230" s="340"/>
      <c r="OPU230" s="340"/>
      <c r="OPV230" s="340"/>
      <c r="OPW230" s="340"/>
      <c r="OPX230" s="340"/>
      <c r="OPY230" s="340"/>
      <c r="OPZ230" s="340"/>
      <c r="OQA230" s="340"/>
      <c r="OQB230" s="340"/>
      <c r="OQC230" s="340"/>
      <c r="OQD230" s="340"/>
      <c r="OQE230" s="340"/>
      <c r="OQF230" s="340"/>
      <c r="OQG230" s="340"/>
      <c r="OQH230" s="340"/>
      <c r="OQI230" s="340"/>
      <c r="OQJ230" s="340"/>
      <c r="OQK230" s="340"/>
      <c r="OQL230" s="340"/>
      <c r="OQM230" s="340"/>
      <c r="OQN230" s="340"/>
      <c r="OQO230" s="340"/>
      <c r="OQP230" s="340"/>
      <c r="OQQ230" s="340"/>
      <c r="OQR230" s="340"/>
      <c r="OQS230" s="340"/>
      <c r="OQT230" s="340"/>
      <c r="OQU230" s="340"/>
      <c r="OQV230" s="340"/>
      <c r="OQW230" s="340"/>
      <c r="OQX230" s="340"/>
      <c r="OQY230" s="340"/>
      <c r="OQZ230" s="340"/>
      <c r="ORA230" s="340"/>
      <c r="ORB230" s="340"/>
      <c r="ORC230" s="340"/>
      <c r="ORD230" s="340"/>
      <c r="ORE230" s="340"/>
      <c r="ORF230" s="340"/>
      <c r="ORG230" s="340"/>
      <c r="ORH230" s="340"/>
      <c r="ORI230" s="340"/>
      <c r="ORJ230" s="340"/>
      <c r="ORK230" s="340"/>
      <c r="ORL230" s="340"/>
      <c r="ORM230" s="340"/>
      <c r="ORN230" s="340"/>
      <c r="ORO230" s="340"/>
      <c r="ORP230" s="340"/>
      <c r="ORQ230" s="340"/>
      <c r="ORR230" s="340"/>
      <c r="ORS230" s="340"/>
      <c r="ORT230" s="340"/>
      <c r="ORU230" s="340"/>
      <c r="ORV230" s="340"/>
      <c r="ORW230" s="340"/>
      <c r="ORX230" s="340"/>
      <c r="ORY230" s="340"/>
      <c r="ORZ230" s="340"/>
      <c r="OSA230" s="340"/>
      <c r="OSB230" s="340"/>
      <c r="OSC230" s="340"/>
      <c r="OSD230" s="340"/>
      <c r="OSE230" s="340"/>
      <c r="OSF230" s="340"/>
      <c r="OSG230" s="340"/>
      <c r="OSH230" s="340"/>
      <c r="OSI230" s="340"/>
      <c r="OSJ230" s="340"/>
      <c r="OSK230" s="340"/>
      <c r="OSL230" s="340"/>
      <c r="OSM230" s="340"/>
      <c r="OSN230" s="340"/>
      <c r="OSO230" s="340"/>
      <c r="OSP230" s="340"/>
      <c r="OSQ230" s="340"/>
      <c r="OSR230" s="340"/>
      <c r="OSS230" s="340"/>
      <c r="OST230" s="340"/>
      <c r="OSU230" s="340"/>
      <c r="OSV230" s="340"/>
      <c r="OSW230" s="340"/>
      <c r="OSX230" s="340"/>
      <c r="OSY230" s="340"/>
      <c r="OSZ230" s="340"/>
      <c r="OTA230" s="340"/>
      <c r="OTB230" s="340"/>
      <c r="OTC230" s="340"/>
      <c r="OTD230" s="340"/>
      <c r="OTE230" s="340"/>
      <c r="OTF230" s="340"/>
      <c r="OTG230" s="340"/>
      <c r="OTH230" s="340"/>
      <c r="OTI230" s="340"/>
      <c r="OTJ230" s="340"/>
      <c r="OTK230" s="340"/>
      <c r="OTL230" s="340"/>
      <c r="OTM230" s="340"/>
      <c r="OTN230" s="340"/>
      <c r="OTO230" s="340"/>
      <c r="OTP230" s="340"/>
      <c r="OTQ230" s="340"/>
      <c r="OTR230" s="340"/>
      <c r="OTS230" s="340"/>
      <c r="OTT230" s="340"/>
      <c r="OTU230" s="340"/>
      <c r="OTV230" s="340"/>
      <c r="OTW230" s="340"/>
      <c r="OTX230" s="340"/>
      <c r="OTY230" s="340"/>
      <c r="OTZ230" s="340"/>
      <c r="OUA230" s="340"/>
      <c r="OUB230" s="340"/>
      <c r="OUC230" s="340"/>
      <c r="OUD230" s="340"/>
      <c r="OUE230" s="340"/>
      <c r="OUF230" s="340"/>
      <c r="OUG230" s="340"/>
      <c r="OUH230" s="340"/>
      <c r="OUI230" s="340"/>
      <c r="OUJ230" s="340"/>
      <c r="OUK230" s="340"/>
      <c r="OUL230" s="340"/>
      <c r="OUM230" s="340"/>
      <c r="OUN230" s="340"/>
      <c r="OUO230" s="340"/>
      <c r="OUP230" s="340"/>
      <c r="OUQ230" s="340"/>
      <c r="OUR230" s="340"/>
      <c r="OUS230" s="340"/>
      <c r="OUT230" s="340"/>
      <c r="OUU230" s="340"/>
      <c r="OUV230" s="340"/>
      <c r="OUW230" s="340"/>
      <c r="OUX230" s="340"/>
      <c r="OUY230" s="340"/>
      <c r="OUZ230" s="340"/>
      <c r="OVA230" s="340"/>
      <c r="OVB230" s="340"/>
      <c r="OVC230" s="340"/>
      <c r="OVD230" s="340"/>
      <c r="OVE230" s="340"/>
      <c r="OVF230" s="340"/>
      <c r="OVG230" s="340"/>
      <c r="OVH230" s="340"/>
      <c r="OVI230" s="340"/>
      <c r="OVJ230" s="340"/>
      <c r="OVK230" s="340"/>
      <c r="OVL230" s="340"/>
      <c r="OVM230" s="340"/>
      <c r="OVN230" s="340"/>
      <c r="OVO230" s="340"/>
      <c r="OVP230" s="340"/>
      <c r="OVQ230" s="340"/>
      <c r="OVR230" s="340"/>
      <c r="OVS230" s="340"/>
      <c r="OVT230" s="340"/>
      <c r="OVU230" s="340"/>
      <c r="OVV230" s="340"/>
      <c r="OVW230" s="340"/>
      <c r="OVX230" s="340"/>
      <c r="OVY230" s="340"/>
      <c r="OVZ230" s="340"/>
      <c r="OWA230" s="340"/>
      <c r="OWB230" s="340"/>
      <c r="OWC230" s="340"/>
      <c r="OWD230" s="340"/>
      <c r="OWE230" s="340"/>
      <c r="OWF230" s="340"/>
      <c r="OWG230" s="340"/>
      <c r="OWH230" s="340"/>
      <c r="OWI230" s="340"/>
      <c r="OWJ230" s="340"/>
      <c r="OWK230" s="340"/>
      <c r="OWL230" s="340"/>
      <c r="OWM230" s="340"/>
      <c r="OWN230" s="340"/>
      <c r="OWO230" s="340"/>
      <c r="OWP230" s="340"/>
      <c r="OWQ230" s="340"/>
      <c r="OWR230" s="340"/>
      <c r="OWS230" s="340"/>
      <c r="OWT230" s="340"/>
      <c r="OWU230" s="340"/>
      <c r="OWV230" s="340"/>
      <c r="OWW230" s="340"/>
      <c r="OWX230" s="340"/>
      <c r="OWY230" s="340"/>
      <c r="OWZ230" s="340"/>
      <c r="OXA230" s="340"/>
      <c r="OXB230" s="340"/>
      <c r="OXC230" s="340"/>
      <c r="OXD230" s="340"/>
      <c r="OXE230" s="340"/>
      <c r="OXF230" s="340"/>
      <c r="OXG230" s="340"/>
      <c r="OXH230" s="340"/>
      <c r="OXI230" s="340"/>
      <c r="OXJ230" s="340"/>
      <c r="OXK230" s="340"/>
      <c r="OXL230" s="340"/>
      <c r="OXM230" s="340"/>
      <c r="OXN230" s="340"/>
      <c r="OXO230" s="340"/>
      <c r="OXP230" s="340"/>
      <c r="OXQ230" s="340"/>
      <c r="OXR230" s="340"/>
      <c r="OXS230" s="340"/>
      <c r="OXT230" s="340"/>
      <c r="OXU230" s="340"/>
      <c r="OXV230" s="340"/>
      <c r="OXW230" s="340"/>
      <c r="OXX230" s="340"/>
      <c r="OXY230" s="340"/>
      <c r="OXZ230" s="340"/>
      <c r="OYA230" s="340"/>
      <c r="OYB230" s="340"/>
      <c r="OYC230" s="340"/>
      <c r="OYD230" s="340"/>
      <c r="OYE230" s="340"/>
      <c r="OYF230" s="340"/>
      <c r="OYG230" s="340"/>
      <c r="OYH230" s="340"/>
      <c r="OYI230" s="340"/>
      <c r="OYJ230" s="340"/>
      <c r="OYK230" s="340"/>
      <c r="OYL230" s="340"/>
      <c r="OYM230" s="340"/>
      <c r="OYN230" s="340"/>
      <c r="OYO230" s="340"/>
      <c r="OYP230" s="340"/>
      <c r="OYQ230" s="340"/>
      <c r="OYR230" s="340"/>
      <c r="OYS230" s="340"/>
      <c r="OYT230" s="340"/>
      <c r="OYU230" s="340"/>
      <c r="OYV230" s="340"/>
      <c r="OYW230" s="340"/>
      <c r="OYX230" s="340"/>
      <c r="OYY230" s="340"/>
      <c r="OYZ230" s="340"/>
      <c r="OZA230" s="340"/>
      <c r="OZB230" s="340"/>
      <c r="OZC230" s="340"/>
      <c r="OZD230" s="340"/>
      <c r="OZE230" s="340"/>
      <c r="OZF230" s="340"/>
      <c r="OZG230" s="340"/>
      <c r="OZH230" s="340"/>
      <c r="OZI230" s="340"/>
      <c r="OZJ230" s="340"/>
      <c r="OZK230" s="340"/>
      <c r="OZL230" s="340"/>
      <c r="OZM230" s="340"/>
      <c r="OZN230" s="340"/>
      <c r="OZO230" s="340"/>
      <c r="OZP230" s="340"/>
      <c r="OZQ230" s="340"/>
      <c r="OZR230" s="340"/>
      <c r="OZS230" s="340"/>
      <c r="OZT230" s="340"/>
      <c r="OZU230" s="340"/>
      <c r="OZV230" s="340"/>
      <c r="OZW230" s="340"/>
      <c r="OZX230" s="340"/>
      <c r="OZY230" s="340"/>
      <c r="OZZ230" s="340"/>
      <c r="PAA230" s="340"/>
      <c r="PAB230" s="340"/>
      <c r="PAC230" s="340"/>
      <c r="PAD230" s="340"/>
      <c r="PAE230" s="340"/>
      <c r="PAF230" s="340"/>
      <c r="PAG230" s="340"/>
      <c r="PAH230" s="340"/>
      <c r="PAI230" s="340"/>
      <c r="PAJ230" s="340"/>
      <c r="PAK230" s="340"/>
      <c r="PAL230" s="340"/>
      <c r="PAM230" s="340"/>
      <c r="PAN230" s="340"/>
      <c r="PAO230" s="340"/>
      <c r="PAP230" s="340"/>
      <c r="PAQ230" s="340"/>
      <c r="PAR230" s="340"/>
      <c r="PAS230" s="340"/>
      <c r="PAT230" s="340"/>
      <c r="PAU230" s="340"/>
      <c r="PAV230" s="340"/>
      <c r="PAW230" s="340"/>
      <c r="PAX230" s="340"/>
      <c r="PAY230" s="340"/>
      <c r="PAZ230" s="340"/>
      <c r="PBA230" s="340"/>
      <c r="PBB230" s="340"/>
      <c r="PBC230" s="340"/>
      <c r="PBD230" s="340"/>
      <c r="PBE230" s="340"/>
      <c r="PBF230" s="340"/>
      <c r="PBG230" s="340"/>
      <c r="PBH230" s="340"/>
      <c r="PBI230" s="340"/>
      <c r="PBJ230" s="340"/>
      <c r="PBK230" s="340"/>
      <c r="PBL230" s="340"/>
      <c r="PBM230" s="340"/>
      <c r="PBN230" s="340"/>
      <c r="PBO230" s="340"/>
      <c r="PBP230" s="340"/>
      <c r="PBQ230" s="340"/>
      <c r="PBR230" s="340"/>
      <c r="PBS230" s="340"/>
      <c r="PBT230" s="340"/>
      <c r="PBU230" s="340"/>
      <c r="PBV230" s="340"/>
      <c r="PBW230" s="340"/>
      <c r="PBX230" s="340"/>
      <c r="PBY230" s="340"/>
      <c r="PBZ230" s="340"/>
      <c r="PCA230" s="340"/>
      <c r="PCB230" s="340"/>
      <c r="PCC230" s="340"/>
      <c r="PCD230" s="340"/>
      <c r="PCE230" s="340"/>
      <c r="PCF230" s="340"/>
      <c r="PCG230" s="340"/>
      <c r="PCH230" s="340"/>
      <c r="PCI230" s="340"/>
      <c r="PCJ230" s="340"/>
      <c r="PCK230" s="340"/>
      <c r="PCL230" s="340"/>
      <c r="PCM230" s="340"/>
      <c r="PCN230" s="340"/>
      <c r="PCO230" s="340"/>
      <c r="PCP230" s="340"/>
      <c r="PCQ230" s="340"/>
      <c r="PCR230" s="340"/>
      <c r="PCS230" s="340"/>
      <c r="PCT230" s="340"/>
      <c r="PCU230" s="340"/>
      <c r="PCV230" s="340"/>
      <c r="PCW230" s="340"/>
      <c r="PCX230" s="340"/>
      <c r="PCY230" s="340"/>
      <c r="PCZ230" s="340"/>
      <c r="PDA230" s="340"/>
      <c r="PDB230" s="340"/>
      <c r="PDC230" s="340"/>
      <c r="PDD230" s="340"/>
      <c r="PDE230" s="340"/>
      <c r="PDF230" s="340"/>
      <c r="PDG230" s="340"/>
      <c r="PDH230" s="340"/>
      <c r="PDI230" s="340"/>
      <c r="PDJ230" s="340"/>
      <c r="PDK230" s="340"/>
      <c r="PDL230" s="340"/>
      <c r="PDM230" s="340"/>
      <c r="PDN230" s="340"/>
      <c r="PDO230" s="340"/>
      <c r="PDP230" s="340"/>
      <c r="PDQ230" s="340"/>
      <c r="PDR230" s="340"/>
      <c r="PDS230" s="340"/>
      <c r="PDT230" s="340"/>
      <c r="PDU230" s="340"/>
      <c r="PDV230" s="340"/>
      <c r="PDW230" s="340"/>
      <c r="PDX230" s="340"/>
      <c r="PDY230" s="340"/>
      <c r="PDZ230" s="340"/>
      <c r="PEA230" s="340"/>
      <c r="PEB230" s="340"/>
      <c r="PEC230" s="340"/>
      <c r="PED230" s="340"/>
      <c r="PEE230" s="340"/>
      <c r="PEF230" s="340"/>
      <c r="PEG230" s="340"/>
      <c r="PEH230" s="340"/>
      <c r="PEI230" s="340"/>
      <c r="PEJ230" s="340"/>
      <c r="PEK230" s="340"/>
      <c r="PEL230" s="340"/>
      <c r="PEM230" s="340"/>
      <c r="PEN230" s="340"/>
      <c r="PEO230" s="340"/>
      <c r="PEP230" s="340"/>
      <c r="PEQ230" s="340"/>
      <c r="PER230" s="340"/>
      <c r="PES230" s="340"/>
      <c r="PET230" s="340"/>
      <c r="PEU230" s="340"/>
      <c r="PEV230" s="340"/>
      <c r="PEW230" s="340"/>
      <c r="PEX230" s="340"/>
      <c r="PEY230" s="340"/>
      <c r="PEZ230" s="340"/>
      <c r="PFA230" s="340"/>
      <c r="PFB230" s="340"/>
      <c r="PFC230" s="340"/>
      <c r="PFD230" s="340"/>
      <c r="PFE230" s="340"/>
      <c r="PFF230" s="340"/>
      <c r="PFG230" s="340"/>
      <c r="PFH230" s="340"/>
      <c r="PFI230" s="340"/>
      <c r="PFJ230" s="340"/>
      <c r="PFK230" s="340"/>
      <c r="PFL230" s="340"/>
      <c r="PFM230" s="340"/>
      <c r="PFN230" s="340"/>
      <c r="PFO230" s="340"/>
      <c r="PFP230" s="340"/>
      <c r="PFQ230" s="340"/>
      <c r="PFR230" s="340"/>
      <c r="PFS230" s="340"/>
      <c r="PFT230" s="340"/>
      <c r="PFU230" s="340"/>
      <c r="PFV230" s="340"/>
      <c r="PFW230" s="340"/>
      <c r="PFX230" s="340"/>
      <c r="PFY230" s="340"/>
      <c r="PFZ230" s="340"/>
      <c r="PGA230" s="340"/>
      <c r="PGB230" s="340"/>
      <c r="PGC230" s="340"/>
      <c r="PGD230" s="340"/>
      <c r="PGE230" s="340"/>
      <c r="PGF230" s="340"/>
      <c r="PGG230" s="340"/>
      <c r="PGH230" s="340"/>
      <c r="PGI230" s="340"/>
      <c r="PGJ230" s="340"/>
      <c r="PGK230" s="340"/>
      <c r="PGL230" s="340"/>
      <c r="PGM230" s="340"/>
      <c r="PGN230" s="340"/>
      <c r="PGO230" s="340"/>
      <c r="PGP230" s="340"/>
      <c r="PGQ230" s="340"/>
      <c r="PGR230" s="340"/>
      <c r="PGS230" s="340"/>
      <c r="PGT230" s="340"/>
      <c r="PGU230" s="340"/>
      <c r="PGV230" s="340"/>
      <c r="PGW230" s="340"/>
      <c r="PGX230" s="340"/>
      <c r="PGY230" s="340"/>
      <c r="PGZ230" s="340"/>
      <c r="PHA230" s="340"/>
      <c r="PHB230" s="340"/>
      <c r="PHC230" s="340"/>
      <c r="PHD230" s="340"/>
      <c r="PHE230" s="340"/>
      <c r="PHF230" s="340"/>
      <c r="PHG230" s="340"/>
      <c r="PHH230" s="340"/>
      <c r="PHI230" s="340"/>
      <c r="PHJ230" s="340"/>
      <c r="PHK230" s="340"/>
      <c r="PHL230" s="340"/>
      <c r="PHM230" s="340"/>
      <c r="PHN230" s="340"/>
      <c r="PHO230" s="340"/>
      <c r="PHP230" s="340"/>
      <c r="PHQ230" s="340"/>
      <c r="PHR230" s="340"/>
      <c r="PHS230" s="340"/>
      <c r="PHT230" s="340"/>
      <c r="PHU230" s="340"/>
      <c r="PHV230" s="340"/>
      <c r="PHW230" s="340"/>
      <c r="PHX230" s="340"/>
      <c r="PHY230" s="340"/>
      <c r="PHZ230" s="340"/>
      <c r="PIA230" s="340"/>
      <c r="PIB230" s="340"/>
      <c r="PIC230" s="340"/>
      <c r="PID230" s="340"/>
      <c r="PIE230" s="340"/>
      <c r="PIF230" s="340"/>
      <c r="PIG230" s="340"/>
      <c r="PIH230" s="340"/>
      <c r="PII230" s="340"/>
      <c r="PIJ230" s="340"/>
      <c r="PIK230" s="340"/>
      <c r="PIL230" s="340"/>
      <c r="PIM230" s="340"/>
      <c r="PIN230" s="340"/>
      <c r="PIO230" s="340"/>
      <c r="PIP230" s="340"/>
      <c r="PIQ230" s="340"/>
      <c r="PIR230" s="340"/>
      <c r="PIS230" s="340"/>
      <c r="PIT230" s="340"/>
      <c r="PIU230" s="340"/>
      <c r="PIV230" s="340"/>
      <c r="PIW230" s="340"/>
      <c r="PIX230" s="340"/>
      <c r="PIY230" s="340"/>
      <c r="PIZ230" s="340"/>
      <c r="PJA230" s="340"/>
      <c r="PJB230" s="340"/>
      <c r="PJC230" s="340"/>
      <c r="PJD230" s="340"/>
      <c r="PJE230" s="340"/>
      <c r="PJF230" s="340"/>
      <c r="PJG230" s="340"/>
      <c r="PJH230" s="340"/>
      <c r="PJI230" s="340"/>
      <c r="PJJ230" s="340"/>
      <c r="PJK230" s="340"/>
      <c r="PJL230" s="340"/>
      <c r="PJM230" s="340"/>
      <c r="PJN230" s="340"/>
      <c r="PJO230" s="340"/>
      <c r="PJP230" s="340"/>
      <c r="PJQ230" s="340"/>
      <c r="PJR230" s="340"/>
      <c r="PJS230" s="340"/>
      <c r="PJT230" s="340"/>
      <c r="PJU230" s="340"/>
      <c r="PJV230" s="340"/>
      <c r="PJW230" s="340"/>
      <c r="PJX230" s="340"/>
      <c r="PJY230" s="340"/>
      <c r="PJZ230" s="340"/>
      <c r="PKA230" s="340"/>
      <c r="PKB230" s="340"/>
      <c r="PKC230" s="340"/>
      <c r="PKD230" s="340"/>
      <c r="PKE230" s="340"/>
      <c r="PKF230" s="340"/>
      <c r="PKG230" s="340"/>
      <c r="PKH230" s="340"/>
      <c r="PKI230" s="340"/>
      <c r="PKJ230" s="340"/>
      <c r="PKK230" s="340"/>
      <c r="PKL230" s="340"/>
      <c r="PKM230" s="340"/>
      <c r="PKN230" s="340"/>
      <c r="PKO230" s="340"/>
      <c r="PKP230" s="340"/>
      <c r="PKQ230" s="340"/>
      <c r="PKR230" s="340"/>
      <c r="PKS230" s="340"/>
      <c r="PKT230" s="340"/>
      <c r="PKU230" s="340"/>
      <c r="PKV230" s="340"/>
      <c r="PKW230" s="340"/>
      <c r="PKX230" s="340"/>
      <c r="PKY230" s="340"/>
      <c r="PKZ230" s="340"/>
      <c r="PLA230" s="340"/>
      <c r="PLB230" s="340"/>
      <c r="PLC230" s="340"/>
      <c r="PLD230" s="340"/>
      <c r="PLE230" s="340"/>
      <c r="PLF230" s="340"/>
      <c r="PLG230" s="340"/>
      <c r="PLH230" s="340"/>
      <c r="PLI230" s="340"/>
      <c r="PLJ230" s="340"/>
      <c r="PLK230" s="340"/>
      <c r="PLL230" s="340"/>
      <c r="PLM230" s="340"/>
      <c r="PLN230" s="340"/>
      <c r="PLO230" s="340"/>
      <c r="PLP230" s="340"/>
      <c r="PLQ230" s="340"/>
      <c r="PLR230" s="340"/>
      <c r="PLS230" s="340"/>
      <c r="PLT230" s="340"/>
      <c r="PLU230" s="340"/>
      <c r="PLV230" s="340"/>
      <c r="PLW230" s="340"/>
      <c r="PLX230" s="340"/>
      <c r="PLY230" s="340"/>
      <c r="PLZ230" s="340"/>
      <c r="PMA230" s="340"/>
      <c r="PMB230" s="340"/>
      <c r="PMC230" s="340"/>
      <c r="PMD230" s="340"/>
      <c r="PME230" s="340"/>
      <c r="PMF230" s="340"/>
      <c r="PMG230" s="340"/>
      <c r="PMH230" s="340"/>
      <c r="PMI230" s="340"/>
      <c r="PMJ230" s="340"/>
      <c r="PMK230" s="340"/>
      <c r="PML230" s="340"/>
      <c r="PMM230" s="340"/>
      <c r="PMN230" s="340"/>
      <c r="PMO230" s="340"/>
      <c r="PMP230" s="340"/>
      <c r="PMQ230" s="340"/>
      <c r="PMR230" s="340"/>
      <c r="PMS230" s="340"/>
      <c r="PMT230" s="340"/>
      <c r="PMU230" s="340"/>
      <c r="PMV230" s="340"/>
      <c r="PMW230" s="340"/>
      <c r="PMX230" s="340"/>
      <c r="PMY230" s="340"/>
      <c r="PMZ230" s="340"/>
      <c r="PNA230" s="340"/>
      <c r="PNB230" s="340"/>
      <c r="PNC230" s="340"/>
      <c r="PND230" s="340"/>
      <c r="PNE230" s="340"/>
      <c r="PNF230" s="340"/>
      <c r="PNG230" s="340"/>
      <c r="PNH230" s="340"/>
      <c r="PNI230" s="340"/>
      <c r="PNJ230" s="340"/>
      <c r="PNK230" s="340"/>
      <c r="PNL230" s="340"/>
      <c r="PNM230" s="340"/>
      <c r="PNN230" s="340"/>
      <c r="PNO230" s="340"/>
      <c r="PNP230" s="340"/>
      <c r="PNQ230" s="340"/>
      <c r="PNR230" s="340"/>
      <c r="PNS230" s="340"/>
      <c r="PNT230" s="340"/>
      <c r="PNU230" s="340"/>
      <c r="PNV230" s="340"/>
      <c r="PNW230" s="340"/>
      <c r="PNX230" s="340"/>
      <c r="PNY230" s="340"/>
      <c r="PNZ230" s="340"/>
      <c r="POA230" s="340"/>
      <c r="POB230" s="340"/>
      <c r="POC230" s="340"/>
      <c r="POD230" s="340"/>
      <c r="POE230" s="340"/>
      <c r="POF230" s="340"/>
      <c r="POG230" s="340"/>
      <c r="POH230" s="340"/>
      <c r="POI230" s="340"/>
      <c r="POJ230" s="340"/>
      <c r="POK230" s="340"/>
      <c r="POL230" s="340"/>
      <c r="POM230" s="340"/>
      <c r="PON230" s="340"/>
      <c r="POO230" s="340"/>
      <c r="POP230" s="340"/>
      <c r="POQ230" s="340"/>
      <c r="POR230" s="340"/>
      <c r="POS230" s="340"/>
      <c r="POT230" s="340"/>
      <c r="POU230" s="340"/>
      <c r="POV230" s="340"/>
      <c r="POW230" s="340"/>
      <c r="POX230" s="340"/>
      <c r="POY230" s="340"/>
      <c r="POZ230" s="340"/>
      <c r="PPA230" s="340"/>
      <c r="PPB230" s="340"/>
      <c r="PPC230" s="340"/>
      <c r="PPD230" s="340"/>
      <c r="PPE230" s="340"/>
      <c r="PPF230" s="340"/>
      <c r="PPG230" s="340"/>
      <c r="PPH230" s="340"/>
      <c r="PPI230" s="340"/>
      <c r="PPJ230" s="340"/>
      <c r="PPK230" s="340"/>
      <c r="PPL230" s="340"/>
      <c r="PPM230" s="340"/>
      <c r="PPN230" s="340"/>
      <c r="PPO230" s="340"/>
      <c r="PPP230" s="340"/>
      <c r="PPQ230" s="340"/>
      <c r="PPR230" s="340"/>
      <c r="PPS230" s="340"/>
      <c r="PPT230" s="340"/>
      <c r="PPU230" s="340"/>
      <c r="PPV230" s="340"/>
      <c r="PPW230" s="340"/>
      <c r="PPX230" s="340"/>
      <c r="PPY230" s="340"/>
      <c r="PPZ230" s="340"/>
      <c r="PQA230" s="340"/>
      <c r="PQB230" s="340"/>
      <c r="PQC230" s="340"/>
      <c r="PQD230" s="340"/>
      <c r="PQE230" s="340"/>
      <c r="PQF230" s="340"/>
      <c r="PQG230" s="340"/>
      <c r="PQH230" s="340"/>
      <c r="PQI230" s="340"/>
      <c r="PQJ230" s="340"/>
      <c r="PQK230" s="340"/>
      <c r="PQL230" s="340"/>
      <c r="PQM230" s="340"/>
      <c r="PQN230" s="340"/>
      <c r="PQO230" s="340"/>
      <c r="PQP230" s="340"/>
      <c r="PQQ230" s="340"/>
      <c r="PQR230" s="340"/>
      <c r="PQS230" s="340"/>
      <c r="PQT230" s="340"/>
      <c r="PQU230" s="340"/>
      <c r="PQV230" s="340"/>
      <c r="PQW230" s="340"/>
      <c r="PQX230" s="340"/>
      <c r="PQY230" s="340"/>
      <c r="PQZ230" s="340"/>
      <c r="PRA230" s="340"/>
      <c r="PRB230" s="340"/>
      <c r="PRC230" s="340"/>
      <c r="PRD230" s="340"/>
      <c r="PRE230" s="340"/>
      <c r="PRF230" s="340"/>
      <c r="PRG230" s="340"/>
      <c r="PRH230" s="340"/>
      <c r="PRI230" s="340"/>
      <c r="PRJ230" s="340"/>
      <c r="PRK230" s="340"/>
      <c r="PRL230" s="340"/>
      <c r="PRM230" s="340"/>
      <c r="PRN230" s="340"/>
      <c r="PRO230" s="340"/>
      <c r="PRP230" s="340"/>
      <c r="PRQ230" s="340"/>
      <c r="PRR230" s="340"/>
      <c r="PRS230" s="340"/>
      <c r="PRT230" s="340"/>
      <c r="PRU230" s="340"/>
      <c r="PRV230" s="340"/>
      <c r="PRW230" s="340"/>
      <c r="PRX230" s="340"/>
      <c r="PRY230" s="340"/>
      <c r="PRZ230" s="340"/>
      <c r="PSA230" s="340"/>
      <c r="PSB230" s="340"/>
      <c r="PSC230" s="340"/>
      <c r="PSD230" s="340"/>
      <c r="PSE230" s="340"/>
      <c r="PSF230" s="340"/>
      <c r="PSG230" s="340"/>
      <c r="PSH230" s="340"/>
      <c r="PSI230" s="340"/>
      <c r="PSJ230" s="340"/>
      <c r="PSK230" s="340"/>
      <c r="PSL230" s="340"/>
      <c r="PSM230" s="340"/>
      <c r="PSN230" s="340"/>
      <c r="PSO230" s="340"/>
      <c r="PSP230" s="340"/>
      <c r="PSQ230" s="340"/>
      <c r="PSR230" s="340"/>
      <c r="PSS230" s="340"/>
      <c r="PST230" s="340"/>
      <c r="PSU230" s="340"/>
      <c r="PSV230" s="340"/>
      <c r="PSW230" s="340"/>
      <c r="PSX230" s="340"/>
      <c r="PSY230" s="340"/>
      <c r="PSZ230" s="340"/>
      <c r="PTA230" s="340"/>
      <c r="PTB230" s="340"/>
      <c r="PTC230" s="340"/>
      <c r="PTD230" s="340"/>
      <c r="PTE230" s="340"/>
      <c r="PTF230" s="340"/>
      <c r="PTG230" s="340"/>
      <c r="PTH230" s="340"/>
      <c r="PTI230" s="340"/>
      <c r="PTJ230" s="340"/>
      <c r="PTK230" s="340"/>
      <c r="PTL230" s="340"/>
      <c r="PTM230" s="340"/>
      <c r="PTN230" s="340"/>
      <c r="PTO230" s="340"/>
      <c r="PTP230" s="340"/>
      <c r="PTQ230" s="340"/>
      <c r="PTR230" s="340"/>
      <c r="PTS230" s="340"/>
      <c r="PTT230" s="340"/>
      <c r="PTU230" s="340"/>
      <c r="PTV230" s="340"/>
      <c r="PTW230" s="340"/>
      <c r="PTX230" s="340"/>
      <c r="PTY230" s="340"/>
      <c r="PTZ230" s="340"/>
      <c r="PUA230" s="340"/>
      <c r="PUB230" s="340"/>
      <c r="PUC230" s="340"/>
      <c r="PUD230" s="340"/>
      <c r="PUE230" s="340"/>
      <c r="PUF230" s="340"/>
      <c r="PUG230" s="340"/>
      <c r="PUH230" s="340"/>
      <c r="PUI230" s="340"/>
      <c r="PUJ230" s="340"/>
      <c r="PUK230" s="340"/>
      <c r="PUL230" s="340"/>
      <c r="PUM230" s="340"/>
      <c r="PUN230" s="340"/>
      <c r="PUO230" s="340"/>
      <c r="PUP230" s="340"/>
      <c r="PUQ230" s="340"/>
      <c r="PUR230" s="340"/>
      <c r="PUS230" s="340"/>
      <c r="PUT230" s="340"/>
      <c r="PUU230" s="340"/>
      <c r="PUV230" s="340"/>
      <c r="PUW230" s="340"/>
      <c r="PUX230" s="340"/>
      <c r="PUY230" s="340"/>
      <c r="PUZ230" s="340"/>
      <c r="PVA230" s="340"/>
      <c r="PVB230" s="340"/>
      <c r="PVC230" s="340"/>
      <c r="PVD230" s="340"/>
      <c r="PVE230" s="340"/>
      <c r="PVF230" s="340"/>
      <c r="PVG230" s="340"/>
      <c r="PVH230" s="340"/>
      <c r="PVI230" s="340"/>
      <c r="PVJ230" s="340"/>
      <c r="PVK230" s="340"/>
      <c r="PVL230" s="340"/>
      <c r="PVM230" s="340"/>
      <c r="PVN230" s="340"/>
      <c r="PVO230" s="340"/>
      <c r="PVP230" s="340"/>
      <c r="PVQ230" s="340"/>
      <c r="PVR230" s="340"/>
      <c r="PVS230" s="340"/>
      <c r="PVT230" s="340"/>
      <c r="PVU230" s="340"/>
      <c r="PVV230" s="340"/>
      <c r="PVW230" s="340"/>
      <c r="PVX230" s="340"/>
      <c r="PVY230" s="340"/>
      <c r="PVZ230" s="340"/>
      <c r="PWA230" s="340"/>
      <c r="PWB230" s="340"/>
      <c r="PWC230" s="340"/>
      <c r="PWD230" s="340"/>
      <c r="PWE230" s="340"/>
      <c r="PWF230" s="340"/>
      <c r="PWG230" s="340"/>
      <c r="PWH230" s="340"/>
      <c r="PWI230" s="340"/>
      <c r="PWJ230" s="340"/>
      <c r="PWK230" s="340"/>
      <c r="PWL230" s="340"/>
      <c r="PWM230" s="340"/>
      <c r="PWN230" s="340"/>
      <c r="PWO230" s="340"/>
      <c r="PWP230" s="340"/>
      <c r="PWQ230" s="340"/>
      <c r="PWR230" s="340"/>
      <c r="PWS230" s="340"/>
      <c r="PWT230" s="340"/>
      <c r="PWU230" s="340"/>
      <c r="PWV230" s="340"/>
      <c r="PWW230" s="340"/>
      <c r="PWX230" s="340"/>
      <c r="PWY230" s="340"/>
      <c r="PWZ230" s="340"/>
      <c r="PXA230" s="340"/>
      <c r="PXB230" s="340"/>
      <c r="PXC230" s="340"/>
      <c r="PXD230" s="340"/>
      <c r="PXE230" s="340"/>
      <c r="PXF230" s="340"/>
      <c r="PXG230" s="340"/>
      <c r="PXH230" s="340"/>
      <c r="PXI230" s="340"/>
      <c r="PXJ230" s="340"/>
      <c r="PXK230" s="340"/>
      <c r="PXL230" s="340"/>
      <c r="PXM230" s="340"/>
      <c r="PXN230" s="340"/>
      <c r="PXO230" s="340"/>
      <c r="PXP230" s="340"/>
      <c r="PXQ230" s="340"/>
      <c r="PXR230" s="340"/>
      <c r="PXS230" s="340"/>
      <c r="PXT230" s="340"/>
      <c r="PXU230" s="340"/>
      <c r="PXV230" s="340"/>
      <c r="PXW230" s="340"/>
      <c r="PXX230" s="340"/>
      <c r="PXY230" s="340"/>
      <c r="PXZ230" s="340"/>
      <c r="PYA230" s="340"/>
      <c r="PYB230" s="340"/>
      <c r="PYC230" s="340"/>
      <c r="PYD230" s="340"/>
      <c r="PYE230" s="340"/>
      <c r="PYF230" s="340"/>
      <c r="PYG230" s="340"/>
      <c r="PYH230" s="340"/>
      <c r="PYI230" s="340"/>
      <c r="PYJ230" s="340"/>
      <c r="PYK230" s="340"/>
      <c r="PYL230" s="340"/>
      <c r="PYM230" s="340"/>
      <c r="PYN230" s="340"/>
      <c r="PYO230" s="340"/>
      <c r="PYP230" s="340"/>
      <c r="PYQ230" s="340"/>
      <c r="PYR230" s="340"/>
      <c r="PYS230" s="340"/>
      <c r="PYT230" s="340"/>
      <c r="PYU230" s="340"/>
      <c r="PYV230" s="340"/>
      <c r="PYW230" s="340"/>
      <c r="PYX230" s="340"/>
      <c r="PYY230" s="340"/>
      <c r="PYZ230" s="340"/>
      <c r="PZA230" s="340"/>
      <c r="PZB230" s="340"/>
      <c r="PZC230" s="340"/>
      <c r="PZD230" s="340"/>
      <c r="PZE230" s="340"/>
      <c r="PZF230" s="340"/>
      <c r="PZG230" s="340"/>
      <c r="PZH230" s="340"/>
      <c r="PZI230" s="340"/>
      <c r="PZJ230" s="340"/>
      <c r="PZK230" s="340"/>
      <c r="PZL230" s="340"/>
      <c r="PZM230" s="340"/>
      <c r="PZN230" s="340"/>
      <c r="PZO230" s="340"/>
      <c r="PZP230" s="340"/>
      <c r="PZQ230" s="340"/>
      <c r="PZR230" s="340"/>
      <c r="PZS230" s="340"/>
      <c r="PZT230" s="340"/>
      <c r="PZU230" s="340"/>
      <c r="PZV230" s="340"/>
      <c r="PZW230" s="340"/>
      <c r="PZX230" s="340"/>
      <c r="PZY230" s="340"/>
      <c r="PZZ230" s="340"/>
      <c r="QAA230" s="340"/>
      <c r="QAB230" s="340"/>
      <c r="QAC230" s="340"/>
      <c r="QAD230" s="340"/>
      <c r="QAE230" s="340"/>
      <c r="QAF230" s="340"/>
      <c r="QAG230" s="340"/>
      <c r="QAH230" s="340"/>
      <c r="QAI230" s="340"/>
      <c r="QAJ230" s="340"/>
      <c r="QAK230" s="340"/>
      <c r="QAL230" s="340"/>
      <c r="QAM230" s="340"/>
      <c r="QAN230" s="340"/>
      <c r="QAO230" s="340"/>
      <c r="QAP230" s="340"/>
      <c r="QAQ230" s="340"/>
      <c r="QAR230" s="340"/>
      <c r="QAS230" s="340"/>
      <c r="QAT230" s="340"/>
      <c r="QAU230" s="340"/>
      <c r="QAV230" s="340"/>
      <c r="QAW230" s="340"/>
      <c r="QAX230" s="340"/>
      <c r="QAY230" s="340"/>
      <c r="QAZ230" s="340"/>
      <c r="QBA230" s="340"/>
      <c r="QBB230" s="340"/>
      <c r="QBC230" s="340"/>
      <c r="QBD230" s="340"/>
      <c r="QBE230" s="340"/>
      <c r="QBF230" s="340"/>
      <c r="QBG230" s="340"/>
      <c r="QBH230" s="340"/>
      <c r="QBI230" s="340"/>
      <c r="QBJ230" s="340"/>
      <c r="QBK230" s="340"/>
      <c r="QBL230" s="340"/>
      <c r="QBM230" s="340"/>
      <c r="QBN230" s="340"/>
      <c r="QBO230" s="340"/>
      <c r="QBP230" s="340"/>
      <c r="QBQ230" s="340"/>
      <c r="QBR230" s="340"/>
      <c r="QBS230" s="340"/>
      <c r="QBT230" s="340"/>
      <c r="QBU230" s="340"/>
      <c r="QBV230" s="340"/>
      <c r="QBW230" s="340"/>
      <c r="QBX230" s="340"/>
      <c r="QBY230" s="340"/>
      <c r="QBZ230" s="340"/>
      <c r="QCA230" s="340"/>
      <c r="QCB230" s="340"/>
      <c r="QCC230" s="340"/>
      <c r="QCD230" s="340"/>
      <c r="QCE230" s="340"/>
      <c r="QCF230" s="340"/>
      <c r="QCG230" s="340"/>
      <c r="QCH230" s="340"/>
      <c r="QCI230" s="340"/>
      <c r="QCJ230" s="340"/>
      <c r="QCK230" s="340"/>
      <c r="QCL230" s="340"/>
      <c r="QCM230" s="340"/>
      <c r="QCN230" s="340"/>
      <c r="QCO230" s="340"/>
      <c r="QCP230" s="340"/>
      <c r="QCQ230" s="340"/>
      <c r="QCR230" s="340"/>
      <c r="QCS230" s="340"/>
      <c r="QCT230" s="340"/>
      <c r="QCU230" s="340"/>
      <c r="QCV230" s="340"/>
      <c r="QCW230" s="340"/>
      <c r="QCX230" s="340"/>
      <c r="QCY230" s="340"/>
      <c r="QCZ230" s="340"/>
      <c r="QDA230" s="340"/>
      <c r="QDB230" s="340"/>
      <c r="QDC230" s="340"/>
      <c r="QDD230" s="340"/>
      <c r="QDE230" s="340"/>
      <c r="QDF230" s="340"/>
      <c r="QDG230" s="340"/>
      <c r="QDH230" s="340"/>
      <c r="QDI230" s="340"/>
      <c r="QDJ230" s="340"/>
      <c r="QDK230" s="340"/>
      <c r="QDL230" s="340"/>
      <c r="QDM230" s="340"/>
      <c r="QDN230" s="340"/>
      <c r="QDO230" s="340"/>
      <c r="QDP230" s="340"/>
      <c r="QDQ230" s="340"/>
      <c r="QDR230" s="340"/>
      <c r="QDS230" s="340"/>
      <c r="QDT230" s="340"/>
      <c r="QDU230" s="340"/>
      <c r="QDV230" s="340"/>
      <c r="QDW230" s="340"/>
      <c r="QDX230" s="340"/>
      <c r="QDY230" s="340"/>
      <c r="QDZ230" s="340"/>
      <c r="QEA230" s="340"/>
      <c r="QEB230" s="340"/>
      <c r="QEC230" s="340"/>
      <c r="QED230" s="340"/>
      <c r="QEE230" s="340"/>
      <c r="QEF230" s="340"/>
      <c r="QEG230" s="340"/>
      <c r="QEH230" s="340"/>
      <c r="QEI230" s="340"/>
      <c r="QEJ230" s="340"/>
      <c r="QEK230" s="340"/>
      <c r="QEL230" s="340"/>
      <c r="QEM230" s="340"/>
      <c r="QEN230" s="340"/>
      <c r="QEO230" s="340"/>
      <c r="QEP230" s="340"/>
      <c r="QEQ230" s="340"/>
      <c r="QER230" s="340"/>
      <c r="QES230" s="340"/>
      <c r="QET230" s="340"/>
      <c r="QEU230" s="340"/>
      <c r="QEV230" s="340"/>
      <c r="QEW230" s="340"/>
      <c r="QEX230" s="340"/>
      <c r="QEY230" s="340"/>
      <c r="QEZ230" s="340"/>
      <c r="QFA230" s="340"/>
      <c r="QFB230" s="340"/>
      <c r="QFC230" s="340"/>
      <c r="QFD230" s="340"/>
      <c r="QFE230" s="340"/>
      <c r="QFF230" s="340"/>
      <c r="QFG230" s="340"/>
      <c r="QFH230" s="340"/>
      <c r="QFI230" s="340"/>
      <c r="QFJ230" s="340"/>
      <c r="QFK230" s="340"/>
      <c r="QFL230" s="340"/>
      <c r="QFM230" s="340"/>
      <c r="QFN230" s="340"/>
      <c r="QFO230" s="340"/>
      <c r="QFP230" s="340"/>
      <c r="QFQ230" s="340"/>
      <c r="QFR230" s="340"/>
      <c r="QFS230" s="340"/>
      <c r="QFT230" s="340"/>
      <c r="QFU230" s="340"/>
      <c r="QFV230" s="340"/>
      <c r="QFW230" s="340"/>
      <c r="QFX230" s="340"/>
      <c r="QFY230" s="340"/>
      <c r="QFZ230" s="340"/>
      <c r="QGA230" s="340"/>
      <c r="QGB230" s="340"/>
      <c r="QGC230" s="340"/>
      <c r="QGD230" s="340"/>
      <c r="QGE230" s="340"/>
      <c r="QGF230" s="340"/>
      <c r="QGG230" s="340"/>
      <c r="QGH230" s="340"/>
      <c r="QGI230" s="340"/>
      <c r="QGJ230" s="340"/>
      <c r="QGK230" s="340"/>
      <c r="QGL230" s="340"/>
      <c r="QGM230" s="340"/>
      <c r="QGN230" s="340"/>
      <c r="QGO230" s="340"/>
      <c r="QGP230" s="340"/>
      <c r="QGQ230" s="340"/>
      <c r="QGR230" s="340"/>
      <c r="QGS230" s="340"/>
      <c r="QGT230" s="340"/>
      <c r="QGU230" s="340"/>
      <c r="QGV230" s="340"/>
      <c r="QGW230" s="340"/>
      <c r="QGX230" s="340"/>
      <c r="QGY230" s="340"/>
      <c r="QGZ230" s="340"/>
      <c r="QHA230" s="340"/>
      <c r="QHB230" s="340"/>
      <c r="QHC230" s="340"/>
      <c r="QHD230" s="340"/>
      <c r="QHE230" s="340"/>
      <c r="QHF230" s="340"/>
      <c r="QHG230" s="340"/>
      <c r="QHH230" s="340"/>
      <c r="QHI230" s="340"/>
      <c r="QHJ230" s="340"/>
      <c r="QHK230" s="340"/>
      <c r="QHL230" s="340"/>
      <c r="QHM230" s="340"/>
      <c r="QHN230" s="340"/>
      <c r="QHO230" s="340"/>
      <c r="QHP230" s="340"/>
      <c r="QHQ230" s="340"/>
      <c r="QHR230" s="340"/>
      <c r="QHS230" s="340"/>
      <c r="QHT230" s="340"/>
      <c r="QHU230" s="340"/>
      <c r="QHV230" s="340"/>
      <c r="QHW230" s="340"/>
      <c r="QHX230" s="340"/>
      <c r="QHY230" s="340"/>
      <c r="QHZ230" s="340"/>
      <c r="QIA230" s="340"/>
      <c r="QIB230" s="340"/>
      <c r="QIC230" s="340"/>
      <c r="QID230" s="340"/>
      <c r="QIE230" s="340"/>
      <c r="QIF230" s="340"/>
      <c r="QIG230" s="340"/>
      <c r="QIH230" s="340"/>
      <c r="QII230" s="340"/>
      <c r="QIJ230" s="340"/>
      <c r="QIK230" s="340"/>
      <c r="QIL230" s="340"/>
      <c r="QIM230" s="340"/>
      <c r="QIN230" s="340"/>
      <c r="QIO230" s="340"/>
      <c r="QIP230" s="340"/>
      <c r="QIQ230" s="340"/>
      <c r="QIR230" s="340"/>
      <c r="QIS230" s="340"/>
      <c r="QIT230" s="340"/>
      <c r="QIU230" s="340"/>
      <c r="QIV230" s="340"/>
      <c r="QIW230" s="340"/>
      <c r="QIX230" s="340"/>
      <c r="QIY230" s="340"/>
      <c r="QIZ230" s="340"/>
      <c r="QJA230" s="340"/>
      <c r="QJB230" s="340"/>
      <c r="QJC230" s="340"/>
      <c r="QJD230" s="340"/>
      <c r="QJE230" s="340"/>
      <c r="QJF230" s="340"/>
      <c r="QJG230" s="340"/>
      <c r="QJH230" s="340"/>
      <c r="QJI230" s="340"/>
      <c r="QJJ230" s="340"/>
      <c r="QJK230" s="340"/>
      <c r="QJL230" s="340"/>
      <c r="QJM230" s="340"/>
      <c r="QJN230" s="340"/>
      <c r="QJO230" s="340"/>
      <c r="QJP230" s="340"/>
      <c r="QJQ230" s="340"/>
      <c r="QJR230" s="340"/>
      <c r="QJS230" s="340"/>
      <c r="QJT230" s="340"/>
      <c r="QJU230" s="340"/>
      <c r="QJV230" s="340"/>
      <c r="QJW230" s="340"/>
      <c r="QJX230" s="340"/>
      <c r="QJY230" s="340"/>
      <c r="QJZ230" s="340"/>
      <c r="QKA230" s="340"/>
      <c r="QKB230" s="340"/>
      <c r="QKC230" s="340"/>
      <c r="QKD230" s="340"/>
      <c r="QKE230" s="340"/>
      <c r="QKF230" s="340"/>
      <c r="QKG230" s="340"/>
      <c r="QKH230" s="340"/>
      <c r="QKI230" s="340"/>
      <c r="QKJ230" s="340"/>
      <c r="QKK230" s="340"/>
      <c r="QKL230" s="340"/>
      <c r="QKM230" s="340"/>
      <c r="QKN230" s="340"/>
      <c r="QKO230" s="340"/>
      <c r="QKP230" s="340"/>
      <c r="QKQ230" s="340"/>
      <c r="QKR230" s="340"/>
      <c r="QKS230" s="340"/>
      <c r="QKT230" s="340"/>
      <c r="QKU230" s="340"/>
      <c r="QKV230" s="340"/>
      <c r="QKW230" s="340"/>
      <c r="QKX230" s="340"/>
      <c r="QKY230" s="340"/>
      <c r="QKZ230" s="340"/>
      <c r="QLA230" s="340"/>
      <c r="QLB230" s="340"/>
      <c r="QLC230" s="340"/>
      <c r="QLD230" s="340"/>
      <c r="QLE230" s="340"/>
      <c r="QLF230" s="340"/>
      <c r="QLG230" s="340"/>
      <c r="QLH230" s="340"/>
      <c r="QLI230" s="340"/>
      <c r="QLJ230" s="340"/>
      <c r="QLK230" s="340"/>
      <c r="QLL230" s="340"/>
      <c r="QLM230" s="340"/>
      <c r="QLN230" s="340"/>
      <c r="QLO230" s="340"/>
      <c r="QLP230" s="340"/>
      <c r="QLQ230" s="340"/>
      <c r="QLR230" s="340"/>
      <c r="QLS230" s="340"/>
      <c r="QLT230" s="340"/>
      <c r="QLU230" s="340"/>
      <c r="QLV230" s="340"/>
      <c r="QLW230" s="340"/>
      <c r="QLX230" s="340"/>
      <c r="QLY230" s="340"/>
      <c r="QLZ230" s="340"/>
      <c r="QMA230" s="340"/>
      <c r="QMB230" s="340"/>
      <c r="QMC230" s="340"/>
      <c r="QMD230" s="340"/>
      <c r="QME230" s="340"/>
      <c r="QMF230" s="340"/>
      <c r="QMG230" s="340"/>
      <c r="QMH230" s="340"/>
      <c r="QMI230" s="340"/>
      <c r="QMJ230" s="340"/>
      <c r="QMK230" s="340"/>
      <c r="QML230" s="340"/>
      <c r="QMM230" s="340"/>
      <c r="QMN230" s="340"/>
      <c r="QMO230" s="340"/>
      <c r="QMP230" s="340"/>
      <c r="QMQ230" s="340"/>
      <c r="QMR230" s="340"/>
      <c r="QMS230" s="340"/>
      <c r="QMT230" s="340"/>
      <c r="QMU230" s="340"/>
      <c r="QMV230" s="340"/>
      <c r="QMW230" s="340"/>
      <c r="QMX230" s="340"/>
      <c r="QMY230" s="340"/>
      <c r="QMZ230" s="340"/>
      <c r="QNA230" s="340"/>
      <c r="QNB230" s="340"/>
      <c r="QNC230" s="340"/>
      <c r="QND230" s="340"/>
      <c r="QNE230" s="340"/>
      <c r="QNF230" s="340"/>
      <c r="QNG230" s="340"/>
      <c r="QNH230" s="340"/>
      <c r="QNI230" s="340"/>
      <c r="QNJ230" s="340"/>
      <c r="QNK230" s="340"/>
      <c r="QNL230" s="340"/>
      <c r="QNM230" s="340"/>
      <c r="QNN230" s="340"/>
      <c r="QNO230" s="340"/>
      <c r="QNP230" s="340"/>
      <c r="QNQ230" s="340"/>
      <c r="QNR230" s="340"/>
      <c r="QNS230" s="340"/>
      <c r="QNT230" s="340"/>
      <c r="QNU230" s="340"/>
      <c r="QNV230" s="340"/>
      <c r="QNW230" s="340"/>
      <c r="QNX230" s="340"/>
      <c r="QNY230" s="340"/>
      <c r="QNZ230" s="340"/>
      <c r="QOA230" s="340"/>
      <c r="QOB230" s="340"/>
      <c r="QOC230" s="340"/>
      <c r="QOD230" s="340"/>
      <c r="QOE230" s="340"/>
      <c r="QOF230" s="340"/>
      <c r="QOG230" s="340"/>
      <c r="QOH230" s="340"/>
      <c r="QOI230" s="340"/>
      <c r="QOJ230" s="340"/>
      <c r="QOK230" s="340"/>
      <c r="QOL230" s="340"/>
      <c r="QOM230" s="340"/>
      <c r="QON230" s="340"/>
      <c r="QOO230" s="340"/>
      <c r="QOP230" s="340"/>
      <c r="QOQ230" s="340"/>
      <c r="QOR230" s="340"/>
      <c r="QOS230" s="340"/>
      <c r="QOT230" s="340"/>
      <c r="QOU230" s="340"/>
      <c r="QOV230" s="340"/>
      <c r="QOW230" s="340"/>
      <c r="QOX230" s="340"/>
      <c r="QOY230" s="340"/>
      <c r="QOZ230" s="340"/>
      <c r="QPA230" s="340"/>
      <c r="QPB230" s="340"/>
      <c r="QPC230" s="340"/>
      <c r="QPD230" s="340"/>
      <c r="QPE230" s="340"/>
      <c r="QPF230" s="340"/>
      <c r="QPG230" s="340"/>
      <c r="QPH230" s="340"/>
      <c r="QPI230" s="340"/>
      <c r="QPJ230" s="340"/>
      <c r="QPK230" s="340"/>
      <c r="QPL230" s="340"/>
      <c r="QPM230" s="340"/>
      <c r="QPN230" s="340"/>
      <c r="QPO230" s="340"/>
      <c r="QPP230" s="340"/>
      <c r="QPQ230" s="340"/>
      <c r="QPR230" s="340"/>
      <c r="QPS230" s="340"/>
      <c r="QPT230" s="340"/>
      <c r="QPU230" s="340"/>
      <c r="QPV230" s="340"/>
      <c r="QPW230" s="340"/>
      <c r="QPX230" s="340"/>
      <c r="QPY230" s="340"/>
      <c r="QPZ230" s="340"/>
      <c r="QQA230" s="340"/>
      <c r="QQB230" s="340"/>
      <c r="QQC230" s="340"/>
      <c r="QQD230" s="340"/>
      <c r="QQE230" s="340"/>
      <c r="QQF230" s="340"/>
      <c r="QQG230" s="340"/>
      <c r="QQH230" s="340"/>
      <c r="QQI230" s="340"/>
      <c r="QQJ230" s="340"/>
      <c r="QQK230" s="340"/>
      <c r="QQL230" s="340"/>
      <c r="QQM230" s="340"/>
      <c r="QQN230" s="340"/>
      <c r="QQO230" s="340"/>
      <c r="QQP230" s="340"/>
      <c r="QQQ230" s="340"/>
      <c r="QQR230" s="340"/>
      <c r="QQS230" s="340"/>
      <c r="QQT230" s="340"/>
      <c r="QQU230" s="340"/>
      <c r="QQV230" s="340"/>
      <c r="QQW230" s="340"/>
      <c r="QQX230" s="340"/>
      <c r="QQY230" s="340"/>
      <c r="QQZ230" s="340"/>
      <c r="QRA230" s="340"/>
      <c r="QRB230" s="340"/>
      <c r="QRC230" s="340"/>
      <c r="QRD230" s="340"/>
      <c r="QRE230" s="340"/>
      <c r="QRF230" s="340"/>
      <c r="QRG230" s="340"/>
      <c r="QRH230" s="340"/>
      <c r="QRI230" s="340"/>
      <c r="QRJ230" s="340"/>
      <c r="QRK230" s="340"/>
      <c r="QRL230" s="340"/>
      <c r="QRM230" s="340"/>
      <c r="QRN230" s="340"/>
      <c r="QRO230" s="340"/>
      <c r="QRP230" s="340"/>
      <c r="QRQ230" s="340"/>
      <c r="QRR230" s="340"/>
      <c r="QRS230" s="340"/>
      <c r="QRT230" s="340"/>
      <c r="QRU230" s="340"/>
      <c r="QRV230" s="340"/>
      <c r="QRW230" s="340"/>
      <c r="QRX230" s="340"/>
      <c r="QRY230" s="340"/>
      <c r="QRZ230" s="340"/>
      <c r="QSA230" s="340"/>
      <c r="QSB230" s="340"/>
      <c r="QSC230" s="340"/>
      <c r="QSD230" s="340"/>
      <c r="QSE230" s="340"/>
      <c r="QSF230" s="340"/>
      <c r="QSG230" s="340"/>
      <c r="QSH230" s="340"/>
      <c r="QSI230" s="340"/>
      <c r="QSJ230" s="340"/>
      <c r="QSK230" s="340"/>
      <c r="QSL230" s="340"/>
      <c r="QSM230" s="340"/>
      <c r="QSN230" s="340"/>
      <c r="QSO230" s="340"/>
      <c r="QSP230" s="340"/>
      <c r="QSQ230" s="340"/>
      <c r="QSR230" s="340"/>
      <c r="QSS230" s="340"/>
      <c r="QST230" s="340"/>
      <c r="QSU230" s="340"/>
      <c r="QSV230" s="340"/>
      <c r="QSW230" s="340"/>
      <c r="QSX230" s="340"/>
      <c r="QSY230" s="340"/>
      <c r="QSZ230" s="340"/>
      <c r="QTA230" s="340"/>
      <c r="QTB230" s="340"/>
      <c r="QTC230" s="340"/>
      <c r="QTD230" s="340"/>
      <c r="QTE230" s="340"/>
      <c r="QTF230" s="340"/>
      <c r="QTG230" s="340"/>
      <c r="QTH230" s="340"/>
      <c r="QTI230" s="340"/>
      <c r="QTJ230" s="340"/>
      <c r="QTK230" s="340"/>
      <c r="QTL230" s="340"/>
      <c r="QTM230" s="340"/>
      <c r="QTN230" s="340"/>
      <c r="QTO230" s="340"/>
      <c r="QTP230" s="340"/>
      <c r="QTQ230" s="340"/>
      <c r="QTR230" s="340"/>
      <c r="QTS230" s="340"/>
      <c r="QTT230" s="340"/>
      <c r="QTU230" s="340"/>
      <c r="QTV230" s="340"/>
      <c r="QTW230" s="340"/>
      <c r="QTX230" s="340"/>
      <c r="QTY230" s="340"/>
      <c r="QTZ230" s="340"/>
      <c r="QUA230" s="340"/>
      <c r="QUB230" s="340"/>
      <c r="QUC230" s="340"/>
      <c r="QUD230" s="340"/>
      <c r="QUE230" s="340"/>
      <c r="QUF230" s="340"/>
      <c r="QUG230" s="340"/>
      <c r="QUH230" s="340"/>
      <c r="QUI230" s="340"/>
      <c r="QUJ230" s="340"/>
      <c r="QUK230" s="340"/>
      <c r="QUL230" s="340"/>
      <c r="QUM230" s="340"/>
      <c r="QUN230" s="340"/>
      <c r="QUO230" s="340"/>
      <c r="QUP230" s="340"/>
      <c r="QUQ230" s="340"/>
      <c r="QUR230" s="340"/>
      <c r="QUS230" s="340"/>
      <c r="QUT230" s="340"/>
      <c r="QUU230" s="340"/>
      <c r="QUV230" s="340"/>
      <c r="QUW230" s="340"/>
      <c r="QUX230" s="340"/>
      <c r="QUY230" s="340"/>
      <c r="QUZ230" s="340"/>
      <c r="QVA230" s="340"/>
      <c r="QVB230" s="340"/>
      <c r="QVC230" s="340"/>
      <c r="QVD230" s="340"/>
      <c r="QVE230" s="340"/>
      <c r="QVF230" s="340"/>
      <c r="QVG230" s="340"/>
      <c r="QVH230" s="340"/>
      <c r="QVI230" s="340"/>
      <c r="QVJ230" s="340"/>
      <c r="QVK230" s="340"/>
      <c r="QVL230" s="340"/>
      <c r="QVM230" s="340"/>
      <c r="QVN230" s="340"/>
      <c r="QVO230" s="340"/>
      <c r="QVP230" s="340"/>
      <c r="QVQ230" s="340"/>
      <c r="QVR230" s="340"/>
      <c r="QVS230" s="340"/>
      <c r="QVT230" s="340"/>
      <c r="QVU230" s="340"/>
      <c r="QVV230" s="340"/>
      <c r="QVW230" s="340"/>
      <c r="QVX230" s="340"/>
      <c r="QVY230" s="340"/>
      <c r="QVZ230" s="340"/>
      <c r="QWA230" s="340"/>
      <c r="QWB230" s="340"/>
      <c r="QWC230" s="340"/>
      <c r="QWD230" s="340"/>
      <c r="QWE230" s="340"/>
      <c r="QWF230" s="340"/>
      <c r="QWG230" s="340"/>
      <c r="QWH230" s="340"/>
      <c r="QWI230" s="340"/>
      <c r="QWJ230" s="340"/>
      <c r="QWK230" s="340"/>
      <c r="QWL230" s="340"/>
      <c r="QWM230" s="340"/>
      <c r="QWN230" s="340"/>
      <c r="QWO230" s="340"/>
      <c r="QWP230" s="340"/>
      <c r="QWQ230" s="340"/>
      <c r="QWR230" s="340"/>
      <c r="QWS230" s="340"/>
      <c r="QWT230" s="340"/>
      <c r="QWU230" s="340"/>
      <c r="QWV230" s="340"/>
      <c r="QWW230" s="340"/>
      <c r="QWX230" s="340"/>
      <c r="QWY230" s="340"/>
      <c r="QWZ230" s="340"/>
      <c r="QXA230" s="340"/>
      <c r="QXB230" s="340"/>
      <c r="QXC230" s="340"/>
      <c r="QXD230" s="340"/>
      <c r="QXE230" s="340"/>
      <c r="QXF230" s="340"/>
      <c r="QXG230" s="340"/>
      <c r="QXH230" s="340"/>
      <c r="QXI230" s="340"/>
      <c r="QXJ230" s="340"/>
      <c r="QXK230" s="340"/>
      <c r="QXL230" s="340"/>
      <c r="QXM230" s="340"/>
      <c r="QXN230" s="340"/>
      <c r="QXO230" s="340"/>
      <c r="QXP230" s="340"/>
      <c r="QXQ230" s="340"/>
      <c r="QXR230" s="340"/>
      <c r="QXS230" s="340"/>
      <c r="QXT230" s="340"/>
      <c r="QXU230" s="340"/>
      <c r="QXV230" s="340"/>
      <c r="QXW230" s="340"/>
      <c r="QXX230" s="340"/>
      <c r="QXY230" s="340"/>
      <c r="QXZ230" s="340"/>
      <c r="QYA230" s="340"/>
      <c r="QYB230" s="340"/>
      <c r="QYC230" s="340"/>
      <c r="QYD230" s="340"/>
      <c r="QYE230" s="340"/>
      <c r="QYF230" s="340"/>
      <c r="QYG230" s="340"/>
      <c r="QYH230" s="340"/>
      <c r="QYI230" s="340"/>
      <c r="QYJ230" s="340"/>
      <c r="QYK230" s="340"/>
      <c r="QYL230" s="340"/>
      <c r="QYM230" s="340"/>
      <c r="QYN230" s="340"/>
      <c r="QYO230" s="340"/>
      <c r="QYP230" s="340"/>
      <c r="QYQ230" s="340"/>
      <c r="QYR230" s="340"/>
      <c r="QYS230" s="340"/>
      <c r="QYT230" s="340"/>
      <c r="QYU230" s="340"/>
      <c r="QYV230" s="340"/>
      <c r="QYW230" s="340"/>
      <c r="QYX230" s="340"/>
      <c r="QYY230" s="340"/>
      <c r="QYZ230" s="340"/>
      <c r="QZA230" s="340"/>
      <c r="QZB230" s="340"/>
      <c r="QZC230" s="340"/>
      <c r="QZD230" s="340"/>
      <c r="QZE230" s="340"/>
      <c r="QZF230" s="340"/>
      <c r="QZG230" s="340"/>
      <c r="QZH230" s="340"/>
      <c r="QZI230" s="340"/>
      <c r="QZJ230" s="340"/>
      <c r="QZK230" s="340"/>
      <c r="QZL230" s="340"/>
      <c r="QZM230" s="340"/>
      <c r="QZN230" s="340"/>
      <c r="QZO230" s="340"/>
      <c r="QZP230" s="340"/>
      <c r="QZQ230" s="340"/>
      <c r="QZR230" s="340"/>
      <c r="QZS230" s="340"/>
      <c r="QZT230" s="340"/>
      <c r="QZU230" s="340"/>
      <c r="QZV230" s="340"/>
      <c r="QZW230" s="340"/>
      <c r="QZX230" s="340"/>
      <c r="QZY230" s="340"/>
      <c r="QZZ230" s="340"/>
      <c r="RAA230" s="340"/>
      <c r="RAB230" s="340"/>
      <c r="RAC230" s="340"/>
      <c r="RAD230" s="340"/>
      <c r="RAE230" s="340"/>
      <c r="RAF230" s="340"/>
      <c r="RAG230" s="340"/>
      <c r="RAH230" s="340"/>
      <c r="RAI230" s="340"/>
      <c r="RAJ230" s="340"/>
      <c r="RAK230" s="340"/>
      <c r="RAL230" s="340"/>
      <c r="RAM230" s="340"/>
      <c r="RAN230" s="340"/>
      <c r="RAO230" s="340"/>
      <c r="RAP230" s="340"/>
      <c r="RAQ230" s="340"/>
      <c r="RAR230" s="340"/>
      <c r="RAS230" s="340"/>
      <c r="RAT230" s="340"/>
      <c r="RAU230" s="340"/>
      <c r="RAV230" s="340"/>
      <c r="RAW230" s="340"/>
      <c r="RAX230" s="340"/>
      <c r="RAY230" s="340"/>
      <c r="RAZ230" s="340"/>
      <c r="RBA230" s="340"/>
      <c r="RBB230" s="340"/>
      <c r="RBC230" s="340"/>
      <c r="RBD230" s="340"/>
      <c r="RBE230" s="340"/>
      <c r="RBF230" s="340"/>
      <c r="RBG230" s="340"/>
      <c r="RBH230" s="340"/>
      <c r="RBI230" s="340"/>
      <c r="RBJ230" s="340"/>
      <c r="RBK230" s="340"/>
      <c r="RBL230" s="340"/>
      <c r="RBM230" s="340"/>
      <c r="RBN230" s="340"/>
      <c r="RBO230" s="340"/>
      <c r="RBP230" s="340"/>
      <c r="RBQ230" s="340"/>
      <c r="RBR230" s="340"/>
      <c r="RBS230" s="340"/>
      <c r="RBT230" s="340"/>
      <c r="RBU230" s="340"/>
      <c r="RBV230" s="340"/>
      <c r="RBW230" s="340"/>
      <c r="RBX230" s="340"/>
      <c r="RBY230" s="340"/>
      <c r="RBZ230" s="340"/>
      <c r="RCA230" s="340"/>
      <c r="RCB230" s="340"/>
      <c r="RCC230" s="340"/>
      <c r="RCD230" s="340"/>
      <c r="RCE230" s="340"/>
      <c r="RCF230" s="340"/>
      <c r="RCG230" s="340"/>
      <c r="RCH230" s="340"/>
      <c r="RCI230" s="340"/>
      <c r="RCJ230" s="340"/>
      <c r="RCK230" s="340"/>
      <c r="RCL230" s="340"/>
      <c r="RCM230" s="340"/>
      <c r="RCN230" s="340"/>
      <c r="RCO230" s="340"/>
      <c r="RCP230" s="340"/>
      <c r="RCQ230" s="340"/>
      <c r="RCR230" s="340"/>
      <c r="RCS230" s="340"/>
      <c r="RCT230" s="340"/>
      <c r="RCU230" s="340"/>
      <c r="RCV230" s="340"/>
      <c r="RCW230" s="340"/>
      <c r="RCX230" s="340"/>
      <c r="RCY230" s="340"/>
      <c r="RCZ230" s="340"/>
      <c r="RDA230" s="340"/>
      <c r="RDB230" s="340"/>
      <c r="RDC230" s="340"/>
      <c r="RDD230" s="340"/>
      <c r="RDE230" s="340"/>
      <c r="RDF230" s="340"/>
      <c r="RDG230" s="340"/>
      <c r="RDH230" s="340"/>
      <c r="RDI230" s="340"/>
      <c r="RDJ230" s="340"/>
      <c r="RDK230" s="340"/>
      <c r="RDL230" s="340"/>
      <c r="RDM230" s="340"/>
      <c r="RDN230" s="340"/>
      <c r="RDO230" s="340"/>
      <c r="RDP230" s="340"/>
      <c r="RDQ230" s="340"/>
      <c r="RDR230" s="340"/>
      <c r="RDS230" s="340"/>
      <c r="RDT230" s="340"/>
      <c r="RDU230" s="340"/>
      <c r="RDV230" s="340"/>
      <c r="RDW230" s="340"/>
      <c r="RDX230" s="340"/>
      <c r="RDY230" s="340"/>
      <c r="RDZ230" s="340"/>
      <c r="REA230" s="340"/>
      <c r="REB230" s="340"/>
      <c r="REC230" s="340"/>
      <c r="RED230" s="340"/>
      <c r="REE230" s="340"/>
      <c r="REF230" s="340"/>
      <c r="REG230" s="340"/>
      <c r="REH230" s="340"/>
      <c r="REI230" s="340"/>
      <c r="REJ230" s="340"/>
      <c r="REK230" s="340"/>
      <c r="REL230" s="340"/>
      <c r="REM230" s="340"/>
      <c r="REN230" s="340"/>
      <c r="REO230" s="340"/>
      <c r="REP230" s="340"/>
      <c r="REQ230" s="340"/>
      <c r="RER230" s="340"/>
      <c r="RES230" s="340"/>
      <c r="RET230" s="340"/>
      <c r="REU230" s="340"/>
      <c r="REV230" s="340"/>
      <c r="REW230" s="340"/>
      <c r="REX230" s="340"/>
      <c r="REY230" s="340"/>
      <c r="REZ230" s="340"/>
      <c r="RFA230" s="340"/>
      <c r="RFB230" s="340"/>
      <c r="RFC230" s="340"/>
      <c r="RFD230" s="340"/>
      <c r="RFE230" s="340"/>
      <c r="RFF230" s="340"/>
      <c r="RFG230" s="340"/>
      <c r="RFH230" s="340"/>
      <c r="RFI230" s="340"/>
      <c r="RFJ230" s="340"/>
      <c r="RFK230" s="340"/>
      <c r="RFL230" s="340"/>
      <c r="RFM230" s="340"/>
      <c r="RFN230" s="340"/>
      <c r="RFO230" s="340"/>
      <c r="RFP230" s="340"/>
      <c r="RFQ230" s="340"/>
      <c r="RFR230" s="340"/>
      <c r="RFS230" s="340"/>
      <c r="RFT230" s="340"/>
      <c r="RFU230" s="340"/>
      <c r="RFV230" s="340"/>
      <c r="RFW230" s="340"/>
      <c r="RFX230" s="340"/>
      <c r="RFY230" s="340"/>
      <c r="RFZ230" s="340"/>
      <c r="RGA230" s="340"/>
      <c r="RGB230" s="340"/>
      <c r="RGC230" s="340"/>
      <c r="RGD230" s="340"/>
      <c r="RGE230" s="340"/>
      <c r="RGF230" s="340"/>
      <c r="RGG230" s="340"/>
      <c r="RGH230" s="340"/>
      <c r="RGI230" s="340"/>
      <c r="RGJ230" s="340"/>
      <c r="RGK230" s="340"/>
      <c r="RGL230" s="340"/>
      <c r="RGM230" s="340"/>
      <c r="RGN230" s="340"/>
      <c r="RGO230" s="340"/>
      <c r="RGP230" s="340"/>
      <c r="RGQ230" s="340"/>
      <c r="RGR230" s="340"/>
      <c r="RGS230" s="340"/>
      <c r="RGT230" s="340"/>
      <c r="RGU230" s="340"/>
      <c r="RGV230" s="340"/>
      <c r="RGW230" s="340"/>
      <c r="RGX230" s="340"/>
      <c r="RGY230" s="340"/>
      <c r="RGZ230" s="340"/>
      <c r="RHA230" s="340"/>
      <c r="RHB230" s="340"/>
      <c r="RHC230" s="340"/>
      <c r="RHD230" s="340"/>
      <c r="RHE230" s="340"/>
      <c r="RHF230" s="340"/>
      <c r="RHG230" s="340"/>
      <c r="RHH230" s="340"/>
      <c r="RHI230" s="340"/>
      <c r="RHJ230" s="340"/>
      <c r="RHK230" s="340"/>
      <c r="RHL230" s="340"/>
      <c r="RHM230" s="340"/>
      <c r="RHN230" s="340"/>
      <c r="RHO230" s="340"/>
      <c r="RHP230" s="340"/>
      <c r="RHQ230" s="340"/>
      <c r="RHR230" s="340"/>
      <c r="RHS230" s="340"/>
      <c r="RHT230" s="340"/>
      <c r="RHU230" s="340"/>
      <c r="RHV230" s="340"/>
      <c r="RHW230" s="340"/>
      <c r="RHX230" s="340"/>
      <c r="RHY230" s="340"/>
      <c r="RHZ230" s="340"/>
      <c r="RIA230" s="340"/>
      <c r="RIB230" s="340"/>
      <c r="RIC230" s="340"/>
      <c r="RID230" s="340"/>
      <c r="RIE230" s="340"/>
      <c r="RIF230" s="340"/>
      <c r="RIG230" s="340"/>
      <c r="RIH230" s="340"/>
      <c r="RII230" s="340"/>
      <c r="RIJ230" s="340"/>
      <c r="RIK230" s="340"/>
      <c r="RIL230" s="340"/>
      <c r="RIM230" s="340"/>
      <c r="RIN230" s="340"/>
      <c r="RIO230" s="340"/>
      <c r="RIP230" s="340"/>
      <c r="RIQ230" s="340"/>
      <c r="RIR230" s="340"/>
      <c r="RIS230" s="340"/>
      <c r="RIT230" s="340"/>
      <c r="RIU230" s="340"/>
      <c r="RIV230" s="340"/>
      <c r="RIW230" s="340"/>
      <c r="RIX230" s="340"/>
      <c r="RIY230" s="340"/>
      <c r="RIZ230" s="340"/>
      <c r="RJA230" s="340"/>
      <c r="RJB230" s="340"/>
      <c r="RJC230" s="340"/>
      <c r="RJD230" s="340"/>
      <c r="RJE230" s="340"/>
      <c r="RJF230" s="340"/>
      <c r="RJG230" s="340"/>
      <c r="RJH230" s="340"/>
      <c r="RJI230" s="340"/>
      <c r="RJJ230" s="340"/>
      <c r="RJK230" s="340"/>
      <c r="RJL230" s="340"/>
      <c r="RJM230" s="340"/>
      <c r="RJN230" s="340"/>
      <c r="RJO230" s="340"/>
      <c r="RJP230" s="340"/>
      <c r="RJQ230" s="340"/>
      <c r="RJR230" s="340"/>
      <c r="RJS230" s="340"/>
      <c r="RJT230" s="340"/>
      <c r="RJU230" s="340"/>
      <c r="RJV230" s="340"/>
      <c r="RJW230" s="340"/>
      <c r="RJX230" s="340"/>
      <c r="RJY230" s="340"/>
      <c r="RJZ230" s="340"/>
      <c r="RKA230" s="340"/>
      <c r="RKB230" s="340"/>
      <c r="RKC230" s="340"/>
      <c r="RKD230" s="340"/>
      <c r="RKE230" s="340"/>
      <c r="RKF230" s="340"/>
      <c r="RKG230" s="340"/>
      <c r="RKH230" s="340"/>
      <c r="RKI230" s="340"/>
      <c r="RKJ230" s="340"/>
      <c r="RKK230" s="340"/>
      <c r="RKL230" s="340"/>
      <c r="RKM230" s="340"/>
      <c r="RKN230" s="340"/>
      <c r="RKO230" s="340"/>
      <c r="RKP230" s="340"/>
      <c r="RKQ230" s="340"/>
      <c r="RKR230" s="340"/>
      <c r="RKS230" s="340"/>
      <c r="RKT230" s="340"/>
      <c r="RKU230" s="340"/>
      <c r="RKV230" s="340"/>
      <c r="RKW230" s="340"/>
      <c r="RKX230" s="340"/>
      <c r="RKY230" s="340"/>
      <c r="RKZ230" s="340"/>
      <c r="RLA230" s="340"/>
      <c r="RLB230" s="340"/>
      <c r="RLC230" s="340"/>
      <c r="RLD230" s="340"/>
      <c r="RLE230" s="340"/>
      <c r="RLF230" s="340"/>
      <c r="RLG230" s="340"/>
      <c r="RLH230" s="340"/>
      <c r="RLI230" s="340"/>
      <c r="RLJ230" s="340"/>
      <c r="RLK230" s="340"/>
      <c r="RLL230" s="340"/>
      <c r="RLM230" s="340"/>
      <c r="RLN230" s="340"/>
      <c r="RLO230" s="340"/>
      <c r="RLP230" s="340"/>
      <c r="RLQ230" s="340"/>
      <c r="RLR230" s="340"/>
      <c r="RLS230" s="340"/>
      <c r="RLT230" s="340"/>
      <c r="RLU230" s="340"/>
      <c r="RLV230" s="340"/>
      <c r="RLW230" s="340"/>
      <c r="RLX230" s="340"/>
      <c r="RLY230" s="340"/>
      <c r="RLZ230" s="340"/>
      <c r="RMA230" s="340"/>
      <c r="RMB230" s="340"/>
      <c r="RMC230" s="340"/>
      <c r="RMD230" s="340"/>
      <c r="RME230" s="340"/>
      <c r="RMF230" s="340"/>
      <c r="RMG230" s="340"/>
      <c r="RMH230" s="340"/>
      <c r="RMI230" s="340"/>
      <c r="RMJ230" s="340"/>
      <c r="RMK230" s="340"/>
      <c r="RML230" s="340"/>
      <c r="RMM230" s="340"/>
      <c r="RMN230" s="340"/>
      <c r="RMO230" s="340"/>
      <c r="RMP230" s="340"/>
      <c r="RMQ230" s="340"/>
      <c r="RMR230" s="340"/>
      <c r="RMS230" s="340"/>
      <c r="RMT230" s="340"/>
      <c r="RMU230" s="340"/>
      <c r="RMV230" s="340"/>
      <c r="RMW230" s="340"/>
      <c r="RMX230" s="340"/>
      <c r="RMY230" s="340"/>
      <c r="RMZ230" s="340"/>
      <c r="RNA230" s="340"/>
      <c r="RNB230" s="340"/>
      <c r="RNC230" s="340"/>
      <c r="RND230" s="340"/>
      <c r="RNE230" s="340"/>
      <c r="RNF230" s="340"/>
      <c r="RNG230" s="340"/>
      <c r="RNH230" s="340"/>
      <c r="RNI230" s="340"/>
      <c r="RNJ230" s="340"/>
      <c r="RNK230" s="340"/>
      <c r="RNL230" s="340"/>
      <c r="RNM230" s="340"/>
      <c r="RNN230" s="340"/>
      <c r="RNO230" s="340"/>
      <c r="RNP230" s="340"/>
      <c r="RNQ230" s="340"/>
      <c r="RNR230" s="340"/>
      <c r="RNS230" s="340"/>
      <c r="RNT230" s="340"/>
      <c r="RNU230" s="340"/>
      <c r="RNV230" s="340"/>
      <c r="RNW230" s="340"/>
      <c r="RNX230" s="340"/>
      <c r="RNY230" s="340"/>
      <c r="RNZ230" s="340"/>
      <c r="ROA230" s="340"/>
      <c r="ROB230" s="340"/>
      <c r="ROC230" s="340"/>
      <c r="ROD230" s="340"/>
      <c r="ROE230" s="340"/>
      <c r="ROF230" s="340"/>
      <c r="ROG230" s="340"/>
      <c r="ROH230" s="340"/>
      <c r="ROI230" s="340"/>
      <c r="ROJ230" s="340"/>
      <c r="ROK230" s="340"/>
      <c r="ROL230" s="340"/>
      <c r="ROM230" s="340"/>
      <c r="RON230" s="340"/>
      <c r="ROO230" s="340"/>
      <c r="ROP230" s="340"/>
      <c r="ROQ230" s="340"/>
      <c r="ROR230" s="340"/>
      <c r="ROS230" s="340"/>
      <c r="ROT230" s="340"/>
      <c r="ROU230" s="340"/>
      <c r="ROV230" s="340"/>
      <c r="ROW230" s="340"/>
      <c r="ROX230" s="340"/>
      <c r="ROY230" s="340"/>
      <c r="ROZ230" s="340"/>
      <c r="RPA230" s="340"/>
      <c r="RPB230" s="340"/>
      <c r="RPC230" s="340"/>
      <c r="RPD230" s="340"/>
      <c r="RPE230" s="340"/>
      <c r="RPF230" s="340"/>
      <c r="RPG230" s="340"/>
      <c r="RPH230" s="340"/>
      <c r="RPI230" s="340"/>
      <c r="RPJ230" s="340"/>
      <c r="RPK230" s="340"/>
      <c r="RPL230" s="340"/>
      <c r="RPM230" s="340"/>
      <c r="RPN230" s="340"/>
      <c r="RPO230" s="340"/>
      <c r="RPP230" s="340"/>
      <c r="RPQ230" s="340"/>
      <c r="RPR230" s="340"/>
      <c r="RPS230" s="340"/>
      <c r="RPT230" s="340"/>
      <c r="RPU230" s="340"/>
      <c r="RPV230" s="340"/>
      <c r="RPW230" s="340"/>
      <c r="RPX230" s="340"/>
      <c r="RPY230" s="340"/>
      <c r="RPZ230" s="340"/>
      <c r="RQA230" s="340"/>
      <c r="RQB230" s="340"/>
      <c r="RQC230" s="340"/>
      <c r="RQD230" s="340"/>
      <c r="RQE230" s="340"/>
      <c r="RQF230" s="340"/>
      <c r="RQG230" s="340"/>
      <c r="RQH230" s="340"/>
      <c r="RQI230" s="340"/>
      <c r="RQJ230" s="340"/>
      <c r="RQK230" s="340"/>
      <c r="RQL230" s="340"/>
      <c r="RQM230" s="340"/>
      <c r="RQN230" s="340"/>
      <c r="RQO230" s="340"/>
      <c r="RQP230" s="340"/>
      <c r="RQQ230" s="340"/>
      <c r="RQR230" s="340"/>
      <c r="RQS230" s="340"/>
      <c r="RQT230" s="340"/>
      <c r="RQU230" s="340"/>
      <c r="RQV230" s="340"/>
      <c r="RQW230" s="340"/>
      <c r="RQX230" s="340"/>
      <c r="RQY230" s="340"/>
      <c r="RQZ230" s="340"/>
      <c r="RRA230" s="340"/>
      <c r="RRB230" s="340"/>
      <c r="RRC230" s="340"/>
      <c r="RRD230" s="340"/>
      <c r="RRE230" s="340"/>
      <c r="RRF230" s="340"/>
      <c r="RRG230" s="340"/>
      <c r="RRH230" s="340"/>
      <c r="RRI230" s="340"/>
      <c r="RRJ230" s="340"/>
      <c r="RRK230" s="340"/>
      <c r="RRL230" s="340"/>
      <c r="RRM230" s="340"/>
      <c r="RRN230" s="340"/>
      <c r="RRO230" s="340"/>
      <c r="RRP230" s="340"/>
      <c r="RRQ230" s="340"/>
      <c r="RRR230" s="340"/>
      <c r="RRS230" s="340"/>
      <c r="RRT230" s="340"/>
      <c r="RRU230" s="340"/>
      <c r="RRV230" s="340"/>
      <c r="RRW230" s="340"/>
      <c r="RRX230" s="340"/>
      <c r="RRY230" s="340"/>
      <c r="RRZ230" s="340"/>
      <c r="RSA230" s="340"/>
      <c r="RSB230" s="340"/>
      <c r="RSC230" s="340"/>
      <c r="RSD230" s="340"/>
      <c r="RSE230" s="340"/>
      <c r="RSF230" s="340"/>
      <c r="RSG230" s="340"/>
      <c r="RSH230" s="340"/>
      <c r="RSI230" s="340"/>
      <c r="RSJ230" s="340"/>
      <c r="RSK230" s="340"/>
      <c r="RSL230" s="340"/>
      <c r="RSM230" s="340"/>
      <c r="RSN230" s="340"/>
      <c r="RSO230" s="340"/>
      <c r="RSP230" s="340"/>
      <c r="RSQ230" s="340"/>
      <c r="RSR230" s="340"/>
      <c r="RSS230" s="340"/>
      <c r="RST230" s="340"/>
      <c r="RSU230" s="340"/>
      <c r="RSV230" s="340"/>
      <c r="RSW230" s="340"/>
      <c r="RSX230" s="340"/>
      <c r="RSY230" s="340"/>
      <c r="RSZ230" s="340"/>
      <c r="RTA230" s="340"/>
      <c r="RTB230" s="340"/>
      <c r="RTC230" s="340"/>
      <c r="RTD230" s="340"/>
      <c r="RTE230" s="340"/>
      <c r="RTF230" s="340"/>
      <c r="RTG230" s="340"/>
      <c r="RTH230" s="340"/>
      <c r="RTI230" s="340"/>
      <c r="RTJ230" s="340"/>
      <c r="RTK230" s="340"/>
      <c r="RTL230" s="340"/>
      <c r="RTM230" s="340"/>
      <c r="RTN230" s="340"/>
      <c r="RTO230" s="340"/>
      <c r="RTP230" s="340"/>
      <c r="RTQ230" s="340"/>
      <c r="RTR230" s="340"/>
      <c r="RTS230" s="340"/>
      <c r="RTT230" s="340"/>
      <c r="RTU230" s="340"/>
      <c r="RTV230" s="340"/>
      <c r="RTW230" s="340"/>
      <c r="RTX230" s="340"/>
      <c r="RTY230" s="340"/>
      <c r="RTZ230" s="340"/>
      <c r="RUA230" s="340"/>
      <c r="RUB230" s="340"/>
      <c r="RUC230" s="340"/>
      <c r="RUD230" s="340"/>
      <c r="RUE230" s="340"/>
      <c r="RUF230" s="340"/>
      <c r="RUG230" s="340"/>
      <c r="RUH230" s="340"/>
      <c r="RUI230" s="340"/>
      <c r="RUJ230" s="340"/>
      <c r="RUK230" s="340"/>
      <c r="RUL230" s="340"/>
      <c r="RUM230" s="340"/>
      <c r="RUN230" s="340"/>
      <c r="RUO230" s="340"/>
      <c r="RUP230" s="340"/>
      <c r="RUQ230" s="340"/>
      <c r="RUR230" s="340"/>
      <c r="RUS230" s="340"/>
      <c r="RUT230" s="340"/>
      <c r="RUU230" s="340"/>
      <c r="RUV230" s="340"/>
      <c r="RUW230" s="340"/>
      <c r="RUX230" s="340"/>
      <c r="RUY230" s="340"/>
      <c r="RUZ230" s="340"/>
      <c r="RVA230" s="340"/>
      <c r="RVB230" s="340"/>
      <c r="RVC230" s="340"/>
      <c r="RVD230" s="340"/>
      <c r="RVE230" s="340"/>
      <c r="RVF230" s="340"/>
      <c r="RVG230" s="340"/>
      <c r="RVH230" s="340"/>
      <c r="RVI230" s="340"/>
      <c r="RVJ230" s="340"/>
      <c r="RVK230" s="340"/>
      <c r="RVL230" s="340"/>
      <c r="RVM230" s="340"/>
      <c r="RVN230" s="340"/>
      <c r="RVO230" s="340"/>
      <c r="RVP230" s="340"/>
      <c r="RVQ230" s="340"/>
      <c r="RVR230" s="340"/>
      <c r="RVS230" s="340"/>
      <c r="RVT230" s="340"/>
      <c r="RVU230" s="340"/>
      <c r="RVV230" s="340"/>
      <c r="RVW230" s="340"/>
      <c r="RVX230" s="340"/>
      <c r="RVY230" s="340"/>
      <c r="RVZ230" s="340"/>
      <c r="RWA230" s="340"/>
      <c r="RWB230" s="340"/>
      <c r="RWC230" s="340"/>
      <c r="RWD230" s="340"/>
      <c r="RWE230" s="340"/>
      <c r="RWF230" s="340"/>
      <c r="RWG230" s="340"/>
      <c r="RWH230" s="340"/>
      <c r="RWI230" s="340"/>
      <c r="RWJ230" s="340"/>
      <c r="RWK230" s="340"/>
      <c r="RWL230" s="340"/>
      <c r="RWM230" s="340"/>
      <c r="RWN230" s="340"/>
      <c r="RWO230" s="340"/>
      <c r="RWP230" s="340"/>
      <c r="RWQ230" s="340"/>
      <c r="RWR230" s="340"/>
      <c r="RWS230" s="340"/>
      <c r="RWT230" s="340"/>
      <c r="RWU230" s="340"/>
      <c r="RWV230" s="340"/>
      <c r="RWW230" s="340"/>
      <c r="RWX230" s="340"/>
      <c r="RWY230" s="340"/>
      <c r="RWZ230" s="340"/>
      <c r="RXA230" s="340"/>
      <c r="RXB230" s="340"/>
      <c r="RXC230" s="340"/>
      <c r="RXD230" s="340"/>
      <c r="RXE230" s="340"/>
      <c r="RXF230" s="340"/>
      <c r="RXG230" s="340"/>
      <c r="RXH230" s="340"/>
      <c r="RXI230" s="340"/>
      <c r="RXJ230" s="340"/>
      <c r="RXK230" s="340"/>
      <c r="RXL230" s="340"/>
      <c r="RXM230" s="340"/>
      <c r="RXN230" s="340"/>
      <c r="RXO230" s="340"/>
      <c r="RXP230" s="340"/>
      <c r="RXQ230" s="340"/>
      <c r="RXR230" s="340"/>
      <c r="RXS230" s="340"/>
      <c r="RXT230" s="340"/>
      <c r="RXU230" s="340"/>
      <c r="RXV230" s="340"/>
      <c r="RXW230" s="340"/>
      <c r="RXX230" s="340"/>
      <c r="RXY230" s="340"/>
      <c r="RXZ230" s="340"/>
      <c r="RYA230" s="340"/>
      <c r="RYB230" s="340"/>
      <c r="RYC230" s="340"/>
      <c r="RYD230" s="340"/>
      <c r="RYE230" s="340"/>
      <c r="RYF230" s="340"/>
      <c r="RYG230" s="340"/>
      <c r="RYH230" s="340"/>
      <c r="RYI230" s="340"/>
      <c r="RYJ230" s="340"/>
      <c r="RYK230" s="340"/>
      <c r="RYL230" s="340"/>
      <c r="RYM230" s="340"/>
      <c r="RYN230" s="340"/>
      <c r="RYO230" s="340"/>
      <c r="RYP230" s="340"/>
      <c r="RYQ230" s="340"/>
      <c r="RYR230" s="340"/>
      <c r="RYS230" s="340"/>
      <c r="RYT230" s="340"/>
      <c r="RYU230" s="340"/>
      <c r="RYV230" s="340"/>
      <c r="RYW230" s="340"/>
      <c r="RYX230" s="340"/>
      <c r="RYY230" s="340"/>
      <c r="RYZ230" s="340"/>
      <c r="RZA230" s="340"/>
      <c r="RZB230" s="340"/>
      <c r="RZC230" s="340"/>
      <c r="RZD230" s="340"/>
      <c r="RZE230" s="340"/>
      <c r="RZF230" s="340"/>
      <c r="RZG230" s="340"/>
      <c r="RZH230" s="340"/>
      <c r="RZI230" s="340"/>
      <c r="RZJ230" s="340"/>
      <c r="RZK230" s="340"/>
      <c r="RZL230" s="340"/>
      <c r="RZM230" s="340"/>
      <c r="RZN230" s="340"/>
      <c r="RZO230" s="340"/>
      <c r="RZP230" s="340"/>
      <c r="RZQ230" s="340"/>
      <c r="RZR230" s="340"/>
      <c r="RZS230" s="340"/>
      <c r="RZT230" s="340"/>
      <c r="RZU230" s="340"/>
      <c r="RZV230" s="340"/>
      <c r="RZW230" s="340"/>
      <c r="RZX230" s="340"/>
      <c r="RZY230" s="340"/>
      <c r="RZZ230" s="340"/>
      <c r="SAA230" s="340"/>
      <c r="SAB230" s="340"/>
      <c r="SAC230" s="340"/>
      <c r="SAD230" s="340"/>
      <c r="SAE230" s="340"/>
      <c r="SAF230" s="340"/>
      <c r="SAG230" s="340"/>
      <c r="SAH230" s="340"/>
      <c r="SAI230" s="340"/>
      <c r="SAJ230" s="340"/>
      <c r="SAK230" s="340"/>
      <c r="SAL230" s="340"/>
      <c r="SAM230" s="340"/>
      <c r="SAN230" s="340"/>
      <c r="SAO230" s="340"/>
      <c r="SAP230" s="340"/>
      <c r="SAQ230" s="340"/>
      <c r="SAR230" s="340"/>
      <c r="SAS230" s="340"/>
      <c r="SAT230" s="340"/>
      <c r="SAU230" s="340"/>
      <c r="SAV230" s="340"/>
      <c r="SAW230" s="340"/>
      <c r="SAX230" s="340"/>
      <c r="SAY230" s="340"/>
      <c r="SAZ230" s="340"/>
      <c r="SBA230" s="340"/>
      <c r="SBB230" s="340"/>
      <c r="SBC230" s="340"/>
      <c r="SBD230" s="340"/>
      <c r="SBE230" s="340"/>
      <c r="SBF230" s="340"/>
      <c r="SBG230" s="340"/>
      <c r="SBH230" s="340"/>
      <c r="SBI230" s="340"/>
      <c r="SBJ230" s="340"/>
      <c r="SBK230" s="340"/>
      <c r="SBL230" s="340"/>
      <c r="SBM230" s="340"/>
      <c r="SBN230" s="340"/>
      <c r="SBO230" s="340"/>
      <c r="SBP230" s="340"/>
      <c r="SBQ230" s="340"/>
      <c r="SBR230" s="340"/>
      <c r="SBS230" s="340"/>
      <c r="SBT230" s="340"/>
      <c r="SBU230" s="340"/>
      <c r="SBV230" s="340"/>
      <c r="SBW230" s="340"/>
      <c r="SBX230" s="340"/>
      <c r="SBY230" s="340"/>
      <c r="SBZ230" s="340"/>
      <c r="SCA230" s="340"/>
      <c r="SCB230" s="340"/>
      <c r="SCC230" s="340"/>
      <c r="SCD230" s="340"/>
      <c r="SCE230" s="340"/>
      <c r="SCF230" s="340"/>
      <c r="SCG230" s="340"/>
      <c r="SCH230" s="340"/>
      <c r="SCI230" s="340"/>
      <c r="SCJ230" s="340"/>
      <c r="SCK230" s="340"/>
      <c r="SCL230" s="340"/>
      <c r="SCM230" s="340"/>
      <c r="SCN230" s="340"/>
      <c r="SCO230" s="340"/>
      <c r="SCP230" s="340"/>
      <c r="SCQ230" s="340"/>
      <c r="SCR230" s="340"/>
      <c r="SCS230" s="340"/>
      <c r="SCT230" s="340"/>
      <c r="SCU230" s="340"/>
      <c r="SCV230" s="340"/>
      <c r="SCW230" s="340"/>
      <c r="SCX230" s="340"/>
      <c r="SCY230" s="340"/>
      <c r="SCZ230" s="340"/>
      <c r="SDA230" s="340"/>
      <c r="SDB230" s="340"/>
      <c r="SDC230" s="340"/>
      <c r="SDD230" s="340"/>
      <c r="SDE230" s="340"/>
      <c r="SDF230" s="340"/>
      <c r="SDG230" s="340"/>
      <c r="SDH230" s="340"/>
      <c r="SDI230" s="340"/>
      <c r="SDJ230" s="340"/>
      <c r="SDK230" s="340"/>
      <c r="SDL230" s="340"/>
      <c r="SDM230" s="340"/>
      <c r="SDN230" s="340"/>
      <c r="SDO230" s="340"/>
      <c r="SDP230" s="340"/>
      <c r="SDQ230" s="340"/>
      <c r="SDR230" s="340"/>
      <c r="SDS230" s="340"/>
      <c r="SDT230" s="340"/>
      <c r="SDU230" s="340"/>
      <c r="SDV230" s="340"/>
      <c r="SDW230" s="340"/>
      <c r="SDX230" s="340"/>
      <c r="SDY230" s="340"/>
      <c r="SDZ230" s="340"/>
      <c r="SEA230" s="340"/>
      <c r="SEB230" s="340"/>
      <c r="SEC230" s="340"/>
      <c r="SED230" s="340"/>
      <c r="SEE230" s="340"/>
      <c r="SEF230" s="340"/>
      <c r="SEG230" s="340"/>
      <c r="SEH230" s="340"/>
      <c r="SEI230" s="340"/>
      <c r="SEJ230" s="340"/>
      <c r="SEK230" s="340"/>
      <c r="SEL230" s="340"/>
      <c r="SEM230" s="340"/>
      <c r="SEN230" s="340"/>
      <c r="SEO230" s="340"/>
      <c r="SEP230" s="340"/>
      <c r="SEQ230" s="340"/>
      <c r="SER230" s="340"/>
      <c r="SES230" s="340"/>
      <c r="SET230" s="340"/>
      <c r="SEU230" s="340"/>
      <c r="SEV230" s="340"/>
      <c r="SEW230" s="340"/>
      <c r="SEX230" s="340"/>
      <c r="SEY230" s="340"/>
      <c r="SEZ230" s="340"/>
      <c r="SFA230" s="340"/>
      <c r="SFB230" s="340"/>
      <c r="SFC230" s="340"/>
      <c r="SFD230" s="340"/>
      <c r="SFE230" s="340"/>
      <c r="SFF230" s="340"/>
      <c r="SFG230" s="340"/>
      <c r="SFH230" s="340"/>
      <c r="SFI230" s="340"/>
      <c r="SFJ230" s="340"/>
      <c r="SFK230" s="340"/>
      <c r="SFL230" s="340"/>
      <c r="SFM230" s="340"/>
      <c r="SFN230" s="340"/>
      <c r="SFO230" s="340"/>
      <c r="SFP230" s="340"/>
      <c r="SFQ230" s="340"/>
      <c r="SFR230" s="340"/>
      <c r="SFS230" s="340"/>
      <c r="SFT230" s="340"/>
      <c r="SFU230" s="340"/>
      <c r="SFV230" s="340"/>
      <c r="SFW230" s="340"/>
      <c r="SFX230" s="340"/>
      <c r="SFY230" s="340"/>
      <c r="SFZ230" s="340"/>
      <c r="SGA230" s="340"/>
      <c r="SGB230" s="340"/>
      <c r="SGC230" s="340"/>
      <c r="SGD230" s="340"/>
      <c r="SGE230" s="340"/>
      <c r="SGF230" s="340"/>
      <c r="SGG230" s="340"/>
      <c r="SGH230" s="340"/>
      <c r="SGI230" s="340"/>
      <c r="SGJ230" s="340"/>
      <c r="SGK230" s="340"/>
      <c r="SGL230" s="340"/>
      <c r="SGM230" s="340"/>
      <c r="SGN230" s="340"/>
      <c r="SGO230" s="340"/>
      <c r="SGP230" s="340"/>
      <c r="SGQ230" s="340"/>
      <c r="SGR230" s="340"/>
      <c r="SGS230" s="340"/>
      <c r="SGT230" s="340"/>
      <c r="SGU230" s="340"/>
      <c r="SGV230" s="340"/>
      <c r="SGW230" s="340"/>
      <c r="SGX230" s="340"/>
      <c r="SGY230" s="340"/>
      <c r="SGZ230" s="340"/>
      <c r="SHA230" s="340"/>
      <c r="SHB230" s="340"/>
      <c r="SHC230" s="340"/>
      <c r="SHD230" s="340"/>
      <c r="SHE230" s="340"/>
      <c r="SHF230" s="340"/>
      <c r="SHG230" s="340"/>
      <c r="SHH230" s="340"/>
      <c r="SHI230" s="340"/>
      <c r="SHJ230" s="340"/>
      <c r="SHK230" s="340"/>
      <c r="SHL230" s="340"/>
      <c r="SHM230" s="340"/>
      <c r="SHN230" s="340"/>
      <c r="SHO230" s="340"/>
      <c r="SHP230" s="340"/>
      <c r="SHQ230" s="340"/>
      <c r="SHR230" s="340"/>
      <c r="SHS230" s="340"/>
      <c r="SHT230" s="340"/>
      <c r="SHU230" s="340"/>
      <c r="SHV230" s="340"/>
      <c r="SHW230" s="340"/>
      <c r="SHX230" s="340"/>
      <c r="SHY230" s="340"/>
      <c r="SHZ230" s="340"/>
      <c r="SIA230" s="340"/>
      <c r="SIB230" s="340"/>
      <c r="SIC230" s="340"/>
      <c r="SID230" s="340"/>
      <c r="SIE230" s="340"/>
      <c r="SIF230" s="340"/>
      <c r="SIG230" s="340"/>
      <c r="SIH230" s="340"/>
      <c r="SII230" s="340"/>
      <c r="SIJ230" s="340"/>
      <c r="SIK230" s="340"/>
      <c r="SIL230" s="340"/>
      <c r="SIM230" s="340"/>
      <c r="SIN230" s="340"/>
      <c r="SIO230" s="340"/>
      <c r="SIP230" s="340"/>
      <c r="SIQ230" s="340"/>
      <c r="SIR230" s="340"/>
      <c r="SIS230" s="340"/>
      <c r="SIT230" s="340"/>
      <c r="SIU230" s="340"/>
      <c r="SIV230" s="340"/>
      <c r="SIW230" s="340"/>
      <c r="SIX230" s="340"/>
      <c r="SIY230" s="340"/>
      <c r="SIZ230" s="340"/>
      <c r="SJA230" s="340"/>
      <c r="SJB230" s="340"/>
      <c r="SJC230" s="340"/>
      <c r="SJD230" s="340"/>
      <c r="SJE230" s="340"/>
      <c r="SJF230" s="340"/>
      <c r="SJG230" s="340"/>
      <c r="SJH230" s="340"/>
      <c r="SJI230" s="340"/>
      <c r="SJJ230" s="340"/>
      <c r="SJK230" s="340"/>
      <c r="SJL230" s="340"/>
      <c r="SJM230" s="340"/>
      <c r="SJN230" s="340"/>
      <c r="SJO230" s="340"/>
      <c r="SJP230" s="340"/>
      <c r="SJQ230" s="340"/>
      <c r="SJR230" s="340"/>
      <c r="SJS230" s="340"/>
      <c r="SJT230" s="340"/>
      <c r="SJU230" s="340"/>
      <c r="SJV230" s="340"/>
      <c r="SJW230" s="340"/>
      <c r="SJX230" s="340"/>
      <c r="SJY230" s="340"/>
      <c r="SJZ230" s="340"/>
      <c r="SKA230" s="340"/>
      <c r="SKB230" s="340"/>
      <c r="SKC230" s="340"/>
      <c r="SKD230" s="340"/>
      <c r="SKE230" s="340"/>
      <c r="SKF230" s="340"/>
      <c r="SKG230" s="340"/>
      <c r="SKH230" s="340"/>
      <c r="SKI230" s="340"/>
      <c r="SKJ230" s="340"/>
      <c r="SKK230" s="340"/>
      <c r="SKL230" s="340"/>
      <c r="SKM230" s="340"/>
      <c r="SKN230" s="340"/>
      <c r="SKO230" s="340"/>
      <c r="SKP230" s="340"/>
      <c r="SKQ230" s="340"/>
      <c r="SKR230" s="340"/>
      <c r="SKS230" s="340"/>
      <c r="SKT230" s="340"/>
      <c r="SKU230" s="340"/>
      <c r="SKV230" s="340"/>
      <c r="SKW230" s="340"/>
      <c r="SKX230" s="340"/>
      <c r="SKY230" s="340"/>
      <c r="SKZ230" s="340"/>
      <c r="SLA230" s="340"/>
      <c r="SLB230" s="340"/>
      <c r="SLC230" s="340"/>
      <c r="SLD230" s="340"/>
      <c r="SLE230" s="340"/>
      <c r="SLF230" s="340"/>
      <c r="SLG230" s="340"/>
      <c r="SLH230" s="340"/>
      <c r="SLI230" s="340"/>
      <c r="SLJ230" s="340"/>
      <c r="SLK230" s="340"/>
      <c r="SLL230" s="340"/>
      <c r="SLM230" s="340"/>
      <c r="SLN230" s="340"/>
      <c r="SLO230" s="340"/>
      <c r="SLP230" s="340"/>
      <c r="SLQ230" s="340"/>
      <c r="SLR230" s="340"/>
      <c r="SLS230" s="340"/>
      <c r="SLT230" s="340"/>
      <c r="SLU230" s="340"/>
      <c r="SLV230" s="340"/>
      <c r="SLW230" s="340"/>
      <c r="SLX230" s="340"/>
      <c r="SLY230" s="340"/>
      <c r="SLZ230" s="340"/>
      <c r="SMA230" s="340"/>
      <c r="SMB230" s="340"/>
      <c r="SMC230" s="340"/>
      <c r="SMD230" s="340"/>
      <c r="SME230" s="340"/>
      <c r="SMF230" s="340"/>
      <c r="SMG230" s="340"/>
      <c r="SMH230" s="340"/>
      <c r="SMI230" s="340"/>
      <c r="SMJ230" s="340"/>
      <c r="SMK230" s="340"/>
      <c r="SML230" s="340"/>
      <c r="SMM230" s="340"/>
      <c r="SMN230" s="340"/>
      <c r="SMO230" s="340"/>
      <c r="SMP230" s="340"/>
      <c r="SMQ230" s="340"/>
      <c r="SMR230" s="340"/>
      <c r="SMS230" s="340"/>
      <c r="SMT230" s="340"/>
      <c r="SMU230" s="340"/>
      <c r="SMV230" s="340"/>
      <c r="SMW230" s="340"/>
      <c r="SMX230" s="340"/>
      <c r="SMY230" s="340"/>
      <c r="SMZ230" s="340"/>
      <c r="SNA230" s="340"/>
      <c r="SNB230" s="340"/>
      <c r="SNC230" s="340"/>
      <c r="SND230" s="340"/>
      <c r="SNE230" s="340"/>
      <c r="SNF230" s="340"/>
      <c r="SNG230" s="340"/>
      <c r="SNH230" s="340"/>
      <c r="SNI230" s="340"/>
      <c r="SNJ230" s="340"/>
      <c r="SNK230" s="340"/>
      <c r="SNL230" s="340"/>
      <c r="SNM230" s="340"/>
      <c r="SNN230" s="340"/>
      <c r="SNO230" s="340"/>
      <c r="SNP230" s="340"/>
      <c r="SNQ230" s="340"/>
      <c r="SNR230" s="340"/>
      <c r="SNS230" s="340"/>
      <c r="SNT230" s="340"/>
      <c r="SNU230" s="340"/>
      <c r="SNV230" s="340"/>
      <c r="SNW230" s="340"/>
      <c r="SNX230" s="340"/>
      <c r="SNY230" s="340"/>
      <c r="SNZ230" s="340"/>
      <c r="SOA230" s="340"/>
      <c r="SOB230" s="340"/>
      <c r="SOC230" s="340"/>
      <c r="SOD230" s="340"/>
      <c r="SOE230" s="340"/>
      <c r="SOF230" s="340"/>
      <c r="SOG230" s="340"/>
      <c r="SOH230" s="340"/>
      <c r="SOI230" s="340"/>
      <c r="SOJ230" s="340"/>
      <c r="SOK230" s="340"/>
      <c r="SOL230" s="340"/>
      <c r="SOM230" s="340"/>
      <c r="SON230" s="340"/>
      <c r="SOO230" s="340"/>
      <c r="SOP230" s="340"/>
      <c r="SOQ230" s="340"/>
      <c r="SOR230" s="340"/>
      <c r="SOS230" s="340"/>
      <c r="SOT230" s="340"/>
      <c r="SOU230" s="340"/>
      <c r="SOV230" s="340"/>
      <c r="SOW230" s="340"/>
      <c r="SOX230" s="340"/>
      <c r="SOY230" s="340"/>
      <c r="SOZ230" s="340"/>
      <c r="SPA230" s="340"/>
      <c r="SPB230" s="340"/>
      <c r="SPC230" s="340"/>
      <c r="SPD230" s="340"/>
      <c r="SPE230" s="340"/>
      <c r="SPF230" s="340"/>
      <c r="SPG230" s="340"/>
      <c r="SPH230" s="340"/>
      <c r="SPI230" s="340"/>
      <c r="SPJ230" s="340"/>
      <c r="SPK230" s="340"/>
      <c r="SPL230" s="340"/>
      <c r="SPM230" s="340"/>
      <c r="SPN230" s="340"/>
      <c r="SPO230" s="340"/>
      <c r="SPP230" s="340"/>
      <c r="SPQ230" s="340"/>
      <c r="SPR230" s="340"/>
      <c r="SPS230" s="340"/>
      <c r="SPT230" s="340"/>
      <c r="SPU230" s="340"/>
      <c r="SPV230" s="340"/>
      <c r="SPW230" s="340"/>
      <c r="SPX230" s="340"/>
      <c r="SPY230" s="340"/>
      <c r="SPZ230" s="340"/>
      <c r="SQA230" s="340"/>
      <c r="SQB230" s="340"/>
      <c r="SQC230" s="340"/>
      <c r="SQD230" s="340"/>
      <c r="SQE230" s="340"/>
      <c r="SQF230" s="340"/>
      <c r="SQG230" s="340"/>
      <c r="SQH230" s="340"/>
      <c r="SQI230" s="340"/>
      <c r="SQJ230" s="340"/>
      <c r="SQK230" s="340"/>
      <c r="SQL230" s="340"/>
      <c r="SQM230" s="340"/>
      <c r="SQN230" s="340"/>
      <c r="SQO230" s="340"/>
      <c r="SQP230" s="340"/>
      <c r="SQQ230" s="340"/>
      <c r="SQR230" s="340"/>
      <c r="SQS230" s="340"/>
      <c r="SQT230" s="340"/>
      <c r="SQU230" s="340"/>
      <c r="SQV230" s="340"/>
      <c r="SQW230" s="340"/>
      <c r="SQX230" s="340"/>
      <c r="SQY230" s="340"/>
      <c r="SQZ230" s="340"/>
      <c r="SRA230" s="340"/>
      <c r="SRB230" s="340"/>
      <c r="SRC230" s="340"/>
      <c r="SRD230" s="340"/>
      <c r="SRE230" s="340"/>
      <c r="SRF230" s="340"/>
      <c r="SRG230" s="340"/>
      <c r="SRH230" s="340"/>
      <c r="SRI230" s="340"/>
      <c r="SRJ230" s="340"/>
      <c r="SRK230" s="340"/>
      <c r="SRL230" s="340"/>
      <c r="SRM230" s="340"/>
      <c r="SRN230" s="340"/>
      <c r="SRO230" s="340"/>
      <c r="SRP230" s="340"/>
      <c r="SRQ230" s="340"/>
      <c r="SRR230" s="340"/>
      <c r="SRS230" s="340"/>
      <c r="SRT230" s="340"/>
      <c r="SRU230" s="340"/>
      <c r="SRV230" s="340"/>
      <c r="SRW230" s="340"/>
      <c r="SRX230" s="340"/>
      <c r="SRY230" s="340"/>
      <c r="SRZ230" s="340"/>
      <c r="SSA230" s="340"/>
      <c r="SSB230" s="340"/>
      <c r="SSC230" s="340"/>
      <c r="SSD230" s="340"/>
      <c r="SSE230" s="340"/>
      <c r="SSF230" s="340"/>
      <c r="SSG230" s="340"/>
      <c r="SSH230" s="340"/>
      <c r="SSI230" s="340"/>
      <c r="SSJ230" s="340"/>
      <c r="SSK230" s="340"/>
      <c r="SSL230" s="340"/>
      <c r="SSM230" s="340"/>
      <c r="SSN230" s="340"/>
      <c r="SSO230" s="340"/>
      <c r="SSP230" s="340"/>
      <c r="SSQ230" s="340"/>
      <c r="SSR230" s="340"/>
      <c r="SSS230" s="340"/>
      <c r="SST230" s="340"/>
      <c r="SSU230" s="340"/>
      <c r="SSV230" s="340"/>
      <c r="SSW230" s="340"/>
      <c r="SSX230" s="340"/>
      <c r="SSY230" s="340"/>
      <c r="SSZ230" s="340"/>
      <c r="STA230" s="340"/>
      <c r="STB230" s="340"/>
      <c r="STC230" s="340"/>
      <c r="STD230" s="340"/>
      <c r="STE230" s="340"/>
      <c r="STF230" s="340"/>
      <c r="STG230" s="340"/>
      <c r="STH230" s="340"/>
      <c r="STI230" s="340"/>
      <c r="STJ230" s="340"/>
      <c r="STK230" s="340"/>
      <c r="STL230" s="340"/>
      <c r="STM230" s="340"/>
      <c r="STN230" s="340"/>
      <c r="STO230" s="340"/>
      <c r="STP230" s="340"/>
      <c r="STQ230" s="340"/>
      <c r="STR230" s="340"/>
      <c r="STS230" s="340"/>
      <c r="STT230" s="340"/>
      <c r="STU230" s="340"/>
      <c r="STV230" s="340"/>
      <c r="STW230" s="340"/>
      <c r="STX230" s="340"/>
      <c r="STY230" s="340"/>
      <c r="STZ230" s="340"/>
      <c r="SUA230" s="340"/>
      <c r="SUB230" s="340"/>
      <c r="SUC230" s="340"/>
      <c r="SUD230" s="340"/>
      <c r="SUE230" s="340"/>
      <c r="SUF230" s="340"/>
      <c r="SUG230" s="340"/>
      <c r="SUH230" s="340"/>
      <c r="SUI230" s="340"/>
      <c r="SUJ230" s="340"/>
      <c r="SUK230" s="340"/>
      <c r="SUL230" s="340"/>
      <c r="SUM230" s="340"/>
      <c r="SUN230" s="340"/>
      <c r="SUO230" s="340"/>
      <c r="SUP230" s="340"/>
      <c r="SUQ230" s="340"/>
      <c r="SUR230" s="340"/>
      <c r="SUS230" s="340"/>
      <c r="SUT230" s="340"/>
      <c r="SUU230" s="340"/>
      <c r="SUV230" s="340"/>
      <c r="SUW230" s="340"/>
      <c r="SUX230" s="340"/>
      <c r="SUY230" s="340"/>
      <c r="SUZ230" s="340"/>
      <c r="SVA230" s="340"/>
      <c r="SVB230" s="340"/>
      <c r="SVC230" s="340"/>
      <c r="SVD230" s="340"/>
      <c r="SVE230" s="340"/>
      <c r="SVF230" s="340"/>
      <c r="SVG230" s="340"/>
      <c r="SVH230" s="340"/>
      <c r="SVI230" s="340"/>
      <c r="SVJ230" s="340"/>
      <c r="SVK230" s="340"/>
      <c r="SVL230" s="340"/>
      <c r="SVM230" s="340"/>
      <c r="SVN230" s="340"/>
      <c r="SVO230" s="340"/>
      <c r="SVP230" s="340"/>
      <c r="SVQ230" s="340"/>
      <c r="SVR230" s="340"/>
      <c r="SVS230" s="340"/>
      <c r="SVT230" s="340"/>
      <c r="SVU230" s="340"/>
      <c r="SVV230" s="340"/>
      <c r="SVW230" s="340"/>
      <c r="SVX230" s="340"/>
      <c r="SVY230" s="340"/>
      <c r="SVZ230" s="340"/>
      <c r="SWA230" s="340"/>
      <c r="SWB230" s="340"/>
      <c r="SWC230" s="340"/>
      <c r="SWD230" s="340"/>
      <c r="SWE230" s="340"/>
      <c r="SWF230" s="340"/>
      <c r="SWG230" s="340"/>
      <c r="SWH230" s="340"/>
      <c r="SWI230" s="340"/>
      <c r="SWJ230" s="340"/>
      <c r="SWK230" s="340"/>
      <c r="SWL230" s="340"/>
      <c r="SWM230" s="340"/>
      <c r="SWN230" s="340"/>
      <c r="SWO230" s="340"/>
      <c r="SWP230" s="340"/>
      <c r="SWQ230" s="340"/>
      <c r="SWR230" s="340"/>
      <c r="SWS230" s="340"/>
      <c r="SWT230" s="340"/>
      <c r="SWU230" s="340"/>
      <c r="SWV230" s="340"/>
      <c r="SWW230" s="340"/>
      <c r="SWX230" s="340"/>
      <c r="SWY230" s="340"/>
      <c r="SWZ230" s="340"/>
      <c r="SXA230" s="340"/>
      <c r="SXB230" s="340"/>
      <c r="SXC230" s="340"/>
      <c r="SXD230" s="340"/>
      <c r="SXE230" s="340"/>
      <c r="SXF230" s="340"/>
      <c r="SXG230" s="340"/>
      <c r="SXH230" s="340"/>
      <c r="SXI230" s="340"/>
      <c r="SXJ230" s="340"/>
      <c r="SXK230" s="340"/>
      <c r="SXL230" s="340"/>
      <c r="SXM230" s="340"/>
      <c r="SXN230" s="340"/>
      <c r="SXO230" s="340"/>
      <c r="SXP230" s="340"/>
      <c r="SXQ230" s="340"/>
      <c r="SXR230" s="340"/>
      <c r="SXS230" s="340"/>
      <c r="SXT230" s="340"/>
      <c r="SXU230" s="340"/>
      <c r="SXV230" s="340"/>
      <c r="SXW230" s="340"/>
      <c r="SXX230" s="340"/>
      <c r="SXY230" s="340"/>
      <c r="SXZ230" s="340"/>
      <c r="SYA230" s="340"/>
      <c r="SYB230" s="340"/>
      <c r="SYC230" s="340"/>
      <c r="SYD230" s="340"/>
      <c r="SYE230" s="340"/>
      <c r="SYF230" s="340"/>
      <c r="SYG230" s="340"/>
      <c r="SYH230" s="340"/>
      <c r="SYI230" s="340"/>
      <c r="SYJ230" s="340"/>
      <c r="SYK230" s="340"/>
      <c r="SYL230" s="340"/>
      <c r="SYM230" s="340"/>
      <c r="SYN230" s="340"/>
      <c r="SYO230" s="340"/>
      <c r="SYP230" s="340"/>
      <c r="SYQ230" s="340"/>
      <c r="SYR230" s="340"/>
      <c r="SYS230" s="340"/>
      <c r="SYT230" s="340"/>
      <c r="SYU230" s="340"/>
      <c r="SYV230" s="340"/>
      <c r="SYW230" s="340"/>
      <c r="SYX230" s="340"/>
      <c r="SYY230" s="340"/>
      <c r="SYZ230" s="340"/>
      <c r="SZA230" s="340"/>
      <c r="SZB230" s="340"/>
      <c r="SZC230" s="340"/>
      <c r="SZD230" s="340"/>
      <c r="SZE230" s="340"/>
      <c r="SZF230" s="340"/>
      <c r="SZG230" s="340"/>
      <c r="SZH230" s="340"/>
      <c r="SZI230" s="340"/>
      <c r="SZJ230" s="340"/>
      <c r="SZK230" s="340"/>
      <c r="SZL230" s="340"/>
      <c r="SZM230" s="340"/>
      <c r="SZN230" s="340"/>
      <c r="SZO230" s="340"/>
      <c r="SZP230" s="340"/>
      <c r="SZQ230" s="340"/>
      <c r="SZR230" s="340"/>
      <c r="SZS230" s="340"/>
      <c r="SZT230" s="340"/>
      <c r="SZU230" s="340"/>
      <c r="SZV230" s="340"/>
      <c r="SZW230" s="340"/>
      <c r="SZX230" s="340"/>
      <c r="SZY230" s="340"/>
      <c r="SZZ230" s="340"/>
      <c r="TAA230" s="340"/>
      <c r="TAB230" s="340"/>
      <c r="TAC230" s="340"/>
      <c r="TAD230" s="340"/>
      <c r="TAE230" s="340"/>
      <c r="TAF230" s="340"/>
      <c r="TAG230" s="340"/>
      <c r="TAH230" s="340"/>
      <c r="TAI230" s="340"/>
      <c r="TAJ230" s="340"/>
      <c r="TAK230" s="340"/>
      <c r="TAL230" s="340"/>
      <c r="TAM230" s="340"/>
      <c r="TAN230" s="340"/>
      <c r="TAO230" s="340"/>
      <c r="TAP230" s="340"/>
      <c r="TAQ230" s="340"/>
      <c r="TAR230" s="340"/>
      <c r="TAS230" s="340"/>
      <c r="TAT230" s="340"/>
      <c r="TAU230" s="340"/>
      <c r="TAV230" s="340"/>
      <c r="TAW230" s="340"/>
      <c r="TAX230" s="340"/>
      <c r="TAY230" s="340"/>
      <c r="TAZ230" s="340"/>
      <c r="TBA230" s="340"/>
      <c r="TBB230" s="340"/>
      <c r="TBC230" s="340"/>
      <c r="TBD230" s="340"/>
      <c r="TBE230" s="340"/>
      <c r="TBF230" s="340"/>
      <c r="TBG230" s="340"/>
      <c r="TBH230" s="340"/>
      <c r="TBI230" s="340"/>
      <c r="TBJ230" s="340"/>
      <c r="TBK230" s="340"/>
      <c r="TBL230" s="340"/>
      <c r="TBM230" s="340"/>
      <c r="TBN230" s="340"/>
      <c r="TBO230" s="340"/>
      <c r="TBP230" s="340"/>
      <c r="TBQ230" s="340"/>
      <c r="TBR230" s="340"/>
      <c r="TBS230" s="340"/>
      <c r="TBT230" s="340"/>
      <c r="TBU230" s="340"/>
      <c r="TBV230" s="340"/>
      <c r="TBW230" s="340"/>
      <c r="TBX230" s="340"/>
      <c r="TBY230" s="340"/>
      <c r="TBZ230" s="340"/>
      <c r="TCA230" s="340"/>
      <c r="TCB230" s="340"/>
      <c r="TCC230" s="340"/>
      <c r="TCD230" s="340"/>
      <c r="TCE230" s="340"/>
      <c r="TCF230" s="340"/>
      <c r="TCG230" s="340"/>
      <c r="TCH230" s="340"/>
      <c r="TCI230" s="340"/>
      <c r="TCJ230" s="340"/>
      <c r="TCK230" s="340"/>
      <c r="TCL230" s="340"/>
      <c r="TCM230" s="340"/>
      <c r="TCN230" s="340"/>
      <c r="TCO230" s="340"/>
      <c r="TCP230" s="340"/>
      <c r="TCQ230" s="340"/>
      <c r="TCR230" s="340"/>
      <c r="TCS230" s="340"/>
      <c r="TCT230" s="340"/>
      <c r="TCU230" s="340"/>
      <c r="TCV230" s="340"/>
      <c r="TCW230" s="340"/>
      <c r="TCX230" s="340"/>
      <c r="TCY230" s="340"/>
      <c r="TCZ230" s="340"/>
      <c r="TDA230" s="340"/>
      <c r="TDB230" s="340"/>
      <c r="TDC230" s="340"/>
      <c r="TDD230" s="340"/>
      <c r="TDE230" s="340"/>
      <c r="TDF230" s="340"/>
      <c r="TDG230" s="340"/>
      <c r="TDH230" s="340"/>
      <c r="TDI230" s="340"/>
      <c r="TDJ230" s="340"/>
      <c r="TDK230" s="340"/>
      <c r="TDL230" s="340"/>
      <c r="TDM230" s="340"/>
      <c r="TDN230" s="340"/>
      <c r="TDO230" s="340"/>
      <c r="TDP230" s="340"/>
      <c r="TDQ230" s="340"/>
      <c r="TDR230" s="340"/>
      <c r="TDS230" s="340"/>
      <c r="TDT230" s="340"/>
      <c r="TDU230" s="340"/>
      <c r="TDV230" s="340"/>
      <c r="TDW230" s="340"/>
      <c r="TDX230" s="340"/>
      <c r="TDY230" s="340"/>
      <c r="TDZ230" s="340"/>
      <c r="TEA230" s="340"/>
      <c r="TEB230" s="340"/>
      <c r="TEC230" s="340"/>
      <c r="TED230" s="340"/>
      <c r="TEE230" s="340"/>
      <c r="TEF230" s="340"/>
      <c r="TEG230" s="340"/>
      <c r="TEH230" s="340"/>
      <c r="TEI230" s="340"/>
      <c r="TEJ230" s="340"/>
      <c r="TEK230" s="340"/>
      <c r="TEL230" s="340"/>
      <c r="TEM230" s="340"/>
      <c r="TEN230" s="340"/>
      <c r="TEO230" s="340"/>
      <c r="TEP230" s="340"/>
      <c r="TEQ230" s="340"/>
      <c r="TER230" s="340"/>
      <c r="TES230" s="340"/>
      <c r="TET230" s="340"/>
      <c r="TEU230" s="340"/>
      <c r="TEV230" s="340"/>
      <c r="TEW230" s="340"/>
      <c r="TEX230" s="340"/>
      <c r="TEY230" s="340"/>
      <c r="TEZ230" s="340"/>
      <c r="TFA230" s="340"/>
      <c r="TFB230" s="340"/>
      <c r="TFC230" s="340"/>
      <c r="TFD230" s="340"/>
      <c r="TFE230" s="340"/>
      <c r="TFF230" s="340"/>
      <c r="TFG230" s="340"/>
      <c r="TFH230" s="340"/>
      <c r="TFI230" s="340"/>
      <c r="TFJ230" s="340"/>
      <c r="TFK230" s="340"/>
      <c r="TFL230" s="340"/>
      <c r="TFM230" s="340"/>
      <c r="TFN230" s="340"/>
      <c r="TFO230" s="340"/>
      <c r="TFP230" s="340"/>
      <c r="TFQ230" s="340"/>
      <c r="TFR230" s="340"/>
      <c r="TFS230" s="340"/>
      <c r="TFT230" s="340"/>
      <c r="TFU230" s="340"/>
      <c r="TFV230" s="340"/>
      <c r="TFW230" s="340"/>
      <c r="TFX230" s="340"/>
      <c r="TFY230" s="340"/>
      <c r="TFZ230" s="340"/>
      <c r="TGA230" s="340"/>
      <c r="TGB230" s="340"/>
      <c r="TGC230" s="340"/>
      <c r="TGD230" s="340"/>
      <c r="TGE230" s="340"/>
      <c r="TGF230" s="340"/>
      <c r="TGG230" s="340"/>
      <c r="TGH230" s="340"/>
      <c r="TGI230" s="340"/>
      <c r="TGJ230" s="340"/>
      <c r="TGK230" s="340"/>
      <c r="TGL230" s="340"/>
      <c r="TGM230" s="340"/>
      <c r="TGN230" s="340"/>
      <c r="TGO230" s="340"/>
      <c r="TGP230" s="340"/>
      <c r="TGQ230" s="340"/>
      <c r="TGR230" s="340"/>
      <c r="TGS230" s="340"/>
      <c r="TGT230" s="340"/>
      <c r="TGU230" s="340"/>
      <c r="TGV230" s="340"/>
      <c r="TGW230" s="340"/>
      <c r="TGX230" s="340"/>
      <c r="TGY230" s="340"/>
      <c r="TGZ230" s="340"/>
      <c r="THA230" s="340"/>
      <c r="THB230" s="340"/>
      <c r="THC230" s="340"/>
      <c r="THD230" s="340"/>
      <c r="THE230" s="340"/>
      <c r="THF230" s="340"/>
      <c r="THG230" s="340"/>
      <c r="THH230" s="340"/>
      <c r="THI230" s="340"/>
      <c r="THJ230" s="340"/>
      <c r="THK230" s="340"/>
      <c r="THL230" s="340"/>
      <c r="THM230" s="340"/>
      <c r="THN230" s="340"/>
      <c r="THO230" s="340"/>
      <c r="THP230" s="340"/>
      <c r="THQ230" s="340"/>
      <c r="THR230" s="340"/>
      <c r="THS230" s="340"/>
      <c r="THT230" s="340"/>
      <c r="THU230" s="340"/>
      <c r="THV230" s="340"/>
      <c r="THW230" s="340"/>
      <c r="THX230" s="340"/>
      <c r="THY230" s="340"/>
      <c r="THZ230" s="340"/>
      <c r="TIA230" s="340"/>
      <c r="TIB230" s="340"/>
      <c r="TIC230" s="340"/>
      <c r="TID230" s="340"/>
      <c r="TIE230" s="340"/>
      <c r="TIF230" s="340"/>
      <c r="TIG230" s="340"/>
      <c r="TIH230" s="340"/>
      <c r="TII230" s="340"/>
      <c r="TIJ230" s="340"/>
      <c r="TIK230" s="340"/>
      <c r="TIL230" s="340"/>
      <c r="TIM230" s="340"/>
      <c r="TIN230" s="340"/>
      <c r="TIO230" s="340"/>
      <c r="TIP230" s="340"/>
      <c r="TIQ230" s="340"/>
      <c r="TIR230" s="340"/>
      <c r="TIS230" s="340"/>
      <c r="TIT230" s="340"/>
      <c r="TIU230" s="340"/>
      <c r="TIV230" s="340"/>
      <c r="TIW230" s="340"/>
      <c r="TIX230" s="340"/>
      <c r="TIY230" s="340"/>
      <c r="TIZ230" s="340"/>
      <c r="TJA230" s="340"/>
      <c r="TJB230" s="340"/>
      <c r="TJC230" s="340"/>
      <c r="TJD230" s="340"/>
      <c r="TJE230" s="340"/>
      <c r="TJF230" s="340"/>
      <c r="TJG230" s="340"/>
      <c r="TJH230" s="340"/>
      <c r="TJI230" s="340"/>
      <c r="TJJ230" s="340"/>
      <c r="TJK230" s="340"/>
      <c r="TJL230" s="340"/>
      <c r="TJM230" s="340"/>
      <c r="TJN230" s="340"/>
      <c r="TJO230" s="340"/>
      <c r="TJP230" s="340"/>
      <c r="TJQ230" s="340"/>
      <c r="TJR230" s="340"/>
      <c r="TJS230" s="340"/>
      <c r="TJT230" s="340"/>
      <c r="TJU230" s="340"/>
      <c r="TJV230" s="340"/>
      <c r="TJW230" s="340"/>
      <c r="TJX230" s="340"/>
      <c r="TJY230" s="340"/>
      <c r="TJZ230" s="340"/>
      <c r="TKA230" s="340"/>
      <c r="TKB230" s="340"/>
      <c r="TKC230" s="340"/>
      <c r="TKD230" s="340"/>
      <c r="TKE230" s="340"/>
      <c r="TKF230" s="340"/>
      <c r="TKG230" s="340"/>
      <c r="TKH230" s="340"/>
      <c r="TKI230" s="340"/>
      <c r="TKJ230" s="340"/>
      <c r="TKK230" s="340"/>
      <c r="TKL230" s="340"/>
      <c r="TKM230" s="340"/>
      <c r="TKN230" s="340"/>
      <c r="TKO230" s="340"/>
      <c r="TKP230" s="340"/>
      <c r="TKQ230" s="340"/>
      <c r="TKR230" s="340"/>
      <c r="TKS230" s="340"/>
      <c r="TKT230" s="340"/>
      <c r="TKU230" s="340"/>
      <c r="TKV230" s="340"/>
      <c r="TKW230" s="340"/>
      <c r="TKX230" s="340"/>
      <c r="TKY230" s="340"/>
      <c r="TKZ230" s="340"/>
      <c r="TLA230" s="340"/>
      <c r="TLB230" s="340"/>
      <c r="TLC230" s="340"/>
      <c r="TLD230" s="340"/>
      <c r="TLE230" s="340"/>
      <c r="TLF230" s="340"/>
      <c r="TLG230" s="340"/>
      <c r="TLH230" s="340"/>
      <c r="TLI230" s="340"/>
      <c r="TLJ230" s="340"/>
      <c r="TLK230" s="340"/>
      <c r="TLL230" s="340"/>
      <c r="TLM230" s="340"/>
      <c r="TLN230" s="340"/>
      <c r="TLO230" s="340"/>
      <c r="TLP230" s="340"/>
      <c r="TLQ230" s="340"/>
      <c r="TLR230" s="340"/>
      <c r="TLS230" s="340"/>
      <c r="TLT230" s="340"/>
      <c r="TLU230" s="340"/>
      <c r="TLV230" s="340"/>
      <c r="TLW230" s="340"/>
      <c r="TLX230" s="340"/>
      <c r="TLY230" s="340"/>
      <c r="TLZ230" s="340"/>
      <c r="TMA230" s="340"/>
      <c r="TMB230" s="340"/>
      <c r="TMC230" s="340"/>
      <c r="TMD230" s="340"/>
      <c r="TME230" s="340"/>
      <c r="TMF230" s="340"/>
      <c r="TMG230" s="340"/>
      <c r="TMH230" s="340"/>
      <c r="TMI230" s="340"/>
      <c r="TMJ230" s="340"/>
      <c r="TMK230" s="340"/>
      <c r="TML230" s="340"/>
      <c r="TMM230" s="340"/>
      <c r="TMN230" s="340"/>
      <c r="TMO230" s="340"/>
      <c r="TMP230" s="340"/>
      <c r="TMQ230" s="340"/>
      <c r="TMR230" s="340"/>
      <c r="TMS230" s="340"/>
      <c r="TMT230" s="340"/>
      <c r="TMU230" s="340"/>
      <c r="TMV230" s="340"/>
      <c r="TMW230" s="340"/>
      <c r="TMX230" s="340"/>
      <c r="TMY230" s="340"/>
      <c r="TMZ230" s="340"/>
      <c r="TNA230" s="340"/>
      <c r="TNB230" s="340"/>
      <c r="TNC230" s="340"/>
      <c r="TND230" s="340"/>
      <c r="TNE230" s="340"/>
      <c r="TNF230" s="340"/>
      <c r="TNG230" s="340"/>
      <c r="TNH230" s="340"/>
      <c r="TNI230" s="340"/>
      <c r="TNJ230" s="340"/>
      <c r="TNK230" s="340"/>
      <c r="TNL230" s="340"/>
      <c r="TNM230" s="340"/>
      <c r="TNN230" s="340"/>
      <c r="TNO230" s="340"/>
      <c r="TNP230" s="340"/>
      <c r="TNQ230" s="340"/>
      <c r="TNR230" s="340"/>
      <c r="TNS230" s="340"/>
      <c r="TNT230" s="340"/>
      <c r="TNU230" s="340"/>
      <c r="TNV230" s="340"/>
      <c r="TNW230" s="340"/>
      <c r="TNX230" s="340"/>
      <c r="TNY230" s="340"/>
      <c r="TNZ230" s="340"/>
      <c r="TOA230" s="340"/>
      <c r="TOB230" s="340"/>
      <c r="TOC230" s="340"/>
      <c r="TOD230" s="340"/>
      <c r="TOE230" s="340"/>
      <c r="TOF230" s="340"/>
      <c r="TOG230" s="340"/>
      <c r="TOH230" s="340"/>
      <c r="TOI230" s="340"/>
      <c r="TOJ230" s="340"/>
      <c r="TOK230" s="340"/>
      <c r="TOL230" s="340"/>
      <c r="TOM230" s="340"/>
      <c r="TON230" s="340"/>
      <c r="TOO230" s="340"/>
      <c r="TOP230" s="340"/>
      <c r="TOQ230" s="340"/>
      <c r="TOR230" s="340"/>
      <c r="TOS230" s="340"/>
      <c r="TOT230" s="340"/>
      <c r="TOU230" s="340"/>
      <c r="TOV230" s="340"/>
      <c r="TOW230" s="340"/>
      <c r="TOX230" s="340"/>
      <c r="TOY230" s="340"/>
      <c r="TOZ230" s="340"/>
      <c r="TPA230" s="340"/>
      <c r="TPB230" s="340"/>
      <c r="TPC230" s="340"/>
      <c r="TPD230" s="340"/>
      <c r="TPE230" s="340"/>
      <c r="TPF230" s="340"/>
      <c r="TPG230" s="340"/>
      <c r="TPH230" s="340"/>
      <c r="TPI230" s="340"/>
      <c r="TPJ230" s="340"/>
      <c r="TPK230" s="340"/>
      <c r="TPL230" s="340"/>
      <c r="TPM230" s="340"/>
      <c r="TPN230" s="340"/>
      <c r="TPO230" s="340"/>
      <c r="TPP230" s="340"/>
      <c r="TPQ230" s="340"/>
      <c r="TPR230" s="340"/>
      <c r="TPS230" s="340"/>
      <c r="TPT230" s="340"/>
      <c r="TPU230" s="340"/>
      <c r="TPV230" s="340"/>
      <c r="TPW230" s="340"/>
      <c r="TPX230" s="340"/>
      <c r="TPY230" s="340"/>
      <c r="TPZ230" s="340"/>
      <c r="TQA230" s="340"/>
      <c r="TQB230" s="340"/>
      <c r="TQC230" s="340"/>
      <c r="TQD230" s="340"/>
      <c r="TQE230" s="340"/>
      <c r="TQF230" s="340"/>
      <c r="TQG230" s="340"/>
      <c r="TQH230" s="340"/>
      <c r="TQI230" s="340"/>
      <c r="TQJ230" s="340"/>
      <c r="TQK230" s="340"/>
      <c r="TQL230" s="340"/>
      <c r="TQM230" s="340"/>
      <c r="TQN230" s="340"/>
      <c r="TQO230" s="340"/>
      <c r="TQP230" s="340"/>
      <c r="TQQ230" s="340"/>
      <c r="TQR230" s="340"/>
      <c r="TQS230" s="340"/>
      <c r="TQT230" s="340"/>
      <c r="TQU230" s="340"/>
      <c r="TQV230" s="340"/>
      <c r="TQW230" s="340"/>
      <c r="TQX230" s="340"/>
      <c r="TQY230" s="340"/>
      <c r="TQZ230" s="340"/>
      <c r="TRA230" s="340"/>
      <c r="TRB230" s="340"/>
      <c r="TRC230" s="340"/>
      <c r="TRD230" s="340"/>
      <c r="TRE230" s="340"/>
      <c r="TRF230" s="340"/>
      <c r="TRG230" s="340"/>
      <c r="TRH230" s="340"/>
      <c r="TRI230" s="340"/>
      <c r="TRJ230" s="340"/>
      <c r="TRK230" s="340"/>
      <c r="TRL230" s="340"/>
      <c r="TRM230" s="340"/>
      <c r="TRN230" s="340"/>
      <c r="TRO230" s="340"/>
      <c r="TRP230" s="340"/>
      <c r="TRQ230" s="340"/>
      <c r="TRR230" s="340"/>
      <c r="TRS230" s="340"/>
      <c r="TRT230" s="340"/>
      <c r="TRU230" s="340"/>
      <c r="TRV230" s="340"/>
      <c r="TRW230" s="340"/>
      <c r="TRX230" s="340"/>
      <c r="TRY230" s="340"/>
      <c r="TRZ230" s="340"/>
      <c r="TSA230" s="340"/>
      <c r="TSB230" s="340"/>
      <c r="TSC230" s="340"/>
      <c r="TSD230" s="340"/>
      <c r="TSE230" s="340"/>
      <c r="TSF230" s="340"/>
      <c r="TSG230" s="340"/>
      <c r="TSH230" s="340"/>
      <c r="TSI230" s="340"/>
      <c r="TSJ230" s="340"/>
      <c r="TSK230" s="340"/>
      <c r="TSL230" s="340"/>
      <c r="TSM230" s="340"/>
      <c r="TSN230" s="340"/>
      <c r="TSO230" s="340"/>
      <c r="TSP230" s="340"/>
      <c r="TSQ230" s="340"/>
      <c r="TSR230" s="340"/>
      <c r="TSS230" s="340"/>
      <c r="TST230" s="340"/>
      <c r="TSU230" s="340"/>
      <c r="TSV230" s="340"/>
      <c r="TSW230" s="340"/>
      <c r="TSX230" s="340"/>
      <c r="TSY230" s="340"/>
      <c r="TSZ230" s="340"/>
      <c r="TTA230" s="340"/>
      <c r="TTB230" s="340"/>
      <c r="TTC230" s="340"/>
      <c r="TTD230" s="340"/>
      <c r="TTE230" s="340"/>
      <c r="TTF230" s="340"/>
      <c r="TTG230" s="340"/>
      <c r="TTH230" s="340"/>
      <c r="TTI230" s="340"/>
      <c r="TTJ230" s="340"/>
      <c r="TTK230" s="340"/>
      <c r="TTL230" s="340"/>
      <c r="TTM230" s="340"/>
      <c r="TTN230" s="340"/>
      <c r="TTO230" s="340"/>
      <c r="TTP230" s="340"/>
      <c r="TTQ230" s="340"/>
      <c r="TTR230" s="340"/>
      <c r="TTS230" s="340"/>
      <c r="TTT230" s="340"/>
      <c r="TTU230" s="340"/>
      <c r="TTV230" s="340"/>
      <c r="TTW230" s="340"/>
      <c r="TTX230" s="340"/>
      <c r="TTY230" s="340"/>
      <c r="TTZ230" s="340"/>
      <c r="TUA230" s="340"/>
      <c r="TUB230" s="340"/>
      <c r="TUC230" s="340"/>
      <c r="TUD230" s="340"/>
      <c r="TUE230" s="340"/>
      <c r="TUF230" s="340"/>
      <c r="TUG230" s="340"/>
      <c r="TUH230" s="340"/>
      <c r="TUI230" s="340"/>
      <c r="TUJ230" s="340"/>
      <c r="TUK230" s="340"/>
      <c r="TUL230" s="340"/>
      <c r="TUM230" s="340"/>
      <c r="TUN230" s="340"/>
      <c r="TUO230" s="340"/>
      <c r="TUP230" s="340"/>
      <c r="TUQ230" s="340"/>
      <c r="TUR230" s="340"/>
      <c r="TUS230" s="340"/>
      <c r="TUT230" s="340"/>
      <c r="TUU230" s="340"/>
      <c r="TUV230" s="340"/>
      <c r="TUW230" s="340"/>
      <c r="TUX230" s="340"/>
      <c r="TUY230" s="340"/>
      <c r="TUZ230" s="340"/>
      <c r="TVA230" s="340"/>
      <c r="TVB230" s="340"/>
      <c r="TVC230" s="340"/>
      <c r="TVD230" s="340"/>
      <c r="TVE230" s="340"/>
      <c r="TVF230" s="340"/>
      <c r="TVG230" s="340"/>
      <c r="TVH230" s="340"/>
      <c r="TVI230" s="340"/>
      <c r="TVJ230" s="340"/>
      <c r="TVK230" s="340"/>
      <c r="TVL230" s="340"/>
      <c r="TVM230" s="340"/>
      <c r="TVN230" s="340"/>
      <c r="TVO230" s="340"/>
      <c r="TVP230" s="340"/>
      <c r="TVQ230" s="340"/>
      <c r="TVR230" s="340"/>
      <c r="TVS230" s="340"/>
      <c r="TVT230" s="340"/>
      <c r="TVU230" s="340"/>
      <c r="TVV230" s="340"/>
      <c r="TVW230" s="340"/>
      <c r="TVX230" s="340"/>
      <c r="TVY230" s="340"/>
      <c r="TVZ230" s="340"/>
      <c r="TWA230" s="340"/>
      <c r="TWB230" s="340"/>
      <c r="TWC230" s="340"/>
      <c r="TWD230" s="340"/>
      <c r="TWE230" s="340"/>
      <c r="TWF230" s="340"/>
      <c r="TWG230" s="340"/>
      <c r="TWH230" s="340"/>
      <c r="TWI230" s="340"/>
      <c r="TWJ230" s="340"/>
      <c r="TWK230" s="340"/>
      <c r="TWL230" s="340"/>
      <c r="TWM230" s="340"/>
      <c r="TWN230" s="340"/>
      <c r="TWO230" s="340"/>
      <c r="TWP230" s="340"/>
      <c r="TWQ230" s="340"/>
      <c r="TWR230" s="340"/>
      <c r="TWS230" s="340"/>
      <c r="TWT230" s="340"/>
      <c r="TWU230" s="340"/>
      <c r="TWV230" s="340"/>
      <c r="TWW230" s="340"/>
      <c r="TWX230" s="340"/>
      <c r="TWY230" s="340"/>
      <c r="TWZ230" s="340"/>
      <c r="TXA230" s="340"/>
      <c r="TXB230" s="340"/>
      <c r="TXC230" s="340"/>
      <c r="TXD230" s="340"/>
      <c r="TXE230" s="340"/>
      <c r="TXF230" s="340"/>
      <c r="TXG230" s="340"/>
      <c r="TXH230" s="340"/>
      <c r="TXI230" s="340"/>
      <c r="TXJ230" s="340"/>
      <c r="TXK230" s="340"/>
      <c r="TXL230" s="340"/>
      <c r="TXM230" s="340"/>
      <c r="TXN230" s="340"/>
      <c r="TXO230" s="340"/>
      <c r="TXP230" s="340"/>
      <c r="TXQ230" s="340"/>
      <c r="TXR230" s="340"/>
      <c r="TXS230" s="340"/>
      <c r="TXT230" s="340"/>
      <c r="TXU230" s="340"/>
      <c r="TXV230" s="340"/>
      <c r="TXW230" s="340"/>
      <c r="TXX230" s="340"/>
      <c r="TXY230" s="340"/>
      <c r="TXZ230" s="340"/>
      <c r="TYA230" s="340"/>
      <c r="TYB230" s="340"/>
      <c r="TYC230" s="340"/>
      <c r="TYD230" s="340"/>
      <c r="TYE230" s="340"/>
      <c r="TYF230" s="340"/>
      <c r="TYG230" s="340"/>
      <c r="TYH230" s="340"/>
      <c r="TYI230" s="340"/>
      <c r="TYJ230" s="340"/>
      <c r="TYK230" s="340"/>
      <c r="TYL230" s="340"/>
      <c r="TYM230" s="340"/>
      <c r="TYN230" s="340"/>
      <c r="TYO230" s="340"/>
      <c r="TYP230" s="340"/>
      <c r="TYQ230" s="340"/>
      <c r="TYR230" s="340"/>
      <c r="TYS230" s="340"/>
      <c r="TYT230" s="340"/>
      <c r="TYU230" s="340"/>
      <c r="TYV230" s="340"/>
      <c r="TYW230" s="340"/>
      <c r="TYX230" s="340"/>
      <c r="TYY230" s="340"/>
      <c r="TYZ230" s="340"/>
      <c r="TZA230" s="340"/>
      <c r="TZB230" s="340"/>
      <c r="TZC230" s="340"/>
      <c r="TZD230" s="340"/>
      <c r="TZE230" s="340"/>
      <c r="TZF230" s="340"/>
      <c r="TZG230" s="340"/>
      <c r="TZH230" s="340"/>
      <c r="TZI230" s="340"/>
      <c r="TZJ230" s="340"/>
      <c r="TZK230" s="340"/>
      <c r="TZL230" s="340"/>
      <c r="TZM230" s="340"/>
      <c r="TZN230" s="340"/>
      <c r="TZO230" s="340"/>
      <c r="TZP230" s="340"/>
      <c r="TZQ230" s="340"/>
      <c r="TZR230" s="340"/>
      <c r="TZS230" s="340"/>
      <c r="TZT230" s="340"/>
      <c r="TZU230" s="340"/>
      <c r="TZV230" s="340"/>
      <c r="TZW230" s="340"/>
      <c r="TZX230" s="340"/>
      <c r="TZY230" s="340"/>
      <c r="TZZ230" s="340"/>
      <c r="UAA230" s="340"/>
      <c r="UAB230" s="340"/>
      <c r="UAC230" s="340"/>
      <c r="UAD230" s="340"/>
      <c r="UAE230" s="340"/>
      <c r="UAF230" s="340"/>
      <c r="UAG230" s="340"/>
      <c r="UAH230" s="340"/>
      <c r="UAI230" s="340"/>
      <c r="UAJ230" s="340"/>
      <c r="UAK230" s="340"/>
      <c r="UAL230" s="340"/>
      <c r="UAM230" s="340"/>
      <c r="UAN230" s="340"/>
      <c r="UAO230" s="340"/>
      <c r="UAP230" s="340"/>
      <c r="UAQ230" s="340"/>
      <c r="UAR230" s="340"/>
      <c r="UAS230" s="340"/>
      <c r="UAT230" s="340"/>
      <c r="UAU230" s="340"/>
      <c r="UAV230" s="340"/>
      <c r="UAW230" s="340"/>
      <c r="UAX230" s="340"/>
      <c r="UAY230" s="340"/>
      <c r="UAZ230" s="340"/>
      <c r="UBA230" s="340"/>
      <c r="UBB230" s="340"/>
      <c r="UBC230" s="340"/>
      <c r="UBD230" s="340"/>
      <c r="UBE230" s="340"/>
      <c r="UBF230" s="340"/>
      <c r="UBG230" s="340"/>
      <c r="UBH230" s="340"/>
      <c r="UBI230" s="340"/>
      <c r="UBJ230" s="340"/>
      <c r="UBK230" s="340"/>
      <c r="UBL230" s="340"/>
      <c r="UBM230" s="340"/>
      <c r="UBN230" s="340"/>
      <c r="UBO230" s="340"/>
      <c r="UBP230" s="340"/>
      <c r="UBQ230" s="340"/>
      <c r="UBR230" s="340"/>
      <c r="UBS230" s="340"/>
      <c r="UBT230" s="340"/>
      <c r="UBU230" s="340"/>
      <c r="UBV230" s="340"/>
      <c r="UBW230" s="340"/>
      <c r="UBX230" s="340"/>
      <c r="UBY230" s="340"/>
      <c r="UBZ230" s="340"/>
      <c r="UCA230" s="340"/>
      <c r="UCB230" s="340"/>
      <c r="UCC230" s="340"/>
      <c r="UCD230" s="340"/>
      <c r="UCE230" s="340"/>
      <c r="UCF230" s="340"/>
      <c r="UCG230" s="340"/>
      <c r="UCH230" s="340"/>
      <c r="UCI230" s="340"/>
      <c r="UCJ230" s="340"/>
      <c r="UCK230" s="340"/>
      <c r="UCL230" s="340"/>
      <c r="UCM230" s="340"/>
      <c r="UCN230" s="340"/>
      <c r="UCO230" s="340"/>
      <c r="UCP230" s="340"/>
      <c r="UCQ230" s="340"/>
      <c r="UCR230" s="340"/>
      <c r="UCS230" s="340"/>
      <c r="UCT230" s="340"/>
      <c r="UCU230" s="340"/>
      <c r="UCV230" s="340"/>
      <c r="UCW230" s="340"/>
      <c r="UCX230" s="340"/>
      <c r="UCY230" s="340"/>
      <c r="UCZ230" s="340"/>
      <c r="UDA230" s="340"/>
      <c r="UDB230" s="340"/>
      <c r="UDC230" s="340"/>
      <c r="UDD230" s="340"/>
      <c r="UDE230" s="340"/>
      <c r="UDF230" s="340"/>
      <c r="UDG230" s="340"/>
      <c r="UDH230" s="340"/>
      <c r="UDI230" s="340"/>
      <c r="UDJ230" s="340"/>
      <c r="UDK230" s="340"/>
      <c r="UDL230" s="340"/>
      <c r="UDM230" s="340"/>
      <c r="UDN230" s="340"/>
      <c r="UDO230" s="340"/>
      <c r="UDP230" s="340"/>
      <c r="UDQ230" s="340"/>
      <c r="UDR230" s="340"/>
      <c r="UDS230" s="340"/>
      <c r="UDT230" s="340"/>
      <c r="UDU230" s="340"/>
      <c r="UDV230" s="340"/>
      <c r="UDW230" s="340"/>
      <c r="UDX230" s="340"/>
      <c r="UDY230" s="340"/>
      <c r="UDZ230" s="340"/>
      <c r="UEA230" s="340"/>
      <c r="UEB230" s="340"/>
      <c r="UEC230" s="340"/>
      <c r="UED230" s="340"/>
      <c r="UEE230" s="340"/>
      <c r="UEF230" s="340"/>
      <c r="UEG230" s="340"/>
      <c r="UEH230" s="340"/>
      <c r="UEI230" s="340"/>
      <c r="UEJ230" s="340"/>
      <c r="UEK230" s="340"/>
      <c r="UEL230" s="340"/>
      <c r="UEM230" s="340"/>
      <c r="UEN230" s="340"/>
      <c r="UEO230" s="340"/>
      <c r="UEP230" s="340"/>
      <c r="UEQ230" s="340"/>
      <c r="UER230" s="340"/>
      <c r="UES230" s="340"/>
      <c r="UET230" s="340"/>
      <c r="UEU230" s="340"/>
      <c r="UEV230" s="340"/>
      <c r="UEW230" s="340"/>
      <c r="UEX230" s="340"/>
      <c r="UEY230" s="340"/>
      <c r="UEZ230" s="340"/>
      <c r="UFA230" s="340"/>
      <c r="UFB230" s="340"/>
      <c r="UFC230" s="340"/>
      <c r="UFD230" s="340"/>
      <c r="UFE230" s="340"/>
      <c r="UFF230" s="340"/>
      <c r="UFG230" s="340"/>
      <c r="UFH230" s="340"/>
      <c r="UFI230" s="340"/>
      <c r="UFJ230" s="340"/>
      <c r="UFK230" s="340"/>
      <c r="UFL230" s="340"/>
      <c r="UFM230" s="340"/>
      <c r="UFN230" s="340"/>
      <c r="UFO230" s="340"/>
      <c r="UFP230" s="340"/>
      <c r="UFQ230" s="340"/>
      <c r="UFR230" s="340"/>
      <c r="UFS230" s="340"/>
      <c r="UFT230" s="340"/>
      <c r="UFU230" s="340"/>
      <c r="UFV230" s="340"/>
      <c r="UFW230" s="340"/>
      <c r="UFX230" s="340"/>
      <c r="UFY230" s="340"/>
      <c r="UFZ230" s="340"/>
      <c r="UGA230" s="340"/>
      <c r="UGB230" s="340"/>
      <c r="UGC230" s="340"/>
      <c r="UGD230" s="340"/>
      <c r="UGE230" s="340"/>
      <c r="UGF230" s="340"/>
      <c r="UGG230" s="340"/>
      <c r="UGH230" s="340"/>
      <c r="UGI230" s="340"/>
      <c r="UGJ230" s="340"/>
      <c r="UGK230" s="340"/>
      <c r="UGL230" s="340"/>
      <c r="UGM230" s="340"/>
      <c r="UGN230" s="340"/>
      <c r="UGO230" s="340"/>
      <c r="UGP230" s="340"/>
      <c r="UGQ230" s="340"/>
      <c r="UGR230" s="340"/>
      <c r="UGS230" s="340"/>
      <c r="UGT230" s="340"/>
      <c r="UGU230" s="340"/>
      <c r="UGV230" s="340"/>
      <c r="UGW230" s="340"/>
      <c r="UGX230" s="340"/>
      <c r="UGY230" s="340"/>
      <c r="UGZ230" s="340"/>
      <c r="UHA230" s="340"/>
      <c r="UHB230" s="340"/>
      <c r="UHC230" s="340"/>
      <c r="UHD230" s="340"/>
      <c r="UHE230" s="340"/>
      <c r="UHF230" s="340"/>
      <c r="UHG230" s="340"/>
      <c r="UHH230" s="340"/>
      <c r="UHI230" s="340"/>
      <c r="UHJ230" s="340"/>
      <c r="UHK230" s="340"/>
      <c r="UHL230" s="340"/>
      <c r="UHM230" s="340"/>
      <c r="UHN230" s="340"/>
      <c r="UHO230" s="340"/>
      <c r="UHP230" s="340"/>
      <c r="UHQ230" s="340"/>
      <c r="UHR230" s="340"/>
      <c r="UHS230" s="340"/>
      <c r="UHT230" s="340"/>
      <c r="UHU230" s="340"/>
      <c r="UHV230" s="340"/>
      <c r="UHW230" s="340"/>
      <c r="UHX230" s="340"/>
      <c r="UHY230" s="340"/>
      <c r="UHZ230" s="340"/>
      <c r="UIA230" s="340"/>
      <c r="UIB230" s="340"/>
      <c r="UIC230" s="340"/>
      <c r="UID230" s="340"/>
      <c r="UIE230" s="340"/>
      <c r="UIF230" s="340"/>
      <c r="UIG230" s="340"/>
      <c r="UIH230" s="340"/>
      <c r="UII230" s="340"/>
      <c r="UIJ230" s="340"/>
      <c r="UIK230" s="340"/>
      <c r="UIL230" s="340"/>
      <c r="UIM230" s="340"/>
      <c r="UIN230" s="340"/>
      <c r="UIO230" s="340"/>
      <c r="UIP230" s="340"/>
      <c r="UIQ230" s="340"/>
      <c r="UIR230" s="340"/>
      <c r="UIS230" s="340"/>
      <c r="UIT230" s="340"/>
      <c r="UIU230" s="340"/>
      <c r="UIV230" s="340"/>
      <c r="UIW230" s="340"/>
      <c r="UIX230" s="340"/>
      <c r="UIY230" s="340"/>
      <c r="UIZ230" s="340"/>
      <c r="UJA230" s="340"/>
      <c r="UJB230" s="340"/>
      <c r="UJC230" s="340"/>
      <c r="UJD230" s="340"/>
      <c r="UJE230" s="340"/>
      <c r="UJF230" s="340"/>
      <c r="UJG230" s="340"/>
      <c r="UJH230" s="340"/>
      <c r="UJI230" s="340"/>
      <c r="UJJ230" s="340"/>
      <c r="UJK230" s="340"/>
      <c r="UJL230" s="340"/>
      <c r="UJM230" s="340"/>
      <c r="UJN230" s="340"/>
      <c r="UJO230" s="340"/>
      <c r="UJP230" s="340"/>
      <c r="UJQ230" s="340"/>
      <c r="UJR230" s="340"/>
      <c r="UJS230" s="340"/>
      <c r="UJT230" s="340"/>
      <c r="UJU230" s="340"/>
      <c r="UJV230" s="340"/>
      <c r="UJW230" s="340"/>
      <c r="UJX230" s="340"/>
      <c r="UJY230" s="340"/>
      <c r="UJZ230" s="340"/>
      <c r="UKA230" s="340"/>
      <c r="UKB230" s="340"/>
      <c r="UKC230" s="340"/>
      <c r="UKD230" s="340"/>
      <c r="UKE230" s="340"/>
      <c r="UKF230" s="340"/>
      <c r="UKG230" s="340"/>
      <c r="UKH230" s="340"/>
      <c r="UKI230" s="340"/>
      <c r="UKJ230" s="340"/>
      <c r="UKK230" s="340"/>
      <c r="UKL230" s="340"/>
      <c r="UKM230" s="340"/>
      <c r="UKN230" s="340"/>
      <c r="UKO230" s="340"/>
      <c r="UKP230" s="340"/>
      <c r="UKQ230" s="340"/>
      <c r="UKR230" s="340"/>
      <c r="UKS230" s="340"/>
      <c r="UKT230" s="340"/>
      <c r="UKU230" s="340"/>
      <c r="UKV230" s="340"/>
      <c r="UKW230" s="340"/>
      <c r="UKX230" s="340"/>
      <c r="UKY230" s="340"/>
      <c r="UKZ230" s="340"/>
      <c r="ULA230" s="340"/>
      <c r="ULB230" s="340"/>
      <c r="ULC230" s="340"/>
      <c r="ULD230" s="340"/>
      <c r="ULE230" s="340"/>
      <c r="ULF230" s="340"/>
      <c r="ULG230" s="340"/>
      <c r="ULH230" s="340"/>
      <c r="ULI230" s="340"/>
      <c r="ULJ230" s="340"/>
      <c r="ULK230" s="340"/>
      <c r="ULL230" s="340"/>
      <c r="ULM230" s="340"/>
      <c r="ULN230" s="340"/>
      <c r="ULO230" s="340"/>
      <c r="ULP230" s="340"/>
      <c r="ULQ230" s="340"/>
      <c r="ULR230" s="340"/>
      <c r="ULS230" s="340"/>
      <c r="ULT230" s="340"/>
      <c r="ULU230" s="340"/>
      <c r="ULV230" s="340"/>
      <c r="ULW230" s="340"/>
      <c r="ULX230" s="340"/>
      <c r="ULY230" s="340"/>
      <c r="ULZ230" s="340"/>
      <c r="UMA230" s="340"/>
      <c r="UMB230" s="340"/>
      <c r="UMC230" s="340"/>
      <c r="UMD230" s="340"/>
      <c r="UME230" s="340"/>
      <c r="UMF230" s="340"/>
      <c r="UMG230" s="340"/>
      <c r="UMH230" s="340"/>
      <c r="UMI230" s="340"/>
      <c r="UMJ230" s="340"/>
      <c r="UMK230" s="340"/>
      <c r="UML230" s="340"/>
      <c r="UMM230" s="340"/>
      <c r="UMN230" s="340"/>
      <c r="UMO230" s="340"/>
      <c r="UMP230" s="340"/>
      <c r="UMQ230" s="340"/>
      <c r="UMR230" s="340"/>
      <c r="UMS230" s="340"/>
      <c r="UMT230" s="340"/>
      <c r="UMU230" s="340"/>
      <c r="UMV230" s="340"/>
      <c r="UMW230" s="340"/>
      <c r="UMX230" s="340"/>
      <c r="UMY230" s="340"/>
      <c r="UMZ230" s="340"/>
      <c r="UNA230" s="340"/>
      <c r="UNB230" s="340"/>
      <c r="UNC230" s="340"/>
      <c r="UND230" s="340"/>
      <c r="UNE230" s="340"/>
      <c r="UNF230" s="340"/>
      <c r="UNG230" s="340"/>
      <c r="UNH230" s="340"/>
      <c r="UNI230" s="340"/>
      <c r="UNJ230" s="340"/>
      <c r="UNK230" s="340"/>
      <c r="UNL230" s="340"/>
      <c r="UNM230" s="340"/>
      <c r="UNN230" s="340"/>
      <c r="UNO230" s="340"/>
      <c r="UNP230" s="340"/>
      <c r="UNQ230" s="340"/>
      <c r="UNR230" s="340"/>
      <c r="UNS230" s="340"/>
      <c r="UNT230" s="340"/>
      <c r="UNU230" s="340"/>
      <c r="UNV230" s="340"/>
      <c r="UNW230" s="340"/>
      <c r="UNX230" s="340"/>
      <c r="UNY230" s="340"/>
      <c r="UNZ230" s="340"/>
      <c r="UOA230" s="340"/>
      <c r="UOB230" s="340"/>
      <c r="UOC230" s="340"/>
      <c r="UOD230" s="340"/>
      <c r="UOE230" s="340"/>
      <c r="UOF230" s="340"/>
      <c r="UOG230" s="340"/>
      <c r="UOH230" s="340"/>
      <c r="UOI230" s="340"/>
      <c r="UOJ230" s="340"/>
      <c r="UOK230" s="340"/>
      <c r="UOL230" s="340"/>
      <c r="UOM230" s="340"/>
      <c r="UON230" s="340"/>
      <c r="UOO230" s="340"/>
      <c r="UOP230" s="340"/>
      <c r="UOQ230" s="340"/>
      <c r="UOR230" s="340"/>
      <c r="UOS230" s="340"/>
      <c r="UOT230" s="340"/>
      <c r="UOU230" s="340"/>
      <c r="UOV230" s="340"/>
      <c r="UOW230" s="340"/>
      <c r="UOX230" s="340"/>
      <c r="UOY230" s="340"/>
      <c r="UOZ230" s="340"/>
      <c r="UPA230" s="340"/>
      <c r="UPB230" s="340"/>
      <c r="UPC230" s="340"/>
      <c r="UPD230" s="340"/>
      <c r="UPE230" s="340"/>
      <c r="UPF230" s="340"/>
      <c r="UPG230" s="340"/>
      <c r="UPH230" s="340"/>
      <c r="UPI230" s="340"/>
      <c r="UPJ230" s="340"/>
      <c r="UPK230" s="340"/>
      <c r="UPL230" s="340"/>
      <c r="UPM230" s="340"/>
      <c r="UPN230" s="340"/>
      <c r="UPO230" s="340"/>
      <c r="UPP230" s="340"/>
      <c r="UPQ230" s="340"/>
      <c r="UPR230" s="340"/>
      <c r="UPS230" s="340"/>
      <c r="UPT230" s="340"/>
      <c r="UPU230" s="340"/>
      <c r="UPV230" s="340"/>
      <c r="UPW230" s="340"/>
      <c r="UPX230" s="340"/>
      <c r="UPY230" s="340"/>
      <c r="UPZ230" s="340"/>
      <c r="UQA230" s="340"/>
      <c r="UQB230" s="340"/>
      <c r="UQC230" s="340"/>
      <c r="UQD230" s="340"/>
      <c r="UQE230" s="340"/>
      <c r="UQF230" s="340"/>
      <c r="UQG230" s="340"/>
      <c r="UQH230" s="340"/>
      <c r="UQI230" s="340"/>
      <c r="UQJ230" s="340"/>
      <c r="UQK230" s="340"/>
      <c r="UQL230" s="340"/>
      <c r="UQM230" s="340"/>
      <c r="UQN230" s="340"/>
      <c r="UQO230" s="340"/>
      <c r="UQP230" s="340"/>
      <c r="UQQ230" s="340"/>
      <c r="UQR230" s="340"/>
      <c r="UQS230" s="340"/>
      <c r="UQT230" s="340"/>
      <c r="UQU230" s="340"/>
      <c r="UQV230" s="340"/>
      <c r="UQW230" s="340"/>
      <c r="UQX230" s="340"/>
      <c r="UQY230" s="340"/>
      <c r="UQZ230" s="340"/>
      <c r="URA230" s="340"/>
      <c r="URB230" s="340"/>
      <c r="URC230" s="340"/>
      <c r="URD230" s="340"/>
      <c r="URE230" s="340"/>
      <c r="URF230" s="340"/>
      <c r="URG230" s="340"/>
      <c r="URH230" s="340"/>
      <c r="URI230" s="340"/>
      <c r="URJ230" s="340"/>
      <c r="URK230" s="340"/>
      <c r="URL230" s="340"/>
      <c r="URM230" s="340"/>
      <c r="URN230" s="340"/>
      <c r="URO230" s="340"/>
      <c r="URP230" s="340"/>
      <c r="URQ230" s="340"/>
      <c r="URR230" s="340"/>
      <c r="URS230" s="340"/>
      <c r="URT230" s="340"/>
      <c r="URU230" s="340"/>
      <c r="URV230" s="340"/>
      <c r="URW230" s="340"/>
      <c r="URX230" s="340"/>
      <c r="URY230" s="340"/>
      <c r="URZ230" s="340"/>
      <c r="USA230" s="340"/>
      <c r="USB230" s="340"/>
      <c r="USC230" s="340"/>
      <c r="USD230" s="340"/>
      <c r="USE230" s="340"/>
      <c r="USF230" s="340"/>
      <c r="USG230" s="340"/>
      <c r="USH230" s="340"/>
      <c r="USI230" s="340"/>
      <c r="USJ230" s="340"/>
      <c r="USK230" s="340"/>
      <c r="USL230" s="340"/>
      <c r="USM230" s="340"/>
      <c r="USN230" s="340"/>
      <c r="USO230" s="340"/>
      <c r="USP230" s="340"/>
      <c r="USQ230" s="340"/>
      <c r="USR230" s="340"/>
      <c r="USS230" s="340"/>
      <c r="UST230" s="340"/>
      <c r="USU230" s="340"/>
      <c r="USV230" s="340"/>
      <c r="USW230" s="340"/>
      <c r="USX230" s="340"/>
      <c r="USY230" s="340"/>
      <c r="USZ230" s="340"/>
      <c r="UTA230" s="340"/>
      <c r="UTB230" s="340"/>
      <c r="UTC230" s="340"/>
      <c r="UTD230" s="340"/>
      <c r="UTE230" s="340"/>
      <c r="UTF230" s="340"/>
      <c r="UTG230" s="340"/>
      <c r="UTH230" s="340"/>
      <c r="UTI230" s="340"/>
      <c r="UTJ230" s="340"/>
      <c r="UTK230" s="340"/>
      <c r="UTL230" s="340"/>
      <c r="UTM230" s="340"/>
      <c r="UTN230" s="340"/>
      <c r="UTO230" s="340"/>
      <c r="UTP230" s="340"/>
      <c r="UTQ230" s="340"/>
      <c r="UTR230" s="340"/>
      <c r="UTS230" s="340"/>
      <c r="UTT230" s="340"/>
      <c r="UTU230" s="340"/>
      <c r="UTV230" s="340"/>
      <c r="UTW230" s="340"/>
      <c r="UTX230" s="340"/>
      <c r="UTY230" s="340"/>
      <c r="UTZ230" s="340"/>
      <c r="UUA230" s="340"/>
      <c r="UUB230" s="340"/>
      <c r="UUC230" s="340"/>
      <c r="UUD230" s="340"/>
      <c r="UUE230" s="340"/>
      <c r="UUF230" s="340"/>
      <c r="UUG230" s="340"/>
      <c r="UUH230" s="340"/>
      <c r="UUI230" s="340"/>
      <c r="UUJ230" s="340"/>
      <c r="UUK230" s="340"/>
      <c r="UUL230" s="340"/>
      <c r="UUM230" s="340"/>
      <c r="UUN230" s="340"/>
      <c r="UUO230" s="340"/>
      <c r="UUP230" s="340"/>
      <c r="UUQ230" s="340"/>
      <c r="UUR230" s="340"/>
      <c r="UUS230" s="340"/>
      <c r="UUT230" s="340"/>
      <c r="UUU230" s="340"/>
      <c r="UUV230" s="340"/>
      <c r="UUW230" s="340"/>
      <c r="UUX230" s="340"/>
      <c r="UUY230" s="340"/>
      <c r="UUZ230" s="340"/>
      <c r="UVA230" s="340"/>
      <c r="UVB230" s="340"/>
      <c r="UVC230" s="340"/>
      <c r="UVD230" s="340"/>
      <c r="UVE230" s="340"/>
      <c r="UVF230" s="340"/>
      <c r="UVG230" s="340"/>
      <c r="UVH230" s="340"/>
      <c r="UVI230" s="340"/>
      <c r="UVJ230" s="340"/>
      <c r="UVK230" s="340"/>
      <c r="UVL230" s="340"/>
      <c r="UVM230" s="340"/>
      <c r="UVN230" s="340"/>
      <c r="UVO230" s="340"/>
      <c r="UVP230" s="340"/>
      <c r="UVQ230" s="340"/>
      <c r="UVR230" s="340"/>
      <c r="UVS230" s="340"/>
      <c r="UVT230" s="340"/>
      <c r="UVU230" s="340"/>
      <c r="UVV230" s="340"/>
      <c r="UVW230" s="340"/>
      <c r="UVX230" s="340"/>
      <c r="UVY230" s="340"/>
      <c r="UVZ230" s="340"/>
      <c r="UWA230" s="340"/>
      <c r="UWB230" s="340"/>
      <c r="UWC230" s="340"/>
      <c r="UWD230" s="340"/>
      <c r="UWE230" s="340"/>
      <c r="UWF230" s="340"/>
      <c r="UWG230" s="340"/>
      <c r="UWH230" s="340"/>
      <c r="UWI230" s="340"/>
      <c r="UWJ230" s="340"/>
      <c r="UWK230" s="340"/>
      <c r="UWL230" s="340"/>
      <c r="UWM230" s="340"/>
      <c r="UWN230" s="340"/>
      <c r="UWO230" s="340"/>
      <c r="UWP230" s="340"/>
      <c r="UWQ230" s="340"/>
      <c r="UWR230" s="340"/>
      <c r="UWS230" s="340"/>
      <c r="UWT230" s="340"/>
      <c r="UWU230" s="340"/>
      <c r="UWV230" s="340"/>
      <c r="UWW230" s="340"/>
      <c r="UWX230" s="340"/>
      <c r="UWY230" s="340"/>
      <c r="UWZ230" s="340"/>
      <c r="UXA230" s="340"/>
      <c r="UXB230" s="340"/>
      <c r="UXC230" s="340"/>
      <c r="UXD230" s="340"/>
      <c r="UXE230" s="340"/>
      <c r="UXF230" s="340"/>
      <c r="UXG230" s="340"/>
      <c r="UXH230" s="340"/>
      <c r="UXI230" s="340"/>
      <c r="UXJ230" s="340"/>
      <c r="UXK230" s="340"/>
      <c r="UXL230" s="340"/>
      <c r="UXM230" s="340"/>
      <c r="UXN230" s="340"/>
      <c r="UXO230" s="340"/>
      <c r="UXP230" s="340"/>
      <c r="UXQ230" s="340"/>
      <c r="UXR230" s="340"/>
      <c r="UXS230" s="340"/>
      <c r="UXT230" s="340"/>
      <c r="UXU230" s="340"/>
      <c r="UXV230" s="340"/>
      <c r="UXW230" s="340"/>
      <c r="UXX230" s="340"/>
      <c r="UXY230" s="340"/>
      <c r="UXZ230" s="340"/>
      <c r="UYA230" s="340"/>
      <c r="UYB230" s="340"/>
      <c r="UYC230" s="340"/>
      <c r="UYD230" s="340"/>
      <c r="UYE230" s="340"/>
      <c r="UYF230" s="340"/>
      <c r="UYG230" s="340"/>
      <c r="UYH230" s="340"/>
      <c r="UYI230" s="340"/>
      <c r="UYJ230" s="340"/>
      <c r="UYK230" s="340"/>
      <c r="UYL230" s="340"/>
      <c r="UYM230" s="340"/>
      <c r="UYN230" s="340"/>
      <c r="UYO230" s="340"/>
      <c r="UYP230" s="340"/>
      <c r="UYQ230" s="340"/>
      <c r="UYR230" s="340"/>
      <c r="UYS230" s="340"/>
      <c r="UYT230" s="340"/>
      <c r="UYU230" s="340"/>
      <c r="UYV230" s="340"/>
      <c r="UYW230" s="340"/>
      <c r="UYX230" s="340"/>
      <c r="UYY230" s="340"/>
      <c r="UYZ230" s="340"/>
      <c r="UZA230" s="340"/>
      <c r="UZB230" s="340"/>
      <c r="UZC230" s="340"/>
      <c r="UZD230" s="340"/>
      <c r="UZE230" s="340"/>
      <c r="UZF230" s="340"/>
      <c r="UZG230" s="340"/>
      <c r="UZH230" s="340"/>
      <c r="UZI230" s="340"/>
      <c r="UZJ230" s="340"/>
      <c r="UZK230" s="340"/>
      <c r="UZL230" s="340"/>
      <c r="UZM230" s="340"/>
      <c r="UZN230" s="340"/>
      <c r="UZO230" s="340"/>
      <c r="UZP230" s="340"/>
      <c r="UZQ230" s="340"/>
      <c r="UZR230" s="340"/>
      <c r="UZS230" s="340"/>
      <c r="UZT230" s="340"/>
      <c r="UZU230" s="340"/>
      <c r="UZV230" s="340"/>
      <c r="UZW230" s="340"/>
      <c r="UZX230" s="340"/>
      <c r="UZY230" s="340"/>
      <c r="UZZ230" s="340"/>
      <c r="VAA230" s="340"/>
      <c r="VAB230" s="340"/>
      <c r="VAC230" s="340"/>
      <c r="VAD230" s="340"/>
      <c r="VAE230" s="340"/>
      <c r="VAF230" s="340"/>
      <c r="VAG230" s="340"/>
      <c r="VAH230" s="340"/>
      <c r="VAI230" s="340"/>
      <c r="VAJ230" s="340"/>
      <c r="VAK230" s="340"/>
      <c r="VAL230" s="340"/>
      <c r="VAM230" s="340"/>
      <c r="VAN230" s="340"/>
      <c r="VAO230" s="340"/>
      <c r="VAP230" s="340"/>
      <c r="VAQ230" s="340"/>
      <c r="VAR230" s="340"/>
      <c r="VAS230" s="340"/>
      <c r="VAT230" s="340"/>
      <c r="VAU230" s="340"/>
      <c r="VAV230" s="340"/>
      <c r="VAW230" s="340"/>
      <c r="VAX230" s="340"/>
      <c r="VAY230" s="340"/>
      <c r="VAZ230" s="340"/>
      <c r="VBA230" s="340"/>
      <c r="VBB230" s="340"/>
      <c r="VBC230" s="340"/>
      <c r="VBD230" s="340"/>
      <c r="VBE230" s="340"/>
      <c r="VBF230" s="340"/>
      <c r="VBG230" s="340"/>
      <c r="VBH230" s="340"/>
      <c r="VBI230" s="340"/>
      <c r="VBJ230" s="340"/>
      <c r="VBK230" s="340"/>
      <c r="VBL230" s="340"/>
      <c r="VBM230" s="340"/>
      <c r="VBN230" s="340"/>
      <c r="VBO230" s="340"/>
      <c r="VBP230" s="340"/>
      <c r="VBQ230" s="340"/>
      <c r="VBR230" s="340"/>
      <c r="VBS230" s="340"/>
      <c r="VBT230" s="340"/>
      <c r="VBU230" s="340"/>
      <c r="VBV230" s="340"/>
      <c r="VBW230" s="340"/>
      <c r="VBX230" s="340"/>
      <c r="VBY230" s="340"/>
      <c r="VBZ230" s="340"/>
      <c r="VCA230" s="340"/>
      <c r="VCB230" s="340"/>
      <c r="VCC230" s="340"/>
      <c r="VCD230" s="340"/>
      <c r="VCE230" s="340"/>
      <c r="VCF230" s="340"/>
      <c r="VCG230" s="340"/>
      <c r="VCH230" s="340"/>
      <c r="VCI230" s="340"/>
      <c r="VCJ230" s="340"/>
      <c r="VCK230" s="340"/>
      <c r="VCL230" s="340"/>
      <c r="VCM230" s="340"/>
      <c r="VCN230" s="340"/>
      <c r="VCO230" s="340"/>
      <c r="VCP230" s="340"/>
      <c r="VCQ230" s="340"/>
      <c r="VCR230" s="340"/>
      <c r="VCS230" s="340"/>
      <c r="VCT230" s="340"/>
      <c r="VCU230" s="340"/>
      <c r="VCV230" s="340"/>
      <c r="VCW230" s="340"/>
      <c r="VCX230" s="340"/>
      <c r="VCY230" s="340"/>
      <c r="VCZ230" s="340"/>
      <c r="VDA230" s="340"/>
      <c r="VDB230" s="340"/>
      <c r="VDC230" s="340"/>
      <c r="VDD230" s="340"/>
      <c r="VDE230" s="340"/>
      <c r="VDF230" s="340"/>
      <c r="VDG230" s="340"/>
      <c r="VDH230" s="340"/>
      <c r="VDI230" s="340"/>
      <c r="VDJ230" s="340"/>
      <c r="VDK230" s="340"/>
      <c r="VDL230" s="340"/>
      <c r="VDM230" s="340"/>
      <c r="VDN230" s="340"/>
      <c r="VDO230" s="340"/>
      <c r="VDP230" s="340"/>
      <c r="VDQ230" s="340"/>
      <c r="VDR230" s="340"/>
      <c r="VDS230" s="340"/>
      <c r="VDT230" s="340"/>
      <c r="VDU230" s="340"/>
      <c r="VDV230" s="340"/>
      <c r="VDW230" s="340"/>
      <c r="VDX230" s="340"/>
      <c r="VDY230" s="340"/>
      <c r="VDZ230" s="340"/>
      <c r="VEA230" s="340"/>
      <c r="VEB230" s="340"/>
      <c r="VEC230" s="340"/>
      <c r="VED230" s="340"/>
      <c r="VEE230" s="340"/>
      <c r="VEF230" s="340"/>
      <c r="VEG230" s="340"/>
      <c r="VEH230" s="340"/>
      <c r="VEI230" s="340"/>
      <c r="VEJ230" s="340"/>
      <c r="VEK230" s="340"/>
      <c r="VEL230" s="340"/>
      <c r="VEM230" s="340"/>
      <c r="VEN230" s="340"/>
      <c r="VEO230" s="340"/>
      <c r="VEP230" s="340"/>
      <c r="VEQ230" s="340"/>
      <c r="VER230" s="340"/>
      <c r="VES230" s="340"/>
      <c r="VET230" s="340"/>
      <c r="VEU230" s="340"/>
      <c r="VEV230" s="340"/>
      <c r="VEW230" s="340"/>
      <c r="VEX230" s="340"/>
      <c r="VEY230" s="340"/>
      <c r="VEZ230" s="340"/>
      <c r="VFA230" s="340"/>
      <c r="VFB230" s="340"/>
      <c r="VFC230" s="340"/>
      <c r="VFD230" s="340"/>
      <c r="VFE230" s="340"/>
      <c r="VFF230" s="340"/>
      <c r="VFG230" s="340"/>
      <c r="VFH230" s="340"/>
      <c r="VFI230" s="340"/>
      <c r="VFJ230" s="340"/>
      <c r="VFK230" s="340"/>
      <c r="VFL230" s="340"/>
      <c r="VFM230" s="340"/>
      <c r="VFN230" s="340"/>
      <c r="VFO230" s="340"/>
      <c r="VFP230" s="340"/>
      <c r="VFQ230" s="340"/>
      <c r="VFR230" s="340"/>
      <c r="VFS230" s="340"/>
      <c r="VFT230" s="340"/>
      <c r="VFU230" s="340"/>
      <c r="VFV230" s="340"/>
      <c r="VFW230" s="340"/>
      <c r="VFX230" s="340"/>
      <c r="VFY230" s="340"/>
      <c r="VFZ230" s="340"/>
      <c r="VGA230" s="340"/>
      <c r="VGB230" s="340"/>
      <c r="VGC230" s="340"/>
      <c r="VGD230" s="340"/>
      <c r="VGE230" s="340"/>
      <c r="VGF230" s="340"/>
      <c r="VGG230" s="340"/>
      <c r="VGH230" s="340"/>
      <c r="VGI230" s="340"/>
      <c r="VGJ230" s="340"/>
      <c r="VGK230" s="340"/>
      <c r="VGL230" s="340"/>
      <c r="VGM230" s="340"/>
      <c r="VGN230" s="340"/>
      <c r="VGO230" s="340"/>
      <c r="VGP230" s="340"/>
      <c r="VGQ230" s="340"/>
      <c r="VGR230" s="340"/>
      <c r="VGS230" s="340"/>
      <c r="VGT230" s="340"/>
      <c r="VGU230" s="340"/>
      <c r="VGV230" s="340"/>
      <c r="VGW230" s="340"/>
      <c r="VGX230" s="340"/>
      <c r="VGY230" s="340"/>
      <c r="VGZ230" s="340"/>
      <c r="VHA230" s="340"/>
      <c r="VHB230" s="340"/>
      <c r="VHC230" s="340"/>
      <c r="VHD230" s="340"/>
      <c r="VHE230" s="340"/>
      <c r="VHF230" s="340"/>
      <c r="VHG230" s="340"/>
      <c r="VHH230" s="340"/>
      <c r="VHI230" s="340"/>
      <c r="VHJ230" s="340"/>
      <c r="VHK230" s="340"/>
      <c r="VHL230" s="340"/>
      <c r="VHM230" s="340"/>
      <c r="VHN230" s="340"/>
      <c r="VHO230" s="340"/>
      <c r="VHP230" s="340"/>
      <c r="VHQ230" s="340"/>
      <c r="VHR230" s="340"/>
      <c r="VHS230" s="340"/>
      <c r="VHT230" s="340"/>
      <c r="VHU230" s="340"/>
      <c r="VHV230" s="340"/>
      <c r="VHW230" s="340"/>
      <c r="VHX230" s="340"/>
      <c r="VHY230" s="340"/>
      <c r="VHZ230" s="340"/>
      <c r="VIA230" s="340"/>
      <c r="VIB230" s="340"/>
      <c r="VIC230" s="340"/>
      <c r="VID230" s="340"/>
      <c r="VIE230" s="340"/>
      <c r="VIF230" s="340"/>
      <c r="VIG230" s="340"/>
      <c r="VIH230" s="340"/>
      <c r="VII230" s="340"/>
      <c r="VIJ230" s="340"/>
      <c r="VIK230" s="340"/>
      <c r="VIL230" s="340"/>
      <c r="VIM230" s="340"/>
      <c r="VIN230" s="340"/>
      <c r="VIO230" s="340"/>
      <c r="VIP230" s="340"/>
      <c r="VIQ230" s="340"/>
      <c r="VIR230" s="340"/>
      <c r="VIS230" s="340"/>
      <c r="VIT230" s="340"/>
      <c r="VIU230" s="340"/>
      <c r="VIV230" s="340"/>
      <c r="VIW230" s="340"/>
      <c r="VIX230" s="340"/>
      <c r="VIY230" s="340"/>
      <c r="VIZ230" s="340"/>
      <c r="VJA230" s="340"/>
      <c r="VJB230" s="340"/>
      <c r="VJC230" s="340"/>
      <c r="VJD230" s="340"/>
      <c r="VJE230" s="340"/>
      <c r="VJF230" s="340"/>
      <c r="VJG230" s="340"/>
      <c r="VJH230" s="340"/>
      <c r="VJI230" s="340"/>
      <c r="VJJ230" s="340"/>
      <c r="VJK230" s="340"/>
      <c r="VJL230" s="340"/>
      <c r="VJM230" s="340"/>
      <c r="VJN230" s="340"/>
      <c r="VJO230" s="340"/>
      <c r="VJP230" s="340"/>
      <c r="VJQ230" s="340"/>
      <c r="VJR230" s="340"/>
      <c r="VJS230" s="340"/>
      <c r="VJT230" s="340"/>
      <c r="VJU230" s="340"/>
      <c r="VJV230" s="340"/>
      <c r="VJW230" s="340"/>
      <c r="VJX230" s="340"/>
      <c r="VJY230" s="340"/>
      <c r="VJZ230" s="340"/>
      <c r="VKA230" s="340"/>
      <c r="VKB230" s="340"/>
      <c r="VKC230" s="340"/>
      <c r="VKD230" s="340"/>
      <c r="VKE230" s="340"/>
      <c r="VKF230" s="340"/>
      <c r="VKG230" s="340"/>
      <c r="VKH230" s="340"/>
      <c r="VKI230" s="340"/>
      <c r="VKJ230" s="340"/>
      <c r="VKK230" s="340"/>
      <c r="VKL230" s="340"/>
      <c r="VKM230" s="340"/>
      <c r="VKN230" s="340"/>
      <c r="VKO230" s="340"/>
      <c r="VKP230" s="340"/>
      <c r="VKQ230" s="340"/>
      <c r="VKR230" s="340"/>
      <c r="VKS230" s="340"/>
      <c r="VKT230" s="340"/>
      <c r="VKU230" s="340"/>
      <c r="VKV230" s="340"/>
      <c r="VKW230" s="340"/>
      <c r="VKX230" s="340"/>
      <c r="VKY230" s="340"/>
      <c r="VKZ230" s="340"/>
      <c r="VLA230" s="340"/>
      <c r="VLB230" s="340"/>
      <c r="VLC230" s="340"/>
      <c r="VLD230" s="340"/>
      <c r="VLE230" s="340"/>
      <c r="VLF230" s="340"/>
      <c r="VLG230" s="340"/>
      <c r="VLH230" s="340"/>
      <c r="VLI230" s="340"/>
      <c r="VLJ230" s="340"/>
      <c r="VLK230" s="340"/>
      <c r="VLL230" s="340"/>
      <c r="VLM230" s="340"/>
      <c r="VLN230" s="340"/>
      <c r="VLO230" s="340"/>
      <c r="VLP230" s="340"/>
      <c r="VLQ230" s="340"/>
      <c r="VLR230" s="340"/>
      <c r="VLS230" s="340"/>
      <c r="VLT230" s="340"/>
      <c r="VLU230" s="340"/>
      <c r="VLV230" s="340"/>
      <c r="VLW230" s="340"/>
      <c r="VLX230" s="340"/>
      <c r="VLY230" s="340"/>
      <c r="VLZ230" s="340"/>
      <c r="VMA230" s="340"/>
      <c r="VMB230" s="340"/>
      <c r="VMC230" s="340"/>
      <c r="VMD230" s="340"/>
      <c r="VME230" s="340"/>
      <c r="VMF230" s="340"/>
      <c r="VMG230" s="340"/>
      <c r="VMH230" s="340"/>
      <c r="VMI230" s="340"/>
      <c r="VMJ230" s="340"/>
      <c r="VMK230" s="340"/>
      <c r="VML230" s="340"/>
      <c r="VMM230" s="340"/>
      <c r="VMN230" s="340"/>
      <c r="VMO230" s="340"/>
      <c r="VMP230" s="340"/>
      <c r="VMQ230" s="340"/>
      <c r="VMR230" s="340"/>
      <c r="VMS230" s="340"/>
      <c r="VMT230" s="340"/>
      <c r="VMU230" s="340"/>
      <c r="VMV230" s="340"/>
      <c r="VMW230" s="340"/>
      <c r="VMX230" s="340"/>
      <c r="VMY230" s="340"/>
      <c r="VMZ230" s="340"/>
      <c r="VNA230" s="340"/>
      <c r="VNB230" s="340"/>
      <c r="VNC230" s="340"/>
      <c r="VND230" s="340"/>
      <c r="VNE230" s="340"/>
      <c r="VNF230" s="340"/>
      <c r="VNG230" s="340"/>
      <c r="VNH230" s="340"/>
      <c r="VNI230" s="340"/>
      <c r="VNJ230" s="340"/>
      <c r="VNK230" s="340"/>
      <c r="VNL230" s="340"/>
      <c r="VNM230" s="340"/>
      <c r="VNN230" s="340"/>
      <c r="VNO230" s="340"/>
      <c r="VNP230" s="340"/>
      <c r="VNQ230" s="340"/>
      <c r="VNR230" s="340"/>
      <c r="VNS230" s="340"/>
      <c r="VNT230" s="340"/>
      <c r="VNU230" s="340"/>
      <c r="VNV230" s="340"/>
      <c r="VNW230" s="340"/>
      <c r="VNX230" s="340"/>
      <c r="VNY230" s="340"/>
      <c r="VNZ230" s="340"/>
      <c r="VOA230" s="340"/>
      <c r="VOB230" s="340"/>
      <c r="VOC230" s="340"/>
      <c r="VOD230" s="340"/>
      <c r="VOE230" s="340"/>
      <c r="VOF230" s="340"/>
      <c r="VOG230" s="340"/>
      <c r="VOH230" s="340"/>
      <c r="VOI230" s="340"/>
      <c r="VOJ230" s="340"/>
      <c r="VOK230" s="340"/>
      <c r="VOL230" s="340"/>
      <c r="VOM230" s="340"/>
      <c r="VON230" s="340"/>
      <c r="VOO230" s="340"/>
      <c r="VOP230" s="340"/>
      <c r="VOQ230" s="340"/>
      <c r="VOR230" s="340"/>
      <c r="VOS230" s="340"/>
      <c r="VOT230" s="340"/>
      <c r="VOU230" s="340"/>
      <c r="VOV230" s="340"/>
      <c r="VOW230" s="340"/>
      <c r="VOX230" s="340"/>
      <c r="VOY230" s="340"/>
      <c r="VOZ230" s="340"/>
      <c r="VPA230" s="340"/>
      <c r="VPB230" s="340"/>
      <c r="VPC230" s="340"/>
      <c r="VPD230" s="340"/>
      <c r="VPE230" s="340"/>
      <c r="VPF230" s="340"/>
      <c r="VPG230" s="340"/>
      <c r="VPH230" s="340"/>
      <c r="VPI230" s="340"/>
      <c r="VPJ230" s="340"/>
      <c r="VPK230" s="340"/>
      <c r="VPL230" s="340"/>
      <c r="VPM230" s="340"/>
      <c r="VPN230" s="340"/>
      <c r="VPO230" s="340"/>
      <c r="VPP230" s="340"/>
      <c r="VPQ230" s="340"/>
      <c r="VPR230" s="340"/>
      <c r="VPS230" s="340"/>
      <c r="VPT230" s="340"/>
      <c r="VPU230" s="340"/>
      <c r="VPV230" s="340"/>
      <c r="VPW230" s="340"/>
      <c r="VPX230" s="340"/>
      <c r="VPY230" s="340"/>
      <c r="VPZ230" s="340"/>
      <c r="VQA230" s="340"/>
      <c r="VQB230" s="340"/>
      <c r="VQC230" s="340"/>
      <c r="VQD230" s="340"/>
      <c r="VQE230" s="340"/>
      <c r="VQF230" s="340"/>
      <c r="VQG230" s="340"/>
      <c r="VQH230" s="340"/>
      <c r="VQI230" s="340"/>
      <c r="VQJ230" s="340"/>
      <c r="VQK230" s="340"/>
      <c r="VQL230" s="340"/>
      <c r="VQM230" s="340"/>
      <c r="VQN230" s="340"/>
      <c r="VQO230" s="340"/>
      <c r="VQP230" s="340"/>
      <c r="VQQ230" s="340"/>
      <c r="VQR230" s="340"/>
      <c r="VQS230" s="340"/>
      <c r="VQT230" s="340"/>
      <c r="VQU230" s="340"/>
      <c r="VQV230" s="340"/>
      <c r="VQW230" s="340"/>
      <c r="VQX230" s="340"/>
      <c r="VQY230" s="340"/>
      <c r="VQZ230" s="340"/>
      <c r="VRA230" s="340"/>
      <c r="VRB230" s="340"/>
      <c r="VRC230" s="340"/>
      <c r="VRD230" s="340"/>
      <c r="VRE230" s="340"/>
      <c r="VRF230" s="340"/>
      <c r="VRG230" s="340"/>
      <c r="VRH230" s="340"/>
      <c r="VRI230" s="340"/>
      <c r="VRJ230" s="340"/>
      <c r="VRK230" s="340"/>
      <c r="VRL230" s="340"/>
      <c r="VRM230" s="340"/>
      <c r="VRN230" s="340"/>
      <c r="VRO230" s="340"/>
      <c r="VRP230" s="340"/>
      <c r="VRQ230" s="340"/>
      <c r="VRR230" s="340"/>
      <c r="VRS230" s="340"/>
      <c r="VRT230" s="340"/>
      <c r="VRU230" s="340"/>
      <c r="VRV230" s="340"/>
      <c r="VRW230" s="340"/>
      <c r="VRX230" s="340"/>
      <c r="VRY230" s="340"/>
      <c r="VRZ230" s="340"/>
      <c r="VSA230" s="340"/>
      <c r="VSB230" s="340"/>
      <c r="VSC230" s="340"/>
      <c r="VSD230" s="340"/>
      <c r="VSE230" s="340"/>
      <c r="VSF230" s="340"/>
      <c r="VSG230" s="340"/>
      <c r="VSH230" s="340"/>
      <c r="VSI230" s="340"/>
      <c r="VSJ230" s="340"/>
      <c r="VSK230" s="340"/>
      <c r="VSL230" s="340"/>
      <c r="VSM230" s="340"/>
      <c r="VSN230" s="340"/>
      <c r="VSO230" s="340"/>
      <c r="VSP230" s="340"/>
      <c r="VSQ230" s="340"/>
      <c r="VSR230" s="340"/>
      <c r="VSS230" s="340"/>
      <c r="VST230" s="340"/>
      <c r="VSU230" s="340"/>
      <c r="VSV230" s="340"/>
      <c r="VSW230" s="340"/>
      <c r="VSX230" s="340"/>
      <c r="VSY230" s="340"/>
      <c r="VSZ230" s="340"/>
      <c r="VTA230" s="340"/>
      <c r="VTB230" s="340"/>
      <c r="VTC230" s="340"/>
      <c r="VTD230" s="340"/>
      <c r="VTE230" s="340"/>
      <c r="VTF230" s="340"/>
      <c r="VTG230" s="340"/>
      <c r="VTH230" s="340"/>
      <c r="VTI230" s="340"/>
      <c r="VTJ230" s="340"/>
      <c r="VTK230" s="340"/>
      <c r="VTL230" s="340"/>
      <c r="VTM230" s="340"/>
      <c r="VTN230" s="340"/>
      <c r="VTO230" s="340"/>
      <c r="VTP230" s="340"/>
      <c r="VTQ230" s="340"/>
      <c r="VTR230" s="340"/>
      <c r="VTS230" s="340"/>
      <c r="VTT230" s="340"/>
      <c r="VTU230" s="340"/>
      <c r="VTV230" s="340"/>
      <c r="VTW230" s="340"/>
      <c r="VTX230" s="340"/>
      <c r="VTY230" s="340"/>
      <c r="VTZ230" s="340"/>
      <c r="VUA230" s="340"/>
      <c r="VUB230" s="340"/>
      <c r="VUC230" s="340"/>
      <c r="VUD230" s="340"/>
      <c r="VUE230" s="340"/>
      <c r="VUF230" s="340"/>
      <c r="VUG230" s="340"/>
      <c r="VUH230" s="340"/>
      <c r="VUI230" s="340"/>
      <c r="VUJ230" s="340"/>
      <c r="VUK230" s="340"/>
      <c r="VUL230" s="340"/>
      <c r="VUM230" s="340"/>
      <c r="VUN230" s="340"/>
      <c r="VUO230" s="340"/>
      <c r="VUP230" s="340"/>
      <c r="VUQ230" s="340"/>
      <c r="VUR230" s="340"/>
      <c r="VUS230" s="340"/>
      <c r="VUT230" s="340"/>
      <c r="VUU230" s="340"/>
      <c r="VUV230" s="340"/>
      <c r="VUW230" s="340"/>
      <c r="VUX230" s="340"/>
      <c r="VUY230" s="340"/>
      <c r="VUZ230" s="340"/>
      <c r="VVA230" s="340"/>
      <c r="VVB230" s="340"/>
      <c r="VVC230" s="340"/>
      <c r="VVD230" s="340"/>
      <c r="VVE230" s="340"/>
      <c r="VVF230" s="340"/>
      <c r="VVG230" s="340"/>
      <c r="VVH230" s="340"/>
      <c r="VVI230" s="340"/>
      <c r="VVJ230" s="340"/>
      <c r="VVK230" s="340"/>
      <c r="VVL230" s="340"/>
      <c r="VVM230" s="340"/>
      <c r="VVN230" s="340"/>
      <c r="VVO230" s="340"/>
      <c r="VVP230" s="340"/>
      <c r="VVQ230" s="340"/>
      <c r="VVR230" s="340"/>
      <c r="VVS230" s="340"/>
      <c r="VVT230" s="340"/>
      <c r="VVU230" s="340"/>
      <c r="VVV230" s="340"/>
      <c r="VVW230" s="340"/>
      <c r="VVX230" s="340"/>
      <c r="VVY230" s="340"/>
      <c r="VVZ230" s="340"/>
      <c r="VWA230" s="340"/>
      <c r="VWB230" s="340"/>
      <c r="VWC230" s="340"/>
      <c r="VWD230" s="340"/>
      <c r="VWE230" s="340"/>
      <c r="VWF230" s="340"/>
      <c r="VWG230" s="340"/>
      <c r="VWH230" s="340"/>
      <c r="VWI230" s="340"/>
      <c r="VWJ230" s="340"/>
      <c r="VWK230" s="340"/>
      <c r="VWL230" s="340"/>
      <c r="VWM230" s="340"/>
      <c r="VWN230" s="340"/>
      <c r="VWO230" s="340"/>
      <c r="VWP230" s="340"/>
      <c r="VWQ230" s="340"/>
      <c r="VWR230" s="340"/>
      <c r="VWS230" s="340"/>
      <c r="VWT230" s="340"/>
      <c r="VWU230" s="340"/>
      <c r="VWV230" s="340"/>
      <c r="VWW230" s="340"/>
      <c r="VWX230" s="340"/>
      <c r="VWY230" s="340"/>
      <c r="VWZ230" s="340"/>
      <c r="VXA230" s="340"/>
      <c r="VXB230" s="340"/>
      <c r="VXC230" s="340"/>
      <c r="VXD230" s="340"/>
      <c r="VXE230" s="340"/>
      <c r="VXF230" s="340"/>
      <c r="VXG230" s="340"/>
      <c r="VXH230" s="340"/>
      <c r="VXI230" s="340"/>
      <c r="VXJ230" s="340"/>
      <c r="VXK230" s="340"/>
      <c r="VXL230" s="340"/>
      <c r="VXM230" s="340"/>
      <c r="VXN230" s="340"/>
      <c r="VXO230" s="340"/>
      <c r="VXP230" s="340"/>
      <c r="VXQ230" s="340"/>
      <c r="VXR230" s="340"/>
      <c r="VXS230" s="340"/>
      <c r="VXT230" s="340"/>
      <c r="VXU230" s="340"/>
      <c r="VXV230" s="340"/>
      <c r="VXW230" s="340"/>
      <c r="VXX230" s="340"/>
      <c r="VXY230" s="340"/>
      <c r="VXZ230" s="340"/>
      <c r="VYA230" s="340"/>
      <c r="VYB230" s="340"/>
      <c r="VYC230" s="340"/>
      <c r="VYD230" s="340"/>
      <c r="VYE230" s="340"/>
      <c r="VYF230" s="340"/>
      <c r="VYG230" s="340"/>
      <c r="VYH230" s="340"/>
      <c r="VYI230" s="340"/>
      <c r="VYJ230" s="340"/>
      <c r="VYK230" s="340"/>
      <c r="VYL230" s="340"/>
      <c r="VYM230" s="340"/>
      <c r="VYN230" s="340"/>
      <c r="VYO230" s="340"/>
      <c r="VYP230" s="340"/>
      <c r="VYQ230" s="340"/>
      <c r="VYR230" s="340"/>
      <c r="VYS230" s="340"/>
      <c r="VYT230" s="340"/>
      <c r="VYU230" s="340"/>
      <c r="VYV230" s="340"/>
      <c r="VYW230" s="340"/>
      <c r="VYX230" s="340"/>
      <c r="VYY230" s="340"/>
      <c r="VYZ230" s="340"/>
      <c r="VZA230" s="340"/>
      <c r="VZB230" s="340"/>
      <c r="VZC230" s="340"/>
      <c r="VZD230" s="340"/>
      <c r="VZE230" s="340"/>
      <c r="VZF230" s="340"/>
      <c r="VZG230" s="340"/>
      <c r="VZH230" s="340"/>
      <c r="VZI230" s="340"/>
      <c r="VZJ230" s="340"/>
      <c r="VZK230" s="340"/>
      <c r="VZL230" s="340"/>
      <c r="VZM230" s="340"/>
      <c r="VZN230" s="340"/>
      <c r="VZO230" s="340"/>
      <c r="VZP230" s="340"/>
      <c r="VZQ230" s="340"/>
      <c r="VZR230" s="340"/>
      <c r="VZS230" s="340"/>
      <c r="VZT230" s="340"/>
      <c r="VZU230" s="340"/>
      <c r="VZV230" s="340"/>
      <c r="VZW230" s="340"/>
      <c r="VZX230" s="340"/>
      <c r="VZY230" s="340"/>
      <c r="VZZ230" s="340"/>
      <c r="WAA230" s="340"/>
      <c r="WAB230" s="340"/>
      <c r="WAC230" s="340"/>
      <c r="WAD230" s="340"/>
      <c r="WAE230" s="340"/>
      <c r="WAF230" s="340"/>
      <c r="WAG230" s="340"/>
      <c r="WAH230" s="340"/>
      <c r="WAI230" s="340"/>
      <c r="WAJ230" s="340"/>
      <c r="WAK230" s="340"/>
      <c r="WAL230" s="340"/>
      <c r="WAM230" s="340"/>
      <c r="WAN230" s="340"/>
      <c r="WAO230" s="340"/>
      <c r="WAP230" s="340"/>
      <c r="WAQ230" s="340"/>
      <c r="WAR230" s="340"/>
      <c r="WAS230" s="340"/>
      <c r="WAT230" s="340"/>
      <c r="WAU230" s="340"/>
      <c r="WAV230" s="340"/>
      <c r="WAW230" s="340"/>
      <c r="WAX230" s="340"/>
      <c r="WAY230" s="340"/>
      <c r="WAZ230" s="340"/>
      <c r="WBA230" s="340"/>
      <c r="WBB230" s="340"/>
      <c r="WBC230" s="340"/>
      <c r="WBD230" s="340"/>
      <c r="WBE230" s="340"/>
      <c r="WBF230" s="340"/>
      <c r="WBG230" s="340"/>
      <c r="WBH230" s="340"/>
      <c r="WBI230" s="340"/>
      <c r="WBJ230" s="340"/>
      <c r="WBK230" s="340"/>
      <c r="WBL230" s="340"/>
      <c r="WBM230" s="340"/>
      <c r="WBN230" s="340"/>
      <c r="WBO230" s="340"/>
      <c r="WBP230" s="340"/>
      <c r="WBQ230" s="340"/>
      <c r="WBR230" s="340"/>
      <c r="WBS230" s="340"/>
      <c r="WBT230" s="340"/>
      <c r="WBU230" s="340"/>
      <c r="WBV230" s="340"/>
      <c r="WBW230" s="340"/>
      <c r="WBX230" s="340"/>
      <c r="WBY230" s="340"/>
      <c r="WBZ230" s="340"/>
      <c r="WCA230" s="340"/>
      <c r="WCB230" s="340"/>
      <c r="WCC230" s="340"/>
      <c r="WCD230" s="340"/>
      <c r="WCE230" s="340"/>
      <c r="WCF230" s="340"/>
      <c r="WCG230" s="340"/>
      <c r="WCH230" s="340"/>
      <c r="WCI230" s="340"/>
      <c r="WCJ230" s="340"/>
      <c r="WCK230" s="340"/>
      <c r="WCL230" s="340"/>
      <c r="WCM230" s="340"/>
      <c r="WCN230" s="340"/>
      <c r="WCO230" s="340"/>
      <c r="WCP230" s="340"/>
      <c r="WCQ230" s="340"/>
      <c r="WCR230" s="340"/>
      <c r="WCS230" s="340"/>
      <c r="WCT230" s="340"/>
      <c r="WCU230" s="340"/>
      <c r="WCV230" s="340"/>
      <c r="WCW230" s="340"/>
      <c r="WCX230" s="340"/>
      <c r="WCY230" s="340"/>
      <c r="WCZ230" s="340"/>
      <c r="WDA230" s="340"/>
      <c r="WDB230" s="340"/>
      <c r="WDC230" s="340"/>
      <c r="WDD230" s="340"/>
      <c r="WDE230" s="340"/>
      <c r="WDF230" s="340"/>
      <c r="WDG230" s="340"/>
      <c r="WDH230" s="340"/>
      <c r="WDI230" s="340"/>
      <c r="WDJ230" s="340"/>
      <c r="WDK230" s="340"/>
      <c r="WDL230" s="340"/>
      <c r="WDM230" s="340"/>
      <c r="WDN230" s="340"/>
      <c r="WDO230" s="340"/>
      <c r="WDP230" s="340"/>
      <c r="WDQ230" s="340"/>
      <c r="WDR230" s="340"/>
      <c r="WDS230" s="340"/>
      <c r="WDT230" s="340"/>
      <c r="WDU230" s="340"/>
      <c r="WDV230" s="340"/>
      <c r="WDW230" s="340"/>
      <c r="WDX230" s="340"/>
      <c r="WDY230" s="340"/>
      <c r="WDZ230" s="340"/>
      <c r="WEA230" s="340"/>
      <c r="WEB230" s="340"/>
      <c r="WEC230" s="340"/>
      <c r="WED230" s="340"/>
      <c r="WEE230" s="340"/>
      <c r="WEF230" s="340"/>
      <c r="WEG230" s="340"/>
      <c r="WEH230" s="340"/>
      <c r="WEI230" s="340"/>
      <c r="WEJ230" s="340"/>
      <c r="WEK230" s="340"/>
      <c r="WEL230" s="340"/>
      <c r="WEM230" s="340"/>
      <c r="WEN230" s="340"/>
      <c r="WEO230" s="340"/>
      <c r="WEP230" s="340"/>
      <c r="WEQ230" s="340"/>
      <c r="WER230" s="340"/>
      <c r="WES230" s="340"/>
      <c r="WET230" s="340"/>
      <c r="WEU230" s="340"/>
      <c r="WEV230" s="340"/>
      <c r="WEW230" s="340"/>
      <c r="WEX230" s="340"/>
      <c r="WEY230" s="340"/>
      <c r="WEZ230" s="340"/>
      <c r="WFA230" s="340"/>
      <c r="WFB230" s="340"/>
      <c r="WFC230" s="340"/>
      <c r="WFD230" s="340"/>
      <c r="WFE230" s="340"/>
      <c r="WFF230" s="340"/>
      <c r="WFG230" s="340"/>
      <c r="WFH230" s="340"/>
      <c r="WFI230" s="340"/>
      <c r="WFJ230" s="340"/>
      <c r="WFK230" s="340"/>
      <c r="WFL230" s="340"/>
      <c r="WFM230" s="340"/>
      <c r="WFN230" s="340"/>
      <c r="WFO230" s="340"/>
      <c r="WFP230" s="340"/>
      <c r="WFQ230" s="340"/>
      <c r="WFR230" s="340"/>
      <c r="WFS230" s="340"/>
      <c r="WFT230" s="340"/>
      <c r="WFU230" s="340"/>
      <c r="WFV230" s="340"/>
      <c r="WFW230" s="340"/>
      <c r="WFX230" s="340"/>
      <c r="WFY230" s="340"/>
      <c r="WFZ230" s="340"/>
      <c r="WGA230" s="340"/>
      <c r="WGB230" s="340"/>
      <c r="WGC230" s="340"/>
      <c r="WGD230" s="340"/>
      <c r="WGE230" s="340"/>
      <c r="WGF230" s="340"/>
      <c r="WGG230" s="340"/>
      <c r="WGH230" s="340"/>
      <c r="WGI230" s="340"/>
      <c r="WGJ230" s="340"/>
      <c r="WGK230" s="340"/>
      <c r="WGL230" s="340"/>
      <c r="WGM230" s="340"/>
      <c r="WGN230" s="340"/>
      <c r="WGO230" s="340"/>
      <c r="WGP230" s="340"/>
      <c r="WGQ230" s="340"/>
      <c r="WGR230" s="340"/>
      <c r="WGS230" s="340"/>
      <c r="WGT230" s="340"/>
      <c r="WGU230" s="340"/>
      <c r="WGV230" s="340"/>
      <c r="WGW230" s="340"/>
      <c r="WGX230" s="340"/>
      <c r="WGY230" s="340"/>
      <c r="WGZ230" s="340"/>
      <c r="WHA230" s="340"/>
      <c r="WHB230" s="340"/>
      <c r="WHC230" s="340"/>
      <c r="WHD230" s="340"/>
      <c r="WHE230" s="340"/>
      <c r="WHF230" s="340"/>
      <c r="WHG230" s="340"/>
      <c r="WHH230" s="340"/>
      <c r="WHI230" s="340"/>
      <c r="WHJ230" s="340"/>
      <c r="WHK230" s="340"/>
      <c r="WHL230" s="340"/>
      <c r="WHM230" s="340"/>
      <c r="WHN230" s="340"/>
      <c r="WHO230" s="340"/>
      <c r="WHP230" s="340"/>
      <c r="WHQ230" s="340"/>
      <c r="WHR230" s="340"/>
      <c r="WHS230" s="340"/>
      <c r="WHT230" s="340"/>
      <c r="WHU230" s="340"/>
      <c r="WHV230" s="340"/>
      <c r="WHW230" s="340"/>
      <c r="WHX230" s="340"/>
      <c r="WHY230" s="340"/>
      <c r="WHZ230" s="340"/>
      <c r="WIA230" s="340"/>
      <c r="WIB230" s="340"/>
      <c r="WIC230" s="340"/>
      <c r="WID230" s="340"/>
      <c r="WIE230" s="340"/>
      <c r="WIF230" s="340"/>
      <c r="WIG230" s="340"/>
      <c r="WIH230" s="340"/>
      <c r="WII230" s="340"/>
      <c r="WIJ230" s="340"/>
      <c r="WIK230" s="340"/>
      <c r="WIL230" s="340"/>
      <c r="WIM230" s="340"/>
      <c r="WIN230" s="340"/>
      <c r="WIO230" s="340"/>
      <c r="WIP230" s="340"/>
      <c r="WIQ230" s="340"/>
      <c r="WIR230" s="340"/>
      <c r="WIS230" s="340"/>
      <c r="WIT230" s="340"/>
      <c r="WIU230" s="340"/>
      <c r="WIV230" s="340"/>
      <c r="WIW230" s="340"/>
      <c r="WIX230" s="340"/>
      <c r="WIY230" s="340"/>
      <c r="WIZ230" s="340"/>
      <c r="WJA230" s="340"/>
      <c r="WJB230" s="340"/>
      <c r="WJC230" s="340"/>
      <c r="WJD230" s="340"/>
      <c r="WJE230" s="340"/>
      <c r="WJF230" s="340"/>
      <c r="WJG230" s="340"/>
      <c r="WJH230" s="340"/>
      <c r="WJI230" s="340"/>
      <c r="WJJ230" s="340"/>
      <c r="WJK230" s="340"/>
      <c r="WJL230" s="340"/>
      <c r="WJM230" s="340"/>
      <c r="WJN230" s="340"/>
      <c r="WJO230" s="340"/>
      <c r="WJP230" s="340"/>
      <c r="WJQ230" s="340"/>
      <c r="WJR230" s="340"/>
      <c r="WJS230" s="340"/>
      <c r="WJT230" s="340"/>
      <c r="WJU230" s="340"/>
      <c r="WJV230" s="340"/>
      <c r="WJW230" s="340"/>
      <c r="WJX230" s="340"/>
      <c r="WJY230" s="340"/>
      <c r="WJZ230" s="340"/>
      <c r="WKA230" s="340"/>
      <c r="WKB230" s="340"/>
      <c r="WKC230" s="340"/>
      <c r="WKD230" s="340"/>
      <c r="WKE230" s="340"/>
      <c r="WKF230" s="340"/>
      <c r="WKG230" s="340"/>
      <c r="WKH230" s="340"/>
      <c r="WKI230" s="340"/>
      <c r="WKJ230" s="340"/>
      <c r="WKK230" s="340"/>
      <c r="WKL230" s="340"/>
      <c r="WKM230" s="340"/>
      <c r="WKN230" s="340"/>
      <c r="WKO230" s="340"/>
      <c r="WKP230" s="340"/>
      <c r="WKQ230" s="340"/>
      <c r="WKR230" s="340"/>
      <c r="WKS230" s="340"/>
      <c r="WKT230" s="340"/>
      <c r="WKU230" s="340"/>
      <c r="WKV230" s="340"/>
      <c r="WKW230" s="340"/>
      <c r="WKX230" s="340"/>
      <c r="WKY230" s="340"/>
      <c r="WKZ230" s="340"/>
      <c r="WLA230" s="340"/>
      <c r="WLB230" s="340"/>
      <c r="WLC230" s="340"/>
      <c r="WLD230" s="340"/>
      <c r="WLE230" s="340"/>
      <c r="WLF230" s="340"/>
      <c r="WLG230" s="340"/>
      <c r="WLH230" s="340"/>
      <c r="WLI230" s="340"/>
      <c r="WLJ230" s="340"/>
      <c r="WLK230" s="340"/>
      <c r="WLL230" s="340"/>
      <c r="WLM230" s="340"/>
      <c r="WLN230" s="340"/>
      <c r="WLO230" s="340"/>
      <c r="WLP230" s="340"/>
      <c r="WLQ230" s="340"/>
      <c r="WLR230" s="340"/>
      <c r="WLS230" s="340"/>
      <c r="WLT230" s="340"/>
      <c r="WLU230" s="340"/>
      <c r="WLV230" s="340"/>
      <c r="WLW230" s="340"/>
      <c r="WLX230" s="340"/>
      <c r="WLY230" s="340"/>
      <c r="WLZ230" s="340"/>
      <c r="WMA230" s="340"/>
      <c r="WMB230" s="340"/>
      <c r="WMC230" s="340"/>
      <c r="WMD230" s="340"/>
      <c r="WME230" s="340"/>
      <c r="WMF230" s="340"/>
      <c r="WMG230" s="340"/>
      <c r="WMH230" s="340"/>
      <c r="WMI230" s="340"/>
      <c r="WMJ230" s="340"/>
      <c r="WMK230" s="340"/>
      <c r="WML230" s="340"/>
      <c r="WMM230" s="340"/>
      <c r="WMN230" s="340"/>
      <c r="WMO230" s="340"/>
      <c r="WMP230" s="340"/>
      <c r="WMQ230" s="340"/>
      <c r="WMR230" s="340"/>
      <c r="WMS230" s="340"/>
      <c r="WMT230" s="340"/>
      <c r="WMU230" s="340"/>
      <c r="WMV230" s="340"/>
      <c r="WMW230" s="340"/>
      <c r="WMX230" s="340"/>
      <c r="WMY230" s="340"/>
      <c r="WMZ230" s="340"/>
      <c r="WNA230" s="340"/>
      <c r="WNB230" s="340"/>
      <c r="WNC230" s="340"/>
      <c r="WND230" s="340"/>
      <c r="WNE230" s="340"/>
      <c r="WNF230" s="340"/>
      <c r="WNG230" s="340"/>
      <c r="WNH230" s="340"/>
      <c r="WNI230" s="340"/>
      <c r="WNJ230" s="340"/>
      <c r="WNK230" s="340"/>
      <c r="WNL230" s="340"/>
      <c r="WNM230" s="340"/>
      <c r="WNN230" s="340"/>
      <c r="WNO230" s="340"/>
      <c r="WNP230" s="340"/>
      <c r="WNQ230" s="340"/>
      <c r="WNR230" s="340"/>
      <c r="WNS230" s="340"/>
      <c r="WNT230" s="340"/>
      <c r="WNU230" s="340"/>
      <c r="WNV230" s="340"/>
      <c r="WNW230" s="340"/>
      <c r="WNX230" s="340"/>
      <c r="WNY230" s="340"/>
      <c r="WNZ230" s="340"/>
      <c r="WOA230" s="340"/>
      <c r="WOB230" s="340"/>
      <c r="WOC230" s="340"/>
      <c r="WOD230" s="340"/>
      <c r="WOE230" s="340"/>
      <c r="WOF230" s="340"/>
      <c r="WOG230" s="340"/>
      <c r="WOH230" s="340"/>
      <c r="WOI230" s="340"/>
      <c r="WOJ230" s="340"/>
      <c r="WOK230" s="340"/>
      <c r="WOL230" s="340"/>
      <c r="WOM230" s="340"/>
      <c r="WON230" s="340"/>
      <c r="WOO230" s="340"/>
      <c r="WOP230" s="340"/>
      <c r="WOQ230" s="340"/>
      <c r="WOR230" s="340"/>
      <c r="WOS230" s="340"/>
      <c r="WOT230" s="340"/>
      <c r="WOU230" s="340"/>
      <c r="WOV230" s="340"/>
      <c r="WOW230" s="340"/>
      <c r="WOX230" s="340"/>
      <c r="WOY230" s="340"/>
      <c r="WOZ230" s="340"/>
      <c r="WPA230" s="340"/>
      <c r="WPB230" s="340"/>
      <c r="WPC230" s="340"/>
      <c r="WPD230" s="340"/>
      <c r="WPE230" s="340"/>
      <c r="WPF230" s="340"/>
      <c r="WPG230" s="340"/>
      <c r="WPH230" s="340"/>
      <c r="WPI230" s="340"/>
      <c r="WPJ230" s="340"/>
      <c r="WPK230" s="340"/>
      <c r="WPL230" s="340"/>
      <c r="WPM230" s="340"/>
      <c r="WPN230" s="340"/>
      <c r="WPO230" s="340"/>
      <c r="WPP230" s="340"/>
      <c r="WPQ230" s="340"/>
      <c r="WPR230" s="340"/>
      <c r="WPS230" s="340"/>
      <c r="WPT230" s="340"/>
      <c r="WPU230" s="340"/>
      <c r="WPV230" s="340"/>
      <c r="WPW230" s="340"/>
      <c r="WPX230" s="340"/>
      <c r="WPY230" s="340"/>
      <c r="WPZ230" s="340"/>
      <c r="WQA230" s="340"/>
      <c r="WQB230" s="340"/>
      <c r="WQC230" s="340"/>
      <c r="WQD230" s="340"/>
      <c r="WQE230" s="340"/>
      <c r="WQF230" s="340"/>
      <c r="WQG230" s="340"/>
      <c r="WQH230" s="340"/>
      <c r="WQI230" s="340"/>
      <c r="WQJ230" s="340"/>
      <c r="WQK230" s="340"/>
      <c r="WQL230" s="340"/>
      <c r="WQM230" s="340"/>
      <c r="WQN230" s="340"/>
      <c r="WQO230" s="340"/>
      <c r="WQP230" s="340"/>
      <c r="WQQ230" s="340"/>
      <c r="WQR230" s="340"/>
      <c r="WQS230" s="340"/>
      <c r="WQT230" s="340"/>
      <c r="WQU230" s="340"/>
      <c r="WQV230" s="340"/>
      <c r="WQW230" s="340"/>
      <c r="WQX230" s="340"/>
      <c r="WQY230" s="340"/>
      <c r="WQZ230" s="340"/>
      <c r="WRA230" s="340"/>
      <c r="WRB230" s="340"/>
      <c r="WRC230" s="340"/>
      <c r="WRD230" s="340"/>
      <c r="WRE230" s="340"/>
      <c r="WRF230" s="340"/>
      <c r="WRG230" s="340"/>
      <c r="WRH230" s="340"/>
      <c r="WRI230" s="340"/>
      <c r="WRJ230" s="340"/>
      <c r="WRK230" s="340"/>
      <c r="WRL230" s="340"/>
      <c r="WRM230" s="340"/>
      <c r="WRN230" s="340"/>
      <c r="WRO230" s="340"/>
      <c r="WRP230" s="340"/>
      <c r="WRQ230" s="340"/>
      <c r="WRR230" s="340"/>
      <c r="WRS230" s="340"/>
      <c r="WRT230" s="340"/>
      <c r="WRU230" s="340"/>
      <c r="WRV230" s="340"/>
      <c r="WRW230" s="340"/>
      <c r="WRX230" s="340"/>
      <c r="WRY230" s="340"/>
      <c r="WRZ230" s="340"/>
      <c r="WSA230" s="340"/>
      <c r="WSB230" s="340"/>
      <c r="WSC230" s="340"/>
      <c r="WSD230" s="340"/>
      <c r="WSE230" s="340"/>
      <c r="WSF230" s="340"/>
      <c r="WSG230" s="340"/>
      <c r="WSH230" s="340"/>
      <c r="WSI230" s="340"/>
      <c r="WSJ230" s="340"/>
      <c r="WSK230" s="340"/>
      <c r="WSL230" s="340"/>
      <c r="WSM230" s="340"/>
      <c r="WSN230" s="340"/>
      <c r="WSO230" s="340"/>
      <c r="WSP230" s="340"/>
      <c r="WSQ230" s="340"/>
      <c r="WSR230" s="340"/>
      <c r="WSS230" s="340"/>
      <c r="WST230" s="340"/>
      <c r="WSU230" s="340"/>
      <c r="WSV230" s="340"/>
      <c r="WSW230" s="340"/>
      <c r="WSX230" s="340"/>
      <c r="WSY230" s="340"/>
      <c r="WSZ230" s="340"/>
      <c r="WTA230" s="340"/>
      <c r="WTB230" s="340"/>
      <c r="WTC230" s="340"/>
      <c r="WTD230" s="340"/>
      <c r="WTE230" s="340"/>
      <c r="WTF230" s="340"/>
      <c r="WTG230" s="340"/>
      <c r="WTH230" s="340"/>
      <c r="WTI230" s="340"/>
      <c r="WTJ230" s="340"/>
      <c r="WTK230" s="340"/>
      <c r="WTL230" s="340"/>
      <c r="WTM230" s="340"/>
      <c r="WTN230" s="340"/>
      <c r="WTO230" s="340"/>
      <c r="WTP230" s="340"/>
      <c r="WTQ230" s="340"/>
      <c r="WTR230" s="340"/>
      <c r="WTS230" s="340"/>
      <c r="WTT230" s="340"/>
      <c r="WTU230" s="340"/>
      <c r="WTV230" s="340"/>
      <c r="WTW230" s="340"/>
      <c r="WTX230" s="340"/>
      <c r="WTY230" s="340"/>
      <c r="WTZ230" s="340"/>
      <c r="WUA230" s="340"/>
      <c r="WUB230" s="340"/>
      <c r="WUC230" s="340"/>
      <c r="WUD230" s="340"/>
      <c r="WUE230" s="340"/>
      <c r="WUF230" s="340"/>
      <c r="WUG230" s="340"/>
      <c r="WUH230" s="340"/>
      <c r="WUI230" s="340"/>
      <c r="WUJ230" s="340"/>
      <c r="WUK230" s="340"/>
      <c r="WUL230" s="340"/>
      <c r="WUM230" s="340"/>
      <c r="WUN230" s="340"/>
      <c r="WUO230" s="340"/>
      <c r="WUP230" s="340"/>
      <c r="WUQ230" s="340"/>
      <c r="WUR230" s="340"/>
      <c r="WUS230" s="340"/>
      <c r="WUT230" s="340"/>
      <c r="WUU230" s="340"/>
      <c r="WUV230" s="340"/>
      <c r="WUW230" s="340"/>
      <c r="WUX230" s="340"/>
      <c r="WUY230" s="340"/>
      <c r="WUZ230" s="340"/>
      <c r="WVA230" s="340"/>
      <c r="WVB230" s="340"/>
      <c r="WVC230" s="340"/>
      <c r="WVD230" s="340"/>
      <c r="WVE230" s="340"/>
      <c r="WVF230" s="340"/>
      <c r="WVG230" s="340"/>
      <c r="WVH230" s="340"/>
      <c r="WVI230" s="340"/>
      <c r="WVJ230" s="340"/>
      <c r="WVK230" s="340"/>
      <c r="WVL230" s="340"/>
      <c r="WVM230" s="340"/>
      <c r="WVN230" s="340"/>
      <c r="WVO230" s="340"/>
      <c r="WVP230" s="340"/>
      <c r="WVQ230" s="340"/>
      <c r="WVR230" s="340"/>
      <c r="WVS230" s="340"/>
      <c r="WVT230" s="340"/>
      <c r="WVU230" s="340"/>
      <c r="WVV230" s="340"/>
      <c r="WVW230" s="340"/>
      <c r="WVX230" s="340"/>
      <c r="WVY230" s="340"/>
      <c r="WVZ230" s="340"/>
      <c r="WWA230" s="340"/>
      <c r="WWB230" s="340"/>
      <c r="WWC230" s="340"/>
      <c r="WWD230" s="340"/>
      <c r="WWE230" s="340"/>
      <c r="WWF230" s="340"/>
      <c r="WWG230" s="340"/>
      <c r="WWH230" s="340"/>
      <c r="WWI230" s="340"/>
      <c r="WWJ230" s="340"/>
      <c r="WWK230" s="340"/>
      <c r="WWL230" s="340"/>
      <c r="WWM230" s="340"/>
      <c r="WWN230" s="340"/>
      <c r="WWO230" s="340"/>
      <c r="WWP230" s="340"/>
      <c r="WWQ230" s="340"/>
      <c r="WWR230" s="340"/>
      <c r="WWS230" s="340"/>
      <c r="WWT230" s="340"/>
      <c r="WWU230" s="340"/>
      <c r="WWV230" s="340"/>
      <c r="WWW230" s="340"/>
      <c r="WWX230" s="340"/>
      <c r="WWY230" s="340"/>
      <c r="WWZ230" s="340"/>
      <c r="WXA230" s="340"/>
      <c r="WXB230" s="340"/>
      <c r="WXC230" s="340"/>
      <c r="WXD230" s="340"/>
      <c r="WXE230" s="340"/>
      <c r="WXF230" s="340"/>
      <c r="WXG230" s="340"/>
      <c r="WXH230" s="340"/>
      <c r="WXI230" s="340"/>
      <c r="WXJ230" s="340"/>
      <c r="WXK230" s="340"/>
      <c r="WXL230" s="340"/>
      <c r="WXM230" s="340"/>
      <c r="WXN230" s="340"/>
      <c r="WXO230" s="340"/>
      <c r="WXP230" s="340"/>
      <c r="WXQ230" s="340"/>
      <c r="WXR230" s="340"/>
      <c r="WXS230" s="340"/>
      <c r="WXT230" s="340"/>
      <c r="WXU230" s="340"/>
      <c r="WXV230" s="340"/>
      <c r="WXW230" s="340"/>
      <c r="WXX230" s="340"/>
      <c r="WXY230" s="340"/>
      <c r="WXZ230" s="340"/>
      <c r="WYA230" s="340"/>
      <c r="WYB230" s="340"/>
      <c r="WYC230" s="340"/>
      <c r="WYD230" s="340"/>
      <c r="WYE230" s="340"/>
      <c r="WYF230" s="340"/>
      <c r="WYG230" s="340"/>
      <c r="WYH230" s="340"/>
      <c r="WYI230" s="340"/>
      <c r="WYJ230" s="340"/>
      <c r="WYK230" s="340"/>
      <c r="WYL230" s="340"/>
      <c r="WYM230" s="340"/>
      <c r="WYN230" s="340"/>
      <c r="WYO230" s="340"/>
      <c r="WYP230" s="340"/>
      <c r="WYQ230" s="340"/>
      <c r="WYR230" s="340"/>
      <c r="WYS230" s="340"/>
      <c r="WYT230" s="340"/>
      <c r="WYU230" s="340"/>
      <c r="WYV230" s="340"/>
      <c r="WYW230" s="340"/>
      <c r="WYX230" s="340"/>
      <c r="WYY230" s="340"/>
      <c r="WYZ230" s="340"/>
      <c r="WZA230" s="340"/>
      <c r="WZB230" s="340"/>
      <c r="WZC230" s="340"/>
      <c r="WZD230" s="340"/>
      <c r="WZE230" s="340"/>
      <c r="WZF230" s="340"/>
      <c r="WZG230" s="340"/>
      <c r="WZH230" s="340"/>
      <c r="WZI230" s="340"/>
      <c r="WZJ230" s="340"/>
      <c r="WZK230" s="340"/>
      <c r="WZL230" s="340"/>
      <c r="WZM230" s="340"/>
      <c r="WZN230" s="340"/>
      <c r="WZO230" s="340"/>
      <c r="WZP230" s="340"/>
      <c r="WZQ230" s="340"/>
      <c r="WZR230" s="340"/>
      <c r="WZS230" s="340"/>
      <c r="WZT230" s="340"/>
      <c r="WZU230" s="340"/>
      <c r="WZV230" s="340"/>
      <c r="WZW230" s="340"/>
      <c r="WZX230" s="340"/>
      <c r="WZY230" s="340"/>
      <c r="WZZ230" s="340"/>
      <c r="XAA230" s="340"/>
      <c r="XAB230" s="340"/>
      <c r="XAC230" s="340"/>
      <c r="XAD230" s="340"/>
      <c r="XAE230" s="340"/>
      <c r="XAF230" s="340"/>
      <c r="XAG230" s="340"/>
      <c r="XAH230" s="340"/>
      <c r="XAI230" s="340"/>
      <c r="XAJ230" s="340"/>
      <c r="XAK230" s="340"/>
      <c r="XAL230" s="340"/>
      <c r="XAM230" s="340"/>
      <c r="XAN230" s="340"/>
      <c r="XAO230" s="340"/>
      <c r="XAP230" s="340"/>
      <c r="XAQ230" s="340"/>
      <c r="XAR230" s="340"/>
      <c r="XAS230" s="340"/>
      <c r="XAT230" s="340"/>
      <c r="XAU230" s="340"/>
      <c r="XAV230" s="340"/>
      <c r="XAW230" s="340"/>
      <c r="XAX230" s="340"/>
      <c r="XAY230" s="340"/>
      <c r="XAZ230" s="340"/>
      <c r="XBA230" s="340"/>
      <c r="XBB230" s="340"/>
      <c r="XBC230" s="340"/>
      <c r="XBD230" s="340"/>
      <c r="XBE230" s="340"/>
      <c r="XBF230" s="340"/>
      <c r="XBG230" s="340"/>
      <c r="XBH230" s="340"/>
      <c r="XBI230" s="340"/>
      <c r="XBJ230" s="340"/>
      <c r="XBK230" s="340"/>
      <c r="XBL230" s="340"/>
      <c r="XBM230" s="340"/>
      <c r="XBN230" s="340"/>
      <c r="XBO230" s="340"/>
      <c r="XBP230" s="340"/>
      <c r="XBQ230" s="340"/>
      <c r="XBR230" s="340"/>
      <c r="XBS230" s="340"/>
      <c r="XBT230" s="340"/>
      <c r="XBU230" s="340"/>
      <c r="XBV230" s="340"/>
      <c r="XBW230" s="340"/>
      <c r="XBX230" s="340"/>
      <c r="XBY230" s="340"/>
      <c r="XBZ230" s="340"/>
      <c r="XCA230" s="340"/>
      <c r="XCB230" s="340"/>
      <c r="XCC230" s="340"/>
      <c r="XCD230" s="340"/>
      <c r="XCE230" s="340"/>
      <c r="XCF230" s="340"/>
      <c r="XCG230" s="340"/>
      <c r="XCH230" s="340"/>
      <c r="XCI230" s="340"/>
      <c r="XCJ230" s="340"/>
      <c r="XCK230" s="340"/>
      <c r="XCL230" s="340"/>
      <c r="XCM230" s="340"/>
      <c r="XCN230" s="340"/>
      <c r="XCO230" s="340"/>
      <c r="XCP230" s="340"/>
      <c r="XCQ230" s="340"/>
      <c r="XCR230" s="340"/>
      <c r="XCS230" s="340"/>
      <c r="XCT230" s="340"/>
      <c r="XCU230" s="340"/>
      <c r="XCV230" s="340"/>
      <c r="XCW230" s="340"/>
      <c r="XCX230" s="340"/>
      <c r="XCY230" s="340"/>
      <c r="XCZ230" s="340"/>
      <c r="XDA230" s="340"/>
      <c r="XDB230" s="340"/>
      <c r="XDC230" s="340"/>
      <c r="XDD230" s="340"/>
      <c r="XDE230" s="340"/>
      <c r="XDF230" s="340"/>
      <c r="XDG230" s="340"/>
      <c r="XDH230" s="340"/>
      <c r="XDI230" s="340"/>
      <c r="XDJ230" s="340"/>
      <c r="XDK230" s="340"/>
      <c r="XDL230" s="340"/>
      <c r="XDM230" s="340"/>
      <c r="XDN230" s="340"/>
      <c r="XDO230" s="340"/>
      <c r="XDP230" s="340"/>
      <c r="XDQ230" s="340"/>
      <c r="XDR230" s="340"/>
      <c r="XDS230" s="340"/>
      <c r="XDT230" s="340"/>
      <c r="XDU230" s="340"/>
      <c r="XDV230" s="340"/>
      <c r="XDW230" s="340"/>
      <c r="XDX230" s="340"/>
      <c r="XDY230" s="340"/>
      <c r="XDZ230" s="340"/>
      <c r="XEA230" s="340"/>
      <c r="XEB230" s="340"/>
      <c r="XEC230" s="340"/>
      <c r="XED230" s="340"/>
      <c r="XEE230" s="340"/>
      <c r="XEF230" s="340"/>
      <c r="XEG230" s="340"/>
      <c r="XEH230" s="340"/>
      <c r="XEI230" s="340"/>
      <c r="XEJ230" s="340"/>
      <c r="XEK230" s="340"/>
      <c r="XEL230" s="340"/>
      <c r="XEM230" s="340"/>
      <c r="XEN230" s="340"/>
      <c r="XEO230" s="340"/>
      <c r="XEP230" s="340"/>
      <c r="XEQ230" s="340"/>
      <c r="XER230" s="340"/>
      <c r="XES230" s="340"/>
      <c r="XET230" s="340"/>
      <c r="XEU230" s="340"/>
      <c r="XEV230" s="340"/>
      <c r="XEW230" s="340"/>
      <c r="XEX230" s="340"/>
      <c r="XEY230" s="340"/>
      <c r="XEZ230" s="340"/>
      <c r="XFA230" s="340"/>
      <c r="XFB230" s="340"/>
      <c r="XFC230" s="340"/>
      <c r="XFD230" s="340"/>
    </row>
    <row r="231" spans="1:16384" s="1056" customFormat="1" ht="24.95" customHeight="1">
      <c r="A231" s="327">
        <v>38</v>
      </c>
      <c r="B231" s="951" t="s">
        <v>4366</v>
      </c>
      <c r="C231" s="951"/>
      <c r="D231" s="951" t="s">
        <v>62</v>
      </c>
      <c r="E231" s="951"/>
      <c r="F231" s="951">
        <v>5.54</v>
      </c>
      <c r="G231" s="951" t="s">
        <v>32</v>
      </c>
      <c r="H231" s="951" t="s">
        <v>33</v>
      </c>
      <c r="I231" s="951"/>
      <c r="J231" s="951" t="s">
        <v>4088</v>
      </c>
      <c r="K231" s="951" t="s">
        <v>4381</v>
      </c>
      <c r="L231" s="951">
        <v>12742</v>
      </c>
      <c r="M231" s="951">
        <v>3822.6</v>
      </c>
      <c r="N231" s="1075" t="s">
        <v>4384</v>
      </c>
      <c r="O231" s="1909"/>
      <c r="P231" s="340" t="s">
        <v>4091</v>
      </c>
      <c r="Q231" s="340">
        <v>19906957772</v>
      </c>
      <c r="R231" s="103" t="s">
        <v>4092</v>
      </c>
      <c r="S231" s="125" t="s">
        <v>4043</v>
      </c>
      <c r="T231" s="340"/>
      <c r="U231" s="340"/>
      <c r="V231" s="340"/>
      <c r="W231" s="340"/>
      <c r="X231" s="340"/>
      <c r="Y231" s="340"/>
      <c r="Z231" s="340"/>
      <c r="AA231" s="340"/>
      <c r="AB231" s="340"/>
      <c r="AC231" s="340"/>
      <c r="AD231" s="340"/>
      <c r="AE231" s="340"/>
      <c r="AF231" s="340"/>
      <c r="AG231" s="340"/>
      <c r="AH231" s="340"/>
      <c r="AI231" s="340"/>
      <c r="AJ231" s="340"/>
      <c r="AK231" s="340"/>
      <c r="AL231" s="340"/>
      <c r="AM231" s="340"/>
      <c r="AN231" s="340"/>
      <c r="AO231" s="340"/>
      <c r="AP231" s="340"/>
      <c r="AQ231" s="340"/>
      <c r="AR231" s="340"/>
      <c r="AS231" s="340"/>
      <c r="AT231" s="340"/>
      <c r="AU231" s="340"/>
      <c r="AV231" s="340"/>
      <c r="AW231" s="340"/>
      <c r="AX231" s="340"/>
      <c r="AY231" s="340"/>
      <c r="AZ231" s="340"/>
      <c r="BA231" s="340"/>
      <c r="BB231" s="340"/>
      <c r="BC231" s="340"/>
      <c r="BD231" s="340"/>
      <c r="BE231" s="340"/>
      <c r="BF231" s="340"/>
      <c r="BG231" s="340"/>
      <c r="BH231" s="340"/>
      <c r="BI231" s="340"/>
      <c r="BJ231" s="340"/>
      <c r="BK231" s="340"/>
      <c r="BL231" s="340"/>
      <c r="BM231" s="340"/>
      <c r="BN231" s="340"/>
      <c r="BO231" s="340"/>
      <c r="BP231" s="340"/>
      <c r="BQ231" s="340"/>
      <c r="BR231" s="340"/>
      <c r="BS231" s="340"/>
      <c r="BT231" s="340"/>
      <c r="BU231" s="340"/>
      <c r="BV231" s="340"/>
      <c r="BW231" s="340"/>
      <c r="BX231" s="340"/>
      <c r="BY231" s="340"/>
      <c r="BZ231" s="340"/>
      <c r="CA231" s="340"/>
      <c r="CB231" s="340"/>
      <c r="CC231" s="340"/>
      <c r="CD231" s="340"/>
      <c r="CE231" s="340"/>
      <c r="CF231" s="340"/>
      <c r="CG231" s="340"/>
      <c r="CH231" s="340"/>
      <c r="CI231" s="340"/>
      <c r="CJ231" s="340"/>
      <c r="CK231" s="340"/>
      <c r="CL231" s="340"/>
      <c r="CM231" s="340"/>
      <c r="CN231" s="340"/>
      <c r="CO231" s="340"/>
      <c r="CP231" s="340"/>
      <c r="CQ231" s="340"/>
      <c r="CR231" s="340"/>
      <c r="CS231" s="340"/>
      <c r="CT231" s="340"/>
      <c r="CU231" s="340"/>
      <c r="CV231" s="340"/>
      <c r="CW231" s="340"/>
      <c r="CX231" s="340"/>
      <c r="CY231" s="340"/>
      <c r="CZ231" s="340"/>
      <c r="DA231" s="340"/>
      <c r="DB231" s="340"/>
      <c r="DC231" s="340"/>
      <c r="DD231" s="340"/>
      <c r="DE231" s="340"/>
      <c r="DF231" s="340"/>
      <c r="DG231" s="340"/>
      <c r="DH231" s="340"/>
      <c r="DI231" s="340"/>
      <c r="DJ231" s="340"/>
      <c r="DK231" s="340"/>
      <c r="DL231" s="340"/>
      <c r="DM231" s="340"/>
      <c r="DN231" s="340"/>
      <c r="DO231" s="340"/>
      <c r="DP231" s="340"/>
      <c r="DQ231" s="340"/>
      <c r="DR231" s="340"/>
      <c r="DS231" s="340"/>
      <c r="DT231" s="340"/>
      <c r="DU231" s="340"/>
      <c r="DV231" s="340"/>
      <c r="DW231" s="340"/>
      <c r="DX231" s="340"/>
      <c r="DY231" s="340"/>
      <c r="DZ231" s="340"/>
      <c r="EA231" s="340"/>
      <c r="EB231" s="340"/>
      <c r="EC231" s="340"/>
      <c r="ED231" s="340"/>
      <c r="EE231" s="340"/>
      <c r="EF231" s="340"/>
      <c r="EG231" s="340"/>
      <c r="EH231" s="340"/>
      <c r="EI231" s="340"/>
      <c r="EJ231" s="340"/>
      <c r="EK231" s="340"/>
      <c r="EL231" s="340"/>
      <c r="EM231" s="340"/>
      <c r="EN231" s="340"/>
      <c r="EO231" s="340"/>
      <c r="EP231" s="340"/>
      <c r="EQ231" s="340"/>
      <c r="ER231" s="340"/>
      <c r="ES231" s="340"/>
      <c r="ET231" s="340"/>
      <c r="EU231" s="340"/>
      <c r="EV231" s="340"/>
      <c r="EW231" s="340"/>
      <c r="EX231" s="340"/>
      <c r="EY231" s="340"/>
      <c r="EZ231" s="340"/>
      <c r="FA231" s="340"/>
      <c r="FB231" s="340"/>
      <c r="FC231" s="340"/>
      <c r="FD231" s="340"/>
      <c r="FE231" s="340"/>
      <c r="FF231" s="340"/>
      <c r="FG231" s="340"/>
      <c r="FH231" s="340"/>
      <c r="FI231" s="340"/>
      <c r="FJ231" s="340"/>
      <c r="FK231" s="340"/>
      <c r="FL231" s="340"/>
      <c r="FM231" s="340"/>
      <c r="FN231" s="340"/>
      <c r="FO231" s="340"/>
      <c r="FP231" s="340"/>
      <c r="FQ231" s="340"/>
      <c r="FR231" s="340"/>
      <c r="FS231" s="340"/>
      <c r="FT231" s="340"/>
      <c r="FU231" s="340"/>
      <c r="FV231" s="340"/>
      <c r="FW231" s="340"/>
      <c r="FX231" s="340"/>
      <c r="FY231" s="340"/>
      <c r="FZ231" s="340"/>
      <c r="GA231" s="340"/>
      <c r="GB231" s="340"/>
      <c r="GC231" s="340"/>
      <c r="GD231" s="340"/>
      <c r="GE231" s="340"/>
      <c r="GF231" s="340"/>
      <c r="GG231" s="340"/>
      <c r="GH231" s="340"/>
      <c r="GI231" s="340"/>
      <c r="GJ231" s="340"/>
      <c r="GK231" s="340"/>
      <c r="GL231" s="340"/>
      <c r="GM231" s="340"/>
      <c r="GN231" s="340"/>
      <c r="GO231" s="340"/>
      <c r="GP231" s="340"/>
      <c r="GQ231" s="340"/>
      <c r="GR231" s="340"/>
      <c r="GS231" s="340"/>
      <c r="GT231" s="340"/>
      <c r="GU231" s="340"/>
      <c r="GV231" s="340"/>
      <c r="GW231" s="340"/>
      <c r="GX231" s="340"/>
      <c r="GY231" s="340"/>
      <c r="GZ231" s="340"/>
      <c r="HA231" s="340"/>
      <c r="HB231" s="340"/>
      <c r="HC231" s="340"/>
      <c r="HD231" s="340"/>
      <c r="HE231" s="340"/>
      <c r="HF231" s="340"/>
      <c r="HG231" s="340"/>
      <c r="HH231" s="340"/>
      <c r="HI231" s="340"/>
      <c r="HJ231" s="340"/>
      <c r="HK231" s="340"/>
      <c r="HL231" s="340"/>
      <c r="HM231" s="340"/>
      <c r="HN231" s="340"/>
      <c r="HO231" s="340"/>
      <c r="HP231" s="340"/>
      <c r="HQ231" s="340"/>
      <c r="HR231" s="340"/>
      <c r="HS231" s="340"/>
      <c r="HT231" s="340"/>
      <c r="HU231" s="340"/>
      <c r="HV231" s="340"/>
      <c r="HW231" s="340"/>
      <c r="HX231" s="340"/>
      <c r="HY231" s="340"/>
      <c r="HZ231" s="340"/>
      <c r="IA231" s="340"/>
      <c r="IB231" s="340"/>
      <c r="IC231" s="340"/>
      <c r="ID231" s="340"/>
      <c r="IE231" s="340"/>
      <c r="IF231" s="340"/>
      <c r="IG231" s="340"/>
      <c r="IH231" s="340"/>
      <c r="II231" s="340"/>
      <c r="IJ231" s="340"/>
      <c r="IK231" s="340"/>
      <c r="IL231" s="340"/>
      <c r="IM231" s="340"/>
      <c r="IN231" s="340"/>
      <c r="IO231" s="340"/>
      <c r="IP231" s="340"/>
      <c r="IQ231" s="340"/>
      <c r="IR231" s="340"/>
      <c r="IS231" s="340"/>
      <c r="IT231" s="340"/>
      <c r="IU231" s="340"/>
      <c r="IV231" s="340"/>
      <c r="IW231" s="340"/>
      <c r="IX231" s="340"/>
      <c r="IY231" s="340"/>
      <c r="IZ231" s="340"/>
      <c r="JA231" s="340"/>
      <c r="JB231" s="340"/>
      <c r="JC231" s="340"/>
      <c r="JD231" s="340"/>
      <c r="JE231" s="340"/>
      <c r="JF231" s="340"/>
      <c r="JG231" s="340"/>
      <c r="JH231" s="340"/>
      <c r="JI231" s="340"/>
      <c r="JJ231" s="340"/>
      <c r="JK231" s="340"/>
      <c r="JL231" s="340"/>
      <c r="JM231" s="340"/>
      <c r="JN231" s="340"/>
      <c r="JO231" s="340"/>
      <c r="JP231" s="340"/>
      <c r="JQ231" s="340"/>
      <c r="JR231" s="340"/>
      <c r="JS231" s="340"/>
      <c r="JT231" s="340"/>
      <c r="JU231" s="340"/>
      <c r="JV231" s="340"/>
      <c r="JW231" s="340"/>
      <c r="JX231" s="340"/>
      <c r="JY231" s="340"/>
      <c r="JZ231" s="340"/>
      <c r="KA231" s="340"/>
      <c r="KB231" s="340"/>
      <c r="KC231" s="340"/>
      <c r="KD231" s="340"/>
      <c r="KE231" s="340"/>
      <c r="KF231" s="340"/>
      <c r="KG231" s="340"/>
      <c r="KH231" s="340"/>
      <c r="KI231" s="340"/>
      <c r="KJ231" s="340"/>
      <c r="KK231" s="340"/>
      <c r="KL231" s="340"/>
      <c r="KM231" s="340"/>
      <c r="KN231" s="340"/>
      <c r="KO231" s="340"/>
      <c r="KP231" s="340"/>
      <c r="KQ231" s="340"/>
      <c r="KR231" s="340"/>
      <c r="KS231" s="340"/>
      <c r="KT231" s="340"/>
      <c r="KU231" s="340"/>
      <c r="KV231" s="340"/>
      <c r="KW231" s="340"/>
      <c r="KX231" s="340"/>
      <c r="KY231" s="340"/>
      <c r="KZ231" s="340"/>
      <c r="LA231" s="340"/>
      <c r="LB231" s="340"/>
      <c r="LC231" s="340"/>
      <c r="LD231" s="340"/>
      <c r="LE231" s="340"/>
      <c r="LF231" s="340"/>
      <c r="LG231" s="340"/>
      <c r="LH231" s="340"/>
      <c r="LI231" s="340"/>
      <c r="LJ231" s="340"/>
      <c r="LK231" s="340"/>
      <c r="LL231" s="340"/>
      <c r="LM231" s="340"/>
      <c r="LN231" s="340"/>
      <c r="LO231" s="340"/>
      <c r="LP231" s="340"/>
      <c r="LQ231" s="340"/>
      <c r="LR231" s="340"/>
      <c r="LS231" s="340"/>
      <c r="LT231" s="340"/>
      <c r="LU231" s="340"/>
      <c r="LV231" s="340"/>
      <c r="LW231" s="340"/>
      <c r="LX231" s="340"/>
      <c r="LY231" s="340"/>
      <c r="LZ231" s="340"/>
      <c r="MA231" s="340"/>
      <c r="MB231" s="340"/>
      <c r="MC231" s="340"/>
      <c r="MD231" s="340"/>
      <c r="ME231" s="340"/>
      <c r="MF231" s="340"/>
      <c r="MG231" s="340"/>
      <c r="MH231" s="340"/>
      <c r="MI231" s="340"/>
      <c r="MJ231" s="340"/>
      <c r="MK231" s="340"/>
      <c r="ML231" s="340"/>
      <c r="MM231" s="340"/>
      <c r="MN231" s="340"/>
      <c r="MO231" s="340"/>
      <c r="MP231" s="340"/>
      <c r="MQ231" s="340"/>
      <c r="MR231" s="340"/>
      <c r="MS231" s="340"/>
      <c r="MT231" s="340"/>
      <c r="MU231" s="340"/>
      <c r="MV231" s="340"/>
      <c r="MW231" s="340"/>
      <c r="MX231" s="340"/>
      <c r="MY231" s="340"/>
      <c r="MZ231" s="340"/>
      <c r="NA231" s="340"/>
      <c r="NB231" s="340"/>
      <c r="NC231" s="340"/>
      <c r="ND231" s="340"/>
      <c r="NE231" s="340"/>
      <c r="NF231" s="340"/>
      <c r="NG231" s="340"/>
      <c r="NH231" s="340"/>
      <c r="NI231" s="340"/>
      <c r="NJ231" s="340"/>
      <c r="NK231" s="340"/>
      <c r="NL231" s="340"/>
      <c r="NM231" s="340"/>
      <c r="NN231" s="340"/>
      <c r="NO231" s="340"/>
      <c r="NP231" s="340"/>
      <c r="NQ231" s="340"/>
      <c r="NR231" s="340"/>
      <c r="NS231" s="340"/>
      <c r="NT231" s="340"/>
      <c r="NU231" s="340"/>
      <c r="NV231" s="340"/>
      <c r="NW231" s="340"/>
      <c r="NX231" s="340"/>
      <c r="NY231" s="340"/>
      <c r="NZ231" s="340"/>
      <c r="OA231" s="340"/>
      <c r="OB231" s="340"/>
      <c r="OC231" s="340"/>
      <c r="OD231" s="340"/>
      <c r="OE231" s="340"/>
      <c r="OF231" s="340"/>
      <c r="OG231" s="340"/>
      <c r="OH231" s="340"/>
      <c r="OI231" s="340"/>
      <c r="OJ231" s="340"/>
      <c r="OK231" s="340"/>
      <c r="OL231" s="340"/>
      <c r="OM231" s="340"/>
      <c r="ON231" s="340"/>
      <c r="OO231" s="340"/>
      <c r="OP231" s="340"/>
      <c r="OQ231" s="340"/>
      <c r="OR231" s="340"/>
      <c r="OS231" s="340"/>
      <c r="OT231" s="340"/>
      <c r="OU231" s="340"/>
      <c r="OV231" s="340"/>
      <c r="OW231" s="340"/>
      <c r="OX231" s="340"/>
      <c r="OY231" s="340"/>
      <c r="OZ231" s="340"/>
      <c r="PA231" s="340"/>
      <c r="PB231" s="340"/>
      <c r="PC231" s="340"/>
      <c r="PD231" s="340"/>
      <c r="PE231" s="340"/>
      <c r="PF231" s="340"/>
      <c r="PG231" s="340"/>
      <c r="PH231" s="340"/>
      <c r="PI231" s="340"/>
      <c r="PJ231" s="340"/>
      <c r="PK231" s="340"/>
      <c r="PL231" s="340"/>
      <c r="PM231" s="340"/>
      <c r="PN231" s="340"/>
      <c r="PO231" s="340"/>
      <c r="PP231" s="340"/>
      <c r="PQ231" s="340"/>
      <c r="PR231" s="340"/>
      <c r="PS231" s="340"/>
      <c r="PT231" s="340"/>
      <c r="PU231" s="340"/>
      <c r="PV231" s="340"/>
      <c r="PW231" s="340"/>
      <c r="PX231" s="340"/>
      <c r="PY231" s="340"/>
      <c r="PZ231" s="340"/>
      <c r="QA231" s="340"/>
      <c r="QB231" s="340"/>
      <c r="QC231" s="340"/>
      <c r="QD231" s="340"/>
      <c r="QE231" s="340"/>
      <c r="QF231" s="340"/>
      <c r="QG231" s="340"/>
      <c r="QH231" s="340"/>
      <c r="QI231" s="340"/>
      <c r="QJ231" s="340"/>
      <c r="QK231" s="340"/>
      <c r="QL231" s="340"/>
      <c r="QM231" s="340"/>
      <c r="QN231" s="340"/>
      <c r="QO231" s="340"/>
      <c r="QP231" s="340"/>
      <c r="QQ231" s="340"/>
      <c r="QR231" s="340"/>
      <c r="QS231" s="340"/>
      <c r="QT231" s="340"/>
      <c r="QU231" s="340"/>
      <c r="QV231" s="340"/>
      <c r="QW231" s="340"/>
      <c r="QX231" s="340"/>
      <c r="QY231" s="340"/>
      <c r="QZ231" s="340"/>
      <c r="RA231" s="340"/>
      <c r="RB231" s="340"/>
      <c r="RC231" s="340"/>
      <c r="RD231" s="340"/>
      <c r="RE231" s="340"/>
      <c r="RF231" s="340"/>
      <c r="RG231" s="340"/>
      <c r="RH231" s="340"/>
      <c r="RI231" s="340"/>
      <c r="RJ231" s="340"/>
      <c r="RK231" s="340"/>
      <c r="RL231" s="340"/>
      <c r="RM231" s="340"/>
      <c r="RN231" s="340"/>
      <c r="RO231" s="340"/>
      <c r="RP231" s="340"/>
      <c r="RQ231" s="340"/>
      <c r="RR231" s="340"/>
      <c r="RS231" s="340"/>
      <c r="RT231" s="340"/>
      <c r="RU231" s="340"/>
      <c r="RV231" s="340"/>
      <c r="RW231" s="340"/>
      <c r="RX231" s="340"/>
      <c r="RY231" s="340"/>
      <c r="RZ231" s="340"/>
      <c r="SA231" s="340"/>
      <c r="SB231" s="340"/>
      <c r="SC231" s="340"/>
      <c r="SD231" s="340"/>
      <c r="SE231" s="340"/>
      <c r="SF231" s="340"/>
      <c r="SG231" s="340"/>
      <c r="SH231" s="340"/>
      <c r="SI231" s="340"/>
      <c r="SJ231" s="340"/>
      <c r="SK231" s="340"/>
      <c r="SL231" s="340"/>
      <c r="SM231" s="340"/>
      <c r="SN231" s="340"/>
      <c r="SO231" s="340"/>
      <c r="SP231" s="340"/>
      <c r="SQ231" s="340"/>
      <c r="SR231" s="340"/>
      <c r="SS231" s="340"/>
      <c r="ST231" s="340"/>
      <c r="SU231" s="340"/>
      <c r="SV231" s="340"/>
      <c r="SW231" s="340"/>
      <c r="SX231" s="340"/>
      <c r="SY231" s="340"/>
      <c r="SZ231" s="340"/>
      <c r="TA231" s="340"/>
      <c r="TB231" s="340"/>
      <c r="TC231" s="340"/>
      <c r="TD231" s="340"/>
      <c r="TE231" s="340"/>
      <c r="TF231" s="340"/>
      <c r="TG231" s="340"/>
      <c r="TH231" s="340"/>
      <c r="TI231" s="340"/>
      <c r="TJ231" s="340"/>
      <c r="TK231" s="340"/>
      <c r="TL231" s="340"/>
      <c r="TM231" s="340"/>
      <c r="TN231" s="340"/>
      <c r="TO231" s="340"/>
      <c r="TP231" s="340"/>
      <c r="TQ231" s="340"/>
      <c r="TR231" s="340"/>
      <c r="TS231" s="340"/>
      <c r="TT231" s="340"/>
      <c r="TU231" s="340"/>
      <c r="TV231" s="340"/>
      <c r="TW231" s="340"/>
      <c r="TX231" s="340"/>
      <c r="TY231" s="340"/>
      <c r="TZ231" s="340"/>
      <c r="UA231" s="340"/>
      <c r="UB231" s="340"/>
      <c r="UC231" s="340"/>
      <c r="UD231" s="340"/>
      <c r="UE231" s="340"/>
      <c r="UF231" s="340"/>
      <c r="UG231" s="340"/>
      <c r="UH231" s="340"/>
      <c r="UI231" s="340"/>
      <c r="UJ231" s="340"/>
      <c r="UK231" s="340"/>
      <c r="UL231" s="340"/>
      <c r="UM231" s="340"/>
      <c r="UN231" s="340"/>
      <c r="UO231" s="340"/>
      <c r="UP231" s="340"/>
      <c r="UQ231" s="340"/>
      <c r="UR231" s="340"/>
      <c r="US231" s="340"/>
      <c r="UT231" s="340"/>
      <c r="UU231" s="340"/>
      <c r="UV231" s="340"/>
      <c r="UW231" s="340"/>
      <c r="UX231" s="340"/>
      <c r="UY231" s="340"/>
      <c r="UZ231" s="340"/>
      <c r="VA231" s="340"/>
      <c r="VB231" s="340"/>
      <c r="VC231" s="340"/>
      <c r="VD231" s="340"/>
      <c r="VE231" s="340"/>
      <c r="VF231" s="340"/>
      <c r="VG231" s="340"/>
      <c r="VH231" s="340"/>
      <c r="VI231" s="340"/>
      <c r="VJ231" s="340"/>
      <c r="VK231" s="340"/>
      <c r="VL231" s="340"/>
      <c r="VM231" s="340"/>
      <c r="VN231" s="340"/>
      <c r="VO231" s="340"/>
      <c r="VP231" s="340"/>
      <c r="VQ231" s="340"/>
      <c r="VR231" s="340"/>
      <c r="VS231" s="340"/>
      <c r="VT231" s="340"/>
      <c r="VU231" s="340"/>
      <c r="VV231" s="340"/>
      <c r="VW231" s="340"/>
      <c r="VX231" s="340"/>
      <c r="VY231" s="340"/>
      <c r="VZ231" s="340"/>
      <c r="WA231" s="340"/>
      <c r="WB231" s="340"/>
      <c r="WC231" s="340"/>
      <c r="WD231" s="340"/>
      <c r="WE231" s="340"/>
      <c r="WF231" s="340"/>
      <c r="WG231" s="340"/>
      <c r="WH231" s="340"/>
      <c r="WI231" s="340"/>
      <c r="WJ231" s="340"/>
      <c r="WK231" s="340"/>
      <c r="WL231" s="340"/>
      <c r="WM231" s="340"/>
      <c r="WN231" s="340"/>
      <c r="WO231" s="340"/>
      <c r="WP231" s="340"/>
      <c r="WQ231" s="340"/>
      <c r="WR231" s="340"/>
      <c r="WS231" s="340"/>
      <c r="WT231" s="340"/>
      <c r="WU231" s="340"/>
      <c r="WV231" s="340"/>
      <c r="WW231" s="340"/>
      <c r="WX231" s="340"/>
      <c r="WY231" s="340"/>
      <c r="WZ231" s="340"/>
      <c r="XA231" s="340"/>
      <c r="XB231" s="340"/>
      <c r="XC231" s="340"/>
      <c r="XD231" s="340"/>
      <c r="XE231" s="340"/>
      <c r="XF231" s="340"/>
      <c r="XG231" s="340"/>
      <c r="XH231" s="340"/>
      <c r="XI231" s="340"/>
      <c r="XJ231" s="340"/>
      <c r="XK231" s="340"/>
      <c r="XL231" s="340"/>
      <c r="XM231" s="340"/>
      <c r="XN231" s="340"/>
      <c r="XO231" s="340"/>
      <c r="XP231" s="340"/>
      <c r="XQ231" s="340"/>
      <c r="XR231" s="340"/>
      <c r="XS231" s="340"/>
      <c r="XT231" s="340"/>
      <c r="XU231" s="340"/>
      <c r="XV231" s="340"/>
      <c r="XW231" s="340"/>
      <c r="XX231" s="340"/>
      <c r="XY231" s="340"/>
      <c r="XZ231" s="340"/>
      <c r="YA231" s="340"/>
      <c r="YB231" s="340"/>
      <c r="YC231" s="340"/>
      <c r="YD231" s="340"/>
      <c r="YE231" s="340"/>
      <c r="YF231" s="340"/>
      <c r="YG231" s="340"/>
      <c r="YH231" s="340"/>
      <c r="YI231" s="340"/>
      <c r="YJ231" s="340"/>
      <c r="YK231" s="340"/>
      <c r="YL231" s="340"/>
      <c r="YM231" s="340"/>
      <c r="YN231" s="340"/>
      <c r="YO231" s="340"/>
      <c r="YP231" s="340"/>
      <c r="YQ231" s="340"/>
      <c r="YR231" s="340"/>
      <c r="YS231" s="340"/>
      <c r="YT231" s="340"/>
      <c r="YU231" s="340"/>
      <c r="YV231" s="340"/>
      <c r="YW231" s="340"/>
      <c r="YX231" s="340"/>
      <c r="YY231" s="340"/>
      <c r="YZ231" s="340"/>
      <c r="ZA231" s="340"/>
      <c r="ZB231" s="340"/>
      <c r="ZC231" s="340"/>
      <c r="ZD231" s="340"/>
      <c r="ZE231" s="340"/>
      <c r="ZF231" s="340"/>
      <c r="ZG231" s="340"/>
      <c r="ZH231" s="340"/>
      <c r="ZI231" s="340"/>
      <c r="ZJ231" s="340"/>
      <c r="ZK231" s="340"/>
      <c r="ZL231" s="340"/>
      <c r="ZM231" s="340"/>
      <c r="ZN231" s="340"/>
      <c r="ZO231" s="340"/>
      <c r="ZP231" s="340"/>
      <c r="ZQ231" s="340"/>
      <c r="ZR231" s="340"/>
      <c r="ZS231" s="340"/>
      <c r="ZT231" s="340"/>
      <c r="ZU231" s="340"/>
      <c r="ZV231" s="340"/>
      <c r="ZW231" s="340"/>
      <c r="ZX231" s="340"/>
      <c r="ZY231" s="340"/>
      <c r="ZZ231" s="340"/>
      <c r="AAA231" s="340"/>
      <c r="AAB231" s="340"/>
      <c r="AAC231" s="340"/>
      <c r="AAD231" s="340"/>
      <c r="AAE231" s="340"/>
      <c r="AAF231" s="340"/>
      <c r="AAG231" s="340"/>
      <c r="AAH231" s="340"/>
      <c r="AAI231" s="340"/>
      <c r="AAJ231" s="340"/>
      <c r="AAK231" s="340"/>
      <c r="AAL231" s="340"/>
      <c r="AAM231" s="340"/>
      <c r="AAN231" s="340"/>
      <c r="AAO231" s="340"/>
      <c r="AAP231" s="340"/>
      <c r="AAQ231" s="340"/>
      <c r="AAR231" s="340"/>
      <c r="AAS231" s="340"/>
      <c r="AAT231" s="340"/>
      <c r="AAU231" s="340"/>
      <c r="AAV231" s="340"/>
      <c r="AAW231" s="340"/>
      <c r="AAX231" s="340"/>
      <c r="AAY231" s="340"/>
      <c r="AAZ231" s="340"/>
      <c r="ABA231" s="340"/>
      <c r="ABB231" s="340"/>
      <c r="ABC231" s="340"/>
      <c r="ABD231" s="340"/>
      <c r="ABE231" s="340"/>
      <c r="ABF231" s="340"/>
      <c r="ABG231" s="340"/>
      <c r="ABH231" s="340"/>
      <c r="ABI231" s="340"/>
      <c r="ABJ231" s="340"/>
      <c r="ABK231" s="340"/>
      <c r="ABL231" s="340"/>
      <c r="ABM231" s="340"/>
      <c r="ABN231" s="340"/>
      <c r="ABO231" s="340"/>
      <c r="ABP231" s="340"/>
      <c r="ABQ231" s="340"/>
      <c r="ABR231" s="340"/>
      <c r="ABS231" s="340"/>
      <c r="ABT231" s="340"/>
      <c r="ABU231" s="340"/>
      <c r="ABV231" s="340"/>
      <c r="ABW231" s="340"/>
      <c r="ABX231" s="340"/>
      <c r="ABY231" s="340"/>
      <c r="ABZ231" s="340"/>
      <c r="ACA231" s="340"/>
      <c r="ACB231" s="340"/>
      <c r="ACC231" s="340"/>
      <c r="ACD231" s="340"/>
      <c r="ACE231" s="340"/>
      <c r="ACF231" s="340"/>
      <c r="ACG231" s="340"/>
      <c r="ACH231" s="340"/>
      <c r="ACI231" s="340"/>
      <c r="ACJ231" s="340"/>
      <c r="ACK231" s="340"/>
      <c r="ACL231" s="340"/>
      <c r="ACM231" s="340"/>
      <c r="ACN231" s="340"/>
      <c r="ACO231" s="340"/>
      <c r="ACP231" s="340"/>
      <c r="ACQ231" s="340"/>
      <c r="ACR231" s="340"/>
      <c r="ACS231" s="340"/>
      <c r="ACT231" s="340"/>
      <c r="ACU231" s="340"/>
      <c r="ACV231" s="340"/>
      <c r="ACW231" s="340"/>
      <c r="ACX231" s="340"/>
      <c r="ACY231" s="340"/>
      <c r="ACZ231" s="340"/>
      <c r="ADA231" s="340"/>
      <c r="ADB231" s="340"/>
      <c r="ADC231" s="340"/>
      <c r="ADD231" s="340"/>
      <c r="ADE231" s="340"/>
      <c r="ADF231" s="340"/>
      <c r="ADG231" s="340"/>
      <c r="ADH231" s="340"/>
      <c r="ADI231" s="340"/>
      <c r="ADJ231" s="340"/>
      <c r="ADK231" s="340"/>
      <c r="ADL231" s="340"/>
      <c r="ADM231" s="340"/>
      <c r="ADN231" s="340"/>
      <c r="ADO231" s="340"/>
      <c r="ADP231" s="340"/>
      <c r="ADQ231" s="340"/>
      <c r="ADR231" s="340"/>
      <c r="ADS231" s="340"/>
      <c r="ADT231" s="340"/>
      <c r="ADU231" s="340"/>
      <c r="ADV231" s="340"/>
      <c r="ADW231" s="340"/>
      <c r="ADX231" s="340"/>
      <c r="ADY231" s="340"/>
      <c r="ADZ231" s="340"/>
      <c r="AEA231" s="340"/>
      <c r="AEB231" s="340"/>
      <c r="AEC231" s="340"/>
      <c r="AED231" s="340"/>
      <c r="AEE231" s="340"/>
      <c r="AEF231" s="340"/>
      <c r="AEG231" s="340"/>
      <c r="AEH231" s="340"/>
      <c r="AEI231" s="340"/>
      <c r="AEJ231" s="340"/>
      <c r="AEK231" s="340"/>
      <c r="AEL231" s="340"/>
      <c r="AEM231" s="340"/>
      <c r="AEN231" s="340"/>
      <c r="AEO231" s="340"/>
      <c r="AEP231" s="340"/>
      <c r="AEQ231" s="340"/>
      <c r="AER231" s="340"/>
      <c r="AES231" s="340"/>
      <c r="AET231" s="340"/>
      <c r="AEU231" s="340"/>
      <c r="AEV231" s="340"/>
      <c r="AEW231" s="340"/>
      <c r="AEX231" s="340"/>
      <c r="AEY231" s="340"/>
      <c r="AEZ231" s="340"/>
      <c r="AFA231" s="340"/>
      <c r="AFB231" s="340"/>
      <c r="AFC231" s="340"/>
      <c r="AFD231" s="340"/>
      <c r="AFE231" s="340"/>
      <c r="AFF231" s="340"/>
      <c r="AFG231" s="340"/>
      <c r="AFH231" s="340"/>
      <c r="AFI231" s="340"/>
      <c r="AFJ231" s="340"/>
      <c r="AFK231" s="340"/>
      <c r="AFL231" s="340"/>
      <c r="AFM231" s="340"/>
      <c r="AFN231" s="340"/>
      <c r="AFO231" s="340"/>
      <c r="AFP231" s="340"/>
      <c r="AFQ231" s="340"/>
      <c r="AFR231" s="340"/>
      <c r="AFS231" s="340"/>
      <c r="AFT231" s="340"/>
      <c r="AFU231" s="340"/>
      <c r="AFV231" s="340"/>
      <c r="AFW231" s="340"/>
      <c r="AFX231" s="340"/>
      <c r="AFY231" s="340"/>
      <c r="AFZ231" s="340"/>
      <c r="AGA231" s="340"/>
      <c r="AGB231" s="340"/>
      <c r="AGC231" s="340"/>
      <c r="AGD231" s="340"/>
      <c r="AGE231" s="340"/>
      <c r="AGF231" s="340"/>
      <c r="AGG231" s="340"/>
      <c r="AGH231" s="340"/>
      <c r="AGI231" s="340"/>
      <c r="AGJ231" s="340"/>
      <c r="AGK231" s="340"/>
      <c r="AGL231" s="340"/>
      <c r="AGM231" s="340"/>
      <c r="AGN231" s="340"/>
      <c r="AGO231" s="340"/>
      <c r="AGP231" s="340"/>
      <c r="AGQ231" s="340"/>
      <c r="AGR231" s="340"/>
      <c r="AGS231" s="340"/>
      <c r="AGT231" s="340"/>
      <c r="AGU231" s="340"/>
      <c r="AGV231" s="340"/>
      <c r="AGW231" s="340"/>
      <c r="AGX231" s="340"/>
      <c r="AGY231" s="340"/>
      <c r="AGZ231" s="340"/>
      <c r="AHA231" s="340"/>
      <c r="AHB231" s="340"/>
      <c r="AHC231" s="340"/>
      <c r="AHD231" s="340"/>
      <c r="AHE231" s="340"/>
      <c r="AHF231" s="340"/>
      <c r="AHG231" s="340"/>
      <c r="AHH231" s="340"/>
      <c r="AHI231" s="340"/>
      <c r="AHJ231" s="340"/>
      <c r="AHK231" s="340"/>
      <c r="AHL231" s="340"/>
      <c r="AHM231" s="340"/>
      <c r="AHN231" s="340"/>
      <c r="AHO231" s="340"/>
      <c r="AHP231" s="340"/>
      <c r="AHQ231" s="340"/>
      <c r="AHR231" s="340"/>
      <c r="AHS231" s="340"/>
      <c r="AHT231" s="340"/>
      <c r="AHU231" s="340"/>
      <c r="AHV231" s="340"/>
      <c r="AHW231" s="340"/>
      <c r="AHX231" s="340"/>
      <c r="AHY231" s="340"/>
      <c r="AHZ231" s="340"/>
      <c r="AIA231" s="340"/>
      <c r="AIB231" s="340"/>
      <c r="AIC231" s="340"/>
      <c r="AID231" s="340"/>
      <c r="AIE231" s="340"/>
      <c r="AIF231" s="340"/>
      <c r="AIG231" s="340"/>
      <c r="AIH231" s="340"/>
      <c r="AII231" s="340"/>
      <c r="AIJ231" s="340"/>
      <c r="AIK231" s="340"/>
      <c r="AIL231" s="340"/>
      <c r="AIM231" s="340"/>
      <c r="AIN231" s="340"/>
      <c r="AIO231" s="340"/>
      <c r="AIP231" s="340"/>
      <c r="AIQ231" s="340"/>
      <c r="AIR231" s="340"/>
      <c r="AIS231" s="340"/>
      <c r="AIT231" s="340"/>
      <c r="AIU231" s="340"/>
      <c r="AIV231" s="340"/>
      <c r="AIW231" s="340"/>
      <c r="AIX231" s="340"/>
      <c r="AIY231" s="340"/>
      <c r="AIZ231" s="340"/>
      <c r="AJA231" s="340"/>
      <c r="AJB231" s="340"/>
      <c r="AJC231" s="340"/>
      <c r="AJD231" s="340"/>
      <c r="AJE231" s="340"/>
      <c r="AJF231" s="340"/>
      <c r="AJG231" s="340"/>
      <c r="AJH231" s="340"/>
      <c r="AJI231" s="340"/>
      <c r="AJJ231" s="340"/>
      <c r="AJK231" s="340"/>
      <c r="AJL231" s="340"/>
      <c r="AJM231" s="340"/>
      <c r="AJN231" s="340"/>
      <c r="AJO231" s="340"/>
      <c r="AJP231" s="340"/>
      <c r="AJQ231" s="340"/>
      <c r="AJR231" s="340"/>
      <c r="AJS231" s="340"/>
      <c r="AJT231" s="340"/>
      <c r="AJU231" s="340"/>
      <c r="AJV231" s="340"/>
      <c r="AJW231" s="340"/>
      <c r="AJX231" s="340"/>
      <c r="AJY231" s="340"/>
      <c r="AJZ231" s="340"/>
      <c r="AKA231" s="340"/>
      <c r="AKB231" s="340"/>
      <c r="AKC231" s="340"/>
      <c r="AKD231" s="340"/>
      <c r="AKE231" s="340"/>
      <c r="AKF231" s="340"/>
      <c r="AKG231" s="340"/>
      <c r="AKH231" s="340"/>
      <c r="AKI231" s="340"/>
      <c r="AKJ231" s="340"/>
      <c r="AKK231" s="340"/>
      <c r="AKL231" s="340"/>
      <c r="AKM231" s="340"/>
      <c r="AKN231" s="340"/>
      <c r="AKO231" s="340"/>
      <c r="AKP231" s="340"/>
      <c r="AKQ231" s="340"/>
      <c r="AKR231" s="340"/>
      <c r="AKS231" s="340"/>
      <c r="AKT231" s="340"/>
      <c r="AKU231" s="340"/>
      <c r="AKV231" s="340"/>
      <c r="AKW231" s="340"/>
      <c r="AKX231" s="340"/>
      <c r="AKY231" s="340"/>
      <c r="AKZ231" s="340"/>
      <c r="ALA231" s="340"/>
      <c r="ALB231" s="340"/>
      <c r="ALC231" s="340"/>
      <c r="ALD231" s="340"/>
      <c r="ALE231" s="340"/>
      <c r="ALF231" s="340"/>
      <c r="ALG231" s="340"/>
      <c r="ALH231" s="340"/>
      <c r="ALI231" s="340"/>
      <c r="ALJ231" s="340"/>
      <c r="ALK231" s="340"/>
      <c r="ALL231" s="340"/>
      <c r="ALM231" s="340"/>
      <c r="ALN231" s="340"/>
      <c r="ALO231" s="340"/>
      <c r="ALP231" s="340"/>
      <c r="ALQ231" s="340"/>
      <c r="ALR231" s="340"/>
      <c r="ALS231" s="340"/>
      <c r="ALT231" s="340"/>
      <c r="ALU231" s="340"/>
      <c r="ALV231" s="340"/>
      <c r="ALW231" s="340"/>
      <c r="ALX231" s="340"/>
      <c r="ALY231" s="340"/>
      <c r="ALZ231" s="340"/>
      <c r="AMA231" s="340"/>
      <c r="AMB231" s="340"/>
      <c r="AMC231" s="340"/>
      <c r="AMD231" s="340"/>
      <c r="AME231" s="340"/>
      <c r="AMF231" s="340"/>
      <c r="AMG231" s="340"/>
      <c r="AMH231" s="340"/>
      <c r="AMI231" s="340"/>
      <c r="AMJ231" s="340"/>
      <c r="AMK231" s="340"/>
      <c r="AML231" s="340"/>
      <c r="AMM231" s="340"/>
      <c r="AMN231" s="340"/>
      <c r="AMO231" s="340"/>
      <c r="AMP231" s="340"/>
      <c r="AMQ231" s="340"/>
      <c r="AMR231" s="340"/>
      <c r="AMS231" s="340"/>
      <c r="AMT231" s="340"/>
      <c r="AMU231" s="340"/>
      <c r="AMV231" s="340"/>
      <c r="AMW231" s="340"/>
      <c r="AMX231" s="340"/>
      <c r="AMY231" s="340"/>
      <c r="AMZ231" s="340"/>
      <c r="ANA231" s="340"/>
      <c r="ANB231" s="340"/>
      <c r="ANC231" s="340"/>
      <c r="AND231" s="340"/>
      <c r="ANE231" s="340"/>
      <c r="ANF231" s="340"/>
      <c r="ANG231" s="340"/>
      <c r="ANH231" s="340"/>
      <c r="ANI231" s="340"/>
      <c r="ANJ231" s="340"/>
      <c r="ANK231" s="340"/>
      <c r="ANL231" s="340"/>
      <c r="ANM231" s="340"/>
      <c r="ANN231" s="340"/>
      <c r="ANO231" s="340"/>
      <c r="ANP231" s="340"/>
      <c r="ANQ231" s="340"/>
      <c r="ANR231" s="340"/>
      <c r="ANS231" s="340"/>
      <c r="ANT231" s="340"/>
      <c r="ANU231" s="340"/>
      <c r="ANV231" s="340"/>
      <c r="ANW231" s="340"/>
      <c r="ANX231" s="340"/>
      <c r="ANY231" s="340"/>
      <c r="ANZ231" s="340"/>
      <c r="AOA231" s="340"/>
      <c r="AOB231" s="340"/>
      <c r="AOC231" s="340"/>
      <c r="AOD231" s="340"/>
      <c r="AOE231" s="340"/>
      <c r="AOF231" s="340"/>
      <c r="AOG231" s="340"/>
      <c r="AOH231" s="340"/>
      <c r="AOI231" s="340"/>
      <c r="AOJ231" s="340"/>
      <c r="AOK231" s="340"/>
      <c r="AOL231" s="340"/>
      <c r="AOM231" s="340"/>
      <c r="AON231" s="340"/>
      <c r="AOO231" s="340"/>
      <c r="AOP231" s="340"/>
      <c r="AOQ231" s="340"/>
      <c r="AOR231" s="340"/>
      <c r="AOS231" s="340"/>
      <c r="AOT231" s="340"/>
      <c r="AOU231" s="340"/>
      <c r="AOV231" s="340"/>
      <c r="AOW231" s="340"/>
      <c r="AOX231" s="340"/>
      <c r="AOY231" s="340"/>
      <c r="AOZ231" s="340"/>
      <c r="APA231" s="340"/>
      <c r="APB231" s="340"/>
      <c r="APC231" s="340"/>
      <c r="APD231" s="340"/>
      <c r="APE231" s="340"/>
      <c r="APF231" s="340"/>
      <c r="APG231" s="340"/>
      <c r="APH231" s="340"/>
      <c r="API231" s="340"/>
      <c r="APJ231" s="340"/>
      <c r="APK231" s="340"/>
      <c r="APL231" s="340"/>
      <c r="APM231" s="340"/>
      <c r="APN231" s="340"/>
      <c r="APO231" s="340"/>
      <c r="APP231" s="340"/>
      <c r="APQ231" s="340"/>
      <c r="APR231" s="340"/>
      <c r="APS231" s="340"/>
      <c r="APT231" s="340"/>
      <c r="APU231" s="340"/>
      <c r="APV231" s="340"/>
      <c r="APW231" s="340"/>
      <c r="APX231" s="340"/>
      <c r="APY231" s="340"/>
      <c r="APZ231" s="340"/>
      <c r="AQA231" s="340"/>
      <c r="AQB231" s="340"/>
      <c r="AQC231" s="340"/>
      <c r="AQD231" s="340"/>
      <c r="AQE231" s="340"/>
      <c r="AQF231" s="340"/>
      <c r="AQG231" s="340"/>
      <c r="AQH231" s="340"/>
      <c r="AQI231" s="340"/>
      <c r="AQJ231" s="340"/>
      <c r="AQK231" s="340"/>
      <c r="AQL231" s="340"/>
      <c r="AQM231" s="340"/>
      <c r="AQN231" s="340"/>
      <c r="AQO231" s="340"/>
      <c r="AQP231" s="340"/>
      <c r="AQQ231" s="340"/>
      <c r="AQR231" s="340"/>
      <c r="AQS231" s="340"/>
      <c r="AQT231" s="340"/>
      <c r="AQU231" s="340"/>
      <c r="AQV231" s="340"/>
      <c r="AQW231" s="340"/>
      <c r="AQX231" s="340"/>
      <c r="AQY231" s="340"/>
      <c r="AQZ231" s="340"/>
      <c r="ARA231" s="340"/>
      <c r="ARB231" s="340"/>
      <c r="ARC231" s="340"/>
      <c r="ARD231" s="340"/>
      <c r="ARE231" s="340"/>
      <c r="ARF231" s="340"/>
      <c r="ARG231" s="340"/>
      <c r="ARH231" s="340"/>
      <c r="ARI231" s="340"/>
      <c r="ARJ231" s="340"/>
      <c r="ARK231" s="340"/>
      <c r="ARL231" s="340"/>
      <c r="ARM231" s="340"/>
      <c r="ARN231" s="340"/>
      <c r="ARO231" s="340"/>
      <c r="ARP231" s="340"/>
      <c r="ARQ231" s="340"/>
      <c r="ARR231" s="340"/>
      <c r="ARS231" s="340"/>
      <c r="ART231" s="340"/>
      <c r="ARU231" s="340"/>
      <c r="ARV231" s="340"/>
      <c r="ARW231" s="340"/>
      <c r="ARX231" s="340"/>
      <c r="ARY231" s="340"/>
      <c r="ARZ231" s="340"/>
      <c r="ASA231" s="340"/>
      <c r="ASB231" s="340"/>
      <c r="ASC231" s="340"/>
      <c r="ASD231" s="340"/>
      <c r="ASE231" s="340"/>
      <c r="ASF231" s="340"/>
      <c r="ASG231" s="340"/>
      <c r="ASH231" s="340"/>
      <c r="ASI231" s="340"/>
      <c r="ASJ231" s="340"/>
      <c r="ASK231" s="340"/>
      <c r="ASL231" s="340"/>
      <c r="ASM231" s="340"/>
      <c r="ASN231" s="340"/>
      <c r="ASO231" s="340"/>
      <c r="ASP231" s="340"/>
      <c r="ASQ231" s="340"/>
      <c r="ASR231" s="340"/>
      <c r="ASS231" s="340"/>
      <c r="AST231" s="340"/>
      <c r="ASU231" s="340"/>
      <c r="ASV231" s="340"/>
      <c r="ASW231" s="340"/>
      <c r="ASX231" s="340"/>
      <c r="ASY231" s="340"/>
      <c r="ASZ231" s="340"/>
      <c r="ATA231" s="340"/>
      <c r="ATB231" s="340"/>
      <c r="ATC231" s="340"/>
      <c r="ATD231" s="340"/>
      <c r="ATE231" s="340"/>
      <c r="ATF231" s="340"/>
      <c r="ATG231" s="340"/>
      <c r="ATH231" s="340"/>
      <c r="ATI231" s="340"/>
      <c r="ATJ231" s="340"/>
      <c r="ATK231" s="340"/>
      <c r="ATL231" s="340"/>
      <c r="ATM231" s="340"/>
      <c r="ATN231" s="340"/>
      <c r="ATO231" s="340"/>
      <c r="ATP231" s="340"/>
      <c r="ATQ231" s="340"/>
      <c r="ATR231" s="340"/>
      <c r="ATS231" s="340"/>
      <c r="ATT231" s="340"/>
      <c r="ATU231" s="340"/>
      <c r="ATV231" s="340"/>
      <c r="ATW231" s="340"/>
      <c r="ATX231" s="340"/>
      <c r="ATY231" s="340"/>
      <c r="ATZ231" s="340"/>
      <c r="AUA231" s="340"/>
      <c r="AUB231" s="340"/>
      <c r="AUC231" s="340"/>
      <c r="AUD231" s="340"/>
      <c r="AUE231" s="340"/>
      <c r="AUF231" s="340"/>
      <c r="AUG231" s="340"/>
      <c r="AUH231" s="340"/>
      <c r="AUI231" s="340"/>
      <c r="AUJ231" s="340"/>
      <c r="AUK231" s="340"/>
      <c r="AUL231" s="340"/>
      <c r="AUM231" s="340"/>
      <c r="AUN231" s="340"/>
      <c r="AUO231" s="340"/>
      <c r="AUP231" s="340"/>
      <c r="AUQ231" s="340"/>
      <c r="AUR231" s="340"/>
      <c r="AUS231" s="340"/>
      <c r="AUT231" s="340"/>
      <c r="AUU231" s="340"/>
      <c r="AUV231" s="340"/>
      <c r="AUW231" s="340"/>
      <c r="AUX231" s="340"/>
      <c r="AUY231" s="340"/>
      <c r="AUZ231" s="340"/>
      <c r="AVA231" s="340"/>
      <c r="AVB231" s="340"/>
      <c r="AVC231" s="340"/>
      <c r="AVD231" s="340"/>
      <c r="AVE231" s="340"/>
      <c r="AVF231" s="340"/>
      <c r="AVG231" s="340"/>
      <c r="AVH231" s="340"/>
      <c r="AVI231" s="340"/>
      <c r="AVJ231" s="340"/>
      <c r="AVK231" s="340"/>
      <c r="AVL231" s="340"/>
      <c r="AVM231" s="340"/>
      <c r="AVN231" s="340"/>
      <c r="AVO231" s="340"/>
      <c r="AVP231" s="340"/>
      <c r="AVQ231" s="340"/>
      <c r="AVR231" s="340"/>
      <c r="AVS231" s="340"/>
      <c r="AVT231" s="340"/>
      <c r="AVU231" s="340"/>
      <c r="AVV231" s="340"/>
      <c r="AVW231" s="340"/>
      <c r="AVX231" s="340"/>
      <c r="AVY231" s="340"/>
      <c r="AVZ231" s="340"/>
      <c r="AWA231" s="340"/>
      <c r="AWB231" s="340"/>
      <c r="AWC231" s="340"/>
      <c r="AWD231" s="340"/>
      <c r="AWE231" s="340"/>
      <c r="AWF231" s="340"/>
      <c r="AWG231" s="340"/>
      <c r="AWH231" s="340"/>
      <c r="AWI231" s="340"/>
      <c r="AWJ231" s="340"/>
      <c r="AWK231" s="340"/>
      <c r="AWL231" s="340"/>
      <c r="AWM231" s="340"/>
      <c r="AWN231" s="340"/>
      <c r="AWO231" s="340"/>
      <c r="AWP231" s="340"/>
      <c r="AWQ231" s="340"/>
      <c r="AWR231" s="340"/>
      <c r="AWS231" s="340"/>
      <c r="AWT231" s="340"/>
      <c r="AWU231" s="340"/>
      <c r="AWV231" s="340"/>
      <c r="AWW231" s="340"/>
      <c r="AWX231" s="340"/>
      <c r="AWY231" s="340"/>
      <c r="AWZ231" s="340"/>
      <c r="AXA231" s="340"/>
      <c r="AXB231" s="340"/>
      <c r="AXC231" s="340"/>
      <c r="AXD231" s="340"/>
      <c r="AXE231" s="340"/>
      <c r="AXF231" s="340"/>
      <c r="AXG231" s="340"/>
      <c r="AXH231" s="340"/>
      <c r="AXI231" s="340"/>
      <c r="AXJ231" s="340"/>
      <c r="AXK231" s="340"/>
      <c r="AXL231" s="340"/>
      <c r="AXM231" s="340"/>
      <c r="AXN231" s="340"/>
      <c r="AXO231" s="340"/>
      <c r="AXP231" s="340"/>
      <c r="AXQ231" s="340"/>
      <c r="AXR231" s="340"/>
      <c r="AXS231" s="340"/>
      <c r="AXT231" s="340"/>
      <c r="AXU231" s="340"/>
      <c r="AXV231" s="340"/>
      <c r="AXW231" s="340"/>
      <c r="AXX231" s="340"/>
      <c r="AXY231" s="340"/>
      <c r="AXZ231" s="340"/>
      <c r="AYA231" s="340"/>
      <c r="AYB231" s="340"/>
      <c r="AYC231" s="340"/>
      <c r="AYD231" s="340"/>
      <c r="AYE231" s="340"/>
      <c r="AYF231" s="340"/>
      <c r="AYG231" s="340"/>
      <c r="AYH231" s="340"/>
      <c r="AYI231" s="340"/>
      <c r="AYJ231" s="340"/>
      <c r="AYK231" s="340"/>
      <c r="AYL231" s="340"/>
      <c r="AYM231" s="340"/>
      <c r="AYN231" s="340"/>
      <c r="AYO231" s="340"/>
      <c r="AYP231" s="340"/>
      <c r="AYQ231" s="340"/>
      <c r="AYR231" s="340"/>
      <c r="AYS231" s="340"/>
      <c r="AYT231" s="340"/>
      <c r="AYU231" s="340"/>
      <c r="AYV231" s="340"/>
      <c r="AYW231" s="340"/>
      <c r="AYX231" s="340"/>
      <c r="AYY231" s="340"/>
      <c r="AYZ231" s="340"/>
      <c r="AZA231" s="340"/>
      <c r="AZB231" s="340"/>
      <c r="AZC231" s="340"/>
      <c r="AZD231" s="340"/>
      <c r="AZE231" s="340"/>
      <c r="AZF231" s="340"/>
      <c r="AZG231" s="340"/>
      <c r="AZH231" s="340"/>
      <c r="AZI231" s="340"/>
      <c r="AZJ231" s="340"/>
      <c r="AZK231" s="340"/>
      <c r="AZL231" s="340"/>
      <c r="AZM231" s="340"/>
      <c r="AZN231" s="340"/>
      <c r="AZO231" s="340"/>
      <c r="AZP231" s="340"/>
      <c r="AZQ231" s="340"/>
      <c r="AZR231" s="340"/>
      <c r="AZS231" s="340"/>
      <c r="AZT231" s="340"/>
      <c r="AZU231" s="340"/>
      <c r="AZV231" s="340"/>
      <c r="AZW231" s="340"/>
      <c r="AZX231" s="340"/>
      <c r="AZY231" s="340"/>
      <c r="AZZ231" s="340"/>
      <c r="BAA231" s="340"/>
      <c r="BAB231" s="340"/>
      <c r="BAC231" s="340"/>
      <c r="BAD231" s="340"/>
      <c r="BAE231" s="340"/>
      <c r="BAF231" s="340"/>
      <c r="BAG231" s="340"/>
      <c r="BAH231" s="340"/>
      <c r="BAI231" s="340"/>
      <c r="BAJ231" s="340"/>
      <c r="BAK231" s="340"/>
      <c r="BAL231" s="340"/>
      <c r="BAM231" s="340"/>
      <c r="BAN231" s="340"/>
      <c r="BAO231" s="340"/>
      <c r="BAP231" s="340"/>
      <c r="BAQ231" s="340"/>
      <c r="BAR231" s="340"/>
      <c r="BAS231" s="340"/>
      <c r="BAT231" s="340"/>
      <c r="BAU231" s="340"/>
      <c r="BAV231" s="340"/>
      <c r="BAW231" s="340"/>
      <c r="BAX231" s="340"/>
      <c r="BAY231" s="340"/>
      <c r="BAZ231" s="340"/>
      <c r="BBA231" s="340"/>
      <c r="BBB231" s="340"/>
      <c r="BBC231" s="340"/>
      <c r="BBD231" s="340"/>
      <c r="BBE231" s="340"/>
      <c r="BBF231" s="340"/>
      <c r="BBG231" s="340"/>
      <c r="BBH231" s="340"/>
      <c r="BBI231" s="340"/>
      <c r="BBJ231" s="340"/>
      <c r="BBK231" s="340"/>
      <c r="BBL231" s="340"/>
      <c r="BBM231" s="340"/>
      <c r="BBN231" s="340"/>
      <c r="BBO231" s="340"/>
      <c r="BBP231" s="340"/>
      <c r="BBQ231" s="340"/>
      <c r="BBR231" s="340"/>
      <c r="BBS231" s="340"/>
      <c r="BBT231" s="340"/>
      <c r="BBU231" s="340"/>
      <c r="BBV231" s="340"/>
      <c r="BBW231" s="340"/>
      <c r="BBX231" s="340"/>
      <c r="BBY231" s="340"/>
      <c r="BBZ231" s="340"/>
      <c r="BCA231" s="340"/>
      <c r="BCB231" s="340"/>
      <c r="BCC231" s="340"/>
      <c r="BCD231" s="340"/>
      <c r="BCE231" s="340"/>
      <c r="BCF231" s="340"/>
      <c r="BCG231" s="340"/>
      <c r="BCH231" s="340"/>
      <c r="BCI231" s="340"/>
      <c r="BCJ231" s="340"/>
      <c r="BCK231" s="340"/>
      <c r="BCL231" s="340"/>
      <c r="BCM231" s="340"/>
      <c r="BCN231" s="340"/>
      <c r="BCO231" s="340"/>
      <c r="BCP231" s="340"/>
      <c r="BCQ231" s="340"/>
      <c r="BCR231" s="340"/>
      <c r="BCS231" s="340"/>
      <c r="BCT231" s="340"/>
      <c r="BCU231" s="340"/>
      <c r="BCV231" s="340"/>
      <c r="BCW231" s="340"/>
      <c r="BCX231" s="340"/>
      <c r="BCY231" s="340"/>
      <c r="BCZ231" s="340"/>
      <c r="BDA231" s="340"/>
      <c r="BDB231" s="340"/>
      <c r="BDC231" s="340"/>
      <c r="BDD231" s="340"/>
      <c r="BDE231" s="340"/>
      <c r="BDF231" s="340"/>
      <c r="BDG231" s="340"/>
      <c r="BDH231" s="340"/>
      <c r="BDI231" s="340"/>
      <c r="BDJ231" s="340"/>
      <c r="BDK231" s="340"/>
      <c r="BDL231" s="340"/>
      <c r="BDM231" s="340"/>
      <c r="BDN231" s="340"/>
      <c r="BDO231" s="340"/>
      <c r="BDP231" s="340"/>
      <c r="BDQ231" s="340"/>
      <c r="BDR231" s="340"/>
      <c r="BDS231" s="340"/>
      <c r="BDT231" s="340"/>
      <c r="BDU231" s="340"/>
      <c r="BDV231" s="340"/>
      <c r="BDW231" s="340"/>
      <c r="BDX231" s="340"/>
      <c r="BDY231" s="340"/>
      <c r="BDZ231" s="340"/>
      <c r="BEA231" s="340"/>
      <c r="BEB231" s="340"/>
      <c r="BEC231" s="340"/>
      <c r="BED231" s="340"/>
      <c r="BEE231" s="340"/>
      <c r="BEF231" s="340"/>
      <c r="BEG231" s="340"/>
      <c r="BEH231" s="340"/>
      <c r="BEI231" s="340"/>
      <c r="BEJ231" s="340"/>
      <c r="BEK231" s="340"/>
      <c r="BEL231" s="340"/>
      <c r="BEM231" s="340"/>
      <c r="BEN231" s="340"/>
      <c r="BEO231" s="340"/>
      <c r="BEP231" s="340"/>
      <c r="BEQ231" s="340"/>
      <c r="BER231" s="340"/>
      <c r="BES231" s="340"/>
      <c r="BET231" s="340"/>
      <c r="BEU231" s="340"/>
      <c r="BEV231" s="340"/>
      <c r="BEW231" s="340"/>
      <c r="BEX231" s="340"/>
      <c r="BEY231" s="340"/>
      <c r="BEZ231" s="340"/>
      <c r="BFA231" s="340"/>
      <c r="BFB231" s="340"/>
      <c r="BFC231" s="340"/>
      <c r="BFD231" s="340"/>
      <c r="BFE231" s="340"/>
      <c r="BFF231" s="340"/>
      <c r="BFG231" s="340"/>
      <c r="BFH231" s="340"/>
      <c r="BFI231" s="340"/>
      <c r="BFJ231" s="340"/>
      <c r="BFK231" s="340"/>
      <c r="BFL231" s="340"/>
      <c r="BFM231" s="340"/>
      <c r="BFN231" s="340"/>
      <c r="BFO231" s="340"/>
      <c r="BFP231" s="340"/>
      <c r="BFQ231" s="340"/>
      <c r="BFR231" s="340"/>
      <c r="BFS231" s="340"/>
      <c r="BFT231" s="340"/>
      <c r="BFU231" s="340"/>
      <c r="BFV231" s="340"/>
      <c r="BFW231" s="340"/>
      <c r="BFX231" s="340"/>
      <c r="BFY231" s="340"/>
      <c r="BFZ231" s="340"/>
      <c r="BGA231" s="340"/>
      <c r="BGB231" s="340"/>
      <c r="BGC231" s="340"/>
      <c r="BGD231" s="340"/>
      <c r="BGE231" s="340"/>
      <c r="BGF231" s="340"/>
      <c r="BGG231" s="340"/>
      <c r="BGH231" s="340"/>
      <c r="BGI231" s="340"/>
      <c r="BGJ231" s="340"/>
      <c r="BGK231" s="340"/>
      <c r="BGL231" s="340"/>
      <c r="BGM231" s="340"/>
      <c r="BGN231" s="340"/>
      <c r="BGO231" s="340"/>
      <c r="BGP231" s="340"/>
      <c r="BGQ231" s="340"/>
      <c r="BGR231" s="340"/>
      <c r="BGS231" s="340"/>
      <c r="BGT231" s="340"/>
      <c r="BGU231" s="340"/>
      <c r="BGV231" s="340"/>
      <c r="BGW231" s="340"/>
      <c r="BGX231" s="340"/>
      <c r="BGY231" s="340"/>
      <c r="BGZ231" s="340"/>
      <c r="BHA231" s="340"/>
      <c r="BHB231" s="340"/>
      <c r="BHC231" s="340"/>
      <c r="BHD231" s="340"/>
      <c r="BHE231" s="340"/>
      <c r="BHF231" s="340"/>
      <c r="BHG231" s="340"/>
      <c r="BHH231" s="340"/>
      <c r="BHI231" s="340"/>
      <c r="BHJ231" s="340"/>
      <c r="BHK231" s="340"/>
      <c r="BHL231" s="340"/>
      <c r="BHM231" s="340"/>
      <c r="BHN231" s="340"/>
      <c r="BHO231" s="340"/>
      <c r="BHP231" s="340"/>
      <c r="BHQ231" s="340"/>
      <c r="BHR231" s="340"/>
      <c r="BHS231" s="340"/>
      <c r="BHT231" s="340"/>
      <c r="BHU231" s="340"/>
      <c r="BHV231" s="340"/>
      <c r="BHW231" s="340"/>
      <c r="BHX231" s="340"/>
      <c r="BHY231" s="340"/>
      <c r="BHZ231" s="340"/>
      <c r="BIA231" s="340"/>
      <c r="BIB231" s="340"/>
      <c r="BIC231" s="340"/>
      <c r="BID231" s="340"/>
      <c r="BIE231" s="340"/>
      <c r="BIF231" s="340"/>
      <c r="BIG231" s="340"/>
      <c r="BIH231" s="340"/>
      <c r="BII231" s="340"/>
      <c r="BIJ231" s="340"/>
      <c r="BIK231" s="340"/>
      <c r="BIL231" s="340"/>
      <c r="BIM231" s="340"/>
      <c r="BIN231" s="340"/>
      <c r="BIO231" s="340"/>
      <c r="BIP231" s="340"/>
      <c r="BIQ231" s="340"/>
      <c r="BIR231" s="340"/>
      <c r="BIS231" s="340"/>
      <c r="BIT231" s="340"/>
      <c r="BIU231" s="340"/>
      <c r="BIV231" s="340"/>
      <c r="BIW231" s="340"/>
      <c r="BIX231" s="340"/>
      <c r="BIY231" s="340"/>
      <c r="BIZ231" s="340"/>
      <c r="BJA231" s="340"/>
      <c r="BJB231" s="340"/>
      <c r="BJC231" s="340"/>
      <c r="BJD231" s="340"/>
      <c r="BJE231" s="340"/>
      <c r="BJF231" s="340"/>
      <c r="BJG231" s="340"/>
      <c r="BJH231" s="340"/>
      <c r="BJI231" s="340"/>
      <c r="BJJ231" s="340"/>
      <c r="BJK231" s="340"/>
      <c r="BJL231" s="340"/>
      <c r="BJM231" s="340"/>
      <c r="BJN231" s="340"/>
      <c r="BJO231" s="340"/>
      <c r="BJP231" s="340"/>
      <c r="BJQ231" s="340"/>
      <c r="BJR231" s="340"/>
      <c r="BJS231" s="340"/>
      <c r="BJT231" s="340"/>
      <c r="BJU231" s="340"/>
      <c r="BJV231" s="340"/>
      <c r="BJW231" s="340"/>
      <c r="BJX231" s="340"/>
      <c r="BJY231" s="340"/>
      <c r="BJZ231" s="340"/>
      <c r="BKA231" s="340"/>
      <c r="BKB231" s="340"/>
      <c r="BKC231" s="340"/>
      <c r="BKD231" s="340"/>
      <c r="BKE231" s="340"/>
      <c r="BKF231" s="340"/>
      <c r="BKG231" s="340"/>
      <c r="BKH231" s="340"/>
      <c r="BKI231" s="340"/>
      <c r="BKJ231" s="340"/>
      <c r="BKK231" s="340"/>
      <c r="BKL231" s="340"/>
      <c r="BKM231" s="340"/>
      <c r="BKN231" s="340"/>
      <c r="BKO231" s="340"/>
      <c r="BKP231" s="340"/>
      <c r="BKQ231" s="340"/>
      <c r="BKR231" s="340"/>
      <c r="BKS231" s="340"/>
      <c r="BKT231" s="340"/>
      <c r="BKU231" s="340"/>
      <c r="BKV231" s="340"/>
      <c r="BKW231" s="340"/>
      <c r="BKX231" s="340"/>
      <c r="BKY231" s="340"/>
      <c r="BKZ231" s="340"/>
      <c r="BLA231" s="340"/>
      <c r="BLB231" s="340"/>
      <c r="BLC231" s="340"/>
      <c r="BLD231" s="340"/>
      <c r="BLE231" s="340"/>
      <c r="BLF231" s="340"/>
      <c r="BLG231" s="340"/>
      <c r="BLH231" s="340"/>
      <c r="BLI231" s="340"/>
      <c r="BLJ231" s="340"/>
      <c r="BLK231" s="340"/>
      <c r="BLL231" s="340"/>
      <c r="BLM231" s="340"/>
      <c r="BLN231" s="340"/>
      <c r="BLO231" s="340"/>
      <c r="BLP231" s="340"/>
      <c r="BLQ231" s="340"/>
      <c r="BLR231" s="340"/>
      <c r="BLS231" s="340"/>
      <c r="BLT231" s="340"/>
      <c r="BLU231" s="340"/>
      <c r="BLV231" s="340"/>
      <c r="BLW231" s="340"/>
      <c r="BLX231" s="340"/>
      <c r="BLY231" s="340"/>
      <c r="BLZ231" s="340"/>
      <c r="BMA231" s="340"/>
      <c r="BMB231" s="340"/>
      <c r="BMC231" s="340"/>
      <c r="BMD231" s="340"/>
      <c r="BME231" s="340"/>
      <c r="BMF231" s="340"/>
      <c r="BMG231" s="340"/>
      <c r="BMH231" s="340"/>
      <c r="BMI231" s="340"/>
      <c r="BMJ231" s="340"/>
      <c r="BMK231" s="340"/>
      <c r="BML231" s="340"/>
      <c r="BMM231" s="340"/>
      <c r="BMN231" s="340"/>
      <c r="BMO231" s="340"/>
      <c r="BMP231" s="340"/>
      <c r="BMQ231" s="340"/>
      <c r="BMR231" s="340"/>
      <c r="BMS231" s="340"/>
      <c r="BMT231" s="340"/>
      <c r="BMU231" s="340"/>
      <c r="BMV231" s="340"/>
      <c r="BMW231" s="340"/>
      <c r="BMX231" s="340"/>
      <c r="BMY231" s="340"/>
      <c r="BMZ231" s="340"/>
      <c r="BNA231" s="340"/>
      <c r="BNB231" s="340"/>
      <c r="BNC231" s="340"/>
      <c r="BND231" s="340"/>
      <c r="BNE231" s="340"/>
      <c r="BNF231" s="340"/>
      <c r="BNG231" s="340"/>
      <c r="BNH231" s="340"/>
      <c r="BNI231" s="340"/>
      <c r="BNJ231" s="340"/>
      <c r="BNK231" s="340"/>
      <c r="BNL231" s="340"/>
      <c r="BNM231" s="340"/>
      <c r="BNN231" s="340"/>
      <c r="BNO231" s="340"/>
      <c r="BNP231" s="340"/>
      <c r="BNQ231" s="340"/>
      <c r="BNR231" s="340"/>
      <c r="BNS231" s="340"/>
      <c r="BNT231" s="340"/>
      <c r="BNU231" s="340"/>
      <c r="BNV231" s="340"/>
      <c r="BNW231" s="340"/>
      <c r="BNX231" s="340"/>
      <c r="BNY231" s="340"/>
      <c r="BNZ231" s="340"/>
      <c r="BOA231" s="340"/>
      <c r="BOB231" s="340"/>
      <c r="BOC231" s="340"/>
      <c r="BOD231" s="340"/>
      <c r="BOE231" s="340"/>
      <c r="BOF231" s="340"/>
      <c r="BOG231" s="340"/>
      <c r="BOH231" s="340"/>
      <c r="BOI231" s="340"/>
      <c r="BOJ231" s="340"/>
      <c r="BOK231" s="340"/>
      <c r="BOL231" s="340"/>
      <c r="BOM231" s="340"/>
      <c r="BON231" s="340"/>
      <c r="BOO231" s="340"/>
      <c r="BOP231" s="340"/>
      <c r="BOQ231" s="340"/>
      <c r="BOR231" s="340"/>
      <c r="BOS231" s="340"/>
      <c r="BOT231" s="340"/>
      <c r="BOU231" s="340"/>
      <c r="BOV231" s="340"/>
      <c r="BOW231" s="340"/>
      <c r="BOX231" s="340"/>
      <c r="BOY231" s="340"/>
      <c r="BOZ231" s="340"/>
      <c r="BPA231" s="340"/>
      <c r="BPB231" s="340"/>
      <c r="BPC231" s="340"/>
      <c r="BPD231" s="340"/>
      <c r="BPE231" s="340"/>
      <c r="BPF231" s="340"/>
      <c r="BPG231" s="340"/>
      <c r="BPH231" s="340"/>
      <c r="BPI231" s="340"/>
      <c r="BPJ231" s="340"/>
      <c r="BPK231" s="340"/>
      <c r="BPL231" s="340"/>
      <c r="BPM231" s="340"/>
      <c r="BPN231" s="340"/>
      <c r="BPO231" s="340"/>
      <c r="BPP231" s="340"/>
      <c r="BPQ231" s="340"/>
      <c r="BPR231" s="340"/>
      <c r="BPS231" s="340"/>
      <c r="BPT231" s="340"/>
      <c r="BPU231" s="340"/>
      <c r="BPV231" s="340"/>
      <c r="BPW231" s="340"/>
      <c r="BPX231" s="340"/>
      <c r="BPY231" s="340"/>
      <c r="BPZ231" s="340"/>
      <c r="BQA231" s="340"/>
      <c r="BQB231" s="340"/>
      <c r="BQC231" s="340"/>
      <c r="BQD231" s="340"/>
      <c r="BQE231" s="340"/>
      <c r="BQF231" s="340"/>
      <c r="BQG231" s="340"/>
      <c r="BQH231" s="340"/>
      <c r="BQI231" s="340"/>
      <c r="BQJ231" s="340"/>
      <c r="BQK231" s="340"/>
      <c r="BQL231" s="340"/>
      <c r="BQM231" s="340"/>
      <c r="BQN231" s="340"/>
      <c r="BQO231" s="340"/>
      <c r="BQP231" s="340"/>
      <c r="BQQ231" s="340"/>
      <c r="BQR231" s="340"/>
      <c r="BQS231" s="340"/>
      <c r="BQT231" s="340"/>
      <c r="BQU231" s="340"/>
      <c r="BQV231" s="340"/>
      <c r="BQW231" s="340"/>
      <c r="BQX231" s="340"/>
      <c r="BQY231" s="340"/>
      <c r="BQZ231" s="340"/>
      <c r="BRA231" s="340"/>
      <c r="BRB231" s="340"/>
      <c r="BRC231" s="340"/>
      <c r="BRD231" s="340"/>
      <c r="BRE231" s="340"/>
      <c r="BRF231" s="340"/>
      <c r="BRG231" s="340"/>
      <c r="BRH231" s="340"/>
      <c r="BRI231" s="340"/>
      <c r="BRJ231" s="340"/>
      <c r="BRK231" s="340"/>
      <c r="BRL231" s="340"/>
      <c r="BRM231" s="340"/>
      <c r="BRN231" s="340"/>
      <c r="BRO231" s="340"/>
      <c r="BRP231" s="340"/>
      <c r="BRQ231" s="340"/>
      <c r="BRR231" s="340"/>
      <c r="BRS231" s="340"/>
      <c r="BRT231" s="340"/>
      <c r="BRU231" s="340"/>
      <c r="BRV231" s="340"/>
      <c r="BRW231" s="340"/>
      <c r="BRX231" s="340"/>
      <c r="BRY231" s="340"/>
      <c r="BRZ231" s="340"/>
      <c r="BSA231" s="340"/>
      <c r="BSB231" s="340"/>
      <c r="BSC231" s="340"/>
      <c r="BSD231" s="340"/>
      <c r="BSE231" s="340"/>
      <c r="BSF231" s="340"/>
      <c r="BSG231" s="340"/>
      <c r="BSH231" s="340"/>
      <c r="BSI231" s="340"/>
      <c r="BSJ231" s="340"/>
      <c r="BSK231" s="340"/>
      <c r="BSL231" s="340"/>
      <c r="BSM231" s="340"/>
      <c r="BSN231" s="340"/>
      <c r="BSO231" s="340"/>
      <c r="BSP231" s="340"/>
      <c r="BSQ231" s="340"/>
      <c r="BSR231" s="340"/>
      <c r="BSS231" s="340"/>
      <c r="BST231" s="340"/>
      <c r="BSU231" s="340"/>
      <c r="BSV231" s="340"/>
      <c r="BSW231" s="340"/>
      <c r="BSX231" s="340"/>
      <c r="BSY231" s="340"/>
      <c r="BSZ231" s="340"/>
      <c r="BTA231" s="340"/>
      <c r="BTB231" s="340"/>
      <c r="BTC231" s="340"/>
      <c r="BTD231" s="340"/>
      <c r="BTE231" s="340"/>
      <c r="BTF231" s="340"/>
      <c r="BTG231" s="340"/>
      <c r="BTH231" s="340"/>
      <c r="BTI231" s="340"/>
      <c r="BTJ231" s="340"/>
      <c r="BTK231" s="340"/>
      <c r="BTL231" s="340"/>
      <c r="BTM231" s="340"/>
      <c r="BTN231" s="340"/>
      <c r="BTO231" s="340"/>
      <c r="BTP231" s="340"/>
      <c r="BTQ231" s="340"/>
      <c r="BTR231" s="340"/>
      <c r="BTS231" s="340"/>
      <c r="BTT231" s="340"/>
      <c r="BTU231" s="340"/>
      <c r="BTV231" s="340"/>
      <c r="BTW231" s="340"/>
      <c r="BTX231" s="340"/>
      <c r="BTY231" s="340"/>
      <c r="BTZ231" s="340"/>
      <c r="BUA231" s="340"/>
      <c r="BUB231" s="340"/>
      <c r="BUC231" s="340"/>
      <c r="BUD231" s="340"/>
      <c r="BUE231" s="340"/>
      <c r="BUF231" s="340"/>
      <c r="BUG231" s="340"/>
      <c r="BUH231" s="340"/>
      <c r="BUI231" s="340"/>
      <c r="BUJ231" s="340"/>
      <c r="BUK231" s="340"/>
      <c r="BUL231" s="340"/>
      <c r="BUM231" s="340"/>
      <c r="BUN231" s="340"/>
      <c r="BUO231" s="340"/>
      <c r="BUP231" s="340"/>
      <c r="BUQ231" s="340"/>
      <c r="BUR231" s="340"/>
      <c r="BUS231" s="340"/>
      <c r="BUT231" s="340"/>
      <c r="BUU231" s="340"/>
      <c r="BUV231" s="340"/>
      <c r="BUW231" s="340"/>
      <c r="BUX231" s="340"/>
      <c r="BUY231" s="340"/>
      <c r="BUZ231" s="340"/>
      <c r="BVA231" s="340"/>
      <c r="BVB231" s="340"/>
      <c r="BVC231" s="340"/>
      <c r="BVD231" s="340"/>
      <c r="BVE231" s="340"/>
      <c r="BVF231" s="340"/>
      <c r="BVG231" s="340"/>
      <c r="BVH231" s="340"/>
      <c r="BVI231" s="340"/>
      <c r="BVJ231" s="340"/>
      <c r="BVK231" s="340"/>
      <c r="BVL231" s="340"/>
      <c r="BVM231" s="340"/>
      <c r="BVN231" s="340"/>
      <c r="BVO231" s="340"/>
      <c r="BVP231" s="340"/>
      <c r="BVQ231" s="340"/>
      <c r="BVR231" s="340"/>
      <c r="BVS231" s="340"/>
      <c r="BVT231" s="340"/>
      <c r="BVU231" s="340"/>
      <c r="BVV231" s="340"/>
      <c r="BVW231" s="340"/>
      <c r="BVX231" s="340"/>
      <c r="BVY231" s="340"/>
      <c r="BVZ231" s="340"/>
      <c r="BWA231" s="340"/>
      <c r="BWB231" s="340"/>
      <c r="BWC231" s="340"/>
      <c r="BWD231" s="340"/>
      <c r="BWE231" s="340"/>
      <c r="BWF231" s="340"/>
      <c r="BWG231" s="340"/>
      <c r="BWH231" s="340"/>
      <c r="BWI231" s="340"/>
      <c r="BWJ231" s="340"/>
      <c r="BWK231" s="340"/>
      <c r="BWL231" s="340"/>
      <c r="BWM231" s="340"/>
      <c r="BWN231" s="340"/>
      <c r="BWO231" s="340"/>
      <c r="BWP231" s="340"/>
      <c r="BWQ231" s="340"/>
      <c r="BWR231" s="340"/>
      <c r="BWS231" s="340"/>
      <c r="BWT231" s="340"/>
      <c r="BWU231" s="340"/>
      <c r="BWV231" s="340"/>
      <c r="BWW231" s="340"/>
      <c r="BWX231" s="340"/>
      <c r="BWY231" s="340"/>
      <c r="BWZ231" s="340"/>
      <c r="BXA231" s="340"/>
      <c r="BXB231" s="340"/>
      <c r="BXC231" s="340"/>
      <c r="BXD231" s="340"/>
      <c r="BXE231" s="340"/>
      <c r="BXF231" s="340"/>
      <c r="BXG231" s="340"/>
      <c r="BXH231" s="340"/>
      <c r="BXI231" s="340"/>
      <c r="BXJ231" s="340"/>
      <c r="BXK231" s="340"/>
      <c r="BXL231" s="340"/>
      <c r="BXM231" s="340"/>
      <c r="BXN231" s="340"/>
      <c r="BXO231" s="340"/>
      <c r="BXP231" s="340"/>
      <c r="BXQ231" s="340"/>
      <c r="BXR231" s="340"/>
      <c r="BXS231" s="340"/>
      <c r="BXT231" s="340"/>
      <c r="BXU231" s="340"/>
      <c r="BXV231" s="340"/>
      <c r="BXW231" s="340"/>
      <c r="BXX231" s="340"/>
      <c r="BXY231" s="340"/>
      <c r="BXZ231" s="340"/>
      <c r="BYA231" s="340"/>
      <c r="BYB231" s="340"/>
      <c r="BYC231" s="340"/>
      <c r="BYD231" s="340"/>
      <c r="BYE231" s="340"/>
      <c r="BYF231" s="340"/>
      <c r="BYG231" s="340"/>
      <c r="BYH231" s="340"/>
      <c r="BYI231" s="340"/>
      <c r="BYJ231" s="340"/>
      <c r="BYK231" s="340"/>
      <c r="BYL231" s="340"/>
      <c r="BYM231" s="340"/>
      <c r="BYN231" s="340"/>
      <c r="BYO231" s="340"/>
      <c r="BYP231" s="340"/>
      <c r="BYQ231" s="340"/>
      <c r="BYR231" s="340"/>
      <c r="BYS231" s="340"/>
      <c r="BYT231" s="340"/>
      <c r="BYU231" s="340"/>
      <c r="BYV231" s="340"/>
      <c r="BYW231" s="340"/>
      <c r="BYX231" s="340"/>
      <c r="BYY231" s="340"/>
      <c r="BYZ231" s="340"/>
      <c r="BZA231" s="340"/>
      <c r="BZB231" s="340"/>
      <c r="BZC231" s="340"/>
      <c r="BZD231" s="340"/>
      <c r="BZE231" s="340"/>
      <c r="BZF231" s="340"/>
      <c r="BZG231" s="340"/>
      <c r="BZH231" s="340"/>
      <c r="BZI231" s="340"/>
      <c r="BZJ231" s="340"/>
      <c r="BZK231" s="340"/>
      <c r="BZL231" s="340"/>
      <c r="BZM231" s="340"/>
      <c r="BZN231" s="340"/>
      <c r="BZO231" s="340"/>
      <c r="BZP231" s="340"/>
      <c r="BZQ231" s="340"/>
      <c r="BZR231" s="340"/>
      <c r="BZS231" s="340"/>
      <c r="BZT231" s="340"/>
      <c r="BZU231" s="340"/>
      <c r="BZV231" s="340"/>
      <c r="BZW231" s="340"/>
      <c r="BZX231" s="340"/>
      <c r="BZY231" s="340"/>
      <c r="BZZ231" s="340"/>
      <c r="CAA231" s="340"/>
      <c r="CAB231" s="340"/>
      <c r="CAC231" s="340"/>
      <c r="CAD231" s="340"/>
      <c r="CAE231" s="340"/>
      <c r="CAF231" s="340"/>
      <c r="CAG231" s="340"/>
      <c r="CAH231" s="340"/>
      <c r="CAI231" s="340"/>
      <c r="CAJ231" s="340"/>
      <c r="CAK231" s="340"/>
      <c r="CAL231" s="340"/>
      <c r="CAM231" s="340"/>
      <c r="CAN231" s="340"/>
      <c r="CAO231" s="340"/>
      <c r="CAP231" s="340"/>
      <c r="CAQ231" s="340"/>
      <c r="CAR231" s="340"/>
      <c r="CAS231" s="340"/>
      <c r="CAT231" s="340"/>
      <c r="CAU231" s="340"/>
      <c r="CAV231" s="340"/>
      <c r="CAW231" s="340"/>
      <c r="CAX231" s="340"/>
      <c r="CAY231" s="340"/>
      <c r="CAZ231" s="340"/>
      <c r="CBA231" s="340"/>
      <c r="CBB231" s="340"/>
      <c r="CBC231" s="340"/>
      <c r="CBD231" s="340"/>
      <c r="CBE231" s="340"/>
      <c r="CBF231" s="340"/>
      <c r="CBG231" s="340"/>
      <c r="CBH231" s="340"/>
      <c r="CBI231" s="340"/>
      <c r="CBJ231" s="340"/>
      <c r="CBK231" s="340"/>
      <c r="CBL231" s="340"/>
      <c r="CBM231" s="340"/>
      <c r="CBN231" s="340"/>
      <c r="CBO231" s="340"/>
      <c r="CBP231" s="340"/>
      <c r="CBQ231" s="340"/>
      <c r="CBR231" s="340"/>
      <c r="CBS231" s="340"/>
      <c r="CBT231" s="340"/>
      <c r="CBU231" s="340"/>
      <c r="CBV231" s="340"/>
      <c r="CBW231" s="340"/>
      <c r="CBX231" s="340"/>
      <c r="CBY231" s="340"/>
      <c r="CBZ231" s="340"/>
      <c r="CCA231" s="340"/>
      <c r="CCB231" s="340"/>
      <c r="CCC231" s="340"/>
      <c r="CCD231" s="340"/>
      <c r="CCE231" s="340"/>
      <c r="CCF231" s="340"/>
      <c r="CCG231" s="340"/>
      <c r="CCH231" s="340"/>
      <c r="CCI231" s="340"/>
      <c r="CCJ231" s="340"/>
      <c r="CCK231" s="340"/>
      <c r="CCL231" s="340"/>
      <c r="CCM231" s="340"/>
      <c r="CCN231" s="340"/>
      <c r="CCO231" s="340"/>
      <c r="CCP231" s="340"/>
      <c r="CCQ231" s="340"/>
      <c r="CCR231" s="340"/>
      <c r="CCS231" s="340"/>
      <c r="CCT231" s="340"/>
      <c r="CCU231" s="340"/>
      <c r="CCV231" s="340"/>
      <c r="CCW231" s="340"/>
      <c r="CCX231" s="340"/>
      <c r="CCY231" s="340"/>
      <c r="CCZ231" s="340"/>
      <c r="CDA231" s="340"/>
      <c r="CDB231" s="340"/>
      <c r="CDC231" s="340"/>
      <c r="CDD231" s="340"/>
      <c r="CDE231" s="340"/>
      <c r="CDF231" s="340"/>
      <c r="CDG231" s="340"/>
      <c r="CDH231" s="340"/>
      <c r="CDI231" s="340"/>
      <c r="CDJ231" s="340"/>
      <c r="CDK231" s="340"/>
      <c r="CDL231" s="340"/>
      <c r="CDM231" s="340"/>
      <c r="CDN231" s="340"/>
      <c r="CDO231" s="340"/>
      <c r="CDP231" s="340"/>
      <c r="CDQ231" s="340"/>
      <c r="CDR231" s="340"/>
      <c r="CDS231" s="340"/>
      <c r="CDT231" s="340"/>
      <c r="CDU231" s="340"/>
      <c r="CDV231" s="340"/>
      <c r="CDW231" s="340"/>
      <c r="CDX231" s="340"/>
      <c r="CDY231" s="340"/>
      <c r="CDZ231" s="340"/>
      <c r="CEA231" s="340"/>
      <c r="CEB231" s="340"/>
      <c r="CEC231" s="340"/>
      <c r="CED231" s="340"/>
      <c r="CEE231" s="340"/>
      <c r="CEF231" s="340"/>
      <c r="CEG231" s="340"/>
      <c r="CEH231" s="340"/>
      <c r="CEI231" s="340"/>
      <c r="CEJ231" s="340"/>
      <c r="CEK231" s="340"/>
      <c r="CEL231" s="340"/>
      <c r="CEM231" s="340"/>
      <c r="CEN231" s="340"/>
      <c r="CEO231" s="340"/>
      <c r="CEP231" s="340"/>
      <c r="CEQ231" s="340"/>
      <c r="CER231" s="340"/>
      <c r="CES231" s="340"/>
      <c r="CET231" s="340"/>
      <c r="CEU231" s="340"/>
      <c r="CEV231" s="340"/>
      <c r="CEW231" s="340"/>
      <c r="CEX231" s="340"/>
      <c r="CEY231" s="340"/>
      <c r="CEZ231" s="340"/>
      <c r="CFA231" s="340"/>
      <c r="CFB231" s="340"/>
      <c r="CFC231" s="340"/>
      <c r="CFD231" s="340"/>
      <c r="CFE231" s="340"/>
      <c r="CFF231" s="340"/>
      <c r="CFG231" s="340"/>
      <c r="CFH231" s="340"/>
      <c r="CFI231" s="340"/>
      <c r="CFJ231" s="340"/>
      <c r="CFK231" s="340"/>
      <c r="CFL231" s="340"/>
      <c r="CFM231" s="340"/>
      <c r="CFN231" s="340"/>
      <c r="CFO231" s="340"/>
      <c r="CFP231" s="340"/>
      <c r="CFQ231" s="340"/>
      <c r="CFR231" s="340"/>
      <c r="CFS231" s="340"/>
      <c r="CFT231" s="340"/>
      <c r="CFU231" s="340"/>
      <c r="CFV231" s="340"/>
      <c r="CFW231" s="340"/>
      <c r="CFX231" s="340"/>
      <c r="CFY231" s="340"/>
      <c r="CFZ231" s="340"/>
      <c r="CGA231" s="340"/>
      <c r="CGB231" s="340"/>
      <c r="CGC231" s="340"/>
      <c r="CGD231" s="340"/>
      <c r="CGE231" s="340"/>
      <c r="CGF231" s="340"/>
      <c r="CGG231" s="340"/>
      <c r="CGH231" s="340"/>
      <c r="CGI231" s="340"/>
      <c r="CGJ231" s="340"/>
      <c r="CGK231" s="340"/>
      <c r="CGL231" s="340"/>
      <c r="CGM231" s="340"/>
      <c r="CGN231" s="340"/>
      <c r="CGO231" s="340"/>
      <c r="CGP231" s="340"/>
      <c r="CGQ231" s="340"/>
      <c r="CGR231" s="340"/>
      <c r="CGS231" s="340"/>
      <c r="CGT231" s="340"/>
      <c r="CGU231" s="340"/>
      <c r="CGV231" s="340"/>
      <c r="CGW231" s="340"/>
      <c r="CGX231" s="340"/>
      <c r="CGY231" s="340"/>
      <c r="CGZ231" s="340"/>
      <c r="CHA231" s="340"/>
      <c r="CHB231" s="340"/>
      <c r="CHC231" s="340"/>
      <c r="CHD231" s="340"/>
      <c r="CHE231" s="340"/>
      <c r="CHF231" s="340"/>
      <c r="CHG231" s="340"/>
      <c r="CHH231" s="340"/>
      <c r="CHI231" s="340"/>
      <c r="CHJ231" s="340"/>
      <c r="CHK231" s="340"/>
      <c r="CHL231" s="340"/>
      <c r="CHM231" s="340"/>
      <c r="CHN231" s="340"/>
      <c r="CHO231" s="340"/>
      <c r="CHP231" s="340"/>
      <c r="CHQ231" s="340"/>
      <c r="CHR231" s="340"/>
      <c r="CHS231" s="340"/>
      <c r="CHT231" s="340"/>
      <c r="CHU231" s="340"/>
      <c r="CHV231" s="340"/>
      <c r="CHW231" s="340"/>
      <c r="CHX231" s="340"/>
      <c r="CHY231" s="340"/>
      <c r="CHZ231" s="340"/>
      <c r="CIA231" s="340"/>
      <c r="CIB231" s="340"/>
      <c r="CIC231" s="340"/>
      <c r="CID231" s="340"/>
      <c r="CIE231" s="340"/>
      <c r="CIF231" s="340"/>
      <c r="CIG231" s="340"/>
      <c r="CIH231" s="340"/>
      <c r="CII231" s="340"/>
      <c r="CIJ231" s="340"/>
      <c r="CIK231" s="340"/>
      <c r="CIL231" s="340"/>
      <c r="CIM231" s="340"/>
      <c r="CIN231" s="340"/>
      <c r="CIO231" s="340"/>
      <c r="CIP231" s="340"/>
      <c r="CIQ231" s="340"/>
      <c r="CIR231" s="340"/>
      <c r="CIS231" s="340"/>
      <c r="CIT231" s="340"/>
      <c r="CIU231" s="340"/>
      <c r="CIV231" s="340"/>
      <c r="CIW231" s="340"/>
      <c r="CIX231" s="340"/>
      <c r="CIY231" s="340"/>
      <c r="CIZ231" s="340"/>
      <c r="CJA231" s="340"/>
      <c r="CJB231" s="340"/>
      <c r="CJC231" s="340"/>
      <c r="CJD231" s="340"/>
      <c r="CJE231" s="340"/>
      <c r="CJF231" s="340"/>
      <c r="CJG231" s="340"/>
      <c r="CJH231" s="340"/>
      <c r="CJI231" s="340"/>
      <c r="CJJ231" s="340"/>
      <c r="CJK231" s="340"/>
      <c r="CJL231" s="340"/>
      <c r="CJM231" s="340"/>
      <c r="CJN231" s="340"/>
      <c r="CJO231" s="340"/>
      <c r="CJP231" s="340"/>
      <c r="CJQ231" s="340"/>
      <c r="CJR231" s="340"/>
      <c r="CJS231" s="340"/>
      <c r="CJT231" s="340"/>
      <c r="CJU231" s="340"/>
      <c r="CJV231" s="340"/>
      <c r="CJW231" s="340"/>
      <c r="CJX231" s="340"/>
      <c r="CJY231" s="340"/>
      <c r="CJZ231" s="340"/>
      <c r="CKA231" s="340"/>
      <c r="CKB231" s="340"/>
      <c r="CKC231" s="340"/>
      <c r="CKD231" s="340"/>
      <c r="CKE231" s="340"/>
      <c r="CKF231" s="340"/>
      <c r="CKG231" s="340"/>
      <c r="CKH231" s="340"/>
      <c r="CKI231" s="340"/>
      <c r="CKJ231" s="340"/>
      <c r="CKK231" s="340"/>
      <c r="CKL231" s="340"/>
      <c r="CKM231" s="340"/>
      <c r="CKN231" s="340"/>
      <c r="CKO231" s="340"/>
      <c r="CKP231" s="340"/>
      <c r="CKQ231" s="340"/>
      <c r="CKR231" s="340"/>
      <c r="CKS231" s="340"/>
      <c r="CKT231" s="340"/>
      <c r="CKU231" s="340"/>
      <c r="CKV231" s="340"/>
      <c r="CKW231" s="340"/>
      <c r="CKX231" s="340"/>
      <c r="CKY231" s="340"/>
      <c r="CKZ231" s="340"/>
      <c r="CLA231" s="340"/>
      <c r="CLB231" s="340"/>
      <c r="CLC231" s="340"/>
      <c r="CLD231" s="340"/>
      <c r="CLE231" s="340"/>
      <c r="CLF231" s="340"/>
      <c r="CLG231" s="340"/>
      <c r="CLH231" s="340"/>
      <c r="CLI231" s="340"/>
      <c r="CLJ231" s="340"/>
      <c r="CLK231" s="340"/>
      <c r="CLL231" s="340"/>
      <c r="CLM231" s="340"/>
      <c r="CLN231" s="340"/>
      <c r="CLO231" s="340"/>
      <c r="CLP231" s="340"/>
      <c r="CLQ231" s="340"/>
      <c r="CLR231" s="340"/>
      <c r="CLS231" s="340"/>
      <c r="CLT231" s="340"/>
      <c r="CLU231" s="340"/>
      <c r="CLV231" s="340"/>
      <c r="CLW231" s="340"/>
      <c r="CLX231" s="340"/>
      <c r="CLY231" s="340"/>
      <c r="CLZ231" s="340"/>
      <c r="CMA231" s="340"/>
      <c r="CMB231" s="340"/>
      <c r="CMC231" s="340"/>
      <c r="CMD231" s="340"/>
      <c r="CME231" s="340"/>
      <c r="CMF231" s="340"/>
      <c r="CMG231" s="340"/>
      <c r="CMH231" s="340"/>
      <c r="CMI231" s="340"/>
      <c r="CMJ231" s="340"/>
      <c r="CMK231" s="340"/>
      <c r="CML231" s="340"/>
      <c r="CMM231" s="340"/>
      <c r="CMN231" s="340"/>
      <c r="CMO231" s="340"/>
      <c r="CMP231" s="340"/>
      <c r="CMQ231" s="340"/>
      <c r="CMR231" s="340"/>
      <c r="CMS231" s="340"/>
      <c r="CMT231" s="340"/>
      <c r="CMU231" s="340"/>
      <c r="CMV231" s="340"/>
      <c r="CMW231" s="340"/>
      <c r="CMX231" s="340"/>
      <c r="CMY231" s="340"/>
      <c r="CMZ231" s="340"/>
      <c r="CNA231" s="340"/>
      <c r="CNB231" s="340"/>
      <c r="CNC231" s="340"/>
      <c r="CND231" s="340"/>
      <c r="CNE231" s="340"/>
      <c r="CNF231" s="340"/>
      <c r="CNG231" s="340"/>
      <c r="CNH231" s="340"/>
      <c r="CNI231" s="340"/>
      <c r="CNJ231" s="340"/>
      <c r="CNK231" s="340"/>
      <c r="CNL231" s="340"/>
      <c r="CNM231" s="340"/>
      <c r="CNN231" s="340"/>
      <c r="CNO231" s="340"/>
      <c r="CNP231" s="340"/>
      <c r="CNQ231" s="340"/>
      <c r="CNR231" s="340"/>
      <c r="CNS231" s="340"/>
      <c r="CNT231" s="340"/>
      <c r="CNU231" s="340"/>
      <c r="CNV231" s="340"/>
      <c r="CNW231" s="340"/>
      <c r="CNX231" s="340"/>
      <c r="CNY231" s="340"/>
      <c r="CNZ231" s="340"/>
      <c r="COA231" s="340"/>
      <c r="COB231" s="340"/>
      <c r="COC231" s="340"/>
      <c r="COD231" s="340"/>
      <c r="COE231" s="340"/>
      <c r="COF231" s="340"/>
      <c r="COG231" s="340"/>
      <c r="COH231" s="340"/>
      <c r="COI231" s="340"/>
      <c r="COJ231" s="340"/>
      <c r="COK231" s="340"/>
      <c r="COL231" s="340"/>
      <c r="COM231" s="340"/>
      <c r="CON231" s="340"/>
      <c r="COO231" s="340"/>
      <c r="COP231" s="340"/>
      <c r="COQ231" s="340"/>
      <c r="COR231" s="340"/>
      <c r="COS231" s="340"/>
      <c r="COT231" s="340"/>
      <c r="COU231" s="340"/>
      <c r="COV231" s="340"/>
      <c r="COW231" s="340"/>
      <c r="COX231" s="340"/>
      <c r="COY231" s="340"/>
      <c r="COZ231" s="340"/>
      <c r="CPA231" s="340"/>
      <c r="CPB231" s="340"/>
      <c r="CPC231" s="340"/>
      <c r="CPD231" s="340"/>
      <c r="CPE231" s="340"/>
      <c r="CPF231" s="340"/>
      <c r="CPG231" s="340"/>
      <c r="CPH231" s="340"/>
      <c r="CPI231" s="340"/>
      <c r="CPJ231" s="340"/>
      <c r="CPK231" s="340"/>
      <c r="CPL231" s="340"/>
      <c r="CPM231" s="340"/>
      <c r="CPN231" s="340"/>
      <c r="CPO231" s="340"/>
      <c r="CPP231" s="340"/>
      <c r="CPQ231" s="340"/>
      <c r="CPR231" s="340"/>
      <c r="CPS231" s="340"/>
      <c r="CPT231" s="340"/>
      <c r="CPU231" s="340"/>
      <c r="CPV231" s="340"/>
      <c r="CPW231" s="340"/>
      <c r="CPX231" s="340"/>
      <c r="CPY231" s="340"/>
      <c r="CPZ231" s="340"/>
      <c r="CQA231" s="340"/>
      <c r="CQB231" s="340"/>
      <c r="CQC231" s="340"/>
      <c r="CQD231" s="340"/>
      <c r="CQE231" s="340"/>
      <c r="CQF231" s="340"/>
      <c r="CQG231" s="340"/>
      <c r="CQH231" s="340"/>
      <c r="CQI231" s="340"/>
      <c r="CQJ231" s="340"/>
      <c r="CQK231" s="340"/>
      <c r="CQL231" s="340"/>
      <c r="CQM231" s="340"/>
      <c r="CQN231" s="340"/>
      <c r="CQO231" s="340"/>
      <c r="CQP231" s="340"/>
      <c r="CQQ231" s="340"/>
      <c r="CQR231" s="340"/>
      <c r="CQS231" s="340"/>
      <c r="CQT231" s="340"/>
      <c r="CQU231" s="340"/>
      <c r="CQV231" s="340"/>
      <c r="CQW231" s="340"/>
      <c r="CQX231" s="340"/>
      <c r="CQY231" s="340"/>
      <c r="CQZ231" s="340"/>
      <c r="CRA231" s="340"/>
      <c r="CRB231" s="340"/>
      <c r="CRC231" s="340"/>
      <c r="CRD231" s="340"/>
      <c r="CRE231" s="340"/>
      <c r="CRF231" s="340"/>
      <c r="CRG231" s="340"/>
      <c r="CRH231" s="340"/>
      <c r="CRI231" s="340"/>
      <c r="CRJ231" s="340"/>
      <c r="CRK231" s="340"/>
      <c r="CRL231" s="340"/>
      <c r="CRM231" s="340"/>
      <c r="CRN231" s="340"/>
      <c r="CRO231" s="340"/>
      <c r="CRP231" s="340"/>
      <c r="CRQ231" s="340"/>
      <c r="CRR231" s="340"/>
      <c r="CRS231" s="340"/>
      <c r="CRT231" s="340"/>
      <c r="CRU231" s="340"/>
      <c r="CRV231" s="340"/>
      <c r="CRW231" s="340"/>
      <c r="CRX231" s="340"/>
      <c r="CRY231" s="340"/>
      <c r="CRZ231" s="340"/>
      <c r="CSA231" s="340"/>
      <c r="CSB231" s="340"/>
      <c r="CSC231" s="340"/>
      <c r="CSD231" s="340"/>
      <c r="CSE231" s="340"/>
      <c r="CSF231" s="340"/>
      <c r="CSG231" s="340"/>
      <c r="CSH231" s="340"/>
      <c r="CSI231" s="340"/>
      <c r="CSJ231" s="340"/>
      <c r="CSK231" s="340"/>
      <c r="CSL231" s="340"/>
      <c r="CSM231" s="340"/>
      <c r="CSN231" s="340"/>
      <c r="CSO231" s="340"/>
      <c r="CSP231" s="340"/>
      <c r="CSQ231" s="340"/>
      <c r="CSR231" s="340"/>
      <c r="CSS231" s="340"/>
      <c r="CST231" s="340"/>
      <c r="CSU231" s="340"/>
      <c r="CSV231" s="340"/>
      <c r="CSW231" s="340"/>
      <c r="CSX231" s="340"/>
      <c r="CSY231" s="340"/>
      <c r="CSZ231" s="340"/>
      <c r="CTA231" s="340"/>
      <c r="CTB231" s="340"/>
      <c r="CTC231" s="340"/>
      <c r="CTD231" s="340"/>
      <c r="CTE231" s="340"/>
      <c r="CTF231" s="340"/>
      <c r="CTG231" s="340"/>
      <c r="CTH231" s="340"/>
      <c r="CTI231" s="340"/>
      <c r="CTJ231" s="340"/>
      <c r="CTK231" s="340"/>
      <c r="CTL231" s="340"/>
      <c r="CTM231" s="340"/>
      <c r="CTN231" s="340"/>
      <c r="CTO231" s="340"/>
      <c r="CTP231" s="340"/>
      <c r="CTQ231" s="340"/>
      <c r="CTR231" s="340"/>
      <c r="CTS231" s="340"/>
      <c r="CTT231" s="340"/>
      <c r="CTU231" s="340"/>
      <c r="CTV231" s="340"/>
      <c r="CTW231" s="340"/>
      <c r="CTX231" s="340"/>
      <c r="CTY231" s="340"/>
      <c r="CTZ231" s="340"/>
      <c r="CUA231" s="340"/>
      <c r="CUB231" s="340"/>
      <c r="CUC231" s="340"/>
      <c r="CUD231" s="340"/>
      <c r="CUE231" s="340"/>
      <c r="CUF231" s="340"/>
      <c r="CUG231" s="340"/>
      <c r="CUH231" s="340"/>
      <c r="CUI231" s="340"/>
      <c r="CUJ231" s="340"/>
      <c r="CUK231" s="340"/>
      <c r="CUL231" s="340"/>
      <c r="CUM231" s="340"/>
      <c r="CUN231" s="340"/>
      <c r="CUO231" s="340"/>
      <c r="CUP231" s="340"/>
      <c r="CUQ231" s="340"/>
      <c r="CUR231" s="340"/>
      <c r="CUS231" s="340"/>
      <c r="CUT231" s="340"/>
      <c r="CUU231" s="340"/>
      <c r="CUV231" s="340"/>
      <c r="CUW231" s="340"/>
      <c r="CUX231" s="340"/>
      <c r="CUY231" s="340"/>
      <c r="CUZ231" s="340"/>
      <c r="CVA231" s="340"/>
      <c r="CVB231" s="340"/>
      <c r="CVC231" s="340"/>
      <c r="CVD231" s="340"/>
      <c r="CVE231" s="340"/>
      <c r="CVF231" s="340"/>
      <c r="CVG231" s="340"/>
      <c r="CVH231" s="340"/>
      <c r="CVI231" s="340"/>
      <c r="CVJ231" s="340"/>
      <c r="CVK231" s="340"/>
      <c r="CVL231" s="340"/>
      <c r="CVM231" s="340"/>
      <c r="CVN231" s="340"/>
      <c r="CVO231" s="340"/>
      <c r="CVP231" s="340"/>
      <c r="CVQ231" s="340"/>
      <c r="CVR231" s="340"/>
      <c r="CVS231" s="340"/>
      <c r="CVT231" s="340"/>
      <c r="CVU231" s="340"/>
      <c r="CVV231" s="340"/>
      <c r="CVW231" s="340"/>
      <c r="CVX231" s="340"/>
      <c r="CVY231" s="340"/>
      <c r="CVZ231" s="340"/>
      <c r="CWA231" s="340"/>
      <c r="CWB231" s="340"/>
      <c r="CWC231" s="340"/>
      <c r="CWD231" s="340"/>
      <c r="CWE231" s="340"/>
      <c r="CWF231" s="340"/>
      <c r="CWG231" s="340"/>
      <c r="CWH231" s="340"/>
      <c r="CWI231" s="340"/>
      <c r="CWJ231" s="340"/>
      <c r="CWK231" s="340"/>
      <c r="CWL231" s="340"/>
      <c r="CWM231" s="340"/>
      <c r="CWN231" s="340"/>
      <c r="CWO231" s="340"/>
      <c r="CWP231" s="340"/>
      <c r="CWQ231" s="340"/>
      <c r="CWR231" s="340"/>
      <c r="CWS231" s="340"/>
      <c r="CWT231" s="340"/>
      <c r="CWU231" s="340"/>
      <c r="CWV231" s="340"/>
      <c r="CWW231" s="340"/>
      <c r="CWX231" s="340"/>
      <c r="CWY231" s="340"/>
      <c r="CWZ231" s="340"/>
      <c r="CXA231" s="340"/>
      <c r="CXB231" s="340"/>
      <c r="CXC231" s="340"/>
      <c r="CXD231" s="340"/>
      <c r="CXE231" s="340"/>
      <c r="CXF231" s="340"/>
      <c r="CXG231" s="340"/>
      <c r="CXH231" s="340"/>
      <c r="CXI231" s="340"/>
      <c r="CXJ231" s="340"/>
      <c r="CXK231" s="340"/>
      <c r="CXL231" s="340"/>
      <c r="CXM231" s="340"/>
      <c r="CXN231" s="340"/>
      <c r="CXO231" s="340"/>
      <c r="CXP231" s="340"/>
      <c r="CXQ231" s="340"/>
      <c r="CXR231" s="340"/>
      <c r="CXS231" s="340"/>
      <c r="CXT231" s="340"/>
      <c r="CXU231" s="340"/>
      <c r="CXV231" s="340"/>
      <c r="CXW231" s="340"/>
      <c r="CXX231" s="340"/>
      <c r="CXY231" s="340"/>
      <c r="CXZ231" s="340"/>
      <c r="CYA231" s="340"/>
      <c r="CYB231" s="340"/>
      <c r="CYC231" s="340"/>
      <c r="CYD231" s="340"/>
      <c r="CYE231" s="340"/>
      <c r="CYF231" s="340"/>
      <c r="CYG231" s="340"/>
      <c r="CYH231" s="340"/>
      <c r="CYI231" s="340"/>
      <c r="CYJ231" s="340"/>
      <c r="CYK231" s="340"/>
      <c r="CYL231" s="340"/>
      <c r="CYM231" s="340"/>
      <c r="CYN231" s="340"/>
      <c r="CYO231" s="340"/>
      <c r="CYP231" s="340"/>
      <c r="CYQ231" s="340"/>
      <c r="CYR231" s="340"/>
      <c r="CYS231" s="340"/>
      <c r="CYT231" s="340"/>
      <c r="CYU231" s="340"/>
      <c r="CYV231" s="340"/>
      <c r="CYW231" s="340"/>
      <c r="CYX231" s="340"/>
      <c r="CYY231" s="340"/>
      <c r="CYZ231" s="340"/>
      <c r="CZA231" s="340"/>
      <c r="CZB231" s="340"/>
      <c r="CZC231" s="340"/>
      <c r="CZD231" s="340"/>
      <c r="CZE231" s="340"/>
      <c r="CZF231" s="340"/>
      <c r="CZG231" s="340"/>
      <c r="CZH231" s="340"/>
      <c r="CZI231" s="340"/>
      <c r="CZJ231" s="340"/>
      <c r="CZK231" s="340"/>
      <c r="CZL231" s="340"/>
      <c r="CZM231" s="340"/>
      <c r="CZN231" s="340"/>
      <c r="CZO231" s="340"/>
      <c r="CZP231" s="340"/>
      <c r="CZQ231" s="340"/>
      <c r="CZR231" s="340"/>
      <c r="CZS231" s="340"/>
      <c r="CZT231" s="340"/>
      <c r="CZU231" s="340"/>
      <c r="CZV231" s="340"/>
      <c r="CZW231" s="340"/>
      <c r="CZX231" s="340"/>
      <c r="CZY231" s="340"/>
      <c r="CZZ231" s="340"/>
      <c r="DAA231" s="340"/>
      <c r="DAB231" s="340"/>
      <c r="DAC231" s="340"/>
      <c r="DAD231" s="340"/>
      <c r="DAE231" s="340"/>
      <c r="DAF231" s="340"/>
      <c r="DAG231" s="340"/>
      <c r="DAH231" s="340"/>
      <c r="DAI231" s="340"/>
      <c r="DAJ231" s="340"/>
      <c r="DAK231" s="340"/>
      <c r="DAL231" s="340"/>
      <c r="DAM231" s="340"/>
      <c r="DAN231" s="340"/>
      <c r="DAO231" s="340"/>
      <c r="DAP231" s="340"/>
      <c r="DAQ231" s="340"/>
      <c r="DAR231" s="340"/>
      <c r="DAS231" s="340"/>
      <c r="DAT231" s="340"/>
      <c r="DAU231" s="340"/>
      <c r="DAV231" s="340"/>
      <c r="DAW231" s="340"/>
      <c r="DAX231" s="340"/>
      <c r="DAY231" s="340"/>
      <c r="DAZ231" s="340"/>
      <c r="DBA231" s="340"/>
      <c r="DBB231" s="340"/>
      <c r="DBC231" s="340"/>
      <c r="DBD231" s="340"/>
      <c r="DBE231" s="340"/>
      <c r="DBF231" s="340"/>
      <c r="DBG231" s="340"/>
      <c r="DBH231" s="340"/>
      <c r="DBI231" s="340"/>
      <c r="DBJ231" s="340"/>
      <c r="DBK231" s="340"/>
      <c r="DBL231" s="340"/>
      <c r="DBM231" s="340"/>
      <c r="DBN231" s="340"/>
      <c r="DBO231" s="340"/>
      <c r="DBP231" s="340"/>
      <c r="DBQ231" s="340"/>
      <c r="DBR231" s="340"/>
      <c r="DBS231" s="340"/>
      <c r="DBT231" s="340"/>
      <c r="DBU231" s="340"/>
      <c r="DBV231" s="340"/>
      <c r="DBW231" s="340"/>
      <c r="DBX231" s="340"/>
      <c r="DBY231" s="340"/>
      <c r="DBZ231" s="340"/>
      <c r="DCA231" s="340"/>
      <c r="DCB231" s="340"/>
      <c r="DCC231" s="340"/>
      <c r="DCD231" s="340"/>
      <c r="DCE231" s="340"/>
      <c r="DCF231" s="340"/>
      <c r="DCG231" s="340"/>
      <c r="DCH231" s="340"/>
      <c r="DCI231" s="340"/>
      <c r="DCJ231" s="340"/>
      <c r="DCK231" s="340"/>
      <c r="DCL231" s="340"/>
      <c r="DCM231" s="340"/>
      <c r="DCN231" s="340"/>
      <c r="DCO231" s="340"/>
      <c r="DCP231" s="340"/>
      <c r="DCQ231" s="340"/>
      <c r="DCR231" s="340"/>
      <c r="DCS231" s="340"/>
      <c r="DCT231" s="340"/>
      <c r="DCU231" s="340"/>
      <c r="DCV231" s="340"/>
      <c r="DCW231" s="340"/>
      <c r="DCX231" s="340"/>
      <c r="DCY231" s="340"/>
      <c r="DCZ231" s="340"/>
      <c r="DDA231" s="340"/>
      <c r="DDB231" s="340"/>
      <c r="DDC231" s="340"/>
      <c r="DDD231" s="340"/>
      <c r="DDE231" s="340"/>
      <c r="DDF231" s="340"/>
      <c r="DDG231" s="340"/>
      <c r="DDH231" s="340"/>
      <c r="DDI231" s="340"/>
      <c r="DDJ231" s="340"/>
      <c r="DDK231" s="340"/>
      <c r="DDL231" s="340"/>
      <c r="DDM231" s="340"/>
      <c r="DDN231" s="340"/>
      <c r="DDO231" s="340"/>
      <c r="DDP231" s="340"/>
      <c r="DDQ231" s="340"/>
      <c r="DDR231" s="340"/>
      <c r="DDS231" s="340"/>
      <c r="DDT231" s="340"/>
      <c r="DDU231" s="340"/>
      <c r="DDV231" s="340"/>
      <c r="DDW231" s="340"/>
      <c r="DDX231" s="340"/>
      <c r="DDY231" s="340"/>
      <c r="DDZ231" s="340"/>
      <c r="DEA231" s="340"/>
      <c r="DEB231" s="340"/>
      <c r="DEC231" s="340"/>
      <c r="DED231" s="340"/>
      <c r="DEE231" s="340"/>
      <c r="DEF231" s="340"/>
      <c r="DEG231" s="340"/>
      <c r="DEH231" s="340"/>
      <c r="DEI231" s="340"/>
      <c r="DEJ231" s="340"/>
      <c r="DEK231" s="340"/>
      <c r="DEL231" s="340"/>
      <c r="DEM231" s="340"/>
      <c r="DEN231" s="340"/>
      <c r="DEO231" s="340"/>
      <c r="DEP231" s="340"/>
      <c r="DEQ231" s="340"/>
      <c r="DER231" s="340"/>
      <c r="DES231" s="340"/>
      <c r="DET231" s="340"/>
      <c r="DEU231" s="340"/>
      <c r="DEV231" s="340"/>
      <c r="DEW231" s="340"/>
      <c r="DEX231" s="340"/>
      <c r="DEY231" s="340"/>
      <c r="DEZ231" s="340"/>
      <c r="DFA231" s="340"/>
      <c r="DFB231" s="340"/>
      <c r="DFC231" s="340"/>
      <c r="DFD231" s="340"/>
      <c r="DFE231" s="340"/>
      <c r="DFF231" s="340"/>
      <c r="DFG231" s="340"/>
      <c r="DFH231" s="340"/>
      <c r="DFI231" s="340"/>
      <c r="DFJ231" s="340"/>
      <c r="DFK231" s="340"/>
      <c r="DFL231" s="340"/>
      <c r="DFM231" s="340"/>
      <c r="DFN231" s="340"/>
      <c r="DFO231" s="340"/>
      <c r="DFP231" s="340"/>
      <c r="DFQ231" s="340"/>
      <c r="DFR231" s="340"/>
      <c r="DFS231" s="340"/>
      <c r="DFT231" s="340"/>
      <c r="DFU231" s="340"/>
      <c r="DFV231" s="340"/>
      <c r="DFW231" s="340"/>
      <c r="DFX231" s="340"/>
      <c r="DFY231" s="340"/>
      <c r="DFZ231" s="340"/>
      <c r="DGA231" s="340"/>
      <c r="DGB231" s="340"/>
      <c r="DGC231" s="340"/>
      <c r="DGD231" s="340"/>
      <c r="DGE231" s="340"/>
      <c r="DGF231" s="340"/>
      <c r="DGG231" s="340"/>
      <c r="DGH231" s="340"/>
      <c r="DGI231" s="340"/>
      <c r="DGJ231" s="340"/>
      <c r="DGK231" s="340"/>
      <c r="DGL231" s="340"/>
      <c r="DGM231" s="340"/>
      <c r="DGN231" s="340"/>
      <c r="DGO231" s="340"/>
      <c r="DGP231" s="340"/>
      <c r="DGQ231" s="340"/>
      <c r="DGR231" s="340"/>
      <c r="DGS231" s="340"/>
      <c r="DGT231" s="340"/>
      <c r="DGU231" s="340"/>
      <c r="DGV231" s="340"/>
      <c r="DGW231" s="340"/>
      <c r="DGX231" s="340"/>
      <c r="DGY231" s="340"/>
      <c r="DGZ231" s="340"/>
      <c r="DHA231" s="340"/>
      <c r="DHB231" s="340"/>
      <c r="DHC231" s="340"/>
      <c r="DHD231" s="340"/>
      <c r="DHE231" s="340"/>
      <c r="DHF231" s="340"/>
      <c r="DHG231" s="340"/>
      <c r="DHH231" s="340"/>
      <c r="DHI231" s="340"/>
      <c r="DHJ231" s="340"/>
      <c r="DHK231" s="340"/>
      <c r="DHL231" s="340"/>
      <c r="DHM231" s="340"/>
      <c r="DHN231" s="340"/>
      <c r="DHO231" s="340"/>
      <c r="DHP231" s="340"/>
      <c r="DHQ231" s="340"/>
      <c r="DHR231" s="340"/>
      <c r="DHS231" s="340"/>
      <c r="DHT231" s="340"/>
      <c r="DHU231" s="340"/>
      <c r="DHV231" s="340"/>
      <c r="DHW231" s="340"/>
      <c r="DHX231" s="340"/>
      <c r="DHY231" s="340"/>
      <c r="DHZ231" s="340"/>
      <c r="DIA231" s="340"/>
      <c r="DIB231" s="340"/>
      <c r="DIC231" s="340"/>
      <c r="DID231" s="340"/>
      <c r="DIE231" s="340"/>
      <c r="DIF231" s="340"/>
      <c r="DIG231" s="340"/>
      <c r="DIH231" s="340"/>
      <c r="DII231" s="340"/>
      <c r="DIJ231" s="340"/>
      <c r="DIK231" s="340"/>
      <c r="DIL231" s="340"/>
      <c r="DIM231" s="340"/>
      <c r="DIN231" s="340"/>
      <c r="DIO231" s="340"/>
      <c r="DIP231" s="340"/>
      <c r="DIQ231" s="340"/>
      <c r="DIR231" s="340"/>
      <c r="DIS231" s="340"/>
      <c r="DIT231" s="340"/>
      <c r="DIU231" s="340"/>
      <c r="DIV231" s="340"/>
      <c r="DIW231" s="340"/>
      <c r="DIX231" s="340"/>
      <c r="DIY231" s="340"/>
      <c r="DIZ231" s="340"/>
      <c r="DJA231" s="340"/>
      <c r="DJB231" s="340"/>
      <c r="DJC231" s="340"/>
      <c r="DJD231" s="340"/>
      <c r="DJE231" s="340"/>
      <c r="DJF231" s="340"/>
      <c r="DJG231" s="340"/>
      <c r="DJH231" s="340"/>
      <c r="DJI231" s="340"/>
      <c r="DJJ231" s="340"/>
      <c r="DJK231" s="340"/>
      <c r="DJL231" s="340"/>
      <c r="DJM231" s="340"/>
      <c r="DJN231" s="340"/>
      <c r="DJO231" s="340"/>
      <c r="DJP231" s="340"/>
      <c r="DJQ231" s="340"/>
      <c r="DJR231" s="340"/>
      <c r="DJS231" s="340"/>
      <c r="DJT231" s="340"/>
      <c r="DJU231" s="340"/>
      <c r="DJV231" s="340"/>
      <c r="DJW231" s="340"/>
      <c r="DJX231" s="340"/>
      <c r="DJY231" s="340"/>
      <c r="DJZ231" s="340"/>
      <c r="DKA231" s="340"/>
      <c r="DKB231" s="340"/>
      <c r="DKC231" s="340"/>
      <c r="DKD231" s="340"/>
      <c r="DKE231" s="340"/>
      <c r="DKF231" s="340"/>
      <c r="DKG231" s="340"/>
      <c r="DKH231" s="340"/>
      <c r="DKI231" s="340"/>
      <c r="DKJ231" s="340"/>
      <c r="DKK231" s="340"/>
      <c r="DKL231" s="340"/>
      <c r="DKM231" s="340"/>
      <c r="DKN231" s="340"/>
      <c r="DKO231" s="340"/>
      <c r="DKP231" s="340"/>
      <c r="DKQ231" s="340"/>
      <c r="DKR231" s="340"/>
      <c r="DKS231" s="340"/>
      <c r="DKT231" s="340"/>
      <c r="DKU231" s="340"/>
      <c r="DKV231" s="340"/>
      <c r="DKW231" s="340"/>
      <c r="DKX231" s="340"/>
      <c r="DKY231" s="340"/>
      <c r="DKZ231" s="340"/>
      <c r="DLA231" s="340"/>
      <c r="DLB231" s="340"/>
      <c r="DLC231" s="340"/>
      <c r="DLD231" s="340"/>
      <c r="DLE231" s="340"/>
      <c r="DLF231" s="340"/>
      <c r="DLG231" s="340"/>
      <c r="DLH231" s="340"/>
      <c r="DLI231" s="340"/>
      <c r="DLJ231" s="340"/>
      <c r="DLK231" s="340"/>
      <c r="DLL231" s="340"/>
      <c r="DLM231" s="340"/>
      <c r="DLN231" s="340"/>
      <c r="DLO231" s="340"/>
      <c r="DLP231" s="340"/>
      <c r="DLQ231" s="340"/>
      <c r="DLR231" s="340"/>
      <c r="DLS231" s="340"/>
      <c r="DLT231" s="340"/>
      <c r="DLU231" s="340"/>
      <c r="DLV231" s="340"/>
      <c r="DLW231" s="340"/>
      <c r="DLX231" s="340"/>
      <c r="DLY231" s="340"/>
      <c r="DLZ231" s="340"/>
      <c r="DMA231" s="340"/>
      <c r="DMB231" s="340"/>
      <c r="DMC231" s="340"/>
      <c r="DMD231" s="340"/>
      <c r="DME231" s="340"/>
      <c r="DMF231" s="340"/>
      <c r="DMG231" s="340"/>
      <c r="DMH231" s="340"/>
      <c r="DMI231" s="340"/>
      <c r="DMJ231" s="340"/>
      <c r="DMK231" s="340"/>
      <c r="DML231" s="340"/>
      <c r="DMM231" s="340"/>
      <c r="DMN231" s="340"/>
      <c r="DMO231" s="340"/>
      <c r="DMP231" s="340"/>
      <c r="DMQ231" s="340"/>
      <c r="DMR231" s="340"/>
      <c r="DMS231" s="340"/>
      <c r="DMT231" s="340"/>
      <c r="DMU231" s="340"/>
      <c r="DMV231" s="340"/>
      <c r="DMW231" s="340"/>
      <c r="DMX231" s="340"/>
      <c r="DMY231" s="340"/>
      <c r="DMZ231" s="340"/>
      <c r="DNA231" s="340"/>
      <c r="DNB231" s="340"/>
      <c r="DNC231" s="340"/>
      <c r="DND231" s="340"/>
      <c r="DNE231" s="340"/>
      <c r="DNF231" s="340"/>
      <c r="DNG231" s="340"/>
      <c r="DNH231" s="340"/>
      <c r="DNI231" s="340"/>
      <c r="DNJ231" s="340"/>
      <c r="DNK231" s="340"/>
      <c r="DNL231" s="340"/>
      <c r="DNM231" s="340"/>
      <c r="DNN231" s="340"/>
      <c r="DNO231" s="340"/>
      <c r="DNP231" s="340"/>
      <c r="DNQ231" s="340"/>
      <c r="DNR231" s="340"/>
      <c r="DNS231" s="340"/>
      <c r="DNT231" s="340"/>
      <c r="DNU231" s="340"/>
      <c r="DNV231" s="340"/>
      <c r="DNW231" s="340"/>
      <c r="DNX231" s="340"/>
      <c r="DNY231" s="340"/>
      <c r="DNZ231" s="340"/>
      <c r="DOA231" s="340"/>
      <c r="DOB231" s="340"/>
      <c r="DOC231" s="340"/>
      <c r="DOD231" s="340"/>
      <c r="DOE231" s="340"/>
      <c r="DOF231" s="340"/>
      <c r="DOG231" s="340"/>
      <c r="DOH231" s="340"/>
      <c r="DOI231" s="340"/>
      <c r="DOJ231" s="340"/>
      <c r="DOK231" s="340"/>
      <c r="DOL231" s="340"/>
      <c r="DOM231" s="340"/>
      <c r="DON231" s="340"/>
      <c r="DOO231" s="340"/>
      <c r="DOP231" s="340"/>
      <c r="DOQ231" s="340"/>
      <c r="DOR231" s="340"/>
      <c r="DOS231" s="340"/>
      <c r="DOT231" s="340"/>
      <c r="DOU231" s="340"/>
      <c r="DOV231" s="340"/>
      <c r="DOW231" s="340"/>
      <c r="DOX231" s="340"/>
      <c r="DOY231" s="340"/>
      <c r="DOZ231" s="340"/>
      <c r="DPA231" s="340"/>
      <c r="DPB231" s="340"/>
      <c r="DPC231" s="340"/>
      <c r="DPD231" s="340"/>
      <c r="DPE231" s="340"/>
      <c r="DPF231" s="340"/>
      <c r="DPG231" s="340"/>
      <c r="DPH231" s="340"/>
      <c r="DPI231" s="340"/>
      <c r="DPJ231" s="340"/>
      <c r="DPK231" s="340"/>
      <c r="DPL231" s="340"/>
      <c r="DPM231" s="340"/>
      <c r="DPN231" s="340"/>
      <c r="DPO231" s="340"/>
      <c r="DPP231" s="340"/>
      <c r="DPQ231" s="340"/>
      <c r="DPR231" s="340"/>
      <c r="DPS231" s="340"/>
      <c r="DPT231" s="340"/>
      <c r="DPU231" s="340"/>
      <c r="DPV231" s="340"/>
      <c r="DPW231" s="340"/>
      <c r="DPX231" s="340"/>
      <c r="DPY231" s="340"/>
      <c r="DPZ231" s="340"/>
      <c r="DQA231" s="340"/>
      <c r="DQB231" s="340"/>
      <c r="DQC231" s="340"/>
      <c r="DQD231" s="340"/>
      <c r="DQE231" s="340"/>
      <c r="DQF231" s="340"/>
      <c r="DQG231" s="340"/>
      <c r="DQH231" s="340"/>
      <c r="DQI231" s="340"/>
      <c r="DQJ231" s="340"/>
      <c r="DQK231" s="340"/>
      <c r="DQL231" s="340"/>
      <c r="DQM231" s="340"/>
      <c r="DQN231" s="340"/>
      <c r="DQO231" s="340"/>
      <c r="DQP231" s="340"/>
      <c r="DQQ231" s="340"/>
      <c r="DQR231" s="340"/>
      <c r="DQS231" s="340"/>
      <c r="DQT231" s="340"/>
      <c r="DQU231" s="340"/>
      <c r="DQV231" s="340"/>
      <c r="DQW231" s="340"/>
      <c r="DQX231" s="340"/>
      <c r="DQY231" s="340"/>
      <c r="DQZ231" s="340"/>
      <c r="DRA231" s="340"/>
      <c r="DRB231" s="340"/>
      <c r="DRC231" s="340"/>
      <c r="DRD231" s="340"/>
      <c r="DRE231" s="340"/>
      <c r="DRF231" s="340"/>
      <c r="DRG231" s="340"/>
      <c r="DRH231" s="340"/>
      <c r="DRI231" s="340"/>
      <c r="DRJ231" s="340"/>
      <c r="DRK231" s="340"/>
      <c r="DRL231" s="340"/>
      <c r="DRM231" s="340"/>
      <c r="DRN231" s="340"/>
      <c r="DRO231" s="340"/>
      <c r="DRP231" s="340"/>
      <c r="DRQ231" s="340"/>
      <c r="DRR231" s="340"/>
      <c r="DRS231" s="340"/>
      <c r="DRT231" s="340"/>
      <c r="DRU231" s="340"/>
      <c r="DRV231" s="340"/>
      <c r="DRW231" s="340"/>
      <c r="DRX231" s="340"/>
      <c r="DRY231" s="340"/>
      <c r="DRZ231" s="340"/>
      <c r="DSA231" s="340"/>
      <c r="DSB231" s="340"/>
      <c r="DSC231" s="340"/>
      <c r="DSD231" s="340"/>
      <c r="DSE231" s="340"/>
      <c r="DSF231" s="340"/>
      <c r="DSG231" s="340"/>
      <c r="DSH231" s="340"/>
      <c r="DSI231" s="340"/>
      <c r="DSJ231" s="340"/>
      <c r="DSK231" s="340"/>
      <c r="DSL231" s="340"/>
      <c r="DSM231" s="340"/>
      <c r="DSN231" s="340"/>
      <c r="DSO231" s="340"/>
      <c r="DSP231" s="340"/>
      <c r="DSQ231" s="340"/>
      <c r="DSR231" s="340"/>
      <c r="DSS231" s="340"/>
      <c r="DST231" s="340"/>
      <c r="DSU231" s="340"/>
      <c r="DSV231" s="340"/>
      <c r="DSW231" s="340"/>
      <c r="DSX231" s="340"/>
      <c r="DSY231" s="340"/>
      <c r="DSZ231" s="340"/>
      <c r="DTA231" s="340"/>
      <c r="DTB231" s="340"/>
      <c r="DTC231" s="340"/>
      <c r="DTD231" s="340"/>
      <c r="DTE231" s="340"/>
      <c r="DTF231" s="340"/>
      <c r="DTG231" s="340"/>
      <c r="DTH231" s="340"/>
      <c r="DTI231" s="340"/>
      <c r="DTJ231" s="340"/>
      <c r="DTK231" s="340"/>
      <c r="DTL231" s="340"/>
      <c r="DTM231" s="340"/>
      <c r="DTN231" s="340"/>
      <c r="DTO231" s="340"/>
      <c r="DTP231" s="340"/>
      <c r="DTQ231" s="340"/>
      <c r="DTR231" s="340"/>
      <c r="DTS231" s="340"/>
      <c r="DTT231" s="340"/>
      <c r="DTU231" s="340"/>
      <c r="DTV231" s="340"/>
      <c r="DTW231" s="340"/>
      <c r="DTX231" s="340"/>
      <c r="DTY231" s="340"/>
      <c r="DTZ231" s="340"/>
      <c r="DUA231" s="340"/>
      <c r="DUB231" s="340"/>
      <c r="DUC231" s="340"/>
      <c r="DUD231" s="340"/>
      <c r="DUE231" s="340"/>
      <c r="DUF231" s="340"/>
      <c r="DUG231" s="340"/>
      <c r="DUH231" s="340"/>
      <c r="DUI231" s="340"/>
      <c r="DUJ231" s="340"/>
      <c r="DUK231" s="340"/>
      <c r="DUL231" s="340"/>
      <c r="DUM231" s="340"/>
      <c r="DUN231" s="340"/>
      <c r="DUO231" s="340"/>
      <c r="DUP231" s="340"/>
      <c r="DUQ231" s="340"/>
      <c r="DUR231" s="340"/>
      <c r="DUS231" s="340"/>
      <c r="DUT231" s="340"/>
      <c r="DUU231" s="340"/>
      <c r="DUV231" s="340"/>
      <c r="DUW231" s="340"/>
      <c r="DUX231" s="340"/>
      <c r="DUY231" s="340"/>
      <c r="DUZ231" s="340"/>
      <c r="DVA231" s="340"/>
      <c r="DVB231" s="340"/>
      <c r="DVC231" s="340"/>
      <c r="DVD231" s="340"/>
      <c r="DVE231" s="340"/>
      <c r="DVF231" s="340"/>
      <c r="DVG231" s="340"/>
      <c r="DVH231" s="340"/>
      <c r="DVI231" s="340"/>
      <c r="DVJ231" s="340"/>
      <c r="DVK231" s="340"/>
      <c r="DVL231" s="340"/>
      <c r="DVM231" s="340"/>
      <c r="DVN231" s="340"/>
      <c r="DVO231" s="340"/>
      <c r="DVP231" s="340"/>
      <c r="DVQ231" s="340"/>
      <c r="DVR231" s="340"/>
      <c r="DVS231" s="340"/>
      <c r="DVT231" s="340"/>
      <c r="DVU231" s="340"/>
      <c r="DVV231" s="340"/>
      <c r="DVW231" s="340"/>
      <c r="DVX231" s="340"/>
      <c r="DVY231" s="340"/>
      <c r="DVZ231" s="340"/>
      <c r="DWA231" s="340"/>
      <c r="DWB231" s="340"/>
      <c r="DWC231" s="340"/>
      <c r="DWD231" s="340"/>
      <c r="DWE231" s="340"/>
      <c r="DWF231" s="340"/>
      <c r="DWG231" s="340"/>
      <c r="DWH231" s="340"/>
      <c r="DWI231" s="340"/>
      <c r="DWJ231" s="340"/>
      <c r="DWK231" s="340"/>
      <c r="DWL231" s="340"/>
      <c r="DWM231" s="340"/>
      <c r="DWN231" s="340"/>
      <c r="DWO231" s="340"/>
      <c r="DWP231" s="340"/>
      <c r="DWQ231" s="340"/>
      <c r="DWR231" s="340"/>
      <c r="DWS231" s="340"/>
      <c r="DWT231" s="340"/>
      <c r="DWU231" s="340"/>
      <c r="DWV231" s="340"/>
      <c r="DWW231" s="340"/>
      <c r="DWX231" s="340"/>
      <c r="DWY231" s="340"/>
      <c r="DWZ231" s="340"/>
      <c r="DXA231" s="340"/>
      <c r="DXB231" s="340"/>
      <c r="DXC231" s="340"/>
      <c r="DXD231" s="340"/>
      <c r="DXE231" s="340"/>
      <c r="DXF231" s="340"/>
      <c r="DXG231" s="340"/>
      <c r="DXH231" s="340"/>
      <c r="DXI231" s="340"/>
      <c r="DXJ231" s="340"/>
      <c r="DXK231" s="340"/>
      <c r="DXL231" s="340"/>
      <c r="DXM231" s="340"/>
      <c r="DXN231" s="340"/>
      <c r="DXO231" s="340"/>
      <c r="DXP231" s="340"/>
      <c r="DXQ231" s="340"/>
      <c r="DXR231" s="340"/>
      <c r="DXS231" s="340"/>
      <c r="DXT231" s="340"/>
      <c r="DXU231" s="340"/>
      <c r="DXV231" s="340"/>
      <c r="DXW231" s="340"/>
      <c r="DXX231" s="340"/>
      <c r="DXY231" s="340"/>
      <c r="DXZ231" s="340"/>
      <c r="DYA231" s="340"/>
      <c r="DYB231" s="340"/>
      <c r="DYC231" s="340"/>
      <c r="DYD231" s="340"/>
      <c r="DYE231" s="340"/>
      <c r="DYF231" s="340"/>
      <c r="DYG231" s="340"/>
      <c r="DYH231" s="340"/>
      <c r="DYI231" s="340"/>
      <c r="DYJ231" s="340"/>
      <c r="DYK231" s="340"/>
      <c r="DYL231" s="340"/>
      <c r="DYM231" s="340"/>
      <c r="DYN231" s="340"/>
      <c r="DYO231" s="340"/>
      <c r="DYP231" s="340"/>
      <c r="DYQ231" s="340"/>
      <c r="DYR231" s="340"/>
      <c r="DYS231" s="340"/>
      <c r="DYT231" s="340"/>
      <c r="DYU231" s="340"/>
      <c r="DYV231" s="340"/>
      <c r="DYW231" s="340"/>
      <c r="DYX231" s="340"/>
      <c r="DYY231" s="340"/>
      <c r="DYZ231" s="340"/>
      <c r="DZA231" s="340"/>
      <c r="DZB231" s="340"/>
      <c r="DZC231" s="340"/>
      <c r="DZD231" s="340"/>
      <c r="DZE231" s="340"/>
      <c r="DZF231" s="340"/>
      <c r="DZG231" s="340"/>
      <c r="DZH231" s="340"/>
      <c r="DZI231" s="340"/>
      <c r="DZJ231" s="340"/>
      <c r="DZK231" s="340"/>
      <c r="DZL231" s="340"/>
      <c r="DZM231" s="340"/>
      <c r="DZN231" s="340"/>
      <c r="DZO231" s="340"/>
      <c r="DZP231" s="340"/>
      <c r="DZQ231" s="340"/>
      <c r="DZR231" s="340"/>
      <c r="DZS231" s="340"/>
      <c r="DZT231" s="340"/>
      <c r="DZU231" s="340"/>
      <c r="DZV231" s="340"/>
      <c r="DZW231" s="340"/>
      <c r="DZX231" s="340"/>
      <c r="DZY231" s="340"/>
      <c r="DZZ231" s="340"/>
      <c r="EAA231" s="340"/>
      <c r="EAB231" s="340"/>
      <c r="EAC231" s="340"/>
      <c r="EAD231" s="340"/>
      <c r="EAE231" s="340"/>
      <c r="EAF231" s="340"/>
      <c r="EAG231" s="340"/>
      <c r="EAH231" s="340"/>
      <c r="EAI231" s="340"/>
      <c r="EAJ231" s="340"/>
      <c r="EAK231" s="340"/>
      <c r="EAL231" s="340"/>
      <c r="EAM231" s="340"/>
      <c r="EAN231" s="340"/>
      <c r="EAO231" s="340"/>
      <c r="EAP231" s="340"/>
      <c r="EAQ231" s="340"/>
      <c r="EAR231" s="340"/>
      <c r="EAS231" s="340"/>
      <c r="EAT231" s="340"/>
      <c r="EAU231" s="340"/>
      <c r="EAV231" s="340"/>
      <c r="EAW231" s="340"/>
      <c r="EAX231" s="340"/>
      <c r="EAY231" s="340"/>
      <c r="EAZ231" s="340"/>
      <c r="EBA231" s="340"/>
      <c r="EBB231" s="340"/>
      <c r="EBC231" s="340"/>
      <c r="EBD231" s="340"/>
      <c r="EBE231" s="340"/>
      <c r="EBF231" s="340"/>
      <c r="EBG231" s="340"/>
      <c r="EBH231" s="340"/>
      <c r="EBI231" s="340"/>
      <c r="EBJ231" s="340"/>
      <c r="EBK231" s="340"/>
      <c r="EBL231" s="340"/>
      <c r="EBM231" s="340"/>
      <c r="EBN231" s="340"/>
      <c r="EBO231" s="340"/>
      <c r="EBP231" s="340"/>
      <c r="EBQ231" s="340"/>
      <c r="EBR231" s="340"/>
      <c r="EBS231" s="340"/>
      <c r="EBT231" s="340"/>
      <c r="EBU231" s="340"/>
      <c r="EBV231" s="340"/>
      <c r="EBW231" s="340"/>
      <c r="EBX231" s="340"/>
      <c r="EBY231" s="340"/>
      <c r="EBZ231" s="340"/>
      <c r="ECA231" s="340"/>
      <c r="ECB231" s="340"/>
      <c r="ECC231" s="340"/>
      <c r="ECD231" s="340"/>
      <c r="ECE231" s="340"/>
      <c r="ECF231" s="340"/>
      <c r="ECG231" s="340"/>
      <c r="ECH231" s="340"/>
      <c r="ECI231" s="340"/>
      <c r="ECJ231" s="340"/>
      <c r="ECK231" s="340"/>
      <c r="ECL231" s="340"/>
      <c r="ECM231" s="340"/>
      <c r="ECN231" s="340"/>
      <c r="ECO231" s="340"/>
      <c r="ECP231" s="340"/>
      <c r="ECQ231" s="340"/>
      <c r="ECR231" s="340"/>
      <c r="ECS231" s="340"/>
      <c r="ECT231" s="340"/>
      <c r="ECU231" s="340"/>
      <c r="ECV231" s="340"/>
      <c r="ECW231" s="340"/>
      <c r="ECX231" s="340"/>
      <c r="ECY231" s="340"/>
      <c r="ECZ231" s="340"/>
      <c r="EDA231" s="340"/>
      <c r="EDB231" s="340"/>
      <c r="EDC231" s="340"/>
      <c r="EDD231" s="340"/>
      <c r="EDE231" s="340"/>
      <c r="EDF231" s="340"/>
      <c r="EDG231" s="340"/>
      <c r="EDH231" s="340"/>
      <c r="EDI231" s="340"/>
      <c r="EDJ231" s="340"/>
      <c r="EDK231" s="340"/>
      <c r="EDL231" s="340"/>
      <c r="EDM231" s="340"/>
      <c r="EDN231" s="340"/>
      <c r="EDO231" s="340"/>
      <c r="EDP231" s="340"/>
      <c r="EDQ231" s="340"/>
      <c r="EDR231" s="340"/>
      <c r="EDS231" s="340"/>
      <c r="EDT231" s="340"/>
      <c r="EDU231" s="340"/>
      <c r="EDV231" s="340"/>
      <c r="EDW231" s="340"/>
      <c r="EDX231" s="340"/>
      <c r="EDY231" s="340"/>
      <c r="EDZ231" s="340"/>
      <c r="EEA231" s="340"/>
      <c r="EEB231" s="340"/>
      <c r="EEC231" s="340"/>
      <c r="EED231" s="340"/>
      <c r="EEE231" s="340"/>
      <c r="EEF231" s="340"/>
      <c r="EEG231" s="340"/>
      <c r="EEH231" s="340"/>
      <c r="EEI231" s="340"/>
      <c r="EEJ231" s="340"/>
      <c r="EEK231" s="340"/>
      <c r="EEL231" s="340"/>
      <c r="EEM231" s="340"/>
      <c r="EEN231" s="340"/>
      <c r="EEO231" s="340"/>
      <c r="EEP231" s="340"/>
      <c r="EEQ231" s="340"/>
      <c r="EER231" s="340"/>
      <c r="EES231" s="340"/>
      <c r="EET231" s="340"/>
      <c r="EEU231" s="340"/>
      <c r="EEV231" s="340"/>
      <c r="EEW231" s="340"/>
      <c r="EEX231" s="340"/>
      <c r="EEY231" s="340"/>
      <c r="EEZ231" s="340"/>
      <c r="EFA231" s="340"/>
      <c r="EFB231" s="340"/>
      <c r="EFC231" s="340"/>
      <c r="EFD231" s="340"/>
      <c r="EFE231" s="340"/>
      <c r="EFF231" s="340"/>
      <c r="EFG231" s="340"/>
      <c r="EFH231" s="340"/>
      <c r="EFI231" s="340"/>
      <c r="EFJ231" s="340"/>
      <c r="EFK231" s="340"/>
      <c r="EFL231" s="340"/>
      <c r="EFM231" s="340"/>
      <c r="EFN231" s="340"/>
      <c r="EFO231" s="340"/>
      <c r="EFP231" s="340"/>
      <c r="EFQ231" s="340"/>
      <c r="EFR231" s="340"/>
      <c r="EFS231" s="340"/>
      <c r="EFT231" s="340"/>
      <c r="EFU231" s="340"/>
      <c r="EFV231" s="340"/>
      <c r="EFW231" s="340"/>
      <c r="EFX231" s="340"/>
      <c r="EFY231" s="340"/>
      <c r="EFZ231" s="340"/>
      <c r="EGA231" s="340"/>
      <c r="EGB231" s="340"/>
      <c r="EGC231" s="340"/>
      <c r="EGD231" s="340"/>
      <c r="EGE231" s="340"/>
      <c r="EGF231" s="340"/>
      <c r="EGG231" s="340"/>
      <c r="EGH231" s="340"/>
      <c r="EGI231" s="340"/>
      <c r="EGJ231" s="340"/>
      <c r="EGK231" s="340"/>
      <c r="EGL231" s="340"/>
      <c r="EGM231" s="340"/>
      <c r="EGN231" s="340"/>
      <c r="EGO231" s="340"/>
      <c r="EGP231" s="340"/>
      <c r="EGQ231" s="340"/>
      <c r="EGR231" s="340"/>
      <c r="EGS231" s="340"/>
      <c r="EGT231" s="340"/>
      <c r="EGU231" s="340"/>
      <c r="EGV231" s="340"/>
      <c r="EGW231" s="340"/>
      <c r="EGX231" s="340"/>
      <c r="EGY231" s="340"/>
      <c r="EGZ231" s="340"/>
      <c r="EHA231" s="340"/>
      <c r="EHB231" s="340"/>
      <c r="EHC231" s="340"/>
      <c r="EHD231" s="340"/>
      <c r="EHE231" s="340"/>
      <c r="EHF231" s="340"/>
      <c r="EHG231" s="340"/>
      <c r="EHH231" s="340"/>
      <c r="EHI231" s="340"/>
      <c r="EHJ231" s="340"/>
      <c r="EHK231" s="340"/>
      <c r="EHL231" s="340"/>
      <c r="EHM231" s="340"/>
      <c r="EHN231" s="340"/>
      <c r="EHO231" s="340"/>
      <c r="EHP231" s="340"/>
      <c r="EHQ231" s="340"/>
      <c r="EHR231" s="340"/>
      <c r="EHS231" s="340"/>
      <c r="EHT231" s="340"/>
      <c r="EHU231" s="340"/>
      <c r="EHV231" s="340"/>
      <c r="EHW231" s="340"/>
      <c r="EHX231" s="340"/>
      <c r="EHY231" s="340"/>
      <c r="EHZ231" s="340"/>
      <c r="EIA231" s="340"/>
      <c r="EIB231" s="340"/>
      <c r="EIC231" s="340"/>
      <c r="EID231" s="340"/>
      <c r="EIE231" s="340"/>
      <c r="EIF231" s="340"/>
      <c r="EIG231" s="340"/>
      <c r="EIH231" s="340"/>
      <c r="EII231" s="340"/>
      <c r="EIJ231" s="340"/>
      <c r="EIK231" s="340"/>
      <c r="EIL231" s="340"/>
      <c r="EIM231" s="340"/>
      <c r="EIN231" s="340"/>
      <c r="EIO231" s="340"/>
      <c r="EIP231" s="340"/>
      <c r="EIQ231" s="340"/>
      <c r="EIR231" s="340"/>
      <c r="EIS231" s="340"/>
      <c r="EIT231" s="340"/>
      <c r="EIU231" s="340"/>
      <c r="EIV231" s="340"/>
      <c r="EIW231" s="340"/>
      <c r="EIX231" s="340"/>
      <c r="EIY231" s="340"/>
      <c r="EIZ231" s="340"/>
      <c r="EJA231" s="340"/>
      <c r="EJB231" s="340"/>
      <c r="EJC231" s="340"/>
      <c r="EJD231" s="340"/>
      <c r="EJE231" s="340"/>
      <c r="EJF231" s="340"/>
      <c r="EJG231" s="340"/>
      <c r="EJH231" s="340"/>
      <c r="EJI231" s="340"/>
      <c r="EJJ231" s="340"/>
      <c r="EJK231" s="340"/>
      <c r="EJL231" s="340"/>
      <c r="EJM231" s="340"/>
      <c r="EJN231" s="340"/>
      <c r="EJO231" s="340"/>
      <c r="EJP231" s="340"/>
      <c r="EJQ231" s="340"/>
      <c r="EJR231" s="340"/>
      <c r="EJS231" s="340"/>
      <c r="EJT231" s="340"/>
      <c r="EJU231" s="340"/>
      <c r="EJV231" s="340"/>
      <c r="EJW231" s="340"/>
      <c r="EJX231" s="340"/>
      <c r="EJY231" s="340"/>
      <c r="EJZ231" s="340"/>
      <c r="EKA231" s="340"/>
      <c r="EKB231" s="340"/>
      <c r="EKC231" s="340"/>
      <c r="EKD231" s="340"/>
      <c r="EKE231" s="340"/>
      <c r="EKF231" s="340"/>
      <c r="EKG231" s="340"/>
      <c r="EKH231" s="340"/>
      <c r="EKI231" s="340"/>
      <c r="EKJ231" s="340"/>
      <c r="EKK231" s="340"/>
      <c r="EKL231" s="340"/>
      <c r="EKM231" s="340"/>
      <c r="EKN231" s="340"/>
      <c r="EKO231" s="340"/>
      <c r="EKP231" s="340"/>
      <c r="EKQ231" s="340"/>
      <c r="EKR231" s="340"/>
      <c r="EKS231" s="340"/>
      <c r="EKT231" s="340"/>
      <c r="EKU231" s="340"/>
      <c r="EKV231" s="340"/>
      <c r="EKW231" s="340"/>
      <c r="EKX231" s="340"/>
      <c r="EKY231" s="340"/>
      <c r="EKZ231" s="340"/>
      <c r="ELA231" s="340"/>
      <c r="ELB231" s="340"/>
      <c r="ELC231" s="340"/>
      <c r="ELD231" s="340"/>
      <c r="ELE231" s="340"/>
      <c r="ELF231" s="340"/>
      <c r="ELG231" s="340"/>
      <c r="ELH231" s="340"/>
      <c r="ELI231" s="340"/>
      <c r="ELJ231" s="340"/>
      <c r="ELK231" s="340"/>
      <c r="ELL231" s="340"/>
      <c r="ELM231" s="340"/>
      <c r="ELN231" s="340"/>
      <c r="ELO231" s="340"/>
      <c r="ELP231" s="340"/>
      <c r="ELQ231" s="340"/>
      <c r="ELR231" s="340"/>
      <c r="ELS231" s="340"/>
      <c r="ELT231" s="340"/>
      <c r="ELU231" s="340"/>
      <c r="ELV231" s="340"/>
      <c r="ELW231" s="340"/>
      <c r="ELX231" s="340"/>
      <c r="ELY231" s="340"/>
      <c r="ELZ231" s="340"/>
      <c r="EMA231" s="340"/>
      <c r="EMB231" s="340"/>
      <c r="EMC231" s="340"/>
      <c r="EMD231" s="340"/>
      <c r="EME231" s="340"/>
      <c r="EMF231" s="340"/>
      <c r="EMG231" s="340"/>
      <c r="EMH231" s="340"/>
      <c r="EMI231" s="340"/>
      <c r="EMJ231" s="340"/>
      <c r="EMK231" s="340"/>
      <c r="EML231" s="340"/>
      <c r="EMM231" s="340"/>
      <c r="EMN231" s="340"/>
      <c r="EMO231" s="340"/>
      <c r="EMP231" s="340"/>
      <c r="EMQ231" s="340"/>
      <c r="EMR231" s="340"/>
      <c r="EMS231" s="340"/>
      <c r="EMT231" s="340"/>
      <c r="EMU231" s="340"/>
      <c r="EMV231" s="340"/>
      <c r="EMW231" s="340"/>
      <c r="EMX231" s="340"/>
      <c r="EMY231" s="340"/>
      <c r="EMZ231" s="340"/>
      <c r="ENA231" s="340"/>
      <c r="ENB231" s="340"/>
      <c r="ENC231" s="340"/>
      <c r="END231" s="340"/>
      <c r="ENE231" s="340"/>
      <c r="ENF231" s="340"/>
      <c r="ENG231" s="340"/>
      <c r="ENH231" s="340"/>
      <c r="ENI231" s="340"/>
      <c r="ENJ231" s="340"/>
      <c r="ENK231" s="340"/>
      <c r="ENL231" s="340"/>
      <c r="ENM231" s="340"/>
      <c r="ENN231" s="340"/>
      <c r="ENO231" s="340"/>
      <c r="ENP231" s="340"/>
      <c r="ENQ231" s="340"/>
      <c r="ENR231" s="340"/>
      <c r="ENS231" s="340"/>
      <c r="ENT231" s="340"/>
      <c r="ENU231" s="340"/>
      <c r="ENV231" s="340"/>
      <c r="ENW231" s="340"/>
      <c r="ENX231" s="340"/>
      <c r="ENY231" s="340"/>
      <c r="ENZ231" s="340"/>
      <c r="EOA231" s="340"/>
      <c r="EOB231" s="340"/>
      <c r="EOC231" s="340"/>
      <c r="EOD231" s="340"/>
      <c r="EOE231" s="340"/>
      <c r="EOF231" s="340"/>
      <c r="EOG231" s="340"/>
      <c r="EOH231" s="340"/>
      <c r="EOI231" s="340"/>
      <c r="EOJ231" s="340"/>
      <c r="EOK231" s="340"/>
      <c r="EOL231" s="340"/>
      <c r="EOM231" s="340"/>
      <c r="EON231" s="340"/>
      <c r="EOO231" s="340"/>
      <c r="EOP231" s="340"/>
      <c r="EOQ231" s="340"/>
      <c r="EOR231" s="340"/>
      <c r="EOS231" s="340"/>
      <c r="EOT231" s="340"/>
      <c r="EOU231" s="340"/>
      <c r="EOV231" s="340"/>
      <c r="EOW231" s="340"/>
      <c r="EOX231" s="340"/>
      <c r="EOY231" s="340"/>
      <c r="EOZ231" s="340"/>
      <c r="EPA231" s="340"/>
      <c r="EPB231" s="340"/>
      <c r="EPC231" s="340"/>
      <c r="EPD231" s="340"/>
      <c r="EPE231" s="340"/>
      <c r="EPF231" s="340"/>
      <c r="EPG231" s="340"/>
      <c r="EPH231" s="340"/>
      <c r="EPI231" s="340"/>
      <c r="EPJ231" s="340"/>
      <c r="EPK231" s="340"/>
      <c r="EPL231" s="340"/>
      <c r="EPM231" s="340"/>
      <c r="EPN231" s="340"/>
      <c r="EPO231" s="340"/>
      <c r="EPP231" s="340"/>
      <c r="EPQ231" s="340"/>
      <c r="EPR231" s="340"/>
      <c r="EPS231" s="340"/>
      <c r="EPT231" s="340"/>
      <c r="EPU231" s="340"/>
      <c r="EPV231" s="340"/>
      <c r="EPW231" s="340"/>
      <c r="EPX231" s="340"/>
      <c r="EPY231" s="340"/>
      <c r="EPZ231" s="340"/>
      <c r="EQA231" s="340"/>
      <c r="EQB231" s="340"/>
      <c r="EQC231" s="340"/>
      <c r="EQD231" s="340"/>
      <c r="EQE231" s="340"/>
      <c r="EQF231" s="340"/>
      <c r="EQG231" s="340"/>
      <c r="EQH231" s="340"/>
      <c r="EQI231" s="340"/>
      <c r="EQJ231" s="340"/>
      <c r="EQK231" s="340"/>
      <c r="EQL231" s="340"/>
      <c r="EQM231" s="340"/>
      <c r="EQN231" s="340"/>
      <c r="EQO231" s="340"/>
      <c r="EQP231" s="340"/>
      <c r="EQQ231" s="340"/>
      <c r="EQR231" s="340"/>
      <c r="EQS231" s="340"/>
      <c r="EQT231" s="340"/>
      <c r="EQU231" s="340"/>
      <c r="EQV231" s="340"/>
      <c r="EQW231" s="340"/>
      <c r="EQX231" s="340"/>
      <c r="EQY231" s="340"/>
      <c r="EQZ231" s="340"/>
      <c r="ERA231" s="340"/>
      <c r="ERB231" s="340"/>
      <c r="ERC231" s="340"/>
      <c r="ERD231" s="340"/>
      <c r="ERE231" s="340"/>
      <c r="ERF231" s="340"/>
      <c r="ERG231" s="340"/>
      <c r="ERH231" s="340"/>
      <c r="ERI231" s="340"/>
      <c r="ERJ231" s="340"/>
      <c r="ERK231" s="340"/>
      <c r="ERL231" s="340"/>
      <c r="ERM231" s="340"/>
      <c r="ERN231" s="340"/>
      <c r="ERO231" s="340"/>
      <c r="ERP231" s="340"/>
      <c r="ERQ231" s="340"/>
      <c r="ERR231" s="340"/>
      <c r="ERS231" s="340"/>
      <c r="ERT231" s="340"/>
      <c r="ERU231" s="340"/>
      <c r="ERV231" s="340"/>
      <c r="ERW231" s="340"/>
      <c r="ERX231" s="340"/>
      <c r="ERY231" s="340"/>
      <c r="ERZ231" s="340"/>
      <c r="ESA231" s="340"/>
      <c r="ESB231" s="340"/>
      <c r="ESC231" s="340"/>
      <c r="ESD231" s="340"/>
      <c r="ESE231" s="340"/>
      <c r="ESF231" s="340"/>
      <c r="ESG231" s="340"/>
      <c r="ESH231" s="340"/>
      <c r="ESI231" s="340"/>
      <c r="ESJ231" s="340"/>
      <c r="ESK231" s="340"/>
      <c r="ESL231" s="340"/>
      <c r="ESM231" s="340"/>
      <c r="ESN231" s="340"/>
      <c r="ESO231" s="340"/>
      <c r="ESP231" s="340"/>
      <c r="ESQ231" s="340"/>
      <c r="ESR231" s="340"/>
      <c r="ESS231" s="340"/>
      <c r="EST231" s="340"/>
      <c r="ESU231" s="340"/>
      <c r="ESV231" s="340"/>
      <c r="ESW231" s="340"/>
      <c r="ESX231" s="340"/>
      <c r="ESY231" s="340"/>
      <c r="ESZ231" s="340"/>
      <c r="ETA231" s="340"/>
      <c r="ETB231" s="340"/>
      <c r="ETC231" s="340"/>
      <c r="ETD231" s="340"/>
      <c r="ETE231" s="340"/>
      <c r="ETF231" s="340"/>
      <c r="ETG231" s="340"/>
      <c r="ETH231" s="340"/>
      <c r="ETI231" s="340"/>
      <c r="ETJ231" s="340"/>
      <c r="ETK231" s="340"/>
      <c r="ETL231" s="340"/>
      <c r="ETM231" s="340"/>
      <c r="ETN231" s="340"/>
      <c r="ETO231" s="340"/>
      <c r="ETP231" s="340"/>
      <c r="ETQ231" s="340"/>
      <c r="ETR231" s="340"/>
      <c r="ETS231" s="340"/>
      <c r="ETT231" s="340"/>
      <c r="ETU231" s="340"/>
      <c r="ETV231" s="340"/>
      <c r="ETW231" s="340"/>
      <c r="ETX231" s="340"/>
      <c r="ETY231" s="340"/>
      <c r="ETZ231" s="340"/>
      <c r="EUA231" s="340"/>
      <c r="EUB231" s="340"/>
      <c r="EUC231" s="340"/>
      <c r="EUD231" s="340"/>
      <c r="EUE231" s="340"/>
      <c r="EUF231" s="340"/>
      <c r="EUG231" s="340"/>
      <c r="EUH231" s="340"/>
      <c r="EUI231" s="340"/>
      <c r="EUJ231" s="340"/>
      <c r="EUK231" s="340"/>
      <c r="EUL231" s="340"/>
      <c r="EUM231" s="340"/>
      <c r="EUN231" s="340"/>
      <c r="EUO231" s="340"/>
      <c r="EUP231" s="340"/>
      <c r="EUQ231" s="340"/>
      <c r="EUR231" s="340"/>
      <c r="EUS231" s="340"/>
      <c r="EUT231" s="340"/>
      <c r="EUU231" s="340"/>
      <c r="EUV231" s="340"/>
      <c r="EUW231" s="340"/>
      <c r="EUX231" s="340"/>
      <c r="EUY231" s="340"/>
      <c r="EUZ231" s="340"/>
      <c r="EVA231" s="340"/>
      <c r="EVB231" s="340"/>
      <c r="EVC231" s="340"/>
      <c r="EVD231" s="340"/>
      <c r="EVE231" s="340"/>
      <c r="EVF231" s="340"/>
      <c r="EVG231" s="340"/>
      <c r="EVH231" s="340"/>
      <c r="EVI231" s="340"/>
      <c r="EVJ231" s="340"/>
      <c r="EVK231" s="340"/>
      <c r="EVL231" s="340"/>
      <c r="EVM231" s="340"/>
      <c r="EVN231" s="340"/>
      <c r="EVO231" s="340"/>
      <c r="EVP231" s="340"/>
      <c r="EVQ231" s="340"/>
      <c r="EVR231" s="340"/>
      <c r="EVS231" s="340"/>
      <c r="EVT231" s="340"/>
      <c r="EVU231" s="340"/>
      <c r="EVV231" s="340"/>
      <c r="EVW231" s="340"/>
      <c r="EVX231" s="340"/>
      <c r="EVY231" s="340"/>
      <c r="EVZ231" s="340"/>
      <c r="EWA231" s="340"/>
      <c r="EWB231" s="340"/>
      <c r="EWC231" s="340"/>
      <c r="EWD231" s="340"/>
      <c r="EWE231" s="340"/>
      <c r="EWF231" s="340"/>
      <c r="EWG231" s="340"/>
      <c r="EWH231" s="340"/>
      <c r="EWI231" s="340"/>
      <c r="EWJ231" s="340"/>
      <c r="EWK231" s="340"/>
      <c r="EWL231" s="340"/>
      <c r="EWM231" s="340"/>
      <c r="EWN231" s="340"/>
      <c r="EWO231" s="340"/>
      <c r="EWP231" s="340"/>
      <c r="EWQ231" s="340"/>
      <c r="EWR231" s="340"/>
      <c r="EWS231" s="340"/>
      <c r="EWT231" s="340"/>
      <c r="EWU231" s="340"/>
      <c r="EWV231" s="340"/>
      <c r="EWW231" s="340"/>
      <c r="EWX231" s="340"/>
      <c r="EWY231" s="340"/>
      <c r="EWZ231" s="340"/>
      <c r="EXA231" s="340"/>
      <c r="EXB231" s="340"/>
      <c r="EXC231" s="340"/>
      <c r="EXD231" s="340"/>
      <c r="EXE231" s="340"/>
      <c r="EXF231" s="340"/>
      <c r="EXG231" s="340"/>
      <c r="EXH231" s="340"/>
      <c r="EXI231" s="340"/>
      <c r="EXJ231" s="340"/>
      <c r="EXK231" s="340"/>
      <c r="EXL231" s="340"/>
      <c r="EXM231" s="340"/>
      <c r="EXN231" s="340"/>
      <c r="EXO231" s="340"/>
      <c r="EXP231" s="340"/>
      <c r="EXQ231" s="340"/>
      <c r="EXR231" s="340"/>
      <c r="EXS231" s="340"/>
      <c r="EXT231" s="340"/>
      <c r="EXU231" s="340"/>
      <c r="EXV231" s="340"/>
      <c r="EXW231" s="340"/>
      <c r="EXX231" s="340"/>
      <c r="EXY231" s="340"/>
      <c r="EXZ231" s="340"/>
      <c r="EYA231" s="340"/>
      <c r="EYB231" s="340"/>
      <c r="EYC231" s="340"/>
      <c r="EYD231" s="340"/>
      <c r="EYE231" s="340"/>
      <c r="EYF231" s="340"/>
      <c r="EYG231" s="340"/>
      <c r="EYH231" s="340"/>
      <c r="EYI231" s="340"/>
      <c r="EYJ231" s="340"/>
      <c r="EYK231" s="340"/>
      <c r="EYL231" s="340"/>
      <c r="EYM231" s="340"/>
      <c r="EYN231" s="340"/>
      <c r="EYO231" s="340"/>
      <c r="EYP231" s="340"/>
      <c r="EYQ231" s="340"/>
      <c r="EYR231" s="340"/>
      <c r="EYS231" s="340"/>
      <c r="EYT231" s="340"/>
      <c r="EYU231" s="340"/>
      <c r="EYV231" s="340"/>
      <c r="EYW231" s="340"/>
      <c r="EYX231" s="340"/>
      <c r="EYY231" s="340"/>
      <c r="EYZ231" s="340"/>
      <c r="EZA231" s="340"/>
      <c r="EZB231" s="340"/>
      <c r="EZC231" s="340"/>
      <c r="EZD231" s="340"/>
      <c r="EZE231" s="340"/>
      <c r="EZF231" s="340"/>
      <c r="EZG231" s="340"/>
      <c r="EZH231" s="340"/>
      <c r="EZI231" s="340"/>
      <c r="EZJ231" s="340"/>
      <c r="EZK231" s="340"/>
      <c r="EZL231" s="340"/>
      <c r="EZM231" s="340"/>
      <c r="EZN231" s="340"/>
      <c r="EZO231" s="340"/>
      <c r="EZP231" s="340"/>
      <c r="EZQ231" s="340"/>
      <c r="EZR231" s="340"/>
      <c r="EZS231" s="340"/>
      <c r="EZT231" s="340"/>
      <c r="EZU231" s="340"/>
      <c r="EZV231" s="340"/>
      <c r="EZW231" s="340"/>
      <c r="EZX231" s="340"/>
      <c r="EZY231" s="340"/>
      <c r="EZZ231" s="340"/>
      <c r="FAA231" s="340"/>
      <c r="FAB231" s="340"/>
      <c r="FAC231" s="340"/>
      <c r="FAD231" s="340"/>
      <c r="FAE231" s="340"/>
      <c r="FAF231" s="340"/>
      <c r="FAG231" s="340"/>
      <c r="FAH231" s="340"/>
      <c r="FAI231" s="340"/>
      <c r="FAJ231" s="340"/>
      <c r="FAK231" s="340"/>
      <c r="FAL231" s="340"/>
      <c r="FAM231" s="340"/>
      <c r="FAN231" s="340"/>
      <c r="FAO231" s="340"/>
      <c r="FAP231" s="340"/>
      <c r="FAQ231" s="340"/>
      <c r="FAR231" s="340"/>
      <c r="FAS231" s="340"/>
      <c r="FAT231" s="340"/>
      <c r="FAU231" s="340"/>
      <c r="FAV231" s="340"/>
      <c r="FAW231" s="340"/>
      <c r="FAX231" s="340"/>
      <c r="FAY231" s="340"/>
      <c r="FAZ231" s="340"/>
      <c r="FBA231" s="340"/>
      <c r="FBB231" s="340"/>
      <c r="FBC231" s="340"/>
      <c r="FBD231" s="340"/>
      <c r="FBE231" s="340"/>
      <c r="FBF231" s="340"/>
      <c r="FBG231" s="340"/>
      <c r="FBH231" s="340"/>
      <c r="FBI231" s="340"/>
      <c r="FBJ231" s="340"/>
      <c r="FBK231" s="340"/>
      <c r="FBL231" s="340"/>
      <c r="FBM231" s="340"/>
      <c r="FBN231" s="340"/>
      <c r="FBO231" s="340"/>
      <c r="FBP231" s="340"/>
      <c r="FBQ231" s="340"/>
      <c r="FBR231" s="340"/>
      <c r="FBS231" s="340"/>
      <c r="FBT231" s="340"/>
      <c r="FBU231" s="340"/>
      <c r="FBV231" s="340"/>
      <c r="FBW231" s="340"/>
      <c r="FBX231" s="340"/>
      <c r="FBY231" s="340"/>
      <c r="FBZ231" s="340"/>
      <c r="FCA231" s="340"/>
      <c r="FCB231" s="340"/>
      <c r="FCC231" s="340"/>
      <c r="FCD231" s="340"/>
      <c r="FCE231" s="340"/>
      <c r="FCF231" s="340"/>
      <c r="FCG231" s="340"/>
      <c r="FCH231" s="340"/>
      <c r="FCI231" s="340"/>
      <c r="FCJ231" s="340"/>
      <c r="FCK231" s="340"/>
      <c r="FCL231" s="340"/>
      <c r="FCM231" s="340"/>
      <c r="FCN231" s="340"/>
      <c r="FCO231" s="340"/>
      <c r="FCP231" s="340"/>
      <c r="FCQ231" s="340"/>
      <c r="FCR231" s="340"/>
      <c r="FCS231" s="340"/>
      <c r="FCT231" s="340"/>
      <c r="FCU231" s="340"/>
      <c r="FCV231" s="340"/>
      <c r="FCW231" s="340"/>
      <c r="FCX231" s="340"/>
      <c r="FCY231" s="340"/>
      <c r="FCZ231" s="340"/>
      <c r="FDA231" s="340"/>
      <c r="FDB231" s="340"/>
      <c r="FDC231" s="340"/>
      <c r="FDD231" s="340"/>
      <c r="FDE231" s="340"/>
      <c r="FDF231" s="340"/>
      <c r="FDG231" s="340"/>
      <c r="FDH231" s="340"/>
      <c r="FDI231" s="340"/>
      <c r="FDJ231" s="340"/>
      <c r="FDK231" s="340"/>
      <c r="FDL231" s="340"/>
      <c r="FDM231" s="340"/>
      <c r="FDN231" s="340"/>
      <c r="FDO231" s="340"/>
      <c r="FDP231" s="340"/>
      <c r="FDQ231" s="340"/>
      <c r="FDR231" s="340"/>
      <c r="FDS231" s="340"/>
      <c r="FDT231" s="340"/>
      <c r="FDU231" s="340"/>
      <c r="FDV231" s="340"/>
      <c r="FDW231" s="340"/>
      <c r="FDX231" s="340"/>
      <c r="FDY231" s="340"/>
      <c r="FDZ231" s="340"/>
      <c r="FEA231" s="340"/>
      <c r="FEB231" s="340"/>
      <c r="FEC231" s="340"/>
      <c r="FED231" s="340"/>
      <c r="FEE231" s="340"/>
      <c r="FEF231" s="340"/>
      <c r="FEG231" s="340"/>
      <c r="FEH231" s="340"/>
      <c r="FEI231" s="340"/>
      <c r="FEJ231" s="340"/>
      <c r="FEK231" s="340"/>
      <c r="FEL231" s="340"/>
      <c r="FEM231" s="340"/>
      <c r="FEN231" s="340"/>
      <c r="FEO231" s="340"/>
      <c r="FEP231" s="340"/>
      <c r="FEQ231" s="340"/>
      <c r="FER231" s="340"/>
      <c r="FES231" s="340"/>
      <c r="FET231" s="340"/>
      <c r="FEU231" s="340"/>
      <c r="FEV231" s="340"/>
      <c r="FEW231" s="340"/>
      <c r="FEX231" s="340"/>
      <c r="FEY231" s="340"/>
      <c r="FEZ231" s="340"/>
      <c r="FFA231" s="340"/>
      <c r="FFB231" s="340"/>
      <c r="FFC231" s="340"/>
      <c r="FFD231" s="340"/>
      <c r="FFE231" s="340"/>
      <c r="FFF231" s="340"/>
      <c r="FFG231" s="340"/>
      <c r="FFH231" s="340"/>
      <c r="FFI231" s="340"/>
      <c r="FFJ231" s="340"/>
      <c r="FFK231" s="340"/>
      <c r="FFL231" s="340"/>
      <c r="FFM231" s="340"/>
      <c r="FFN231" s="340"/>
      <c r="FFO231" s="340"/>
      <c r="FFP231" s="340"/>
      <c r="FFQ231" s="340"/>
      <c r="FFR231" s="340"/>
      <c r="FFS231" s="340"/>
      <c r="FFT231" s="340"/>
      <c r="FFU231" s="340"/>
      <c r="FFV231" s="340"/>
      <c r="FFW231" s="340"/>
      <c r="FFX231" s="340"/>
      <c r="FFY231" s="340"/>
      <c r="FFZ231" s="340"/>
      <c r="FGA231" s="340"/>
      <c r="FGB231" s="340"/>
      <c r="FGC231" s="340"/>
      <c r="FGD231" s="340"/>
      <c r="FGE231" s="340"/>
      <c r="FGF231" s="340"/>
      <c r="FGG231" s="340"/>
      <c r="FGH231" s="340"/>
      <c r="FGI231" s="340"/>
      <c r="FGJ231" s="340"/>
      <c r="FGK231" s="340"/>
      <c r="FGL231" s="340"/>
      <c r="FGM231" s="340"/>
      <c r="FGN231" s="340"/>
      <c r="FGO231" s="340"/>
      <c r="FGP231" s="340"/>
      <c r="FGQ231" s="340"/>
      <c r="FGR231" s="340"/>
      <c r="FGS231" s="340"/>
      <c r="FGT231" s="340"/>
      <c r="FGU231" s="340"/>
      <c r="FGV231" s="340"/>
      <c r="FGW231" s="340"/>
      <c r="FGX231" s="340"/>
      <c r="FGY231" s="340"/>
      <c r="FGZ231" s="340"/>
      <c r="FHA231" s="340"/>
      <c r="FHB231" s="340"/>
      <c r="FHC231" s="340"/>
      <c r="FHD231" s="340"/>
      <c r="FHE231" s="340"/>
      <c r="FHF231" s="340"/>
      <c r="FHG231" s="340"/>
      <c r="FHH231" s="340"/>
      <c r="FHI231" s="340"/>
      <c r="FHJ231" s="340"/>
      <c r="FHK231" s="340"/>
      <c r="FHL231" s="340"/>
      <c r="FHM231" s="340"/>
      <c r="FHN231" s="340"/>
      <c r="FHO231" s="340"/>
      <c r="FHP231" s="340"/>
      <c r="FHQ231" s="340"/>
      <c r="FHR231" s="340"/>
      <c r="FHS231" s="340"/>
      <c r="FHT231" s="340"/>
      <c r="FHU231" s="340"/>
      <c r="FHV231" s="340"/>
      <c r="FHW231" s="340"/>
      <c r="FHX231" s="340"/>
      <c r="FHY231" s="340"/>
      <c r="FHZ231" s="340"/>
      <c r="FIA231" s="340"/>
      <c r="FIB231" s="340"/>
      <c r="FIC231" s="340"/>
      <c r="FID231" s="340"/>
      <c r="FIE231" s="340"/>
      <c r="FIF231" s="340"/>
      <c r="FIG231" s="340"/>
      <c r="FIH231" s="340"/>
      <c r="FII231" s="340"/>
      <c r="FIJ231" s="340"/>
      <c r="FIK231" s="340"/>
      <c r="FIL231" s="340"/>
      <c r="FIM231" s="340"/>
      <c r="FIN231" s="340"/>
      <c r="FIO231" s="340"/>
      <c r="FIP231" s="340"/>
      <c r="FIQ231" s="340"/>
      <c r="FIR231" s="340"/>
      <c r="FIS231" s="340"/>
      <c r="FIT231" s="340"/>
      <c r="FIU231" s="340"/>
      <c r="FIV231" s="340"/>
      <c r="FIW231" s="340"/>
      <c r="FIX231" s="340"/>
      <c r="FIY231" s="340"/>
      <c r="FIZ231" s="340"/>
      <c r="FJA231" s="340"/>
      <c r="FJB231" s="340"/>
      <c r="FJC231" s="340"/>
      <c r="FJD231" s="340"/>
      <c r="FJE231" s="340"/>
      <c r="FJF231" s="340"/>
      <c r="FJG231" s="340"/>
      <c r="FJH231" s="340"/>
      <c r="FJI231" s="340"/>
      <c r="FJJ231" s="340"/>
      <c r="FJK231" s="340"/>
      <c r="FJL231" s="340"/>
      <c r="FJM231" s="340"/>
      <c r="FJN231" s="340"/>
      <c r="FJO231" s="340"/>
      <c r="FJP231" s="340"/>
      <c r="FJQ231" s="340"/>
      <c r="FJR231" s="340"/>
      <c r="FJS231" s="340"/>
      <c r="FJT231" s="340"/>
      <c r="FJU231" s="340"/>
      <c r="FJV231" s="340"/>
      <c r="FJW231" s="340"/>
      <c r="FJX231" s="340"/>
      <c r="FJY231" s="340"/>
      <c r="FJZ231" s="340"/>
      <c r="FKA231" s="340"/>
      <c r="FKB231" s="340"/>
      <c r="FKC231" s="340"/>
      <c r="FKD231" s="340"/>
      <c r="FKE231" s="340"/>
      <c r="FKF231" s="340"/>
      <c r="FKG231" s="340"/>
      <c r="FKH231" s="340"/>
      <c r="FKI231" s="340"/>
      <c r="FKJ231" s="340"/>
      <c r="FKK231" s="340"/>
      <c r="FKL231" s="340"/>
      <c r="FKM231" s="340"/>
      <c r="FKN231" s="340"/>
      <c r="FKO231" s="340"/>
      <c r="FKP231" s="340"/>
      <c r="FKQ231" s="340"/>
      <c r="FKR231" s="340"/>
      <c r="FKS231" s="340"/>
      <c r="FKT231" s="340"/>
      <c r="FKU231" s="340"/>
      <c r="FKV231" s="340"/>
      <c r="FKW231" s="340"/>
      <c r="FKX231" s="340"/>
      <c r="FKY231" s="340"/>
      <c r="FKZ231" s="340"/>
      <c r="FLA231" s="340"/>
      <c r="FLB231" s="340"/>
      <c r="FLC231" s="340"/>
      <c r="FLD231" s="340"/>
      <c r="FLE231" s="340"/>
      <c r="FLF231" s="340"/>
      <c r="FLG231" s="340"/>
      <c r="FLH231" s="340"/>
      <c r="FLI231" s="340"/>
      <c r="FLJ231" s="340"/>
      <c r="FLK231" s="340"/>
      <c r="FLL231" s="340"/>
      <c r="FLM231" s="340"/>
      <c r="FLN231" s="340"/>
      <c r="FLO231" s="340"/>
      <c r="FLP231" s="340"/>
      <c r="FLQ231" s="340"/>
      <c r="FLR231" s="340"/>
      <c r="FLS231" s="340"/>
      <c r="FLT231" s="340"/>
      <c r="FLU231" s="340"/>
      <c r="FLV231" s="340"/>
      <c r="FLW231" s="340"/>
      <c r="FLX231" s="340"/>
      <c r="FLY231" s="340"/>
      <c r="FLZ231" s="340"/>
      <c r="FMA231" s="340"/>
      <c r="FMB231" s="340"/>
      <c r="FMC231" s="340"/>
      <c r="FMD231" s="340"/>
      <c r="FME231" s="340"/>
      <c r="FMF231" s="340"/>
      <c r="FMG231" s="340"/>
      <c r="FMH231" s="340"/>
      <c r="FMI231" s="340"/>
      <c r="FMJ231" s="340"/>
      <c r="FMK231" s="340"/>
      <c r="FML231" s="340"/>
      <c r="FMM231" s="340"/>
      <c r="FMN231" s="340"/>
      <c r="FMO231" s="340"/>
      <c r="FMP231" s="340"/>
      <c r="FMQ231" s="340"/>
      <c r="FMR231" s="340"/>
      <c r="FMS231" s="340"/>
      <c r="FMT231" s="340"/>
      <c r="FMU231" s="340"/>
      <c r="FMV231" s="340"/>
      <c r="FMW231" s="340"/>
      <c r="FMX231" s="340"/>
      <c r="FMY231" s="340"/>
      <c r="FMZ231" s="340"/>
      <c r="FNA231" s="340"/>
      <c r="FNB231" s="340"/>
      <c r="FNC231" s="340"/>
      <c r="FND231" s="340"/>
      <c r="FNE231" s="340"/>
      <c r="FNF231" s="340"/>
      <c r="FNG231" s="340"/>
      <c r="FNH231" s="340"/>
      <c r="FNI231" s="340"/>
      <c r="FNJ231" s="340"/>
      <c r="FNK231" s="340"/>
      <c r="FNL231" s="340"/>
      <c r="FNM231" s="340"/>
      <c r="FNN231" s="340"/>
      <c r="FNO231" s="340"/>
      <c r="FNP231" s="340"/>
      <c r="FNQ231" s="340"/>
      <c r="FNR231" s="340"/>
      <c r="FNS231" s="340"/>
      <c r="FNT231" s="340"/>
      <c r="FNU231" s="340"/>
      <c r="FNV231" s="340"/>
      <c r="FNW231" s="340"/>
      <c r="FNX231" s="340"/>
      <c r="FNY231" s="340"/>
      <c r="FNZ231" s="340"/>
      <c r="FOA231" s="340"/>
      <c r="FOB231" s="340"/>
      <c r="FOC231" s="340"/>
      <c r="FOD231" s="340"/>
      <c r="FOE231" s="340"/>
      <c r="FOF231" s="340"/>
      <c r="FOG231" s="340"/>
      <c r="FOH231" s="340"/>
      <c r="FOI231" s="340"/>
      <c r="FOJ231" s="340"/>
      <c r="FOK231" s="340"/>
      <c r="FOL231" s="340"/>
      <c r="FOM231" s="340"/>
      <c r="FON231" s="340"/>
      <c r="FOO231" s="340"/>
      <c r="FOP231" s="340"/>
      <c r="FOQ231" s="340"/>
      <c r="FOR231" s="340"/>
      <c r="FOS231" s="340"/>
      <c r="FOT231" s="340"/>
      <c r="FOU231" s="340"/>
      <c r="FOV231" s="340"/>
      <c r="FOW231" s="340"/>
      <c r="FOX231" s="340"/>
      <c r="FOY231" s="340"/>
      <c r="FOZ231" s="340"/>
      <c r="FPA231" s="340"/>
      <c r="FPB231" s="340"/>
      <c r="FPC231" s="340"/>
      <c r="FPD231" s="340"/>
      <c r="FPE231" s="340"/>
      <c r="FPF231" s="340"/>
      <c r="FPG231" s="340"/>
      <c r="FPH231" s="340"/>
      <c r="FPI231" s="340"/>
      <c r="FPJ231" s="340"/>
      <c r="FPK231" s="340"/>
      <c r="FPL231" s="340"/>
      <c r="FPM231" s="340"/>
      <c r="FPN231" s="340"/>
      <c r="FPO231" s="340"/>
      <c r="FPP231" s="340"/>
      <c r="FPQ231" s="340"/>
      <c r="FPR231" s="340"/>
      <c r="FPS231" s="340"/>
      <c r="FPT231" s="340"/>
      <c r="FPU231" s="340"/>
      <c r="FPV231" s="340"/>
      <c r="FPW231" s="340"/>
      <c r="FPX231" s="340"/>
      <c r="FPY231" s="340"/>
      <c r="FPZ231" s="340"/>
      <c r="FQA231" s="340"/>
      <c r="FQB231" s="340"/>
      <c r="FQC231" s="340"/>
      <c r="FQD231" s="340"/>
      <c r="FQE231" s="340"/>
      <c r="FQF231" s="340"/>
      <c r="FQG231" s="340"/>
      <c r="FQH231" s="340"/>
      <c r="FQI231" s="340"/>
      <c r="FQJ231" s="340"/>
      <c r="FQK231" s="340"/>
      <c r="FQL231" s="340"/>
      <c r="FQM231" s="340"/>
      <c r="FQN231" s="340"/>
      <c r="FQO231" s="340"/>
      <c r="FQP231" s="340"/>
      <c r="FQQ231" s="340"/>
      <c r="FQR231" s="340"/>
      <c r="FQS231" s="340"/>
      <c r="FQT231" s="340"/>
      <c r="FQU231" s="340"/>
      <c r="FQV231" s="340"/>
      <c r="FQW231" s="340"/>
      <c r="FQX231" s="340"/>
      <c r="FQY231" s="340"/>
      <c r="FQZ231" s="340"/>
      <c r="FRA231" s="340"/>
      <c r="FRB231" s="340"/>
      <c r="FRC231" s="340"/>
      <c r="FRD231" s="340"/>
      <c r="FRE231" s="340"/>
      <c r="FRF231" s="340"/>
      <c r="FRG231" s="340"/>
      <c r="FRH231" s="340"/>
      <c r="FRI231" s="340"/>
      <c r="FRJ231" s="340"/>
      <c r="FRK231" s="340"/>
      <c r="FRL231" s="340"/>
      <c r="FRM231" s="340"/>
      <c r="FRN231" s="340"/>
      <c r="FRO231" s="340"/>
      <c r="FRP231" s="340"/>
      <c r="FRQ231" s="340"/>
      <c r="FRR231" s="340"/>
      <c r="FRS231" s="340"/>
      <c r="FRT231" s="340"/>
      <c r="FRU231" s="340"/>
      <c r="FRV231" s="340"/>
      <c r="FRW231" s="340"/>
      <c r="FRX231" s="340"/>
      <c r="FRY231" s="340"/>
      <c r="FRZ231" s="340"/>
      <c r="FSA231" s="340"/>
      <c r="FSB231" s="340"/>
      <c r="FSC231" s="340"/>
      <c r="FSD231" s="340"/>
      <c r="FSE231" s="340"/>
      <c r="FSF231" s="340"/>
      <c r="FSG231" s="340"/>
      <c r="FSH231" s="340"/>
      <c r="FSI231" s="340"/>
      <c r="FSJ231" s="340"/>
      <c r="FSK231" s="340"/>
      <c r="FSL231" s="340"/>
      <c r="FSM231" s="340"/>
      <c r="FSN231" s="340"/>
      <c r="FSO231" s="340"/>
      <c r="FSP231" s="340"/>
      <c r="FSQ231" s="340"/>
      <c r="FSR231" s="340"/>
      <c r="FSS231" s="340"/>
      <c r="FST231" s="340"/>
      <c r="FSU231" s="340"/>
      <c r="FSV231" s="340"/>
      <c r="FSW231" s="340"/>
      <c r="FSX231" s="340"/>
      <c r="FSY231" s="340"/>
      <c r="FSZ231" s="340"/>
      <c r="FTA231" s="340"/>
      <c r="FTB231" s="340"/>
      <c r="FTC231" s="340"/>
      <c r="FTD231" s="340"/>
      <c r="FTE231" s="340"/>
      <c r="FTF231" s="340"/>
      <c r="FTG231" s="340"/>
      <c r="FTH231" s="340"/>
      <c r="FTI231" s="340"/>
      <c r="FTJ231" s="340"/>
      <c r="FTK231" s="340"/>
      <c r="FTL231" s="340"/>
      <c r="FTM231" s="340"/>
      <c r="FTN231" s="340"/>
      <c r="FTO231" s="340"/>
      <c r="FTP231" s="340"/>
      <c r="FTQ231" s="340"/>
      <c r="FTR231" s="340"/>
      <c r="FTS231" s="340"/>
      <c r="FTT231" s="340"/>
      <c r="FTU231" s="340"/>
      <c r="FTV231" s="340"/>
      <c r="FTW231" s="340"/>
      <c r="FTX231" s="340"/>
      <c r="FTY231" s="340"/>
      <c r="FTZ231" s="340"/>
      <c r="FUA231" s="340"/>
      <c r="FUB231" s="340"/>
      <c r="FUC231" s="340"/>
      <c r="FUD231" s="340"/>
      <c r="FUE231" s="340"/>
      <c r="FUF231" s="340"/>
      <c r="FUG231" s="340"/>
      <c r="FUH231" s="340"/>
      <c r="FUI231" s="340"/>
      <c r="FUJ231" s="340"/>
      <c r="FUK231" s="340"/>
      <c r="FUL231" s="340"/>
      <c r="FUM231" s="340"/>
      <c r="FUN231" s="340"/>
      <c r="FUO231" s="340"/>
      <c r="FUP231" s="340"/>
      <c r="FUQ231" s="340"/>
      <c r="FUR231" s="340"/>
      <c r="FUS231" s="340"/>
      <c r="FUT231" s="340"/>
      <c r="FUU231" s="340"/>
      <c r="FUV231" s="340"/>
      <c r="FUW231" s="340"/>
      <c r="FUX231" s="340"/>
      <c r="FUY231" s="340"/>
      <c r="FUZ231" s="340"/>
      <c r="FVA231" s="340"/>
      <c r="FVB231" s="340"/>
      <c r="FVC231" s="340"/>
      <c r="FVD231" s="340"/>
      <c r="FVE231" s="340"/>
      <c r="FVF231" s="340"/>
      <c r="FVG231" s="340"/>
      <c r="FVH231" s="340"/>
      <c r="FVI231" s="340"/>
      <c r="FVJ231" s="340"/>
      <c r="FVK231" s="340"/>
      <c r="FVL231" s="340"/>
      <c r="FVM231" s="340"/>
      <c r="FVN231" s="340"/>
      <c r="FVO231" s="340"/>
      <c r="FVP231" s="340"/>
      <c r="FVQ231" s="340"/>
      <c r="FVR231" s="340"/>
      <c r="FVS231" s="340"/>
      <c r="FVT231" s="340"/>
      <c r="FVU231" s="340"/>
      <c r="FVV231" s="340"/>
      <c r="FVW231" s="340"/>
      <c r="FVX231" s="340"/>
      <c r="FVY231" s="340"/>
      <c r="FVZ231" s="340"/>
      <c r="FWA231" s="340"/>
      <c r="FWB231" s="340"/>
      <c r="FWC231" s="340"/>
      <c r="FWD231" s="340"/>
      <c r="FWE231" s="340"/>
      <c r="FWF231" s="340"/>
      <c r="FWG231" s="340"/>
      <c r="FWH231" s="340"/>
      <c r="FWI231" s="340"/>
      <c r="FWJ231" s="340"/>
      <c r="FWK231" s="340"/>
      <c r="FWL231" s="340"/>
      <c r="FWM231" s="340"/>
      <c r="FWN231" s="340"/>
      <c r="FWO231" s="340"/>
      <c r="FWP231" s="340"/>
      <c r="FWQ231" s="340"/>
      <c r="FWR231" s="340"/>
      <c r="FWS231" s="340"/>
      <c r="FWT231" s="340"/>
      <c r="FWU231" s="340"/>
      <c r="FWV231" s="340"/>
      <c r="FWW231" s="340"/>
      <c r="FWX231" s="340"/>
      <c r="FWY231" s="340"/>
      <c r="FWZ231" s="340"/>
      <c r="FXA231" s="340"/>
      <c r="FXB231" s="340"/>
      <c r="FXC231" s="340"/>
      <c r="FXD231" s="340"/>
      <c r="FXE231" s="340"/>
      <c r="FXF231" s="340"/>
      <c r="FXG231" s="340"/>
      <c r="FXH231" s="340"/>
      <c r="FXI231" s="340"/>
      <c r="FXJ231" s="340"/>
      <c r="FXK231" s="340"/>
      <c r="FXL231" s="340"/>
      <c r="FXM231" s="340"/>
      <c r="FXN231" s="340"/>
      <c r="FXO231" s="340"/>
      <c r="FXP231" s="340"/>
      <c r="FXQ231" s="340"/>
      <c r="FXR231" s="340"/>
      <c r="FXS231" s="340"/>
      <c r="FXT231" s="340"/>
      <c r="FXU231" s="340"/>
      <c r="FXV231" s="340"/>
      <c r="FXW231" s="340"/>
      <c r="FXX231" s="340"/>
      <c r="FXY231" s="340"/>
      <c r="FXZ231" s="340"/>
      <c r="FYA231" s="340"/>
      <c r="FYB231" s="340"/>
      <c r="FYC231" s="340"/>
      <c r="FYD231" s="340"/>
      <c r="FYE231" s="340"/>
      <c r="FYF231" s="340"/>
      <c r="FYG231" s="340"/>
      <c r="FYH231" s="340"/>
      <c r="FYI231" s="340"/>
      <c r="FYJ231" s="340"/>
      <c r="FYK231" s="340"/>
      <c r="FYL231" s="340"/>
      <c r="FYM231" s="340"/>
      <c r="FYN231" s="340"/>
      <c r="FYO231" s="340"/>
      <c r="FYP231" s="340"/>
      <c r="FYQ231" s="340"/>
      <c r="FYR231" s="340"/>
      <c r="FYS231" s="340"/>
      <c r="FYT231" s="340"/>
      <c r="FYU231" s="340"/>
      <c r="FYV231" s="340"/>
      <c r="FYW231" s="340"/>
      <c r="FYX231" s="340"/>
      <c r="FYY231" s="340"/>
      <c r="FYZ231" s="340"/>
      <c r="FZA231" s="340"/>
      <c r="FZB231" s="340"/>
      <c r="FZC231" s="340"/>
      <c r="FZD231" s="340"/>
      <c r="FZE231" s="340"/>
      <c r="FZF231" s="340"/>
      <c r="FZG231" s="340"/>
      <c r="FZH231" s="340"/>
      <c r="FZI231" s="340"/>
      <c r="FZJ231" s="340"/>
      <c r="FZK231" s="340"/>
      <c r="FZL231" s="340"/>
      <c r="FZM231" s="340"/>
      <c r="FZN231" s="340"/>
      <c r="FZO231" s="340"/>
      <c r="FZP231" s="340"/>
      <c r="FZQ231" s="340"/>
      <c r="FZR231" s="340"/>
      <c r="FZS231" s="340"/>
      <c r="FZT231" s="340"/>
      <c r="FZU231" s="340"/>
      <c r="FZV231" s="340"/>
      <c r="FZW231" s="340"/>
      <c r="FZX231" s="340"/>
      <c r="FZY231" s="340"/>
      <c r="FZZ231" s="340"/>
      <c r="GAA231" s="340"/>
      <c r="GAB231" s="340"/>
      <c r="GAC231" s="340"/>
      <c r="GAD231" s="340"/>
      <c r="GAE231" s="340"/>
      <c r="GAF231" s="340"/>
      <c r="GAG231" s="340"/>
      <c r="GAH231" s="340"/>
      <c r="GAI231" s="340"/>
      <c r="GAJ231" s="340"/>
      <c r="GAK231" s="340"/>
      <c r="GAL231" s="340"/>
      <c r="GAM231" s="340"/>
      <c r="GAN231" s="340"/>
      <c r="GAO231" s="340"/>
      <c r="GAP231" s="340"/>
      <c r="GAQ231" s="340"/>
      <c r="GAR231" s="340"/>
      <c r="GAS231" s="340"/>
      <c r="GAT231" s="340"/>
      <c r="GAU231" s="340"/>
      <c r="GAV231" s="340"/>
      <c r="GAW231" s="340"/>
      <c r="GAX231" s="340"/>
      <c r="GAY231" s="340"/>
      <c r="GAZ231" s="340"/>
      <c r="GBA231" s="340"/>
      <c r="GBB231" s="340"/>
      <c r="GBC231" s="340"/>
      <c r="GBD231" s="340"/>
      <c r="GBE231" s="340"/>
      <c r="GBF231" s="340"/>
      <c r="GBG231" s="340"/>
      <c r="GBH231" s="340"/>
      <c r="GBI231" s="340"/>
      <c r="GBJ231" s="340"/>
      <c r="GBK231" s="340"/>
      <c r="GBL231" s="340"/>
      <c r="GBM231" s="340"/>
      <c r="GBN231" s="340"/>
      <c r="GBO231" s="340"/>
      <c r="GBP231" s="340"/>
      <c r="GBQ231" s="340"/>
      <c r="GBR231" s="340"/>
      <c r="GBS231" s="340"/>
      <c r="GBT231" s="340"/>
      <c r="GBU231" s="340"/>
      <c r="GBV231" s="340"/>
      <c r="GBW231" s="340"/>
      <c r="GBX231" s="340"/>
      <c r="GBY231" s="340"/>
      <c r="GBZ231" s="340"/>
      <c r="GCA231" s="340"/>
      <c r="GCB231" s="340"/>
      <c r="GCC231" s="340"/>
      <c r="GCD231" s="340"/>
      <c r="GCE231" s="340"/>
      <c r="GCF231" s="340"/>
      <c r="GCG231" s="340"/>
      <c r="GCH231" s="340"/>
      <c r="GCI231" s="340"/>
      <c r="GCJ231" s="340"/>
      <c r="GCK231" s="340"/>
      <c r="GCL231" s="340"/>
      <c r="GCM231" s="340"/>
      <c r="GCN231" s="340"/>
      <c r="GCO231" s="340"/>
      <c r="GCP231" s="340"/>
      <c r="GCQ231" s="340"/>
      <c r="GCR231" s="340"/>
      <c r="GCS231" s="340"/>
      <c r="GCT231" s="340"/>
      <c r="GCU231" s="340"/>
      <c r="GCV231" s="340"/>
      <c r="GCW231" s="340"/>
      <c r="GCX231" s="340"/>
      <c r="GCY231" s="340"/>
      <c r="GCZ231" s="340"/>
      <c r="GDA231" s="340"/>
      <c r="GDB231" s="340"/>
      <c r="GDC231" s="340"/>
      <c r="GDD231" s="340"/>
      <c r="GDE231" s="340"/>
      <c r="GDF231" s="340"/>
      <c r="GDG231" s="340"/>
      <c r="GDH231" s="340"/>
      <c r="GDI231" s="340"/>
      <c r="GDJ231" s="340"/>
      <c r="GDK231" s="340"/>
      <c r="GDL231" s="340"/>
      <c r="GDM231" s="340"/>
      <c r="GDN231" s="340"/>
      <c r="GDO231" s="340"/>
      <c r="GDP231" s="340"/>
      <c r="GDQ231" s="340"/>
      <c r="GDR231" s="340"/>
      <c r="GDS231" s="340"/>
      <c r="GDT231" s="340"/>
      <c r="GDU231" s="340"/>
      <c r="GDV231" s="340"/>
      <c r="GDW231" s="340"/>
      <c r="GDX231" s="340"/>
      <c r="GDY231" s="340"/>
      <c r="GDZ231" s="340"/>
      <c r="GEA231" s="340"/>
      <c r="GEB231" s="340"/>
      <c r="GEC231" s="340"/>
      <c r="GED231" s="340"/>
      <c r="GEE231" s="340"/>
      <c r="GEF231" s="340"/>
      <c r="GEG231" s="340"/>
      <c r="GEH231" s="340"/>
      <c r="GEI231" s="340"/>
      <c r="GEJ231" s="340"/>
      <c r="GEK231" s="340"/>
      <c r="GEL231" s="340"/>
      <c r="GEM231" s="340"/>
      <c r="GEN231" s="340"/>
      <c r="GEO231" s="340"/>
      <c r="GEP231" s="340"/>
      <c r="GEQ231" s="340"/>
      <c r="GER231" s="340"/>
      <c r="GES231" s="340"/>
      <c r="GET231" s="340"/>
      <c r="GEU231" s="340"/>
      <c r="GEV231" s="340"/>
      <c r="GEW231" s="340"/>
      <c r="GEX231" s="340"/>
      <c r="GEY231" s="340"/>
      <c r="GEZ231" s="340"/>
      <c r="GFA231" s="340"/>
      <c r="GFB231" s="340"/>
      <c r="GFC231" s="340"/>
      <c r="GFD231" s="340"/>
      <c r="GFE231" s="340"/>
      <c r="GFF231" s="340"/>
      <c r="GFG231" s="340"/>
      <c r="GFH231" s="340"/>
      <c r="GFI231" s="340"/>
      <c r="GFJ231" s="340"/>
      <c r="GFK231" s="340"/>
      <c r="GFL231" s="340"/>
      <c r="GFM231" s="340"/>
      <c r="GFN231" s="340"/>
      <c r="GFO231" s="340"/>
      <c r="GFP231" s="340"/>
      <c r="GFQ231" s="340"/>
      <c r="GFR231" s="340"/>
      <c r="GFS231" s="340"/>
      <c r="GFT231" s="340"/>
      <c r="GFU231" s="340"/>
      <c r="GFV231" s="340"/>
      <c r="GFW231" s="340"/>
      <c r="GFX231" s="340"/>
      <c r="GFY231" s="340"/>
      <c r="GFZ231" s="340"/>
      <c r="GGA231" s="340"/>
      <c r="GGB231" s="340"/>
      <c r="GGC231" s="340"/>
      <c r="GGD231" s="340"/>
      <c r="GGE231" s="340"/>
      <c r="GGF231" s="340"/>
      <c r="GGG231" s="340"/>
      <c r="GGH231" s="340"/>
      <c r="GGI231" s="340"/>
      <c r="GGJ231" s="340"/>
      <c r="GGK231" s="340"/>
      <c r="GGL231" s="340"/>
      <c r="GGM231" s="340"/>
      <c r="GGN231" s="340"/>
      <c r="GGO231" s="340"/>
      <c r="GGP231" s="340"/>
      <c r="GGQ231" s="340"/>
      <c r="GGR231" s="340"/>
      <c r="GGS231" s="340"/>
      <c r="GGT231" s="340"/>
      <c r="GGU231" s="340"/>
      <c r="GGV231" s="340"/>
      <c r="GGW231" s="340"/>
      <c r="GGX231" s="340"/>
      <c r="GGY231" s="340"/>
      <c r="GGZ231" s="340"/>
      <c r="GHA231" s="340"/>
      <c r="GHB231" s="340"/>
      <c r="GHC231" s="340"/>
      <c r="GHD231" s="340"/>
      <c r="GHE231" s="340"/>
      <c r="GHF231" s="340"/>
      <c r="GHG231" s="340"/>
      <c r="GHH231" s="340"/>
      <c r="GHI231" s="340"/>
      <c r="GHJ231" s="340"/>
      <c r="GHK231" s="340"/>
      <c r="GHL231" s="340"/>
      <c r="GHM231" s="340"/>
      <c r="GHN231" s="340"/>
      <c r="GHO231" s="340"/>
      <c r="GHP231" s="340"/>
      <c r="GHQ231" s="340"/>
      <c r="GHR231" s="340"/>
      <c r="GHS231" s="340"/>
      <c r="GHT231" s="340"/>
      <c r="GHU231" s="340"/>
      <c r="GHV231" s="340"/>
      <c r="GHW231" s="340"/>
      <c r="GHX231" s="340"/>
      <c r="GHY231" s="340"/>
      <c r="GHZ231" s="340"/>
      <c r="GIA231" s="340"/>
      <c r="GIB231" s="340"/>
      <c r="GIC231" s="340"/>
      <c r="GID231" s="340"/>
      <c r="GIE231" s="340"/>
      <c r="GIF231" s="340"/>
      <c r="GIG231" s="340"/>
      <c r="GIH231" s="340"/>
      <c r="GII231" s="340"/>
      <c r="GIJ231" s="340"/>
      <c r="GIK231" s="340"/>
      <c r="GIL231" s="340"/>
      <c r="GIM231" s="340"/>
      <c r="GIN231" s="340"/>
      <c r="GIO231" s="340"/>
      <c r="GIP231" s="340"/>
      <c r="GIQ231" s="340"/>
      <c r="GIR231" s="340"/>
      <c r="GIS231" s="340"/>
      <c r="GIT231" s="340"/>
      <c r="GIU231" s="340"/>
      <c r="GIV231" s="340"/>
      <c r="GIW231" s="340"/>
      <c r="GIX231" s="340"/>
      <c r="GIY231" s="340"/>
      <c r="GIZ231" s="340"/>
      <c r="GJA231" s="340"/>
      <c r="GJB231" s="340"/>
      <c r="GJC231" s="340"/>
      <c r="GJD231" s="340"/>
      <c r="GJE231" s="340"/>
      <c r="GJF231" s="340"/>
      <c r="GJG231" s="340"/>
      <c r="GJH231" s="340"/>
      <c r="GJI231" s="340"/>
      <c r="GJJ231" s="340"/>
      <c r="GJK231" s="340"/>
      <c r="GJL231" s="340"/>
      <c r="GJM231" s="340"/>
      <c r="GJN231" s="340"/>
      <c r="GJO231" s="340"/>
      <c r="GJP231" s="340"/>
      <c r="GJQ231" s="340"/>
      <c r="GJR231" s="340"/>
      <c r="GJS231" s="340"/>
      <c r="GJT231" s="340"/>
      <c r="GJU231" s="340"/>
      <c r="GJV231" s="340"/>
      <c r="GJW231" s="340"/>
      <c r="GJX231" s="340"/>
      <c r="GJY231" s="340"/>
      <c r="GJZ231" s="340"/>
      <c r="GKA231" s="340"/>
      <c r="GKB231" s="340"/>
      <c r="GKC231" s="340"/>
      <c r="GKD231" s="340"/>
      <c r="GKE231" s="340"/>
      <c r="GKF231" s="340"/>
      <c r="GKG231" s="340"/>
      <c r="GKH231" s="340"/>
      <c r="GKI231" s="340"/>
      <c r="GKJ231" s="340"/>
      <c r="GKK231" s="340"/>
      <c r="GKL231" s="340"/>
      <c r="GKM231" s="340"/>
      <c r="GKN231" s="340"/>
      <c r="GKO231" s="340"/>
      <c r="GKP231" s="340"/>
      <c r="GKQ231" s="340"/>
      <c r="GKR231" s="340"/>
      <c r="GKS231" s="340"/>
      <c r="GKT231" s="340"/>
      <c r="GKU231" s="340"/>
      <c r="GKV231" s="340"/>
      <c r="GKW231" s="340"/>
      <c r="GKX231" s="340"/>
      <c r="GKY231" s="340"/>
      <c r="GKZ231" s="340"/>
      <c r="GLA231" s="340"/>
      <c r="GLB231" s="340"/>
      <c r="GLC231" s="340"/>
      <c r="GLD231" s="340"/>
      <c r="GLE231" s="340"/>
      <c r="GLF231" s="340"/>
      <c r="GLG231" s="340"/>
      <c r="GLH231" s="340"/>
      <c r="GLI231" s="340"/>
      <c r="GLJ231" s="340"/>
      <c r="GLK231" s="340"/>
      <c r="GLL231" s="340"/>
      <c r="GLM231" s="340"/>
      <c r="GLN231" s="340"/>
      <c r="GLO231" s="340"/>
      <c r="GLP231" s="340"/>
      <c r="GLQ231" s="340"/>
      <c r="GLR231" s="340"/>
      <c r="GLS231" s="340"/>
      <c r="GLT231" s="340"/>
      <c r="GLU231" s="340"/>
      <c r="GLV231" s="340"/>
      <c r="GLW231" s="340"/>
      <c r="GLX231" s="340"/>
      <c r="GLY231" s="340"/>
      <c r="GLZ231" s="340"/>
      <c r="GMA231" s="340"/>
      <c r="GMB231" s="340"/>
      <c r="GMC231" s="340"/>
      <c r="GMD231" s="340"/>
      <c r="GME231" s="340"/>
      <c r="GMF231" s="340"/>
      <c r="GMG231" s="340"/>
      <c r="GMH231" s="340"/>
      <c r="GMI231" s="340"/>
      <c r="GMJ231" s="340"/>
      <c r="GMK231" s="340"/>
      <c r="GML231" s="340"/>
      <c r="GMM231" s="340"/>
      <c r="GMN231" s="340"/>
      <c r="GMO231" s="340"/>
      <c r="GMP231" s="340"/>
      <c r="GMQ231" s="340"/>
      <c r="GMR231" s="340"/>
      <c r="GMS231" s="340"/>
      <c r="GMT231" s="340"/>
      <c r="GMU231" s="340"/>
      <c r="GMV231" s="340"/>
      <c r="GMW231" s="340"/>
      <c r="GMX231" s="340"/>
      <c r="GMY231" s="340"/>
      <c r="GMZ231" s="340"/>
      <c r="GNA231" s="340"/>
      <c r="GNB231" s="340"/>
      <c r="GNC231" s="340"/>
      <c r="GND231" s="340"/>
      <c r="GNE231" s="340"/>
      <c r="GNF231" s="340"/>
      <c r="GNG231" s="340"/>
      <c r="GNH231" s="340"/>
      <c r="GNI231" s="340"/>
      <c r="GNJ231" s="340"/>
      <c r="GNK231" s="340"/>
      <c r="GNL231" s="340"/>
      <c r="GNM231" s="340"/>
      <c r="GNN231" s="340"/>
      <c r="GNO231" s="340"/>
      <c r="GNP231" s="340"/>
      <c r="GNQ231" s="340"/>
      <c r="GNR231" s="340"/>
      <c r="GNS231" s="340"/>
      <c r="GNT231" s="340"/>
      <c r="GNU231" s="340"/>
      <c r="GNV231" s="340"/>
      <c r="GNW231" s="340"/>
      <c r="GNX231" s="340"/>
      <c r="GNY231" s="340"/>
      <c r="GNZ231" s="340"/>
      <c r="GOA231" s="340"/>
      <c r="GOB231" s="340"/>
      <c r="GOC231" s="340"/>
      <c r="GOD231" s="340"/>
      <c r="GOE231" s="340"/>
      <c r="GOF231" s="340"/>
      <c r="GOG231" s="340"/>
      <c r="GOH231" s="340"/>
      <c r="GOI231" s="340"/>
      <c r="GOJ231" s="340"/>
      <c r="GOK231" s="340"/>
      <c r="GOL231" s="340"/>
      <c r="GOM231" s="340"/>
      <c r="GON231" s="340"/>
      <c r="GOO231" s="340"/>
      <c r="GOP231" s="340"/>
      <c r="GOQ231" s="340"/>
      <c r="GOR231" s="340"/>
      <c r="GOS231" s="340"/>
      <c r="GOT231" s="340"/>
      <c r="GOU231" s="340"/>
      <c r="GOV231" s="340"/>
      <c r="GOW231" s="340"/>
      <c r="GOX231" s="340"/>
      <c r="GOY231" s="340"/>
      <c r="GOZ231" s="340"/>
      <c r="GPA231" s="340"/>
      <c r="GPB231" s="340"/>
      <c r="GPC231" s="340"/>
      <c r="GPD231" s="340"/>
      <c r="GPE231" s="340"/>
      <c r="GPF231" s="340"/>
      <c r="GPG231" s="340"/>
      <c r="GPH231" s="340"/>
      <c r="GPI231" s="340"/>
      <c r="GPJ231" s="340"/>
      <c r="GPK231" s="340"/>
      <c r="GPL231" s="340"/>
      <c r="GPM231" s="340"/>
      <c r="GPN231" s="340"/>
      <c r="GPO231" s="340"/>
      <c r="GPP231" s="340"/>
      <c r="GPQ231" s="340"/>
      <c r="GPR231" s="340"/>
      <c r="GPS231" s="340"/>
      <c r="GPT231" s="340"/>
      <c r="GPU231" s="340"/>
      <c r="GPV231" s="340"/>
      <c r="GPW231" s="340"/>
      <c r="GPX231" s="340"/>
      <c r="GPY231" s="340"/>
      <c r="GPZ231" s="340"/>
      <c r="GQA231" s="340"/>
      <c r="GQB231" s="340"/>
      <c r="GQC231" s="340"/>
      <c r="GQD231" s="340"/>
      <c r="GQE231" s="340"/>
      <c r="GQF231" s="340"/>
      <c r="GQG231" s="340"/>
      <c r="GQH231" s="340"/>
      <c r="GQI231" s="340"/>
      <c r="GQJ231" s="340"/>
      <c r="GQK231" s="340"/>
      <c r="GQL231" s="340"/>
      <c r="GQM231" s="340"/>
      <c r="GQN231" s="340"/>
      <c r="GQO231" s="340"/>
      <c r="GQP231" s="340"/>
      <c r="GQQ231" s="340"/>
      <c r="GQR231" s="340"/>
      <c r="GQS231" s="340"/>
      <c r="GQT231" s="340"/>
      <c r="GQU231" s="340"/>
      <c r="GQV231" s="340"/>
      <c r="GQW231" s="340"/>
      <c r="GQX231" s="340"/>
      <c r="GQY231" s="340"/>
      <c r="GQZ231" s="340"/>
      <c r="GRA231" s="340"/>
      <c r="GRB231" s="340"/>
      <c r="GRC231" s="340"/>
      <c r="GRD231" s="340"/>
      <c r="GRE231" s="340"/>
      <c r="GRF231" s="340"/>
      <c r="GRG231" s="340"/>
      <c r="GRH231" s="340"/>
      <c r="GRI231" s="340"/>
      <c r="GRJ231" s="340"/>
      <c r="GRK231" s="340"/>
      <c r="GRL231" s="340"/>
      <c r="GRM231" s="340"/>
      <c r="GRN231" s="340"/>
      <c r="GRO231" s="340"/>
      <c r="GRP231" s="340"/>
      <c r="GRQ231" s="340"/>
      <c r="GRR231" s="340"/>
      <c r="GRS231" s="340"/>
      <c r="GRT231" s="340"/>
      <c r="GRU231" s="340"/>
      <c r="GRV231" s="340"/>
      <c r="GRW231" s="340"/>
      <c r="GRX231" s="340"/>
      <c r="GRY231" s="340"/>
      <c r="GRZ231" s="340"/>
      <c r="GSA231" s="340"/>
      <c r="GSB231" s="340"/>
      <c r="GSC231" s="340"/>
      <c r="GSD231" s="340"/>
      <c r="GSE231" s="340"/>
      <c r="GSF231" s="340"/>
      <c r="GSG231" s="340"/>
      <c r="GSH231" s="340"/>
      <c r="GSI231" s="340"/>
      <c r="GSJ231" s="340"/>
      <c r="GSK231" s="340"/>
      <c r="GSL231" s="340"/>
      <c r="GSM231" s="340"/>
      <c r="GSN231" s="340"/>
      <c r="GSO231" s="340"/>
      <c r="GSP231" s="340"/>
      <c r="GSQ231" s="340"/>
      <c r="GSR231" s="340"/>
      <c r="GSS231" s="340"/>
      <c r="GST231" s="340"/>
      <c r="GSU231" s="340"/>
      <c r="GSV231" s="340"/>
      <c r="GSW231" s="340"/>
      <c r="GSX231" s="340"/>
      <c r="GSY231" s="340"/>
      <c r="GSZ231" s="340"/>
      <c r="GTA231" s="340"/>
      <c r="GTB231" s="340"/>
      <c r="GTC231" s="340"/>
      <c r="GTD231" s="340"/>
      <c r="GTE231" s="340"/>
      <c r="GTF231" s="340"/>
      <c r="GTG231" s="340"/>
      <c r="GTH231" s="340"/>
      <c r="GTI231" s="340"/>
      <c r="GTJ231" s="340"/>
      <c r="GTK231" s="340"/>
      <c r="GTL231" s="340"/>
      <c r="GTM231" s="340"/>
      <c r="GTN231" s="340"/>
      <c r="GTO231" s="340"/>
      <c r="GTP231" s="340"/>
      <c r="GTQ231" s="340"/>
      <c r="GTR231" s="340"/>
      <c r="GTS231" s="340"/>
      <c r="GTT231" s="340"/>
      <c r="GTU231" s="340"/>
      <c r="GTV231" s="340"/>
      <c r="GTW231" s="340"/>
      <c r="GTX231" s="340"/>
      <c r="GTY231" s="340"/>
      <c r="GTZ231" s="340"/>
      <c r="GUA231" s="340"/>
      <c r="GUB231" s="340"/>
      <c r="GUC231" s="340"/>
      <c r="GUD231" s="340"/>
      <c r="GUE231" s="340"/>
      <c r="GUF231" s="340"/>
      <c r="GUG231" s="340"/>
      <c r="GUH231" s="340"/>
      <c r="GUI231" s="340"/>
      <c r="GUJ231" s="340"/>
      <c r="GUK231" s="340"/>
      <c r="GUL231" s="340"/>
      <c r="GUM231" s="340"/>
      <c r="GUN231" s="340"/>
      <c r="GUO231" s="340"/>
      <c r="GUP231" s="340"/>
      <c r="GUQ231" s="340"/>
      <c r="GUR231" s="340"/>
      <c r="GUS231" s="340"/>
      <c r="GUT231" s="340"/>
      <c r="GUU231" s="340"/>
      <c r="GUV231" s="340"/>
      <c r="GUW231" s="340"/>
      <c r="GUX231" s="340"/>
      <c r="GUY231" s="340"/>
      <c r="GUZ231" s="340"/>
      <c r="GVA231" s="340"/>
      <c r="GVB231" s="340"/>
      <c r="GVC231" s="340"/>
      <c r="GVD231" s="340"/>
      <c r="GVE231" s="340"/>
      <c r="GVF231" s="340"/>
      <c r="GVG231" s="340"/>
      <c r="GVH231" s="340"/>
      <c r="GVI231" s="340"/>
      <c r="GVJ231" s="340"/>
      <c r="GVK231" s="340"/>
      <c r="GVL231" s="340"/>
      <c r="GVM231" s="340"/>
      <c r="GVN231" s="340"/>
      <c r="GVO231" s="340"/>
      <c r="GVP231" s="340"/>
      <c r="GVQ231" s="340"/>
      <c r="GVR231" s="340"/>
      <c r="GVS231" s="340"/>
      <c r="GVT231" s="340"/>
      <c r="GVU231" s="340"/>
      <c r="GVV231" s="340"/>
      <c r="GVW231" s="340"/>
      <c r="GVX231" s="340"/>
      <c r="GVY231" s="340"/>
      <c r="GVZ231" s="340"/>
      <c r="GWA231" s="340"/>
      <c r="GWB231" s="340"/>
      <c r="GWC231" s="340"/>
      <c r="GWD231" s="340"/>
      <c r="GWE231" s="340"/>
      <c r="GWF231" s="340"/>
      <c r="GWG231" s="340"/>
      <c r="GWH231" s="340"/>
      <c r="GWI231" s="340"/>
      <c r="GWJ231" s="340"/>
      <c r="GWK231" s="340"/>
      <c r="GWL231" s="340"/>
      <c r="GWM231" s="340"/>
      <c r="GWN231" s="340"/>
      <c r="GWO231" s="340"/>
      <c r="GWP231" s="340"/>
      <c r="GWQ231" s="340"/>
      <c r="GWR231" s="340"/>
      <c r="GWS231" s="340"/>
      <c r="GWT231" s="340"/>
      <c r="GWU231" s="340"/>
      <c r="GWV231" s="340"/>
      <c r="GWW231" s="340"/>
      <c r="GWX231" s="340"/>
      <c r="GWY231" s="340"/>
      <c r="GWZ231" s="340"/>
      <c r="GXA231" s="340"/>
      <c r="GXB231" s="340"/>
      <c r="GXC231" s="340"/>
      <c r="GXD231" s="340"/>
      <c r="GXE231" s="340"/>
      <c r="GXF231" s="340"/>
      <c r="GXG231" s="340"/>
      <c r="GXH231" s="340"/>
      <c r="GXI231" s="340"/>
      <c r="GXJ231" s="340"/>
      <c r="GXK231" s="340"/>
      <c r="GXL231" s="340"/>
      <c r="GXM231" s="340"/>
      <c r="GXN231" s="340"/>
      <c r="GXO231" s="340"/>
      <c r="GXP231" s="340"/>
      <c r="GXQ231" s="340"/>
      <c r="GXR231" s="340"/>
      <c r="GXS231" s="340"/>
      <c r="GXT231" s="340"/>
      <c r="GXU231" s="340"/>
      <c r="GXV231" s="340"/>
      <c r="GXW231" s="340"/>
      <c r="GXX231" s="340"/>
      <c r="GXY231" s="340"/>
      <c r="GXZ231" s="340"/>
      <c r="GYA231" s="340"/>
      <c r="GYB231" s="340"/>
      <c r="GYC231" s="340"/>
      <c r="GYD231" s="340"/>
      <c r="GYE231" s="340"/>
      <c r="GYF231" s="340"/>
      <c r="GYG231" s="340"/>
      <c r="GYH231" s="340"/>
      <c r="GYI231" s="340"/>
      <c r="GYJ231" s="340"/>
      <c r="GYK231" s="340"/>
      <c r="GYL231" s="340"/>
      <c r="GYM231" s="340"/>
      <c r="GYN231" s="340"/>
      <c r="GYO231" s="340"/>
      <c r="GYP231" s="340"/>
      <c r="GYQ231" s="340"/>
      <c r="GYR231" s="340"/>
      <c r="GYS231" s="340"/>
      <c r="GYT231" s="340"/>
      <c r="GYU231" s="340"/>
      <c r="GYV231" s="340"/>
      <c r="GYW231" s="340"/>
      <c r="GYX231" s="340"/>
      <c r="GYY231" s="340"/>
      <c r="GYZ231" s="340"/>
      <c r="GZA231" s="340"/>
      <c r="GZB231" s="340"/>
      <c r="GZC231" s="340"/>
      <c r="GZD231" s="340"/>
      <c r="GZE231" s="340"/>
      <c r="GZF231" s="340"/>
      <c r="GZG231" s="340"/>
      <c r="GZH231" s="340"/>
      <c r="GZI231" s="340"/>
      <c r="GZJ231" s="340"/>
      <c r="GZK231" s="340"/>
      <c r="GZL231" s="340"/>
      <c r="GZM231" s="340"/>
      <c r="GZN231" s="340"/>
      <c r="GZO231" s="340"/>
      <c r="GZP231" s="340"/>
      <c r="GZQ231" s="340"/>
      <c r="GZR231" s="340"/>
      <c r="GZS231" s="340"/>
      <c r="GZT231" s="340"/>
      <c r="GZU231" s="340"/>
      <c r="GZV231" s="340"/>
      <c r="GZW231" s="340"/>
      <c r="GZX231" s="340"/>
      <c r="GZY231" s="340"/>
      <c r="GZZ231" s="340"/>
      <c r="HAA231" s="340"/>
      <c r="HAB231" s="340"/>
      <c r="HAC231" s="340"/>
      <c r="HAD231" s="340"/>
      <c r="HAE231" s="340"/>
      <c r="HAF231" s="340"/>
      <c r="HAG231" s="340"/>
      <c r="HAH231" s="340"/>
      <c r="HAI231" s="340"/>
      <c r="HAJ231" s="340"/>
      <c r="HAK231" s="340"/>
      <c r="HAL231" s="340"/>
      <c r="HAM231" s="340"/>
      <c r="HAN231" s="340"/>
      <c r="HAO231" s="340"/>
      <c r="HAP231" s="340"/>
      <c r="HAQ231" s="340"/>
      <c r="HAR231" s="340"/>
      <c r="HAS231" s="340"/>
      <c r="HAT231" s="340"/>
      <c r="HAU231" s="340"/>
      <c r="HAV231" s="340"/>
      <c r="HAW231" s="340"/>
      <c r="HAX231" s="340"/>
      <c r="HAY231" s="340"/>
      <c r="HAZ231" s="340"/>
      <c r="HBA231" s="340"/>
      <c r="HBB231" s="340"/>
      <c r="HBC231" s="340"/>
      <c r="HBD231" s="340"/>
      <c r="HBE231" s="340"/>
      <c r="HBF231" s="340"/>
      <c r="HBG231" s="340"/>
      <c r="HBH231" s="340"/>
      <c r="HBI231" s="340"/>
      <c r="HBJ231" s="340"/>
      <c r="HBK231" s="340"/>
      <c r="HBL231" s="340"/>
      <c r="HBM231" s="340"/>
      <c r="HBN231" s="340"/>
      <c r="HBO231" s="340"/>
      <c r="HBP231" s="340"/>
      <c r="HBQ231" s="340"/>
      <c r="HBR231" s="340"/>
      <c r="HBS231" s="340"/>
      <c r="HBT231" s="340"/>
      <c r="HBU231" s="340"/>
      <c r="HBV231" s="340"/>
      <c r="HBW231" s="340"/>
      <c r="HBX231" s="340"/>
      <c r="HBY231" s="340"/>
      <c r="HBZ231" s="340"/>
      <c r="HCA231" s="340"/>
      <c r="HCB231" s="340"/>
      <c r="HCC231" s="340"/>
      <c r="HCD231" s="340"/>
      <c r="HCE231" s="340"/>
      <c r="HCF231" s="340"/>
      <c r="HCG231" s="340"/>
      <c r="HCH231" s="340"/>
      <c r="HCI231" s="340"/>
      <c r="HCJ231" s="340"/>
      <c r="HCK231" s="340"/>
      <c r="HCL231" s="340"/>
      <c r="HCM231" s="340"/>
      <c r="HCN231" s="340"/>
      <c r="HCO231" s="340"/>
      <c r="HCP231" s="340"/>
      <c r="HCQ231" s="340"/>
      <c r="HCR231" s="340"/>
      <c r="HCS231" s="340"/>
      <c r="HCT231" s="340"/>
      <c r="HCU231" s="340"/>
      <c r="HCV231" s="340"/>
      <c r="HCW231" s="340"/>
      <c r="HCX231" s="340"/>
      <c r="HCY231" s="340"/>
      <c r="HCZ231" s="340"/>
      <c r="HDA231" s="340"/>
      <c r="HDB231" s="340"/>
      <c r="HDC231" s="340"/>
      <c r="HDD231" s="340"/>
      <c r="HDE231" s="340"/>
      <c r="HDF231" s="340"/>
      <c r="HDG231" s="340"/>
      <c r="HDH231" s="340"/>
      <c r="HDI231" s="340"/>
      <c r="HDJ231" s="340"/>
      <c r="HDK231" s="340"/>
      <c r="HDL231" s="340"/>
      <c r="HDM231" s="340"/>
      <c r="HDN231" s="340"/>
      <c r="HDO231" s="340"/>
      <c r="HDP231" s="340"/>
      <c r="HDQ231" s="340"/>
      <c r="HDR231" s="340"/>
      <c r="HDS231" s="340"/>
      <c r="HDT231" s="340"/>
      <c r="HDU231" s="340"/>
      <c r="HDV231" s="340"/>
      <c r="HDW231" s="340"/>
      <c r="HDX231" s="340"/>
      <c r="HDY231" s="340"/>
      <c r="HDZ231" s="340"/>
      <c r="HEA231" s="340"/>
      <c r="HEB231" s="340"/>
      <c r="HEC231" s="340"/>
      <c r="HED231" s="340"/>
      <c r="HEE231" s="340"/>
      <c r="HEF231" s="340"/>
      <c r="HEG231" s="340"/>
      <c r="HEH231" s="340"/>
      <c r="HEI231" s="340"/>
      <c r="HEJ231" s="340"/>
      <c r="HEK231" s="340"/>
      <c r="HEL231" s="340"/>
      <c r="HEM231" s="340"/>
      <c r="HEN231" s="340"/>
      <c r="HEO231" s="340"/>
      <c r="HEP231" s="340"/>
      <c r="HEQ231" s="340"/>
      <c r="HER231" s="340"/>
      <c r="HES231" s="340"/>
      <c r="HET231" s="340"/>
      <c r="HEU231" s="340"/>
      <c r="HEV231" s="340"/>
      <c r="HEW231" s="340"/>
      <c r="HEX231" s="340"/>
      <c r="HEY231" s="340"/>
      <c r="HEZ231" s="340"/>
      <c r="HFA231" s="340"/>
      <c r="HFB231" s="340"/>
      <c r="HFC231" s="340"/>
      <c r="HFD231" s="340"/>
      <c r="HFE231" s="340"/>
      <c r="HFF231" s="340"/>
      <c r="HFG231" s="340"/>
      <c r="HFH231" s="340"/>
      <c r="HFI231" s="340"/>
      <c r="HFJ231" s="340"/>
      <c r="HFK231" s="340"/>
      <c r="HFL231" s="340"/>
      <c r="HFM231" s="340"/>
      <c r="HFN231" s="340"/>
      <c r="HFO231" s="340"/>
      <c r="HFP231" s="340"/>
      <c r="HFQ231" s="340"/>
      <c r="HFR231" s="340"/>
      <c r="HFS231" s="340"/>
      <c r="HFT231" s="340"/>
      <c r="HFU231" s="340"/>
      <c r="HFV231" s="340"/>
      <c r="HFW231" s="340"/>
      <c r="HFX231" s="340"/>
      <c r="HFY231" s="340"/>
      <c r="HFZ231" s="340"/>
      <c r="HGA231" s="340"/>
      <c r="HGB231" s="340"/>
      <c r="HGC231" s="340"/>
      <c r="HGD231" s="340"/>
      <c r="HGE231" s="340"/>
      <c r="HGF231" s="340"/>
      <c r="HGG231" s="340"/>
      <c r="HGH231" s="340"/>
      <c r="HGI231" s="340"/>
      <c r="HGJ231" s="340"/>
      <c r="HGK231" s="340"/>
      <c r="HGL231" s="340"/>
      <c r="HGM231" s="340"/>
      <c r="HGN231" s="340"/>
      <c r="HGO231" s="340"/>
      <c r="HGP231" s="340"/>
      <c r="HGQ231" s="340"/>
      <c r="HGR231" s="340"/>
      <c r="HGS231" s="340"/>
      <c r="HGT231" s="340"/>
      <c r="HGU231" s="340"/>
      <c r="HGV231" s="340"/>
      <c r="HGW231" s="340"/>
      <c r="HGX231" s="340"/>
      <c r="HGY231" s="340"/>
      <c r="HGZ231" s="340"/>
      <c r="HHA231" s="340"/>
      <c r="HHB231" s="340"/>
      <c r="HHC231" s="340"/>
      <c r="HHD231" s="340"/>
      <c r="HHE231" s="340"/>
      <c r="HHF231" s="340"/>
      <c r="HHG231" s="340"/>
      <c r="HHH231" s="340"/>
      <c r="HHI231" s="340"/>
      <c r="HHJ231" s="340"/>
      <c r="HHK231" s="340"/>
      <c r="HHL231" s="340"/>
      <c r="HHM231" s="340"/>
      <c r="HHN231" s="340"/>
      <c r="HHO231" s="340"/>
      <c r="HHP231" s="340"/>
      <c r="HHQ231" s="340"/>
      <c r="HHR231" s="340"/>
      <c r="HHS231" s="340"/>
      <c r="HHT231" s="340"/>
      <c r="HHU231" s="340"/>
      <c r="HHV231" s="340"/>
      <c r="HHW231" s="340"/>
      <c r="HHX231" s="340"/>
      <c r="HHY231" s="340"/>
      <c r="HHZ231" s="340"/>
      <c r="HIA231" s="340"/>
      <c r="HIB231" s="340"/>
      <c r="HIC231" s="340"/>
      <c r="HID231" s="340"/>
      <c r="HIE231" s="340"/>
      <c r="HIF231" s="340"/>
      <c r="HIG231" s="340"/>
      <c r="HIH231" s="340"/>
      <c r="HII231" s="340"/>
      <c r="HIJ231" s="340"/>
      <c r="HIK231" s="340"/>
      <c r="HIL231" s="340"/>
      <c r="HIM231" s="340"/>
      <c r="HIN231" s="340"/>
      <c r="HIO231" s="340"/>
      <c r="HIP231" s="340"/>
      <c r="HIQ231" s="340"/>
      <c r="HIR231" s="340"/>
      <c r="HIS231" s="340"/>
      <c r="HIT231" s="340"/>
      <c r="HIU231" s="340"/>
      <c r="HIV231" s="340"/>
      <c r="HIW231" s="340"/>
      <c r="HIX231" s="340"/>
      <c r="HIY231" s="340"/>
      <c r="HIZ231" s="340"/>
      <c r="HJA231" s="340"/>
      <c r="HJB231" s="340"/>
      <c r="HJC231" s="340"/>
      <c r="HJD231" s="340"/>
      <c r="HJE231" s="340"/>
      <c r="HJF231" s="340"/>
      <c r="HJG231" s="340"/>
      <c r="HJH231" s="340"/>
      <c r="HJI231" s="340"/>
      <c r="HJJ231" s="340"/>
      <c r="HJK231" s="340"/>
      <c r="HJL231" s="340"/>
      <c r="HJM231" s="340"/>
      <c r="HJN231" s="340"/>
      <c r="HJO231" s="340"/>
      <c r="HJP231" s="340"/>
      <c r="HJQ231" s="340"/>
      <c r="HJR231" s="340"/>
      <c r="HJS231" s="340"/>
      <c r="HJT231" s="340"/>
      <c r="HJU231" s="340"/>
      <c r="HJV231" s="340"/>
      <c r="HJW231" s="340"/>
      <c r="HJX231" s="340"/>
      <c r="HJY231" s="340"/>
      <c r="HJZ231" s="340"/>
      <c r="HKA231" s="340"/>
      <c r="HKB231" s="340"/>
      <c r="HKC231" s="340"/>
      <c r="HKD231" s="340"/>
      <c r="HKE231" s="340"/>
      <c r="HKF231" s="340"/>
      <c r="HKG231" s="340"/>
      <c r="HKH231" s="340"/>
      <c r="HKI231" s="340"/>
      <c r="HKJ231" s="340"/>
      <c r="HKK231" s="340"/>
      <c r="HKL231" s="340"/>
      <c r="HKM231" s="340"/>
      <c r="HKN231" s="340"/>
      <c r="HKO231" s="340"/>
      <c r="HKP231" s="340"/>
      <c r="HKQ231" s="340"/>
      <c r="HKR231" s="340"/>
      <c r="HKS231" s="340"/>
      <c r="HKT231" s="340"/>
      <c r="HKU231" s="340"/>
      <c r="HKV231" s="340"/>
      <c r="HKW231" s="340"/>
      <c r="HKX231" s="340"/>
      <c r="HKY231" s="340"/>
      <c r="HKZ231" s="340"/>
      <c r="HLA231" s="340"/>
      <c r="HLB231" s="340"/>
      <c r="HLC231" s="340"/>
      <c r="HLD231" s="340"/>
      <c r="HLE231" s="340"/>
      <c r="HLF231" s="340"/>
      <c r="HLG231" s="340"/>
      <c r="HLH231" s="340"/>
      <c r="HLI231" s="340"/>
      <c r="HLJ231" s="340"/>
      <c r="HLK231" s="340"/>
      <c r="HLL231" s="340"/>
      <c r="HLM231" s="340"/>
      <c r="HLN231" s="340"/>
      <c r="HLO231" s="340"/>
      <c r="HLP231" s="340"/>
      <c r="HLQ231" s="340"/>
      <c r="HLR231" s="340"/>
      <c r="HLS231" s="340"/>
      <c r="HLT231" s="340"/>
      <c r="HLU231" s="340"/>
      <c r="HLV231" s="340"/>
      <c r="HLW231" s="340"/>
      <c r="HLX231" s="340"/>
      <c r="HLY231" s="340"/>
      <c r="HLZ231" s="340"/>
      <c r="HMA231" s="340"/>
      <c r="HMB231" s="340"/>
      <c r="HMC231" s="340"/>
      <c r="HMD231" s="340"/>
      <c r="HME231" s="340"/>
      <c r="HMF231" s="340"/>
      <c r="HMG231" s="340"/>
      <c r="HMH231" s="340"/>
      <c r="HMI231" s="340"/>
      <c r="HMJ231" s="340"/>
      <c r="HMK231" s="340"/>
      <c r="HML231" s="340"/>
      <c r="HMM231" s="340"/>
      <c r="HMN231" s="340"/>
      <c r="HMO231" s="340"/>
      <c r="HMP231" s="340"/>
      <c r="HMQ231" s="340"/>
      <c r="HMR231" s="340"/>
      <c r="HMS231" s="340"/>
      <c r="HMT231" s="340"/>
      <c r="HMU231" s="340"/>
      <c r="HMV231" s="340"/>
      <c r="HMW231" s="340"/>
      <c r="HMX231" s="340"/>
      <c r="HMY231" s="340"/>
      <c r="HMZ231" s="340"/>
      <c r="HNA231" s="340"/>
      <c r="HNB231" s="340"/>
      <c r="HNC231" s="340"/>
      <c r="HND231" s="340"/>
      <c r="HNE231" s="340"/>
      <c r="HNF231" s="340"/>
      <c r="HNG231" s="340"/>
      <c r="HNH231" s="340"/>
      <c r="HNI231" s="340"/>
      <c r="HNJ231" s="340"/>
      <c r="HNK231" s="340"/>
      <c r="HNL231" s="340"/>
      <c r="HNM231" s="340"/>
      <c r="HNN231" s="340"/>
      <c r="HNO231" s="340"/>
      <c r="HNP231" s="340"/>
      <c r="HNQ231" s="340"/>
      <c r="HNR231" s="340"/>
      <c r="HNS231" s="340"/>
      <c r="HNT231" s="340"/>
      <c r="HNU231" s="340"/>
      <c r="HNV231" s="340"/>
      <c r="HNW231" s="340"/>
      <c r="HNX231" s="340"/>
      <c r="HNY231" s="340"/>
      <c r="HNZ231" s="340"/>
      <c r="HOA231" s="340"/>
      <c r="HOB231" s="340"/>
      <c r="HOC231" s="340"/>
      <c r="HOD231" s="340"/>
      <c r="HOE231" s="340"/>
      <c r="HOF231" s="340"/>
      <c r="HOG231" s="340"/>
      <c r="HOH231" s="340"/>
      <c r="HOI231" s="340"/>
      <c r="HOJ231" s="340"/>
      <c r="HOK231" s="340"/>
      <c r="HOL231" s="340"/>
      <c r="HOM231" s="340"/>
      <c r="HON231" s="340"/>
      <c r="HOO231" s="340"/>
      <c r="HOP231" s="340"/>
      <c r="HOQ231" s="340"/>
      <c r="HOR231" s="340"/>
      <c r="HOS231" s="340"/>
      <c r="HOT231" s="340"/>
      <c r="HOU231" s="340"/>
      <c r="HOV231" s="340"/>
      <c r="HOW231" s="340"/>
      <c r="HOX231" s="340"/>
      <c r="HOY231" s="340"/>
      <c r="HOZ231" s="340"/>
      <c r="HPA231" s="340"/>
      <c r="HPB231" s="340"/>
      <c r="HPC231" s="340"/>
      <c r="HPD231" s="340"/>
      <c r="HPE231" s="340"/>
      <c r="HPF231" s="340"/>
      <c r="HPG231" s="340"/>
      <c r="HPH231" s="340"/>
      <c r="HPI231" s="340"/>
      <c r="HPJ231" s="340"/>
      <c r="HPK231" s="340"/>
      <c r="HPL231" s="340"/>
      <c r="HPM231" s="340"/>
      <c r="HPN231" s="340"/>
      <c r="HPO231" s="340"/>
      <c r="HPP231" s="340"/>
      <c r="HPQ231" s="340"/>
      <c r="HPR231" s="340"/>
      <c r="HPS231" s="340"/>
      <c r="HPT231" s="340"/>
      <c r="HPU231" s="340"/>
      <c r="HPV231" s="340"/>
      <c r="HPW231" s="340"/>
      <c r="HPX231" s="340"/>
      <c r="HPY231" s="340"/>
      <c r="HPZ231" s="340"/>
      <c r="HQA231" s="340"/>
      <c r="HQB231" s="340"/>
      <c r="HQC231" s="340"/>
      <c r="HQD231" s="340"/>
      <c r="HQE231" s="340"/>
      <c r="HQF231" s="340"/>
      <c r="HQG231" s="340"/>
      <c r="HQH231" s="340"/>
      <c r="HQI231" s="340"/>
      <c r="HQJ231" s="340"/>
      <c r="HQK231" s="340"/>
      <c r="HQL231" s="340"/>
      <c r="HQM231" s="340"/>
      <c r="HQN231" s="340"/>
      <c r="HQO231" s="340"/>
      <c r="HQP231" s="340"/>
      <c r="HQQ231" s="340"/>
      <c r="HQR231" s="340"/>
      <c r="HQS231" s="340"/>
      <c r="HQT231" s="340"/>
      <c r="HQU231" s="340"/>
      <c r="HQV231" s="340"/>
      <c r="HQW231" s="340"/>
      <c r="HQX231" s="340"/>
      <c r="HQY231" s="340"/>
      <c r="HQZ231" s="340"/>
      <c r="HRA231" s="340"/>
      <c r="HRB231" s="340"/>
      <c r="HRC231" s="340"/>
      <c r="HRD231" s="340"/>
      <c r="HRE231" s="340"/>
      <c r="HRF231" s="340"/>
      <c r="HRG231" s="340"/>
      <c r="HRH231" s="340"/>
      <c r="HRI231" s="340"/>
      <c r="HRJ231" s="340"/>
      <c r="HRK231" s="340"/>
      <c r="HRL231" s="340"/>
      <c r="HRM231" s="340"/>
      <c r="HRN231" s="340"/>
      <c r="HRO231" s="340"/>
      <c r="HRP231" s="340"/>
      <c r="HRQ231" s="340"/>
      <c r="HRR231" s="340"/>
      <c r="HRS231" s="340"/>
      <c r="HRT231" s="340"/>
      <c r="HRU231" s="340"/>
      <c r="HRV231" s="340"/>
      <c r="HRW231" s="340"/>
      <c r="HRX231" s="340"/>
      <c r="HRY231" s="340"/>
      <c r="HRZ231" s="340"/>
      <c r="HSA231" s="340"/>
      <c r="HSB231" s="340"/>
      <c r="HSC231" s="340"/>
      <c r="HSD231" s="340"/>
      <c r="HSE231" s="340"/>
      <c r="HSF231" s="340"/>
      <c r="HSG231" s="340"/>
      <c r="HSH231" s="340"/>
      <c r="HSI231" s="340"/>
      <c r="HSJ231" s="340"/>
      <c r="HSK231" s="340"/>
      <c r="HSL231" s="340"/>
      <c r="HSM231" s="340"/>
      <c r="HSN231" s="340"/>
      <c r="HSO231" s="340"/>
      <c r="HSP231" s="340"/>
      <c r="HSQ231" s="340"/>
      <c r="HSR231" s="340"/>
      <c r="HSS231" s="340"/>
      <c r="HST231" s="340"/>
      <c r="HSU231" s="340"/>
      <c r="HSV231" s="340"/>
      <c r="HSW231" s="340"/>
      <c r="HSX231" s="340"/>
      <c r="HSY231" s="340"/>
      <c r="HSZ231" s="340"/>
      <c r="HTA231" s="340"/>
      <c r="HTB231" s="340"/>
      <c r="HTC231" s="340"/>
      <c r="HTD231" s="340"/>
      <c r="HTE231" s="340"/>
      <c r="HTF231" s="340"/>
      <c r="HTG231" s="340"/>
      <c r="HTH231" s="340"/>
      <c r="HTI231" s="340"/>
      <c r="HTJ231" s="340"/>
      <c r="HTK231" s="340"/>
      <c r="HTL231" s="340"/>
      <c r="HTM231" s="340"/>
      <c r="HTN231" s="340"/>
      <c r="HTO231" s="340"/>
      <c r="HTP231" s="340"/>
      <c r="HTQ231" s="340"/>
      <c r="HTR231" s="340"/>
      <c r="HTS231" s="340"/>
      <c r="HTT231" s="340"/>
      <c r="HTU231" s="340"/>
      <c r="HTV231" s="340"/>
      <c r="HTW231" s="340"/>
      <c r="HTX231" s="340"/>
      <c r="HTY231" s="340"/>
      <c r="HTZ231" s="340"/>
      <c r="HUA231" s="340"/>
      <c r="HUB231" s="340"/>
      <c r="HUC231" s="340"/>
      <c r="HUD231" s="340"/>
      <c r="HUE231" s="340"/>
      <c r="HUF231" s="340"/>
      <c r="HUG231" s="340"/>
      <c r="HUH231" s="340"/>
      <c r="HUI231" s="340"/>
      <c r="HUJ231" s="340"/>
      <c r="HUK231" s="340"/>
      <c r="HUL231" s="340"/>
      <c r="HUM231" s="340"/>
      <c r="HUN231" s="340"/>
      <c r="HUO231" s="340"/>
      <c r="HUP231" s="340"/>
      <c r="HUQ231" s="340"/>
      <c r="HUR231" s="340"/>
      <c r="HUS231" s="340"/>
      <c r="HUT231" s="340"/>
      <c r="HUU231" s="340"/>
      <c r="HUV231" s="340"/>
      <c r="HUW231" s="340"/>
      <c r="HUX231" s="340"/>
      <c r="HUY231" s="340"/>
      <c r="HUZ231" s="340"/>
      <c r="HVA231" s="340"/>
      <c r="HVB231" s="340"/>
      <c r="HVC231" s="340"/>
      <c r="HVD231" s="340"/>
      <c r="HVE231" s="340"/>
      <c r="HVF231" s="340"/>
      <c r="HVG231" s="340"/>
      <c r="HVH231" s="340"/>
      <c r="HVI231" s="340"/>
      <c r="HVJ231" s="340"/>
      <c r="HVK231" s="340"/>
      <c r="HVL231" s="340"/>
      <c r="HVM231" s="340"/>
      <c r="HVN231" s="340"/>
      <c r="HVO231" s="340"/>
      <c r="HVP231" s="340"/>
      <c r="HVQ231" s="340"/>
      <c r="HVR231" s="340"/>
      <c r="HVS231" s="340"/>
      <c r="HVT231" s="340"/>
      <c r="HVU231" s="340"/>
      <c r="HVV231" s="340"/>
      <c r="HVW231" s="340"/>
      <c r="HVX231" s="340"/>
      <c r="HVY231" s="340"/>
      <c r="HVZ231" s="340"/>
      <c r="HWA231" s="340"/>
      <c r="HWB231" s="340"/>
      <c r="HWC231" s="340"/>
      <c r="HWD231" s="340"/>
      <c r="HWE231" s="340"/>
      <c r="HWF231" s="340"/>
      <c r="HWG231" s="340"/>
      <c r="HWH231" s="340"/>
      <c r="HWI231" s="340"/>
      <c r="HWJ231" s="340"/>
      <c r="HWK231" s="340"/>
      <c r="HWL231" s="340"/>
      <c r="HWM231" s="340"/>
      <c r="HWN231" s="340"/>
      <c r="HWO231" s="340"/>
      <c r="HWP231" s="340"/>
      <c r="HWQ231" s="340"/>
      <c r="HWR231" s="340"/>
      <c r="HWS231" s="340"/>
      <c r="HWT231" s="340"/>
      <c r="HWU231" s="340"/>
      <c r="HWV231" s="340"/>
      <c r="HWW231" s="340"/>
      <c r="HWX231" s="340"/>
      <c r="HWY231" s="340"/>
      <c r="HWZ231" s="340"/>
      <c r="HXA231" s="340"/>
      <c r="HXB231" s="340"/>
      <c r="HXC231" s="340"/>
      <c r="HXD231" s="340"/>
      <c r="HXE231" s="340"/>
      <c r="HXF231" s="340"/>
      <c r="HXG231" s="340"/>
      <c r="HXH231" s="340"/>
      <c r="HXI231" s="340"/>
      <c r="HXJ231" s="340"/>
      <c r="HXK231" s="340"/>
      <c r="HXL231" s="340"/>
      <c r="HXM231" s="340"/>
      <c r="HXN231" s="340"/>
      <c r="HXO231" s="340"/>
      <c r="HXP231" s="340"/>
      <c r="HXQ231" s="340"/>
      <c r="HXR231" s="340"/>
      <c r="HXS231" s="340"/>
      <c r="HXT231" s="340"/>
      <c r="HXU231" s="340"/>
      <c r="HXV231" s="340"/>
      <c r="HXW231" s="340"/>
      <c r="HXX231" s="340"/>
      <c r="HXY231" s="340"/>
      <c r="HXZ231" s="340"/>
      <c r="HYA231" s="340"/>
      <c r="HYB231" s="340"/>
      <c r="HYC231" s="340"/>
      <c r="HYD231" s="340"/>
      <c r="HYE231" s="340"/>
      <c r="HYF231" s="340"/>
      <c r="HYG231" s="340"/>
      <c r="HYH231" s="340"/>
      <c r="HYI231" s="340"/>
      <c r="HYJ231" s="340"/>
      <c r="HYK231" s="340"/>
      <c r="HYL231" s="340"/>
      <c r="HYM231" s="340"/>
      <c r="HYN231" s="340"/>
      <c r="HYO231" s="340"/>
      <c r="HYP231" s="340"/>
      <c r="HYQ231" s="340"/>
      <c r="HYR231" s="340"/>
      <c r="HYS231" s="340"/>
      <c r="HYT231" s="340"/>
      <c r="HYU231" s="340"/>
      <c r="HYV231" s="340"/>
      <c r="HYW231" s="340"/>
      <c r="HYX231" s="340"/>
      <c r="HYY231" s="340"/>
      <c r="HYZ231" s="340"/>
      <c r="HZA231" s="340"/>
      <c r="HZB231" s="340"/>
      <c r="HZC231" s="340"/>
      <c r="HZD231" s="340"/>
      <c r="HZE231" s="340"/>
      <c r="HZF231" s="340"/>
      <c r="HZG231" s="340"/>
      <c r="HZH231" s="340"/>
      <c r="HZI231" s="340"/>
      <c r="HZJ231" s="340"/>
      <c r="HZK231" s="340"/>
      <c r="HZL231" s="340"/>
      <c r="HZM231" s="340"/>
      <c r="HZN231" s="340"/>
      <c r="HZO231" s="340"/>
      <c r="HZP231" s="340"/>
      <c r="HZQ231" s="340"/>
      <c r="HZR231" s="340"/>
      <c r="HZS231" s="340"/>
      <c r="HZT231" s="340"/>
      <c r="HZU231" s="340"/>
      <c r="HZV231" s="340"/>
      <c r="HZW231" s="340"/>
      <c r="HZX231" s="340"/>
      <c r="HZY231" s="340"/>
      <c r="HZZ231" s="340"/>
      <c r="IAA231" s="340"/>
      <c r="IAB231" s="340"/>
      <c r="IAC231" s="340"/>
      <c r="IAD231" s="340"/>
      <c r="IAE231" s="340"/>
      <c r="IAF231" s="340"/>
      <c r="IAG231" s="340"/>
      <c r="IAH231" s="340"/>
      <c r="IAI231" s="340"/>
      <c r="IAJ231" s="340"/>
      <c r="IAK231" s="340"/>
      <c r="IAL231" s="340"/>
      <c r="IAM231" s="340"/>
      <c r="IAN231" s="340"/>
      <c r="IAO231" s="340"/>
      <c r="IAP231" s="340"/>
      <c r="IAQ231" s="340"/>
      <c r="IAR231" s="340"/>
      <c r="IAS231" s="340"/>
      <c r="IAT231" s="340"/>
      <c r="IAU231" s="340"/>
      <c r="IAV231" s="340"/>
      <c r="IAW231" s="340"/>
      <c r="IAX231" s="340"/>
      <c r="IAY231" s="340"/>
      <c r="IAZ231" s="340"/>
      <c r="IBA231" s="340"/>
      <c r="IBB231" s="340"/>
      <c r="IBC231" s="340"/>
      <c r="IBD231" s="340"/>
      <c r="IBE231" s="340"/>
      <c r="IBF231" s="340"/>
      <c r="IBG231" s="340"/>
      <c r="IBH231" s="340"/>
      <c r="IBI231" s="340"/>
      <c r="IBJ231" s="340"/>
      <c r="IBK231" s="340"/>
      <c r="IBL231" s="340"/>
      <c r="IBM231" s="340"/>
      <c r="IBN231" s="340"/>
      <c r="IBO231" s="340"/>
      <c r="IBP231" s="340"/>
      <c r="IBQ231" s="340"/>
      <c r="IBR231" s="340"/>
      <c r="IBS231" s="340"/>
      <c r="IBT231" s="340"/>
      <c r="IBU231" s="340"/>
      <c r="IBV231" s="340"/>
      <c r="IBW231" s="340"/>
      <c r="IBX231" s="340"/>
      <c r="IBY231" s="340"/>
      <c r="IBZ231" s="340"/>
      <c r="ICA231" s="340"/>
      <c r="ICB231" s="340"/>
      <c r="ICC231" s="340"/>
      <c r="ICD231" s="340"/>
      <c r="ICE231" s="340"/>
      <c r="ICF231" s="340"/>
      <c r="ICG231" s="340"/>
      <c r="ICH231" s="340"/>
      <c r="ICI231" s="340"/>
      <c r="ICJ231" s="340"/>
      <c r="ICK231" s="340"/>
      <c r="ICL231" s="340"/>
      <c r="ICM231" s="340"/>
      <c r="ICN231" s="340"/>
      <c r="ICO231" s="340"/>
      <c r="ICP231" s="340"/>
      <c r="ICQ231" s="340"/>
      <c r="ICR231" s="340"/>
      <c r="ICS231" s="340"/>
      <c r="ICT231" s="340"/>
      <c r="ICU231" s="340"/>
      <c r="ICV231" s="340"/>
      <c r="ICW231" s="340"/>
      <c r="ICX231" s="340"/>
      <c r="ICY231" s="340"/>
      <c r="ICZ231" s="340"/>
      <c r="IDA231" s="340"/>
      <c r="IDB231" s="340"/>
      <c r="IDC231" s="340"/>
      <c r="IDD231" s="340"/>
      <c r="IDE231" s="340"/>
      <c r="IDF231" s="340"/>
      <c r="IDG231" s="340"/>
      <c r="IDH231" s="340"/>
      <c r="IDI231" s="340"/>
      <c r="IDJ231" s="340"/>
      <c r="IDK231" s="340"/>
      <c r="IDL231" s="340"/>
      <c r="IDM231" s="340"/>
      <c r="IDN231" s="340"/>
      <c r="IDO231" s="340"/>
      <c r="IDP231" s="340"/>
      <c r="IDQ231" s="340"/>
      <c r="IDR231" s="340"/>
      <c r="IDS231" s="340"/>
      <c r="IDT231" s="340"/>
      <c r="IDU231" s="340"/>
      <c r="IDV231" s="340"/>
      <c r="IDW231" s="340"/>
      <c r="IDX231" s="340"/>
      <c r="IDY231" s="340"/>
      <c r="IDZ231" s="340"/>
      <c r="IEA231" s="340"/>
      <c r="IEB231" s="340"/>
      <c r="IEC231" s="340"/>
      <c r="IED231" s="340"/>
      <c r="IEE231" s="340"/>
      <c r="IEF231" s="340"/>
      <c r="IEG231" s="340"/>
      <c r="IEH231" s="340"/>
      <c r="IEI231" s="340"/>
      <c r="IEJ231" s="340"/>
      <c r="IEK231" s="340"/>
      <c r="IEL231" s="340"/>
      <c r="IEM231" s="340"/>
      <c r="IEN231" s="340"/>
      <c r="IEO231" s="340"/>
      <c r="IEP231" s="340"/>
      <c r="IEQ231" s="340"/>
      <c r="IER231" s="340"/>
      <c r="IES231" s="340"/>
      <c r="IET231" s="340"/>
      <c r="IEU231" s="340"/>
      <c r="IEV231" s="340"/>
      <c r="IEW231" s="340"/>
      <c r="IEX231" s="340"/>
      <c r="IEY231" s="340"/>
      <c r="IEZ231" s="340"/>
      <c r="IFA231" s="340"/>
      <c r="IFB231" s="340"/>
      <c r="IFC231" s="340"/>
      <c r="IFD231" s="340"/>
      <c r="IFE231" s="340"/>
      <c r="IFF231" s="340"/>
      <c r="IFG231" s="340"/>
      <c r="IFH231" s="340"/>
      <c r="IFI231" s="340"/>
      <c r="IFJ231" s="340"/>
      <c r="IFK231" s="340"/>
      <c r="IFL231" s="340"/>
      <c r="IFM231" s="340"/>
      <c r="IFN231" s="340"/>
      <c r="IFO231" s="340"/>
      <c r="IFP231" s="340"/>
      <c r="IFQ231" s="340"/>
      <c r="IFR231" s="340"/>
      <c r="IFS231" s="340"/>
      <c r="IFT231" s="340"/>
      <c r="IFU231" s="340"/>
      <c r="IFV231" s="340"/>
      <c r="IFW231" s="340"/>
      <c r="IFX231" s="340"/>
      <c r="IFY231" s="340"/>
      <c r="IFZ231" s="340"/>
      <c r="IGA231" s="340"/>
      <c r="IGB231" s="340"/>
      <c r="IGC231" s="340"/>
      <c r="IGD231" s="340"/>
      <c r="IGE231" s="340"/>
      <c r="IGF231" s="340"/>
      <c r="IGG231" s="340"/>
      <c r="IGH231" s="340"/>
      <c r="IGI231" s="340"/>
      <c r="IGJ231" s="340"/>
      <c r="IGK231" s="340"/>
      <c r="IGL231" s="340"/>
      <c r="IGM231" s="340"/>
      <c r="IGN231" s="340"/>
      <c r="IGO231" s="340"/>
      <c r="IGP231" s="340"/>
      <c r="IGQ231" s="340"/>
      <c r="IGR231" s="340"/>
      <c r="IGS231" s="340"/>
      <c r="IGT231" s="340"/>
      <c r="IGU231" s="340"/>
      <c r="IGV231" s="340"/>
      <c r="IGW231" s="340"/>
      <c r="IGX231" s="340"/>
      <c r="IGY231" s="340"/>
      <c r="IGZ231" s="340"/>
      <c r="IHA231" s="340"/>
      <c r="IHB231" s="340"/>
      <c r="IHC231" s="340"/>
      <c r="IHD231" s="340"/>
      <c r="IHE231" s="340"/>
      <c r="IHF231" s="340"/>
      <c r="IHG231" s="340"/>
      <c r="IHH231" s="340"/>
      <c r="IHI231" s="340"/>
      <c r="IHJ231" s="340"/>
      <c r="IHK231" s="340"/>
      <c r="IHL231" s="340"/>
      <c r="IHM231" s="340"/>
      <c r="IHN231" s="340"/>
      <c r="IHO231" s="340"/>
      <c r="IHP231" s="340"/>
      <c r="IHQ231" s="340"/>
      <c r="IHR231" s="340"/>
      <c r="IHS231" s="340"/>
      <c r="IHT231" s="340"/>
      <c r="IHU231" s="340"/>
      <c r="IHV231" s="340"/>
      <c r="IHW231" s="340"/>
      <c r="IHX231" s="340"/>
      <c r="IHY231" s="340"/>
      <c r="IHZ231" s="340"/>
      <c r="IIA231" s="340"/>
      <c r="IIB231" s="340"/>
      <c r="IIC231" s="340"/>
      <c r="IID231" s="340"/>
      <c r="IIE231" s="340"/>
      <c r="IIF231" s="340"/>
      <c r="IIG231" s="340"/>
      <c r="IIH231" s="340"/>
      <c r="III231" s="340"/>
      <c r="IIJ231" s="340"/>
      <c r="IIK231" s="340"/>
      <c r="IIL231" s="340"/>
      <c r="IIM231" s="340"/>
      <c r="IIN231" s="340"/>
      <c r="IIO231" s="340"/>
      <c r="IIP231" s="340"/>
      <c r="IIQ231" s="340"/>
      <c r="IIR231" s="340"/>
      <c r="IIS231" s="340"/>
      <c r="IIT231" s="340"/>
      <c r="IIU231" s="340"/>
      <c r="IIV231" s="340"/>
      <c r="IIW231" s="340"/>
      <c r="IIX231" s="340"/>
      <c r="IIY231" s="340"/>
      <c r="IIZ231" s="340"/>
      <c r="IJA231" s="340"/>
      <c r="IJB231" s="340"/>
      <c r="IJC231" s="340"/>
      <c r="IJD231" s="340"/>
      <c r="IJE231" s="340"/>
      <c r="IJF231" s="340"/>
      <c r="IJG231" s="340"/>
      <c r="IJH231" s="340"/>
      <c r="IJI231" s="340"/>
      <c r="IJJ231" s="340"/>
      <c r="IJK231" s="340"/>
      <c r="IJL231" s="340"/>
      <c r="IJM231" s="340"/>
      <c r="IJN231" s="340"/>
      <c r="IJO231" s="340"/>
      <c r="IJP231" s="340"/>
      <c r="IJQ231" s="340"/>
      <c r="IJR231" s="340"/>
      <c r="IJS231" s="340"/>
      <c r="IJT231" s="340"/>
      <c r="IJU231" s="340"/>
      <c r="IJV231" s="340"/>
      <c r="IJW231" s="340"/>
      <c r="IJX231" s="340"/>
      <c r="IJY231" s="340"/>
      <c r="IJZ231" s="340"/>
      <c r="IKA231" s="340"/>
      <c r="IKB231" s="340"/>
      <c r="IKC231" s="340"/>
      <c r="IKD231" s="340"/>
      <c r="IKE231" s="340"/>
      <c r="IKF231" s="340"/>
      <c r="IKG231" s="340"/>
      <c r="IKH231" s="340"/>
      <c r="IKI231" s="340"/>
      <c r="IKJ231" s="340"/>
      <c r="IKK231" s="340"/>
      <c r="IKL231" s="340"/>
      <c r="IKM231" s="340"/>
      <c r="IKN231" s="340"/>
      <c r="IKO231" s="340"/>
      <c r="IKP231" s="340"/>
      <c r="IKQ231" s="340"/>
      <c r="IKR231" s="340"/>
      <c r="IKS231" s="340"/>
      <c r="IKT231" s="340"/>
      <c r="IKU231" s="340"/>
      <c r="IKV231" s="340"/>
      <c r="IKW231" s="340"/>
      <c r="IKX231" s="340"/>
      <c r="IKY231" s="340"/>
      <c r="IKZ231" s="340"/>
      <c r="ILA231" s="340"/>
      <c r="ILB231" s="340"/>
      <c r="ILC231" s="340"/>
      <c r="ILD231" s="340"/>
      <c r="ILE231" s="340"/>
      <c r="ILF231" s="340"/>
      <c r="ILG231" s="340"/>
      <c r="ILH231" s="340"/>
      <c r="ILI231" s="340"/>
      <c r="ILJ231" s="340"/>
      <c r="ILK231" s="340"/>
      <c r="ILL231" s="340"/>
      <c r="ILM231" s="340"/>
      <c r="ILN231" s="340"/>
      <c r="ILO231" s="340"/>
      <c r="ILP231" s="340"/>
      <c r="ILQ231" s="340"/>
      <c r="ILR231" s="340"/>
      <c r="ILS231" s="340"/>
      <c r="ILT231" s="340"/>
      <c r="ILU231" s="340"/>
      <c r="ILV231" s="340"/>
      <c r="ILW231" s="340"/>
      <c r="ILX231" s="340"/>
      <c r="ILY231" s="340"/>
      <c r="ILZ231" s="340"/>
      <c r="IMA231" s="340"/>
      <c r="IMB231" s="340"/>
      <c r="IMC231" s="340"/>
      <c r="IMD231" s="340"/>
      <c r="IME231" s="340"/>
      <c r="IMF231" s="340"/>
      <c r="IMG231" s="340"/>
      <c r="IMH231" s="340"/>
      <c r="IMI231" s="340"/>
      <c r="IMJ231" s="340"/>
      <c r="IMK231" s="340"/>
      <c r="IML231" s="340"/>
      <c r="IMM231" s="340"/>
      <c r="IMN231" s="340"/>
      <c r="IMO231" s="340"/>
      <c r="IMP231" s="340"/>
      <c r="IMQ231" s="340"/>
      <c r="IMR231" s="340"/>
      <c r="IMS231" s="340"/>
      <c r="IMT231" s="340"/>
      <c r="IMU231" s="340"/>
      <c r="IMV231" s="340"/>
      <c r="IMW231" s="340"/>
      <c r="IMX231" s="340"/>
      <c r="IMY231" s="340"/>
      <c r="IMZ231" s="340"/>
      <c r="INA231" s="340"/>
      <c r="INB231" s="340"/>
      <c r="INC231" s="340"/>
      <c r="IND231" s="340"/>
      <c r="INE231" s="340"/>
      <c r="INF231" s="340"/>
      <c r="ING231" s="340"/>
      <c r="INH231" s="340"/>
      <c r="INI231" s="340"/>
      <c r="INJ231" s="340"/>
      <c r="INK231" s="340"/>
      <c r="INL231" s="340"/>
      <c r="INM231" s="340"/>
      <c r="INN231" s="340"/>
      <c r="INO231" s="340"/>
      <c r="INP231" s="340"/>
      <c r="INQ231" s="340"/>
      <c r="INR231" s="340"/>
      <c r="INS231" s="340"/>
      <c r="INT231" s="340"/>
      <c r="INU231" s="340"/>
      <c r="INV231" s="340"/>
      <c r="INW231" s="340"/>
      <c r="INX231" s="340"/>
      <c r="INY231" s="340"/>
      <c r="INZ231" s="340"/>
      <c r="IOA231" s="340"/>
      <c r="IOB231" s="340"/>
      <c r="IOC231" s="340"/>
      <c r="IOD231" s="340"/>
      <c r="IOE231" s="340"/>
      <c r="IOF231" s="340"/>
      <c r="IOG231" s="340"/>
      <c r="IOH231" s="340"/>
      <c r="IOI231" s="340"/>
      <c r="IOJ231" s="340"/>
      <c r="IOK231" s="340"/>
      <c r="IOL231" s="340"/>
      <c r="IOM231" s="340"/>
      <c r="ION231" s="340"/>
      <c r="IOO231" s="340"/>
      <c r="IOP231" s="340"/>
      <c r="IOQ231" s="340"/>
      <c r="IOR231" s="340"/>
      <c r="IOS231" s="340"/>
      <c r="IOT231" s="340"/>
      <c r="IOU231" s="340"/>
      <c r="IOV231" s="340"/>
      <c r="IOW231" s="340"/>
      <c r="IOX231" s="340"/>
      <c r="IOY231" s="340"/>
      <c r="IOZ231" s="340"/>
      <c r="IPA231" s="340"/>
      <c r="IPB231" s="340"/>
      <c r="IPC231" s="340"/>
      <c r="IPD231" s="340"/>
      <c r="IPE231" s="340"/>
      <c r="IPF231" s="340"/>
      <c r="IPG231" s="340"/>
      <c r="IPH231" s="340"/>
      <c r="IPI231" s="340"/>
      <c r="IPJ231" s="340"/>
      <c r="IPK231" s="340"/>
      <c r="IPL231" s="340"/>
      <c r="IPM231" s="340"/>
      <c r="IPN231" s="340"/>
      <c r="IPO231" s="340"/>
      <c r="IPP231" s="340"/>
      <c r="IPQ231" s="340"/>
      <c r="IPR231" s="340"/>
      <c r="IPS231" s="340"/>
      <c r="IPT231" s="340"/>
      <c r="IPU231" s="340"/>
      <c r="IPV231" s="340"/>
      <c r="IPW231" s="340"/>
      <c r="IPX231" s="340"/>
      <c r="IPY231" s="340"/>
      <c r="IPZ231" s="340"/>
      <c r="IQA231" s="340"/>
      <c r="IQB231" s="340"/>
      <c r="IQC231" s="340"/>
      <c r="IQD231" s="340"/>
      <c r="IQE231" s="340"/>
      <c r="IQF231" s="340"/>
      <c r="IQG231" s="340"/>
      <c r="IQH231" s="340"/>
      <c r="IQI231" s="340"/>
      <c r="IQJ231" s="340"/>
      <c r="IQK231" s="340"/>
      <c r="IQL231" s="340"/>
      <c r="IQM231" s="340"/>
      <c r="IQN231" s="340"/>
      <c r="IQO231" s="340"/>
      <c r="IQP231" s="340"/>
      <c r="IQQ231" s="340"/>
      <c r="IQR231" s="340"/>
      <c r="IQS231" s="340"/>
      <c r="IQT231" s="340"/>
      <c r="IQU231" s="340"/>
      <c r="IQV231" s="340"/>
      <c r="IQW231" s="340"/>
      <c r="IQX231" s="340"/>
      <c r="IQY231" s="340"/>
      <c r="IQZ231" s="340"/>
      <c r="IRA231" s="340"/>
      <c r="IRB231" s="340"/>
      <c r="IRC231" s="340"/>
      <c r="IRD231" s="340"/>
      <c r="IRE231" s="340"/>
      <c r="IRF231" s="340"/>
      <c r="IRG231" s="340"/>
      <c r="IRH231" s="340"/>
      <c r="IRI231" s="340"/>
      <c r="IRJ231" s="340"/>
      <c r="IRK231" s="340"/>
      <c r="IRL231" s="340"/>
      <c r="IRM231" s="340"/>
      <c r="IRN231" s="340"/>
      <c r="IRO231" s="340"/>
      <c r="IRP231" s="340"/>
      <c r="IRQ231" s="340"/>
      <c r="IRR231" s="340"/>
      <c r="IRS231" s="340"/>
      <c r="IRT231" s="340"/>
      <c r="IRU231" s="340"/>
      <c r="IRV231" s="340"/>
      <c r="IRW231" s="340"/>
      <c r="IRX231" s="340"/>
      <c r="IRY231" s="340"/>
      <c r="IRZ231" s="340"/>
      <c r="ISA231" s="340"/>
      <c r="ISB231" s="340"/>
      <c r="ISC231" s="340"/>
      <c r="ISD231" s="340"/>
      <c r="ISE231" s="340"/>
      <c r="ISF231" s="340"/>
      <c r="ISG231" s="340"/>
      <c r="ISH231" s="340"/>
      <c r="ISI231" s="340"/>
      <c r="ISJ231" s="340"/>
      <c r="ISK231" s="340"/>
      <c r="ISL231" s="340"/>
      <c r="ISM231" s="340"/>
      <c r="ISN231" s="340"/>
      <c r="ISO231" s="340"/>
      <c r="ISP231" s="340"/>
      <c r="ISQ231" s="340"/>
      <c r="ISR231" s="340"/>
      <c r="ISS231" s="340"/>
      <c r="IST231" s="340"/>
      <c r="ISU231" s="340"/>
      <c r="ISV231" s="340"/>
      <c r="ISW231" s="340"/>
      <c r="ISX231" s="340"/>
      <c r="ISY231" s="340"/>
      <c r="ISZ231" s="340"/>
      <c r="ITA231" s="340"/>
      <c r="ITB231" s="340"/>
      <c r="ITC231" s="340"/>
      <c r="ITD231" s="340"/>
      <c r="ITE231" s="340"/>
      <c r="ITF231" s="340"/>
      <c r="ITG231" s="340"/>
      <c r="ITH231" s="340"/>
      <c r="ITI231" s="340"/>
      <c r="ITJ231" s="340"/>
      <c r="ITK231" s="340"/>
      <c r="ITL231" s="340"/>
      <c r="ITM231" s="340"/>
      <c r="ITN231" s="340"/>
      <c r="ITO231" s="340"/>
      <c r="ITP231" s="340"/>
      <c r="ITQ231" s="340"/>
      <c r="ITR231" s="340"/>
      <c r="ITS231" s="340"/>
      <c r="ITT231" s="340"/>
      <c r="ITU231" s="340"/>
      <c r="ITV231" s="340"/>
      <c r="ITW231" s="340"/>
      <c r="ITX231" s="340"/>
      <c r="ITY231" s="340"/>
      <c r="ITZ231" s="340"/>
      <c r="IUA231" s="340"/>
      <c r="IUB231" s="340"/>
      <c r="IUC231" s="340"/>
      <c r="IUD231" s="340"/>
      <c r="IUE231" s="340"/>
      <c r="IUF231" s="340"/>
      <c r="IUG231" s="340"/>
      <c r="IUH231" s="340"/>
      <c r="IUI231" s="340"/>
      <c r="IUJ231" s="340"/>
      <c r="IUK231" s="340"/>
      <c r="IUL231" s="340"/>
      <c r="IUM231" s="340"/>
      <c r="IUN231" s="340"/>
      <c r="IUO231" s="340"/>
      <c r="IUP231" s="340"/>
      <c r="IUQ231" s="340"/>
      <c r="IUR231" s="340"/>
      <c r="IUS231" s="340"/>
      <c r="IUT231" s="340"/>
      <c r="IUU231" s="340"/>
      <c r="IUV231" s="340"/>
      <c r="IUW231" s="340"/>
      <c r="IUX231" s="340"/>
      <c r="IUY231" s="340"/>
      <c r="IUZ231" s="340"/>
      <c r="IVA231" s="340"/>
      <c r="IVB231" s="340"/>
      <c r="IVC231" s="340"/>
      <c r="IVD231" s="340"/>
      <c r="IVE231" s="340"/>
      <c r="IVF231" s="340"/>
      <c r="IVG231" s="340"/>
      <c r="IVH231" s="340"/>
      <c r="IVI231" s="340"/>
      <c r="IVJ231" s="340"/>
      <c r="IVK231" s="340"/>
      <c r="IVL231" s="340"/>
      <c r="IVM231" s="340"/>
      <c r="IVN231" s="340"/>
      <c r="IVO231" s="340"/>
      <c r="IVP231" s="340"/>
      <c r="IVQ231" s="340"/>
      <c r="IVR231" s="340"/>
      <c r="IVS231" s="340"/>
      <c r="IVT231" s="340"/>
      <c r="IVU231" s="340"/>
      <c r="IVV231" s="340"/>
      <c r="IVW231" s="340"/>
      <c r="IVX231" s="340"/>
      <c r="IVY231" s="340"/>
      <c r="IVZ231" s="340"/>
      <c r="IWA231" s="340"/>
      <c r="IWB231" s="340"/>
      <c r="IWC231" s="340"/>
      <c r="IWD231" s="340"/>
      <c r="IWE231" s="340"/>
      <c r="IWF231" s="340"/>
      <c r="IWG231" s="340"/>
      <c r="IWH231" s="340"/>
      <c r="IWI231" s="340"/>
      <c r="IWJ231" s="340"/>
      <c r="IWK231" s="340"/>
      <c r="IWL231" s="340"/>
      <c r="IWM231" s="340"/>
      <c r="IWN231" s="340"/>
      <c r="IWO231" s="340"/>
      <c r="IWP231" s="340"/>
      <c r="IWQ231" s="340"/>
      <c r="IWR231" s="340"/>
      <c r="IWS231" s="340"/>
      <c r="IWT231" s="340"/>
      <c r="IWU231" s="340"/>
      <c r="IWV231" s="340"/>
      <c r="IWW231" s="340"/>
      <c r="IWX231" s="340"/>
      <c r="IWY231" s="340"/>
      <c r="IWZ231" s="340"/>
      <c r="IXA231" s="340"/>
      <c r="IXB231" s="340"/>
      <c r="IXC231" s="340"/>
      <c r="IXD231" s="340"/>
      <c r="IXE231" s="340"/>
      <c r="IXF231" s="340"/>
      <c r="IXG231" s="340"/>
      <c r="IXH231" s="340"/>
      <c r="IXI231" s="340"/>
      <c r="IXJ231" s="340"/>
      <c r="IXK231" s="340"/>
      <c r="IXL231" s="340"/>
      <c r="IXM231" s="340"/>
      <c r="IXN231" s="340"/>
      <c r="IXO231" s="340"/>
      <c r="IXP231" s="340"/>
      <c r="IXQ231" s="340"/>
      <c r="IXR231" s="340"/>
      <c r="IXS231" s="340"/>
      <c r="IXT231" s="340"/>
      <c r="IXU231" s="340"/>
      <c r="IXV231" s="340"/>
      <c r="IXW231" s="340"/>
      <c r="IXX231" s="340"/>
      <c r="IXY231" s="340"/>
      <c r="IXZ231" s="340"/>
      <c r="IYA231" s="340"/>
      <c r="IYB231" s="340"/>
      <c r="IYC231" s="340"/>
      <c r="IYD231" s="340"/>
      <c r="IYE231" s="340"/>
      <c r="IYF231" s="340"/>
      <c r="IYG231" s="340"/>
      <c r="IYH231" s="340"/>
      <c r="IYI231" s="340"/>
      <c r="IYJ231" s="340"/>
      <c r="IYK231" s="340"/>
      <c r="IYL231" s="340"/>
      <c r="IYM231" s="340"/>
      <c r="IYN231" s="340"/>
      <c r="IYO231" s="340"/>
      <c r="IYP231" s="340"/>
      <c r="IYQ231" s="340"/>
      <c r="IYR231" s="340"/>
      <c r="IYS231" s="340"/>
      <c r="IYT231" s="340"/>
      <c r="IYU231" s="340"/>
      <c r="IYV231" s="340"/>
      <c r="IYW231" s="340"/>
      <c r="IYX231" s="340"/>
      <c r="IYY231" s="340"/>
      <c r="IYZ231" s="340"/>
      <c r="IZA231" s="340"/>
      <c r="IZB231" s="340"/>
      <c r="IZC231" s="340"/>
      <c r="IZD231" s="340"/>
      <c r="IZE231" s="340"/>
      <c r="IZF231" s="340"/>
      <c r="IZG231" s="340"/>
      <c r="IZH231" s="340"/>
      <c r="IZI231" s="340"/>
      <c r="IZJ231" s="340"/>
      <c r="IZK231" s="340"/>
      <c r="IZL231" s="340"/>
      <c r="IZM231" s="340"/>
      <c r="IZN231" s="340"/>
      <c r="IZO231" s="340"/>
      <c r="IZP231" s="340"/>
      <c r="IZQ231" s="340"/>
      <c r="IZR231" s="340"/>
      <c r="IZS231" s="340"/>
      <c r="IZT231" s="340"/>
      <c r="IZU231" s="340"/>
      <c r="IZV231" s="340"/>
      <c r="IZW231" s="340"/>
      <c r="IZX231" s="340"/>
      <c r="IZY231" s="340"/>
      <c r="IZZ231" s="340"/>
      <c r="JAA231" s="340"/>
      <c r="JAB231" s="340"/>
      <c r="JAC231" s="340"/>
      <c r="JAD231" s="340"/>
      <c r="JAE231" s="340"/>
      <c r="JAF231" s="340"/>
      <c r="JAG231" s="340"/>
      <c r="JAH231" s="340"/>
      <c r="JAI231" s="340"/>
      <c r="JAJ231" s="340"/>
      <c r="JAK231" s="340"/>
      <c r="JAL231" s="340"/>
      <c r="JAM231" s="340"/>
      <c r="JAN231" s="340"/>
      <c r="JAO231" s="340"/>
      <c r="JAP231" s="340"/>
      <c r="JAQ231" s="340"/>
      <c r="JAR231" s="340"/>
      <c r="JAS231" s="340"/>
      <c r="JAT231" s="340"/>
      <c r="JAU231" s="340"/>
      <c r="JAV231" s="340"/>
      <c r="JAW231" s="340"/>
      <c r="JAX231" s="340"/>
      <c r="JAY231" s="340"/>
      <c r="JAZ231" s="340"/>
      <c r="JBA231" s="340"/>
      <c r="JBB231" s="340"/>
      <c r="JBC231" s="340"/>
      <c r="JBD231" s="340"/>
      <c r="JBE231" s="340"/>
      <c r="JBF231" s="340"/>
      <c r="JBG231" s="340"/>
      <c r="JBH231" s="340"/>
      <c r="JBI231" s="340"/>
      <c r="JBJ231" s="340"/>
      <c r="JBK231" s="340"/>
      <c r="JBL231" s="340"/>
      <c r="JBM231" s="340"/>
      <c r="JBN231" s="340"/>
      <c r="JBO231" s="340"/>
      <c r="JBP231" s="340"/>
      <c r="JBQ231" s="340"/>
      <c r="JBR231" s="340"/>
      <c r="JBS231" s="340"/>
      <c r="JBT231" s="340"/>
      <c r="JBU231" s="340"/>
      <c r="JBV231" s="340"/>
      <c r="JBW231" s="340"/>
      <c r="JBX231" s="340"/>
      <c r="JBY231" s="340"/>
      <c r="JBZ231" s="340"/>
      <c r="JCA231" s="340"/>
      <c r="JCB231" s="340"/>
      <c r="JCC231" s="340"/>
      <c r="JCD231" s="340"/>
      <c r="JCE231" s="340"/>
      <c r="JCF231" s="340"/>
      <c r="JCG231" s="340"/>
      <c r="JCH231" s="340"/>
      <c r="JCI231" s="340"/>
      <c r="JCJ231" s="340"/>
      <c r="JCK231" s="340"/>
      <c r="JCL231" s="340"/>
      <c r="JCM231" s="340"/>
      <c r="JCN231" s="340"/>
      <c r="JCO231" s="340"/>
      <c r="JCP231" s="340"/>
      <c r="JCQ231" s="340"/>
      <c r="JCR231" s="340"/>
      <c r="JCS231" s="340"/>
      <c r="JCT231" s="340"/>
      <c r="JCU231" s="340"/>
      <c r="JCV231" s="340"/>
      <c r="JCW231" s="340"/>
      <c r="JCX231" s="340"/>
      <c r="JCY231" s="340"/>
      <c r="JCZ231" s="340"/>
      <c r="JDA231" s="340"/>
      <c r="JDB231" s="340"/>
      <c r="JDC231" s="340"/>
      <c r="JDD231" s="340"/>
      <c r="JDE231" s="340"/>
      <c r="JDF231" s="340"/>
      <c r="JDG231" s="340"/>
      <c r="JDH231" s="340"/>
      <c r="JDI231" s="340"/>
      <c r="JDJ231" s="340"/>
      <c r="JDK231" s="340"/>
      <c r="JDL231" s="340"/>
      <c r="JDM231" s="340"/>
      <c r="JDN231" s="340"/>
      <c r="JDO231" s="340"/>
      <c r="JDP231" s="340"/>
      <c r="JDQ231" s="340"/>
      <c r="JDR231" s="340"/>
      <c r="JDS231" s="340"/>
      <c r="JDT231" s="340"/>
      <c r="JDU231" s="340"/>
      <c r="JDV231" s="340"/>
      <c r="JDW231" s="340"/>
      <c r="JDX231" s="340"/>
      <c r="JDY231" s="340"/>
      <c r="JDZ231" s="340"/>
      <c r="JEA231" s="340"/>
      <c r="JEB231" s="340"/>
      <c r="JEC231" s="340"/>
      <c r="JED231" s="340"/>
      <c r="JEE231" s="340"/>
      <c r="JEF231" s="340"/>
      <c r="JEG231" s="340"/>
      <c r="JEH231" s="340"/>
      <c r="JEI231" s="340"/>
      <c r="JEJ231" s="340"/>
      <c r="JEK231" s="340"/>
      <c r="JEL231" s="340"/>
      <c r="JEM231" s="340"/>
      <c r="JEN231" s="340"/>
      <c r="JEO231" s="340"/>
      <c r="JEP231" s="340"/>
      <c r="JEQ231" s="340"/>
      <c r="JER231" s="340"/>
      <c r="JES231" s="340"/>
      <c r="JET231" s="340"/>
      <c r="JEU231" s="340"/>
      <c r="JEV231" s="340"/>
      <c r="JEW231" s="340"/>
      <c r="JEX231" s="340"/>
      <c r="JEY231" s="340"/>
      <c r="JEZ231" s="340"/>
      <c r="JFA231" s="340"/>
      <c r="JFB231" s="340"/>
      <c r="JFC231" s="340"/>
      <c r="JFD231" s="340"/>
      <c r="JFE231" s="340"/>
      <c r="JFF231" s="340"/>
      <c r="JFG231" s="340"/>
      <c r="JFH231" s="340"/>
      <c r="JFI231" s="340"/>
      <c r="JFJ231" s="340"/>
      <c r="JFK231" s="340"/>
      <c r="JFL231" s="340"/>
      <c r="JFM231" s="340"/>
      <c r="JFN231" s="340"/>
      <c r="JFO231" s="340"/>
      <c r="JFP231" s="340"/>
      <c r="JFQ231" s="340"/>
      <c r="JFR231" s="340"/>
      <c r="JFS231" s="340"/>
      <c r="JFT231" s="340"/>
      <c r="JFU231" s="340"/>
      <c r="JFV231" s="340"/>
      <c r="JFW231" s="340"/>
      <c r="JFX231" s="340"/>
      <c r="JFY231" s="340"/>
      <c r="JFZ231" s="340"/>
      <c r="JGA231" s="340"/>
      <c r="JGB231" s="340"/>
      <c r="JGC231" s="340"/>
      <c r="JGD231" s="340"/>
      <c r="JGE231" s="340"/>
      <c r="JGF231" s="340"/>
      <c r="JGG231" s="340"/>
      <c r="JGH231" s="340"/>
      <c r="JGI231" s="340"/>
      <c r="JGJ231" s="340"/>
      <c r="JGK231" s="340"/>
      <c r="JGL231" s="340"/>
      <c r="JGM231" s="340"/>
      <c r="JGN231" s="340"/>
      <c r="JGO231" s="340"/>
      <c r="JGP231" s="340"/>
      <c r="JGQ231" s="340"/>
      <c r="JGR231" s="340"/>
      <c r="JGS231" s="340"/>
      <c r="JGT231" s="340"/>
      <c r="JGU231" s="340"/>
      <c r="JGV231" s="340"/>
      <c r="JGW231" s="340"/>
      <c r="JGX231" s="340"/>
      <c r="JGY231" s="340"/>
      <c r="JGZ231" s="340"/>
      <c r="JHA231" s="340"/>
      <c r="JHB231" s="340"/>
      <c r="JHC231" s="340"/>
      <c r="JHD231" s="340"/>
      <c r="JHE231" s="340"/>
      <c r="JHF231" s="340"/>
      <c r="JHG231" s="340"/>
      <c r="JHH231" s="340"/>
      <c r="JHI231" s="340"/>
      <c r="JHJ231" s="340"/>
      <c r="JHK231" s="340"/>
      <c r="JHL231" s="340"/>
      <c r="JHM231" s="340"/>
      <c r="JHN231" s="340"/>
      <c r="JHO231" s="340"/>
      <c r="JHP231" s="340"/>
      <c r="JHQ231" s="340"/>
      <c r="JHR231" s="340"/>
      <c r="JHS231" s="340"/>
      <c r="JHT231" s="340"/>
      <c r="JHU231" s="340"/>
      <c r="JHV231" s="340"/>
      <c r="JHW231" s="340"/>
      <c r="JHX231" s="340"/>
      <c r="JHY231" s="340"/>
      <c r="JHZ231" s="340"/>
      <c r="JIA231" s="340"/>
      <c r="JIB231" s="340"/>
      <c r="JIC231" s="340"/>
      <c r="JID231" s="340"/>
      <c r="JIE231" s="340"/>
      <c r="JIF231" s="340"/>
      <c r="JIG231" s="340"/>
      <c r="JIH231" s="340"/>
      <c r="JII231" s="340"/>
      <c r="JIJ231" s="340"/>
      <c r="JIK231" s="340"/>
      <c r="JIL231" s="340"/>
      <c r="JIM231" s="340"/>
      <c r="JIN231" s="340"/>
      <c r="JIO231" s="340"/>
      <c r="JIP231" s="340"/>
      <c r="JIQ231" s="340"/>
      <c r="JIR231" s="340"/>
      <c r="JIS231" s="340"/>
      <c r="JIT231" s="340"/>
      <c r="JIU231" s="340"/>
      <c r="JIV231" s="340"/>
      <c r="JIW231" s="340"/>
      <c r="JIX231" s="340"/>
      <c r="JIY231" s="340"/>
      <c r="JIZ231" s="340"/>
      <c r="JJA231" s="340"/>
      <c r="JJB231" s="340"/>
      <c r="JJC231" s="340"/>
      <c r="JJD231" s="340"/>
      <c r="JJE231" s="340"/>
      <c r="JJF231" s="340"/>
      <c r="JJG231" s="340"/>
      <c r="JJH231" s="340"/>
      <c r="JJI231" s="340"/>
      <c r="JJJ231" s="340"/>
      <c r="JJK231" s="340"/>
      <c r="JJL231" s="340"/>
      <c r="JJM231" s="340"/>
      <c r="JJN231" s="340"/>
      <c r="JJO231" s="340"/>
      <c r="JJP231" s="340"/>
      <c r="JJQ231" s="340"/>
      <c r="JJR231" s="340"/>
      <c r="JJS231" s="340"/>
      <c r="JJT231" s="340"/>
      <c r="JJU231" s="340"/>
      <c r="JJV231" s="340"/>
      <c r="JJW231" s="340"/>
      <c r="JJX231" s="340"/>
      <c r="JJY231" s="340"/>
      <c r="JJZ231" s="340"/>
      <c r="JKA231" s="340"/>
      <c r="JKB231" s="340"/>
      <c r="JKC231" s="340"/>
      <c r="JKD231" s="340"/>
      <c r="JKE231" s="340"/>
      <c r="JKF231" s="340"/>
      <c r="JKG231" s="340"/>
      <c r="JKH231" s="340"/>
      <c r="JKI231" s="340"/>
      <c r="JKJ231" s="340"/>
      <c r="JKK231" s="340"/>
      <c r="JKL231" s="340"/>
      <c r="JKM231" s="340"/>
      <c r="JKN231" s="340"/>
      <c r="JKO231" s="340"/>
      <c r="JKP231" s="340"/>
      <c r="JKQ231" s="340"/>
      <c r="JKR231" s="340"/>
      <c r="JKS231" s="340"/>
      <c r="JKT231" s="340"/>
      <c r="JKU231" s="340"/>
      <c r="JKV231" s="340"/>
      <c r="JKW231" s="340"/>
      <c r="JKX231" s="340"/>
      <c r="JKY231" s="340"/>
      <c r="JKZ231" s="340"/>
      <c r="JLA231" s="340"/>
      <c r="JLB231" s="340"/>
      <c r="JLC231" s="340"/>
      <c r="JLD231" s="340"/>
      <c r="JLE231" s="340"/>
      <c r="JLF231" s="340"/>
      <c r="JLG231" s="340"/>
      <c r="JLH231" s="340"/>
      <c r="JLI231" s="340"/>
      <c r="JLJ231" s="340"/>
      <c r="JLK231" s="340"/>
      <c r="JLL231" s="340"/>
      <c r="JLM231" s="340"/>
      <c r="JLN231" s="340"/>
      <c r="JLO231" s="340"/>
      <c r="JLP231" s="340"/>
      <c r="JLQ231" s="340"/>
      <c r="JLR231" s="340"/>
      <c r="JLS231" s="340"/>
      <c r="JLT231" s="340"/>
      <c r="JLU231" s="340"/>
      <c r="JLV231" s="340"/>
      <c r="JLW231" s="340"/>
      <c r="JLX231" s="340"/>
      <c r="JLY231" s="340"/>
      <c r="JLZ231" s="340"/>
      <c r="JMA231" s="340"/>
      <c r="JMB231" s="340"/>
      <c r="JMC231" s="340"/>
      <c r="JMD231" s="340"/>
      <c r="JME231" s="340"/>
      <c r="JMF231" s="340"/>
      <c r="JMG231" s="340"/>
      <c r="JMH231" s="340"/>
      <c r="JMI231" s="340"/>
      <c r="JMJ231" s="340"/>
      <c r="JMK231" s="340"/>
      <c r="JML231" s="340"/>
      <c r="JMM231" s="340"/>
      <c r="JMN231" s="340"/>
      <c r="JMO231" s="340"/>
      <c r="JMP231" s="340"/>
      <c r="JMQ231" s="340"/>
      <c r="JMR231" s="340"/>
      <c r="JMS231" s="340"/>
      <c r="JMT231" s="340"/>
      <c r="JMU231" s="340"/>
      <c r="JMV231" s="340"/>
      <c r="JMW231" s="340"/>
      <c r="JMX231" s="340"/>
      <c r="JMY231" s="340"/>
      <c r="JMZ231" s="340"/>
      <c r="JNA231" s="340"/>
      <c r="JNB231" s="340"/>
      <c r="JNC231" s="340"/>
      <c r="JND231" s="340"/>
      <c r="JNE231" s="340"/>
      <c r="JNF231" s="340"/>
      <c r="JNG231" s="340"/>
      <c r="JNH231" s="340"/>
      <c r="JNI231" s="340"/>
      <c r="JNJ231" s="340"/>
      <c r="JNK231" s="340"/>
      <c r="JNL231" s="340"/>
      <c r="JNM231" s="340"/>
      <c r="JNN231" s="340"/>
      <c r="JNO231" s="340"/>
      <c r="JNP231" s="340"/>
      <c r="JNQ231" s="340"/>
      <c r="JNR231" s="340"/>
      <c r="JNS231" s="340"/>
      <c r="JNT231" s="340"/>
      <c r="JNU231" s="340"/>
      <c r="JNV231" s="340"/>
      <c r="JNW231" s="340"/>
      <c r="JNX231" s="340"/>
      <c r="JNY231" s="340"/>
      <c r="JNZ231" s="340"/>
      <c r="JOA231" s="340"/>
      <c r="JOB231" s="340"/>
      <c r="JOC231" s="340"/>
      <c r="JOD231" s="340"/>
      <c r="JOE231" s="340"/>
      <c r="JOF231" s="340"/>
      <c r="JOG231" s="340"/>
      <c r="JOH231" s="340"/>
      <c r="JOI231" s="340"/>
      <c r="JOJ231" s="340"/>
      <c r="JOK231" s="340"/>
      <c r="JOL231" s="340"/>
      <c r="JOM231" s="340"/>
      <c r="JON231" s="340"/>
      <c r="JOO231" s="340"/>
      <c r="JOP231" s="340"/>
      <c r="JOQ231" s="340"/>
      <c r="JOR231" s="340"/>
      <c r="JOS231" s="340"/>
      <c r="JOT231" s="340"/>
      <c r="JOU231" s="340"/>
      <c r="JOV231" s="340"/>
      <c r="JOW231" s="340"/>
      <c r="JOX231" s="340"/>
      <c r="JOY231" s="340"/>
      <c r="JOZ231" s="340"/>
      <c r="JPA231" s="340"/>
      <c r="JPB231" s="340"/>
      <c r="JPC231" s="340"/>
      <c r="JPD231" s="340"/>
      <c r="JPE231" s="340"/>
      <c r="JPF231" s="340"/>
      <c r="JPG231" s="340"/>
      <c r="JPH231" s="340"/>
      <c r="JPI231" s="340"/>
      <c r="JPJ231" s="340"/>
      <c r="JPK231" s="340"/>
      <c r="JPL231" s="340"/>
      <c r="JPM231" s="340"/>
      <c r="JPN231" s="340"/>
      <c r="JPO231" s="340"/>
      <c r="JPP231" s="340"/>
      <c r="JPQ231" s="340"/>
      <c r="JPR231" s="340"/>
      <c r="JPS231" s="340"/>
      <c r="JPT231" s="340"/>
      <c r="JPU231" s="340"/>
      <c r="JPV231" s="340"/>
      <c r="JPW231" s="340"/>
      <c r="JPX231" s="340"/>
      <c r="JPY231" s="340"/>
      <c r="JPZ231" s="340"/>
      <c r="JQA231" s="340"/>
      <c r="JQB231" s="340"/>
      <c r="JQC231" s="340"/>
      <c r="JQD231" s="340"/>
      <c r="JQE231" s="340"/>
      <c r="JQF231" s="340"/>
      <c r="JQG231" s="340"/>
      <c r="JQH231" s="340"/>
      <c r="JQI231" s="340"/>
      <c r="JQJ231" s="340"/>
      <c r="JQK231" s="340"/>
      <c r="JQL231" s="340"/>
      <c r="JQM231" s="340"/>
      <c r="JQN231" s="340"/>
      <c r="JQO231" s="340"/>
      <c r="JQP231" s="340"/>
      <c r="JQQ231" s="340"/>
      <c r="JQR231" s="340"/>
      <c r="JQS231" s="340"/>
      <c r="JQT231" s="340"/>
      <c r="JQU231" s="340"/>
      <c r="JQV231" s="340"/>
      <c r="JQW231" s="340"/>
      <c r="JQX231" s="340"/>
      <c r="JQY231" s="340"/>
      <c r="JQZ231" s="340"/>
      <c r="JRA231" s="340"/>
      <c r="JRB231" s="340"/>
      <c r="JRC231" s="340"/>
      <c r="JRD231" s="340"/>
      <c r="JRE231" s="340"/>
      <c r="JRF231" s="340"/>
      <c r="JRG231" s="340"/>
      <c r="JRH231" s="340"/>
      <c r="JRI231" s="340"/>
      <c r="JRJ231" s="340"/>
      <c r="JRK231" s="340"/>
      <c r="JRL231" s="340"/>
      <c r="JRM231" s="340"/>
      <c r="JRN231" s="340"/>
      <c r="JRO231" s="340"/>
      <c r="JRP231" s="340"/>
      <c r="JRQ231" s="340"/>
      <c r="JRR231" s="340"/>
      <c r="JRS231" s="340"/>
      <c r="JRT231" s="340"/>
      <c r="JRU231" s="340"/>
      <c r="JRV231" s="340"/>
      <c r="JRW231" s="340"/>
      <c r="JRX231" s="340"/>
      <c r="JRY231" s="340"/>
      <c r="JRZ231" s="340"/>
      <c r="JSA231" s="340"/>
      <c r="JSB231" s="340"/>
      <c r="JSC231" s="340"/>
      <c r="JSD231" s="340"/>
      <c r="JSE231" s="340"/>
      <c r="JSF231" s="340"/>
      <c r="JSG231" s="340"/>
      <c r="JSH231" s="340"/>
      <c r="JSI231" s="340"/>
      <c r="JSJ231" s="340"/>
      <c r="JSK231" s="340"/>
      <c r="JSL231" s="340"/>
      <c r="JSM231" s="340"/>
      <c r="JSN231" s="340"/>
      <c r="JSO231" s="340"/>
      <c r="JSP231" s="340"/>
      <c r="JSQ231" s="340"/>
      <c r="JSR231" s="340"/>
      <c r="JSS231" s="340"/>
      <c r="JST231" s="340"/>
      <c r="JSU231" s="340"/>
      <c r="JSV231" s="340"/>
      <c r="JSW231" s="340"/>
      <c r="JSX231" s="340"/>
      <c r="JSY231" s="340"/>
      <c r="JSZ231" s="340"/>
      <c r="JTA231" s="340"/>
      <c r="JTB231" s="340"/>
      <c r="JTC231" s="340"/>
      <c r="JTD231" s="340"/>
      <c r="JTE231" s="340"/>
      <c r="JTF231" s="340"/>
      <c r="JTG231" s="340"/>
      <c r="JTH231" s="340"/>
      <c r="JTI231" s="340"/>
      <c r="JTJ231" s="340"/>
      <c r="JTK231" s="340"/>
      <c r="JTL231" s="340"/>
      <c r="JTM231" s="340"/>
      <c r="JTN231" s="340"/>
      <c r="JTO231" s="340"/>
      <c r="JTP231" s="340"/>
      <c r="JTQ231" s="340"/>
      <c r="JTR231" s="340"/>
      <c r="JTS231" s="340"/>
      <c r="JTT231" s="340"/>
      <c r="JTU231" s="340"/>
      <c r="JTV231" s="340"/>
      <c r="JTW231" s="340"/>
      <c r="JTX231" s="340"/>
      <c r="JTY231" s="340"/>
      <c r="JTZ231" s="340"/>
      <c r="JUA231" s="340"/>
      <c r="JUB231" s="340"/>
      <c r="JUC231" s="340"/>
      <c r="JUD231" s="340"/>
      <c r="JUE231" s="340"/>
      <c r="JUF231" s="340"/>
      <c r="JUG231" s="340"/>
      <c r="JUH231" s="340"/>
      <c r="JUI231" s="340"/>
      <c r="JUJ231" s="340"/>
      <c r="JUK231" s="340"/>
      <c r="JUL231" s="340"/>
      <c r="JUM231" s="340"/>
      <c r="JUN231" s="340"/>
      <c r="JUO231" s="340"/>
      <c r="JUP231" s="340"/>
      <c r="JUQ231" s="340"/>
      <c r="JUR231" s="340"/>
      <c r="JUS231" s="340"/>
      <c r="JUT231" s="340"/>
      <c r="JUU231" s="340"/>
      <c r="JUV231" s="340"/>
      <c r="JUW231" s="340"/>
      <c r="JUX231" s="340"/>
      <c r="JUY231" s="340"/>
      <c r="JUZ231" s="340"/>
      <c r="JVA231" s="340"/>
      <c r="JVB231" s="340"/>
      <c r="JVC231" s="340"/>
      <c r="JVD231" s="340"/>
      <c r="JVE231" s="340"/>
      <c r="JVF231" s="340"/>
      <c r="JVG231" s="340"/>
      <c r="JVH231" s="340"/>
      <c r="JVI231" s="340"/>
      <c r="JVJ231" s="340"/>
      <c r="JVK231" s="340"/>
      <c r="JVL231" s="340"/>
      <c r="JVM231" s="340"/>
      <c r="JVN231" s="340"/>
      <c r="JVO231" s="340"/>
      <c r="JVP231" s="340"/>
      <c r="JVQ231" s="340"/>
      <c r="JVR231" s="340"/>
      <c r="JVS231" s="340"/>
      <c r="JVT231" s="340"/>
      <c r="JVU231" s="340"/>
      <c r="JVV231" s="340"/>
      <c r="JVW231" s="340"/>
      <c r="JVX231" s="340"/>
      <c r="JVY231" s="340"/>
      <c r="JVZ231" s="340"/>
      <c r="JWA231" s="340"/>
      <c r="JWB231" s="340"/>
      <c r="JWC231" s="340"/>
      <c r="JWD231" s="340"/>
      <c r="JWE231" s="340"/>
      <c r="JWF231" s="340"/>
      <c r="JWG231" s="340"/>
      <c r="JWH231" s="340"/>
      <c r="JWI231" s="340"/>
      <c r="JWJ231" s="340"/>
      <c r="JWK231" s="340"/>
      <c r="JWL231" s="340"/>
      <c r="JWM231" s="340"/>
      <c r="JWN231" s="340"/>
      <c r="JWO231" s="340"/>
      <c r="JWP231" s="340"/>
      <c r="JWQ231" s="340"/>
      <c r="JWR231" s="340"/>
      <c r="JWS231" s="340"/>
      <c r="JWT231" s="340"/>
      <c r="JWU231" s="340"/>
      <c r="JWV231" s="340"/>
      <c r="JWW231" s="340"/>
      <c r="JWX231" s="340"/>
      <c r="JWY231" s="340"/>
      <c r="JWZ231" s="340"/>
      <c r="JXA231" s="340"/>
      <c r="JXB231" s="340"/>
      <c r="JXC231" s="340"/>
      <c r="JXD231" s="340"/>
      <c r="JXE231" s="340"/>
      <c r="JXF231" s="340"/>
      <c r="JXG231" s="340"/>
      <c r="JXH231" s="340"/>
      <c r="JXI231" s="340"/>
      <c r="JXJ231" s="340"/>
      <c r="JXK231" s="340"/>
      <c r="JXL231" s="340"/>
      <c r="JXM231" s="340"/>
      <c r="JXN231" s="340"/>
      <c r="JXO231" s="340"/>
      <c r="JXP231" s="340"/>
      <c r="JXQ231" s="340"/>
      <c r="JXR231" s="340"/>
      <c r="JXS231" s="340"/>
      <c r="JXT231" s="340"/>
      <c r="JXU231" s="340"/>
      <c r="JXV231" s="340"/>
      <c r="JXW231" s="340"/>
      <c r="JXX231" s="340"/>
      <c r="JXY231" s="340"/>
      <c r="JXZ231" s="340"/>
      <c r="JYA231" s="340"/>
      <c r="JYB231" s="340"/>
      <c r="JYC231" s="340"/>
      <c r="JYD231" s="340"/>
      <c r="JYE231" s="340"/>
      <c r="JYF231" s="340"/>
      <c r="JYG231" s="340"/>
      <c r="JYH231" s="340"/>
      <c r="JYI231" s="340"/>
      <c r="JYJ231" s="340"/>
      <c r="JYK231" s="340"/>
      <c r="JYL231" s="340"/>
      <c r="JYM231" s="340"/>
      <c r="JYN231" s="340"/>
      <c r="JYO231" s="340"/>
      <c r="JYP231" s="340"/>
      <c r="JYQ231" s="340"/>
      <c r="JYR231" s="340"/>
      <c r="JYS231" s="340"/>
      <c r="JYT231" s="340"/>
      <c r="JYU231" s="340"/>
      <c r="JYV231" s="340"/>
      <c r="JYW231" s="340"/>
      <c r="JYX231" s="340"/>
      <c r="JYY231" s="340"/>
      <c r="JYZ231" s="340"/>
      <c r="JZA231" s="340"/>
      <c r="JZB231" s="340"/>
      <c r="JZC231" s="340"/>
      <c r="JZD231" s="340"/>
      <c r="JZE231" s="340"/>
      <c r="JZF231" s="340"/>
      <c r="JZG231" s="340"/>
      <c r="JZH231" s="340"/>
      <c r="JZI231" s="340"/>
      <c r="JZJ231" s="340"/>
      <c r="JZK231" s="340"/>
      <c r="JZL231" s="340"/>
      <c r="JZM231" s="340"/>
      <c r="JZN231" s="340"/>
      <c r="JZO231" s="340"/>
      <c r="JZP231" s="340"/>
      <c r="JZQ231" s="340"/>
      <c r="JZR231" s="340"/>
      <c r="JZS231" s="340"/>
      <c r="JZT231" s="340"/>
      <c r="JZU231" s="340"/>
      <c r="JZV231" s="340"/>
      <c r="JZW231" s="340"/>
      <c r="JZX231" s="340"/>
      <c r="JZY231" s="340"/>
      <c r="JZZ231" s="340"/>
      <c r="KAA231" s="340"/>
      <c r="KAB231" s="340"/>
      <c r="KAC231" s="340"/>
      <c r="KAD231" s="340"/>
      <c r="KAE231" s="340"/>
      <c r="KAF231" s="340"/>
      <c r="KAG231" s="340"/>
      <c r="KAH231" s="340"/>
      <c r="KAI231" s="340"/>
      <c r="KAJ231" s="340"/>
      <c r="KAK231" s="340"/>
      <c r="KAL231" s="340"/>
      <c r="KAM231" s="340"/>
      <c r="KAN231" s="340"/>
      <c r="KAO231" s="340"/>
      <c r="KAP231" s="340"/>
      <c r="KAQ231" s="340"/>
      <c r="KAR231" s="340"/>
      <c r="KAS231" s="340"/>
      <c r="KAT231" s="340"/>
      <c r="KAU231" s="340"/>
      <c r="KAV231" s="340"/>
      <c r="KAW231" s="340"/>
      <c r="KAX231" s="340"/>
      <c r="KAY231" s="340"/>
      <c r="KAZ231" s="340"/>
      <c r="KBA231" s="340"/>
      <c r="KBB231" s="340"/>
      <c r="KBC231" s="340"/>
      <c r="KBD231" s="340"/>
      <c r="KBE231" s="340"/>
      <c r="KBF231" s="340"/>
      <c r="KBG231" s="340"/>
      <c r="KBH231" s="340"/>
      <c r="KBI231" s="340"/>
      <c r="KBJ231" s="340"/>
      <c r="KBK231" s="340"/>
      <c r="KBL231" s="340"/>
      <c r="KBM231" s="340"/>
      <c r="KBN231" s="340"/>
      <c r="KBO231" s="340"/>
      <c r="KBP231" s="340"/>
      <c r="KBQ231" s="340"/>
      <c r="KBR231" s="340"/>
      <c r="KBS231" s="340"/>
      <c r="KBT231" s="340"/>
      <c r="KBU231" s="340"/>
      <c r="KBV231" s="340"/>
      <c r="KBW231" s="340"/>
      <c r="KBX231" s="340"/>
      <c r="KBY231" s="340"/>
      <c r="KBZ231" s="340"/>
      <c r="KCA231" s="340"/>
      <c r="KCB231" s="340"/>
      <c r="KCC231" s="340"/>
      <c r="KCD231" s="340"/>
      <c r="KCE231" s="340"/>
      <c r="KCF231" s="340"/>
      <c r="KCG231" s="340"/>
      <c r="KCH231" s="340"/>
      <c r="KCI231" s="340"/>
      <c r="KCJ231" s="340"/>
      <c r="KCK231" s="340"/>
      <c r="KCL231" s="340"/>
      <c r="KCM231" s="340"/>
      <c r="KCN231" s="340"/>
      <c r="KCO231" s="340"/>
      <c r="KCP231" s="340"/>
      <c r="KCQ231" s="340"/>
      <c r="KCR231" s="340"/>
      <c r="KCS231" s="340"/>
      <c r="KCT231" s="340"/>
      <c r="KCU231" s="340"/>
      <c r="KCV231" s="340"/>
      <c r="KCW231" s="340"/>
      <c r="KCX231" s="340"/>
      <c r="KCY231" s="340"/>
      <c r="KCZ231" s="340"/>
      <c r="KDA231" s="340"/>
      <c r="KDB231" s="340"/>
      <c r="KDC231" s="340"/>
      <c r="KDD231" s="340"/>
      <c r="KDE231" s="340"/>
      <c r="KDF231" s="340"/>
      <c r="KDG231" s="340"/>
      <c r="KDH231" s="340"/>
      <c r="KDI231" s="340"/>
      <c r="KDJ231" s="340"/>
      <c r="KDK231" s="340"/>
      <c r="KDL231" s="340"/>
      <c r="KDM231" s="340"/>
      <c r="KDN231" s="340"/>
      <c r="KDO231" s="340"/>
      <c r="KDP231" s="340"/>
      <c r="KDQ231" s="340"/>
      <c r="KDR231" s="340"/>
      <c r="KDS231" s="340"/>
      <c r="KDT231" s="340"/>
      <c r="KDU231" s="340"/>
      <c r="KDV231" s="340"/>
      <c r="KDW231" s="340"/>
      <c r="KDX231" s="340"/>
      <c r="KDY231" s="340"/>
      <c r="KDZ231" s="340"/>
      <c r="KEA231" s="340"/>
      <c r="KEB231" s="340"/>
      <c r="KEC231" s="340"/>
      <c r="KED231" s="340"/>
      <c r="KEE231" s="340"/>
      <c r="KEF231" s="340"/>
      <c r="KEG231" s="340"/>
      <c r="KEH231" s="340"/>
      <c r="KEI231" s="340"/>
      <c r="KEJ231" s="340"/>
      <c r="KEK231" s="340"/>
      <c r="KEL231" s="340"/>
      <c r="KEM231" s="340"/>
      <c r="KEN231" s="340"/>
      <c r="KEO231" s="340"/>
      <c r="KEP231" s="340"/>
      <c r="KEQ231" s="340"/>
      <c r="KER231" s="340"/>
      <c r="KES231" s="340"/>
      <c r="KET231" s="340"/>
      <c r="KEU231" s="340"/>
      <c r="KEV231" s="340"/>
      <c r="KEW231" s="340"/>
      <c r="KEX231" s="340"/>
      <c r="KEY231" s="340"/>
      <c r="KEZ231" s="340"/>
      <c r="KFA231" s="340"/>
      <c r="KFB231" s="340"/>
      <c r="KFC231" s="340"/>
      <c r="KFD231" s="340"/>
      <c r="KFE231" s="340"/>
      <c r="KFF231" s="340"/>
      <c r="KFG231" s="340"/>
      <c r="KFH231" s="340"/>
      <c r="KFI231" s="340"/>
      <c r="KFJ231" s="340"/>
      <c r="KFK231" s="340"/>
      <c r="KFL231" s="340"/>
      <c r="KFM231" s="340"/>
      <c r="KFN231" s="340"/>
      <c r="KFO231" s="340"/>
      <c r="KFP231" s="340"/>
      <c r="KFQ231" s="340"/>
      <c r="KFR231" s="340"/>
      <c r="KFS231" s="340"/>
      <c r="KFT231" s="340"/>
      <c r="KFU231" s="340"/>
      <c r="KFV231" s="340"/>
      <c r="KFW231" s="340"/>
      <c r="KFX231" s="340"/>
      <c r="KFY231" s="340"/>
      <c r="KFZ231" s="340"/>
      <c r="KGA231" s="340"/>
      <c r="KGB231" s="340"/>
      <c r="KGC231" s="340"/>
      <c r="KGD231" s="340"/>
      <c r="KGE231" s="340"/>
      <c r="KGF231" s="340"/>
      <c r="KGG231" s="340"/>
      <c r="KGH231" s="340"/>
      <c r="KGI231" s="340"/>
      <c r="KGJ231" s="340"/>
      <c r="KGK231" s="340"/>
      <c r="KGL231" s="340"/>
      <c r="KGM231" s="340"/>
      <c r="KGN231" s="340"/>
      <c r="KGO231" s="340"/>
      <c r="KGP231" s="340"/>
      <c r="KGQ231" s="340"/>
      <c r="KGR231" s="340"/>
      <c r="KGS231" s="340"/>
      <c r="KGT231" s="340"/>
      <c r="KGU231" s="340"/>
      <c r="KGV231" s="340"/>
      <c r="KGW231" s="340"/>
      <c r="KGX231" s="340"/>
      <c r="KGY231" s="340"/>
      <c r="KGZ231" s="340"/>
      <c r="KHA231" s="340"/>
      <c r="KHB231" s="340"/>
      <c r="KHC231" s="340"/>
      <c r="KHD231" s="340"/>
      <c r="KHE231" s="340"/>
      <c r="KHF231" s="340"/>
      <c r="KHG231" s="340"/>
      <c r="KHH231" s="340"/>
      <c r="KHI231" s="340"/>
      <c r="KHJ231" s="340"/>
      <c r="KHK231" s="340"/>
      <c r="KHL231" s="340"/>
      <c r="KHM231" s="340"/>
      <c r="KHN231" s="340"/>
      <c r="KHO231" s="340"/>
      <c r="KHP231" s="340"/>
      <c r="KHQ231" s="340"/>
      <c r="KHR231" s="340"/>
      <c r="KHS231" s="340"/>
      <c r="KHT231" s="340"/>
      <c r="KHU231" s="340"/>
      <c r="KHV231" s="340"/>
      <c r="KHW231" s="340"/>
      <c r="KHX231" s="340"/>
      <c r="KHY231" s="340"/>
      <c r="KHZ231" s="340"/>
      <c r="KIA231" s="340"/>
      <c r="KIB231" s="340"/>
      <c r="KIC231" s="340"/>
      <c r="KID231" s="340"/>
      <c r="KIE231" s="340"/>
      <c r="KIF231" s="340"/>
      <c r="KIG231" s="340"/>
      <c r="KIH231" s="340"/>
      <c r="KII231" s="340"/>
      <c r="KIJ231" s="340"/>
      <c r="KIK231" s="340"/>
      <c r="KIL231" s="340"/>
      <c r="KIM231" s="340"/>
      <c r="KIN231" s="340"/>
      <c r="KIO231" s="340"/>
      <c r="KIP231" s="340"/>
      <c r="KIQ231" s="340"/>
      <c r="KIR231" s="340"/>
      <c r="KIS231" s="340"/>
      <c r="KIT231" s="340"/>
      <c r="KIU231" s="340"/>
      <c r="KIV231" s="340"/>
      <c r="KIW231" s="340"/>
      <c r="KIX231" s="340"/>
      <c r="KIY231" s="340"/>
      <c r="KIZ231" s="340"/>
      <c r="KJA231" s="340"/>
      <c r="KJB231" s="340"/>
      <c r="KJC231" s="340"/>
      <c r="KJD231" s="340"/>
      <c r="KJE231" s="340"/>
      <c r="KJF231" s="340"/>
      <c r="KJG231" s="340"/>
      <c r="KJH231" s="340"/>
      <c r="KJI231" s="340"/>
      <c r="KJJ231" s="340"/>
      <c r="KJK231" s="340"/>
      <c r="KJL231" s="340"/>
      <c r="KJM231" s="340"/>
      <c r="KJN231" s="340"/>
      <c r="KJO231" s="340"/>
      <c r="KJP231" s="340"/>
      <c r="KJQ231" s="340"/>
      <c r="KJR231" s="340"/>
      <c r="KJS231" s="340"/>
      <c r="KJT231" s="340"/>
      <c r="KJU231" s="340"/>
      <c r="KJV231" s="340"/>
      <c r="KJW231" s="340"/>
      <c r="KJX231" s="340"/>
      <c r="KJY231" s="340"/>
      <c r="KJZ231" s="340"/>
      <c r="KKA231" s="340"/>
      <c r="KKB231" s="340"/>
      <c r="KKC231" s="340"/>
      <c r="KKD231" s="340"/>
      <c r="KKE231" s="340"/>
      <c r="KKF231" s="340"/>
      <c r="KKG231" s="340"/>
      <c r="KKH231" s="340"/>
      <c r="KKI231" s="340"/>
      <c r="KKJ231" s="340"/>
      <c r="KKK231" s="340"/>
      <c r="KKL231" s="340"/>
      <c r="KKM231" s="340"/>
      <c r="KKN231" s="340"/>
      <c r="KKO231" s="340"/>
      <c r="KKP231" s="340"/>
      <c r="KKQ231" s="340"/>
      <c r="KKR231" s="340"/>
      <c r="KKS231" s="340"/>
      <c r="KKT231" s="340"/>
      <c r="KKU231" s="340"/>
      <c r="KKV231" s="340"/>
      <c r="KKW231" s="340"/>
      <c r="KKX231" s="340"/>
      <c r="KKY231" s="340"/>
      <c r="KKZ231" s="340"/>
      <c r="KLA231" s="340"/>
      <c r="KLB231" s="340"/>
      <c r="KLC231" s="340"/>
      <c r="KLD231" s="340"/>
      <c r="KLE231" s="340"/>
      <c r="KLF231" s="340"/>
      <c r="KLG231" s="340"/>
      <c r="KLH231" s="340"/>
      <c r="KLI231" s="340"/>
      <c r="KLJ231" s="340"/>
      <c r="KLK231" s="340"/>
      <c r="KLL231" s="340"/>
      <c r="KLM231" s="340"/>
      <c r="KLN231" s="340"/>
      <c r="KLO231" s="340"/>
      <c r="KLP231" s="340"/>
      <c r="KLQ231" s="340"/>
      <c r="KLR231" s="340"/>
      <c r="KLS231" s="340"/>
      <c r="KLT231" s="340"/>
      <c r="KLU231" s="340"/>
      <c r="KLV231" s="340"/>
      <c r="KLW231" s="340"/>
      <c r="KLX231" s="340"/>
      <c r="KLY231" s="340"/>
      <c r="KLZ231" s="340"/>
      <c r="KMA231" s="340"/>
      <c r="KMB231" s="340"/>
      <c r="KMC231" s="340"/>
      <c r="KMD231" s="340"/>
      <c r="KME231" s="340"/>
      <c r="KMF231" s="340"/>
      <c r="KMG231" s="340"/>
      <c r="KMH231" s="340"/>
      <c r="KMI231" s="340"/>
      <c r="KMJ231" s="340"/>
      <c r="KMK231" s="340"/>
      <c r="KML231" s="340"/>
      <c r="KMM231" s="340"/>
      <c r="KMN231" s="340"/>
      <c r="KMO231" s="340"/>
      <c r="KMP231" s="340"/>
      <c r="KMQ231" s="340"/>
      <c r="KMR231" s="340"/>
      <c r="KMS231" s="340"/>
      <c r="KMT231" s="340"/>
      <c r="KMU231" s="340"/>
      <c r="KMV231" s="340"/>
      <c r="KMW231" s="340"/>
      <c r="KMX231" s="340"/>
      <c r="KMY231" s="340"/>
      <c r="KMZ231" s="340"/>
      <c r="KNA231" s="340"/>
      <c r="KNB231" s="340"/>
      <c r="KNC231" s="340"/>
      <c r="KND231" s="340"/>
      <c r="KNE231" s="340"/>
      <c r="KNF231" s="340"/>
      <c r="KNG231" s="340"/>
      <c r="KNH231" s="340"/>
      <c r="KNI231" s="340"/>
      <c r="KNJ231" s="340"/>
      <c r="KNK231" s="340"/>
      <c r="KNL231" s="340"/>
      <c r="KNM231" s="340"/>
      <c r="KNN231" s="340"/>
      <c r="KNO231" s="340"/>
      <c r="KNP231" s="340"/>
      <c r="KNQ231" s="340"/>
      <c r="KNR231" s="340"/>
      <c r="KNS231" s="340"/>
      <c r="KNT231" s="340"/>
      <c r="KNU231" s="340"/>
      <c r="KNV231" s="340"/>
      <c r="KNW231" s="340"/>
      <c r="KNX231" s="340"/>
      <c r="KNY231" s="340"/>
      <c r="KNZ231" s="340"/>
      <c r="KOA231" s="340"/>
      <c r="KOB231" s="340"/>
      <c r="KOC231" s="340"/>
      <c r="KOD231" s="340"/>
      <c r="KOE231" s="340"/>
      <c r="KOF231" s="340"/>
      <c r="KOG231" s="340"/>
      <c r="KOH231" s="340"/>
      <c r="KOI231" s="340"/>
      <c r="KOJ231" s="340"/>
      <c r="KOK231" s="340"/>
      <c r="KOL231" s="340"/>
      <c r="KOM231" s="340"/>
      <c r="KON231" s="340"/>
      <c r="KOO231" s="340"/>
      <c r="KOP231" s="340"/>
      <c r="KOQ231" s="340"/>
      <c r="KOR231" s="340"/>
      <c r="KOS231" s="340"/>
      <c r="KOT231" s="340"/>
      <c r="KOU231" s="340"/>
      <c r="KOV231" s="340"/>
      <c r="KOW231" s="340"/>
      <c r="KOX231" s="340"/>
      <c r="KOY231" s="340"/>
      <c r="KOZ231" s="340"/>
      <c r="KPA231" s="340"/>
      <c r="KPB231" s="340"/>
      <c r="KPC231" s="340"/>
      <c r="KPD231" s="340"/>
      <c r="KPE231" s="340"/>
      <c r="KPF231" s="340"/>
      <c r="KPG231" s="340"/>
      <c r="KPH231" s="340"/>
      <c r="KPI231" s="340"/>
      <c r="KPJ231" s="340"/>
      <c r="KPK231" s="340"/>
      <c r="KPL231" s="340"/>
      <c r="KPM231" s="340"/>
      <c r="KPN231" s="340"/>
      <c r="KPO231" s="340"/>
      <c r="KPP231" s="340"/>
      <c r="KPQ231" s="340"/>
      <c r="KPR231" s="340"/>
      <c r="KPS231" s="340"/>
      <c r="KPT231" s="340"/>
      <c r="KPU231" s="340"/>
      <c r="KPV231" s="340"/>
      <c r="KPW231" s="340"/>
      <c r="KPX231" s="340"/>
      <c r="KPY231" s="340"/>
      <c r="KPZ231" s="340"/>
      <c r="KQA231" s="340"/>
      <c r="KQB231" s="340"/>
      <c r="KQC231" s="340"/>
      <c r="KQD231" s="340"/>
      <c r="KQE231" s="340"/>
      <c r="KQF231" s="340"/>
      <c r="KQG231" s="340"/>
      <c r="KQH231" s="340"/>
      <c r="KQI231" s="340"/>
      <c r="KQJ231" s="340"/>
      <c r="KQK231" s="340"/>
      <c r="KQL231" s="340"/>
      <c r="KQM231" s="340"/>
      <c r="KQN231" s="340"/>
      <c r="KQO231" s="340"/>
      <c r="KQP231" s="340"/>
      <c r="KQQ231" s="340"/>
      <c r="KQR231" s="340"/>
      <c r="KQS231" s="340"/>
      <c r="KQT231" s="340"/>
      <c r="KQU231" s="340"/>
      <c r="KQV231" s="340"/>
      <c r="KQW231" s="340"/>
      <c r="KQX231" s="340"/>
      <c r="KQY231" s="340"/>
      <c r="KQZ231" s="340"/>
      <c r="KRA231" s="340"/>
      <c r="KRB231" s="340"/>
      <c r="KRC231" s="340"/>
      <c r="KRD231" s="340"/>
      <c r="KRE231" s="340"/>
      <c r="KRF231" s="340"/>
      <c r="KRG231" s="340"/>
      <c r="KRH231" s="340"/>
      <c r="KRI231" s="340"/>
      <c r="KRJ231" s="340"/>
      <c r="KRK231" s="340"/>
      <c r="KRL231" s="340"/>
      <c r="KRM231" s="340"/>
      <c r="KRN231" s="340"/>
      <c r="KRO231" s="340"/>
      <c r="KRP231" s="340"/>
      <c r="KRQ231" s="340"/>
      <c r="KRR231" s="340"/>
      <c r="KRS231" s="340"/>
      <c r="KRT231" s="340"/>
      <c r="KRU231" s="340"/>
      <c r="KRV231" s="340"/>
      <c r="KRW231" s="340"/>
      <c r="KRX231" s="340"/>
      <c r="KRY231" s="340"/>
      <c r="KRZ231" s="340"/>
      <c r="KSA231" s="340"/>
      <c r="KSB231" s="340"/>
      <c r="KSC231" s="340"/>
      <c r="KSD231" s="340"/>
      <c r="KSE231" s="340"/>
      <c r="KSF231" s="340"/>
      <c r="KSG231" s="340"/>
      <c r="KSH231" s="340"/>
      <c r="KSI231" s="340"/>
      <c r="KSJ231" s="340"/>
      <c r="KSK231" s="340"/>
      <c r="KSL231" s="340"/>
      <c r="KSM231" s="340"/>
      <c r="KSN231" s="340"/>
      <c r="KSO231" s="340"/>
      <c r="KSP231" s="340"/>
      <c r="KSQ231" s="340"/>
      <c r="KSR231" s="340"/>
      <c r="KSS231" s="340"/>
      <c r="KST231" s="340"/>
      <c r="KSU231" s="340"/>
      <c r="KSV231" s="340"/>
      <c r="KSW231" s="340"/>
      <c r="KSX231" s="340"/>
      <c r="KSY231" s="340"/>
      <c r="KSZ231" s="340"/>
      <c r="KTA231" s="340"/>
      <c r="KTB231" s="340"/>
      <c r="KTC231" s="340"/>
      <c r="KTD231" s="340"/>
      <c r="KTE231" s="340"/>
      <c r="KTF231" s="340"/>
      <c r="KTG231" s="340"/>
      <c r="KTH231" s="340"/>
      <c r="KTI231" s="340"/>
      <c r="KTJ231" s="340"/>
      <c r="KTK231" s="340"/>
      <c r="KTL231" s="340"/>
      <c r="KTM231" s="340"/>
      <c r="KTN231" s="340"/>
      <c r="KTO231" s="340"/>
      <c r="KTP231" s="340"/>
      <c r="KTQ231" s="340"/>
      <c r="KTR231" s="340"/>
      <c r="KTS231" s="340"/>
      <c r="KTT231" s="340"/>
      <c r="KTU231" s="340"/>
      <c r="KTV231" s="340"/>
      <c r="KTW231" s="340"/>
      <c r="KTX231" s="340"/>
      <c r="KTY231" s="340"/>
      <c r="KTZ231" s="340"/>
      <c r="KUA231" s="340"/>
      <c r="KUB231" s="340"/>
      <c r="KUC231" s="340"/>
      <c r="KUD231" s="340"/>
      <c r="KUE231" s="340"/>
      <c r="KUF231" s="340"/>
      <c r="KUG231" s="340"/>
      <c r="KUH231" s="340"/>
      <c r="KUI231" s="340"/>
      <c r="KUJ231" s="340"/>
      <c r="KUK231" s="340"/>
      <c r="KUL231" s="340"/>
      <c r="KUM231" s="340"/>
      <c r="KUN231" s="340"/>
      <c r="KUO231" s="340"/>
      <c r="KUP231" s="340"/>
      <c r="KUQ231" s="340"/>
      <c r="KUR231" s="340"/>
      <c r="KUS231" s="340"/>
      <c r="KUT231" s="340"/>
      <c r="KUU231" s="340"/>
      <c r="KUV231" s="340"/>
      <c r="KUW231" s="340"/>
      <c r="KUX231" s="340"/>
      <c r="KUY231" s="340"/>
      <c r="KUZ231" s="340"/>
      <c r="KVA231" s="340"/>
      <c r="KVB231" s="340"/>
      <c r="KVC231" s="340"/>
      <c r="KVD231" s="340"/>
      <c r="KVE231" s="340"/>
      <c r="KVF231" s="340"/>
      <c r="KVG231" s="340"/>
      <c r="KVH231" s="340"/>
      <c r="KVI231" s="340"/>
      <c r="KVJ231" s="340"/>
      <c r="KVK231" s="340"/>
      <c r="KVL231" s="340"/>
      <c r="KVM231" s="340"/>
      <c r="KVN231" s="340"/>
      <c r="KVO231" s="340"/>
      <c r="KVP231" s="340"/>
      <c r="KVQ231" s="340"/>
      <c r="KVR231" s="340"/>
      <c r="KVS231" s="340"/>
      <c r="KVT231" s="340"/>
      <c r="KVU231" s="340"/>
      <c r="KVV231" s="340"/>
      <c r="KVW231" s="340"/>
      <c r="KVX231" s="340"/>
      <c r="KVY231" s="340"/>
      <c r="KVZ231" s="340"/>
      <c r="KWA231" s="340"/>
      <c r="KWB231" s="340"/>
      <c r="KWC231" s="340"/>
      <c r="KWD231" s="340"/>
      <c r="KWE231" s="340"/>
      <c r="KWF231" s="340"/>
      <c r="KWG231" s="340"/>
      <c r="KWH231" s="340"/>
      <c r="KWI231" s="340"/>
      <c r="KWJ231" s="340"/>
      <c r="KWK231" s="340"/>
      <c r="KWL231" s="340"/>
      <c r="KWM231" s="340"/>
      <c r="KWN231" s="340"/>
      <c r="KWO231" s="340"/>
      <c r="KWP231" s="340"/>
      <c r="KWQ231" s="340"/>
      <c r="KWR231" s="340"/>
      <c r="KWS231" s="340"/>
      <c r="KWT231" s="340"/>
      <c r="KWU231" s="340"/>
      <c r="KWV231" s="340"/>
      <c r="KWW231" s="340"/>
      <c r="KWX231" s="340"/>
      <c r="KWY231" s="340"/>
      <c r="KWZ231" s="340"/>
      <c r="KXA231" s="340"/>
      <c r="KXB231" s="340"/>
      <c r="KXC231" s="340"/>
      <c r="KXD231" s="340"/>
      <c r="KXE231" s="340"/>
      <c r="KXF231" s="340"/>
      <c r="KXG231" s="340"/>
      <c r="KXH231" s="340"/>
      <c r="KXI231" s="340"/>
      <c r="KXJ231" s="340"/>
      <c r="KXK231" s="340"/>
      <c r="KXL231" s="340"/>
      <c r="KXM231" s="340"/>
      <c r="KXN231" s="340"/>
      <c r="KXO231" s="340"/>
      <c r="KXP231" s="340"/>
      <c r="KXQ231" s="340"/>
      <c r="KXR231" s="340"/>
      <c r="KXS231" s="340"/>
      <c r="KXT231" s="340"/>
      <c r="KXU231" s="340"/>
      <c r="KXV231" s="340"/>
      <c r="KXW231" s="340"/>
      <c r="KXX231" s="340"/>
      <c r="KXY231" s="340"/>
      <c r="KXZ231" s="340"/>
      <c r="KYA231" s="340"/>
      <c r="KYB231" s="340"/>
      <c r="KYC231" s="340"/>
      <c r="KYD231" s="340"/>
      <c r="KYE231" s="340"/>
      <c r="KYF231" s="340"/>
      <c r="KYG231" s="340"/>
      <c r="KYH231" s="340"/>
      <c r="KYI231" s="340"/>
      <c r="KYJ231" s="340"/>
      <c r="KYK231" s="340"/>
      <c r="KYL231" s="340"/>
      <c r="KYM231" s="340"/>
      <c r="KYN231" s="340"/>
      <c r="KYO231" s="340"/>
      <c r="KYP231" s="340"/>
      <c r="KYQ231" s="340"/>
      <c r="KYR231" s="340"/>
      <c r="KYS231" s="340"/>
      <c r="KYT231" s="340"/>
      <c r="KYU231" s="340"/>
      <c r="KYV231" s="340"/>
      <c r="KYW231" s="340"/>
      <c r="KYX231" s="340"/>
      <c r="KYY231" s="340"/>
      <c r="KYZ231" s="340"/>
      <c r="KZA231" s="340"/>
      <c r="KZB231" s="340"/>
      <c r="KZC231" s="340"/>
      <c r="KZD231" s="340"/>
      <c r="KZE231" s="340"/>
      <c r="KZF231" s="340"/>
      <c r="KZG231" s="340"/>
      <c r="KZH231" s="340"/>
      <c r="KZI231" s="340"/>
      <c r="KZJ231" s="340"/>
      <c r="KZK231" s="340"/>
      <c r="KZL231" s="340"/>
      <c r="KZM231" s="340"/>
      <c r="KZN231" s="340"/>
      <c r="KZO231" s="340"/>
      <c r="KZP231" s="340"/>
      <c r="KZQ231" s="340"/>
      <c r="KZR231" s="340"/>
      <c r="KZS231" s="340"/>
      <c r="KZT231" s="340"/>
      <c r="KZU231" s="340"/>
      <c r="KZV231" s="340"/>
      <c r="KZW231" s="340"/>
      <c r="KZX231" s="340"/>
      <c r="KZY231" s="340"/>
      <c r="KZZ231" s="340"/>
      <c r="LAA231" s="340"/>
      <c r="LAB231" s="340"/>
      <c r="LAC231" s="340"/>
      <c r="LAD231" s="340"/>
      <c r="LAE231" s="340"/>
      <c r="LAF231" s="340"/>
      <c r="LAG231" s="340"/>
      <c r="LAH231" s="340"/>
      <c r="LAI231" s="340"/>
      <c r="LAJ231" s="340"/>
      <c r="LAK231" s="340"/>
      <c r="LAL231" s="340"/>
      <c r="LAM231" s="340"/>
      <c r="LAN231" s="340"/>
      <c r="LAO231" s="340"/>
      <c r="LAP231" s="340"/>
      <c r="LAQ231" s="340"/>
      <c r="LAR231" s="340"/>
      <c r="LAS231" s="340"/>
      <c r="LAT231" s="340"/>
      <c r="LAU231" s="340"/>
      <c r="LAV231" s="340"/>
      <c r="LAW231" s="340"/>
      <c r="LAX231" s="340"/>
      <c r="LAY231" s="340"/>
      <c r="LAZ231" s="340"/>
      <c r="LBA231" s="340"/>
      <c r="LBB231" s="340"/>
      <c r="LBC231" s="340"/>
      <c r="LBD231" s="340"/>
      <c r="LBE231" s="340"/>
      <c r="LBF231" s="340"/>
      <c r="LBG231" s="340"/>
      <c r="LBH231" s="340"/>
      <c r="LBI231" s="340"/>
      <c r="LBJ231" s="340"/>
      <c r="LBK231" s="340"/>
      <c r="LBL231" s="340"/>
      <c r="LBM231" s="340"/>
      <c r="LBN231" s="340"/>
      <c r="LBO231" s="340"/>
      <c r="LBP231" s="340"/>
      <c r="LBQ231" s="340"/>
      <c r="LBR231" s="340"/>
      <c r="LBS231" s="340"/>
      <c r="LBT231" s="340"/>
      <c r="LBU231" s="340"/>
      <c r="LBV231" s="340"/>
      <c r="LBW231" s="340"/>
      <c r="LBX231" s="340"/>
      <c r="LBY231" s="340"/>
      <c r="LBZ231" s="340"/>
      <c r="LCA231" s="340"/>
      <c r="LCB231" s="340"/>
      <c r="LCC231" s="340"/>
      <c r="LCD231" s="340"/>
      <c r="LCE231" s="340"/>
      <c r="LCF231" s="340"/>
      <c r="LCG231" s="340"/>
      <c r="LCH231" s="340"/>
      <c r="LCI231" s="340"/>
      <c r="LCJ231" s="340"/>
      <c r="LCK231" s="340"/>
      <c r="LCL231" s="340"/>
      <c r="LCM231" s="340"/>
      <c r="LCN231" s="340"/>
      <c r="LCO231" s="340"/>
      <c r="LCP231" s="340"/>
      <c r="LCQ231" s="340"/>
      <c r="LCR231" s="340"/>
      <c r="LCS231" s="340"/>
      <c r="LCT231" s="340"/>
      <c r="LCU231" s="340"/>
      <c r="LCV231" s="340"/>
      <c r="LCW231" s="340"/>
      <c r="LCX231" s="340"/>
      <c r="LCY231" s="340"/>
      <c r="LCZ231" s="340"/>
      <c r="LDA231" s="340"/>
      <c r="LDB231" s="340"/>
      <c r="LDC231" s="340"/>
      <c r="LDD231" s="340"/>
      <c r="LDE231" s="340"/>
      <c r="LDF231" s="340"/>
      <c r="LDG231" s="340"/>
      <c r="LDH231" s="340"/>
      <c r="LDI231" s="340"/>
      <c r="LDJ231" s="340"/>
      <c r="LDK231" s="340"/>
      <c r="LDL231" s="340"/>
      <c r="LDM231" s="340"/>
      <c r="LDN231" s="340"/>
      <c r="LDO231" s="340"/>
      <c r="LDP231" s="340"/>
      <c r="LDQ231" s="340"/>
      <c r="LDR231" s="340"/>
      <c r="LDS231" s="340"/>
      <c r="LDT231" s="340"/>
      <c r="LDU231" s="340"/>
      <c r="LDV231" s="340"/>
      <c r="LDW231" s="340"/>
      <c r="LDX231" s="340"/>
      <c r="LDY231" s="340"/>
      <c r="LDZ231" s="340"/>
      <c r="LEA231" s="340"/>
      <c r="LEB231" s="340"/>
      <c r="LEC231" s="340"/>
      <c r="LED231" s="340"/>
      <c r="LEE231" s="340"/>
      <c r="LEF231" s="340"/>
      <c r="LEG231" s="340"/>
      <c r="LEH231" s="340"/>
      <c r="LEI231" s="340"/>
      <c r="LEJ231" s="340"/>
      <c r="LEK231" s="340"/>
      <c r="LEL231" s="340"/>
      <c r="LEM231" s="340"/>
      <c r="LEN231" s="340"/>
      <c r="LEO231" s="340"/>
      <c r="LEP231" s="340"/>
      <c r="LEQ231" s="340"/>
      <c r="LER231" s="340"/>
      <c r="LES231" s="340"/>
      <c r="LET231" s="340"/>
      <c r="LEU231" s="340"/>
      <c r="LEV231" s="340"/>
      <c r="LEW231" s="340"/>
      <c r="LEX231" s="340"/>
      <c r="LEY231" s="340"/>
      <c r="LEZ231" s="340"/>
      <c r="LFA231" s="340"/>
      <c r="LFB231" s="340"/>
      <c r="LFC231" s="340"/>
      <c r="LFD231" s="340"/>
      <c r="LFE231" s="340"/>
      <c r="LFF231" s="340"/>
      <c r="LFG231" s="340"/>
      <c r="LFH231" s="340"/>
      <c r="LFI231" s="340"/>
      <c r="LFJ231" s="340"/>
      <c r="LFK231" s="340"/>
      <c r="LFL231" s="340"/>
      <c r="LFM231" s="340"/>
      <c r="LFN231" s="340"/>
      <c r="LFO231" s="340"/>
      <c r="LFP231" s="340"/>
      <c r="LFQ231" s="340"/>
      <c r="LFR231" s="340"/>
      <c r="LFS231" s="340"/>
      <c r="LFT231" s="340"/>
      <c r="LFU231" s="340"/>
      <c r="LFV231" s="340"/>
      <c r="LFW231" s="340"/>
      <c r="LFX231" s="340"/>
      <c r="LFY231" s="340"/>
      <c r="LFZ231" s="340"/>
      <c r="LGA231" s="340"/>
      <c r="LGB231" s="340"/>
      <c r="LGC231" s="340"/>
      <c r="LGD231" s="340"/>
      <c r="LGE231" s="340"/>
      <c r="LGF231" s="340"/>
      <c r="LGG231" s="340"/>
      <c r="LGH231" s="340"/>
      <c r="LGI231" s="340"/>
      <c r="LGJ231" s="340"/>
      <c r="LGK231" s="340"/>
      <c r="LGL231" s="340"/>
      <c r="LGM231" s="340"/>
      <c r="LGN231" s="340"/>
      <c r="LGO231" s="340"/>
      <c r="LGP231" s="340"/>
      <c r="LGQ231" s="340"/>
      <c r="LGR231" s="340"/>
      <c r="LGS231" s="340"/>
      <c r="LGT231" s="340"/>
      <c r="LGU231" s="340"/>
      <c r="LGV231" s="340"/>
      <c r="LGW231" s="340"/>
      <c r="LGX231" s="340"/>
      <c r="LGY231" s="340"/>
      <c r="LGZ231" s="340"/>
      <c r="LHA231" s="340"/>
      <c r="LHB231" s="340"/>
      <c r="LHC231" s="340"/>
      <c r="LHD231" s="340"/>
      <c r="LHE231" s="340"/>
      <c r="LHF231" s="340"/>
      <c r="LHG231" s="340"/>
      <c r="LHH231" s="340"/>
      <c r="LHI231" s="340"/>
      <c r="LHJ231" s="340"/>
      <c r="LHK231" s="340"/>
      <c r="LHL231" s="340"/>
      <c r="LHM231" s="340"/>
      <c r="LHN231" s="340"/>
      <c r="LHO231" s="340"/>
      <c r="LHP231" s="340"/>
      <c r="LHQ231" s="340"/>
      <c r="LHR231" s="340"/>
      <c r="LHS231" s="340"/>
      <c r="LHT231" s="340"/>
      <c r="LHU231" s="340"/>
      <c r="LHV231" s="340"/>
      <c r="LHW231" s="340"/>
      <c r="LHX231" s="340"/>
      <c r="LHY231" s="340"/>
      <c r="LHZ231" s="340"/>
      <c r="LIA231" s="340"/>
      <c r="LIB231" s="340"/>
      <c r="LIC231" s="340"/>
      <c r="LID231" s="340"/>
      <c r="LIE231" s="340"/>
      <c r="LIF231" s="340"/>
      <c r="LIG231" s="340"/>
      <c r="LIH231" s="340"/>
      <c r="LII231" s="340"/>
      <c r="LIJ231" s="340"/>
      <c r="LIK231" s="340"/>
      <c r="LIL231" s="340"/>
      <c r="LIM231" s="340"/>
      <c r="LIN231" s="340"/>
      <c r="LIO231" s="340"/>
      <c r="LIP231" s="340"/>
      <c r="LIQ231" s="340"/>
      <c r="LIR231" s="340"/>
      <c r="LIS231" s="340"/>
      <c r="LIT231" s="340"/>
      <c r="LIU231" s="340"/>
      <c r="LIV231" s="340"/>
      <c r="LIW231" s="340"/>
      <c r="LIX231" s="340"/>
      <c r="LIY231" s="340"/>
      <c r="LIZ231" s="340"/>
      <c r="LJA231" s="340"/>
      <c r="LJB231" s="340"/>
      <c r="LJC231" s="340"/>
      <c r="LJD231" s="340"/>
      <c r="LJE231" s="340"/>
      <c r="LJF231" s="340"/>
      <c r="LJG231" s="340"/>
      <c r="LJH231" s="340"/>
      <c r="LJI231" s="340"/>
      <c r="LJJ231" s="340"/>
      <c r="LJK231" s="340"/>
      <c r="LJL231" s="340"/>
      <c r="LJM231" s="340"/>
      <c r="LJN231" s="340"/>
      <c r="LJO231" s="340"/>
      <c r="LJP231" s="340"/>
      <c r="LJQ231" s="340"/>
      <c r="LJR231" s="340"/>
      <c r="LJS231" s="340"/>
      <c r="LJT231" s="340"/>
      <c r="LJU231" s="340"/>
      <c r="LJV231" s="340"/>
      <c r="LJW231" s="340"/>
      <c r="LJX231" s="340"/>
      <c r="LJY231" s="340"/>
      <c r="LJZ231" s="340"/>
      <c r="LKA231" s="340"/>
      <c r="LKB231" s="340"/>
      <c r="LKC231" s="340"/>
      <c r="LKD231" s="340"/>
      <c r="LKE231" s="340"/>
      <c r="LKF231" s="340"/>
      <c r="LKG231" s="340"/>
      <c r="LKH231" s="340"/>
      <c r="LKI231" s="340"/>
      <c r="LKJ231" s="340"/>
      <c r="LKK231" s="340"/>
      <c r="LKL231" s="340"/>
      <c r="LKM231" s="340"/>
      <c r="LKN231" s="340"/>
      <c r="LKO231" s="340"/>
      <c r="LKP231" s="340"/>
      <c r="LKQ231" s="340"/>
      <c r="LKR231" s="340"/>
      <c r="LKS231" s="340"/>
      <c r="LKT231" s="340"/>
      <c r="LKU231" s="340"/>
      <c r="LKV231" s="340"/>
      <c r="LKW231" s="340"/>
      <c r="LKX231" s="340"/>
      <c r="LKY231" s="340"/>
      <c r="LKZ231" s="340"/>
      <c r="LLA231" s="340"/>
      <c r="LLB231" s="340"/>
      <c r="LLC231" s="340"/>
      <c r="LLD231" s="340"/>
      <c r="LLE231" s="340"/>
      <c r="LLF231" s="340"/>
      <c r="LLG231" s="340"/>
      <c r="LLH231" s="340"/>
      <c r="LLI231" s="340"/>
      <c r="LLJ231" s="340"/>
      <c r="LLK231" s="340"/>
      <c r="LLL231" s="340"/>
      <c r="LLM231" s="340"/>
      <c r="LLN231" s="340"/>
      <c r="LLO231" s="340"/>
      <c r="LLP231" s="340"/>
      <c r="LLQ231" s="340"/>
      <c r="LLR231" s="340"/>
      <c r="LLS231" s="340"/>
      <c r="LLT231" s="340"/>
      <c r="LLU231" s="340"/>
      <c r="LLV231" s="340"/>
      <c r="LLW231" s="340"/>
      <c r="LLX231" s="340"/>
      <c r="LLY231" s="340"/>
      <c r="LLZ231" s="340"/>
      <c r="LMA231" s="340"/>
      <c r="LMB231" s="340"/>
      <c r="LMC231" s="340"/>
      <c r="LMD231" s="340"/>
      <c r="LME231" s="340"/>
      <c r="LMF231" s="340"/>
      <c r="LMG231" s="340"/>
      <c r="LMH231" s="340"/>
      <c r="LMI231" s="340"/>
      <c r="LMJ231" s="340"/>
      <c r="LMK231" s="340"/>
      <c r="LML231" s="340"/>
      <c r="LMM231" s="340"/>
      <c r="LMN231" s="340"/>
      <c r="LMO231" s="340"/>
      <c r="LMP231" s="340"/>
      <c r="LMQ231" s="340"/>
      <c r="LMR231" s="340"/>
      <c r="LMS231" s="340"/>
      <c r="LMT231" s="340"/>
      <c r="LMU231" s="340"/>
      <c r="LMV231" s="340"/>
      <c r="LMW231" s="340"/>
      <c r="LMX231" s="340"/>
      <c r="LMY231" s="340"/>
      <c r="LMZ231" s="340"/>
      <c r="LNA231" s="340"/>
      <c r="LNB231" s="340"/>
      <c r="LNC231" s="340"/>
      <c r="LND231" s="340"/>
      <c r="LNE231" s="340"/>
      <c r="LNF231" s="340"/>
      <c r="LNG231" s="340"/>
      <c r="LNH231" s="340"/>
      <c r="LNI231" s="340"/>
      <c r="LNJ231" s="340"/>
      <c r="LNK231" s="340"/>
      <c r="LNL231" s="340"/>
      <c r="LNM231" s="340"/>
      <c r="LNN231" s="340"/>
      <c r="LNO231" s="340"/>
      <c r="LNP231" s="340"/>
      <c r="LNQ231" s="340"/>
      <c r="LNR231" s="340"/>
      <c r="LNS231" s="340"/>
      <c r="LNT231" s="340"/>
      <c r="LNU231" s="340"/>
      <c r="LNV231" s="340"/>
      <c r="LNW231" s="340"/>
      <c r="LNX231" s="340"/>
      <c r="LNY231" s="340"/>
      <c r="LNZ231" s="340"/>
      <c r="LOA231" s="340"/>
      <c r="LOB231" s="340"/>
      <c r="LOC231" s="340"/>
      <c r="LOD231" s="340"/>
      <c r="LOE231" s="340"/>
      <c r="LOF231" s="340"/>
      <c r="LOG231" s="340"/>
      <c r="LOH231" s="340"/>
      <c r="LOI231" s="340"/>
      <c r="LOJ231" s="340"/>
      <c r="LOK231" s="340"/>
      <c r="LOL231" s="340"/>
      <c r="LOM231" s="340"/>
      <c r="LON231" s="340"/>
      <c r="LOO231" s="340"/>
      <c r="LOP231" s="340"/>
      <c r="LOQ231" s="340"/>
      <c r="LOR231" s="340"/>
      <c r="LOS231" s="340"/>
      <c r="LOT231" s="340"/>
      <c r="LOU231" s="340"/>
      <c r="LOV231" s="340"/>
      <c r="LOW231" s="340"/>
      <c r="LOX231" s="340"/>
      <c r="LOY231" s="340"/>
      <c r="LOZ231" s="340"/>
      <c r="LPA231" s="340"/>
      <c r="LPB231" s="340"/>
      <c r="LPC231" s="340"/>
      <c r="LPD231" s="340"/>
      <c r="LPE231" s="340"/>
      <c r="LPF231" s="340"/>
      <c r="LPG231" s="340"/>
      <c r="LPH231" s="340"/>
      <c r="LPI231" s="340"/>
      <c r="LPJ231" s="340"/>
      <c r="LPK231" s="340"/>
      <c r="LPL231" s="340"/>
      <c r="LPM231" s="340"/>
      <c r="LPN231" s="340"/>
      <c r="LPO231" s="340"/>
      <c r="LPP231" s="340"/>
      <c r="LPQ231" s="340"/>
      <c r="LPR231" s="340"/>
      <c r="LPS231" s="340"/>
      <c r="LPT231" s="340"/>
      <c r="LPU231" s="340"/>
      <c r="LPV231" s="340"/>
      <c r="LPW231" s="340"/>
      <c r="LPX231" s="340"/>
      <c r="LPY231" s="340"/>
      <c r="LPZ231" s="340"/>
      <c r="LQA231" s="340"/>
      <c r="LQB231" s="340"/>
      <c r="LQC231" s="340"/>
      <c r="LQD231" s="340"/>
      <c r="LQE231" s="340"/>
      <c r="LQF231" s="340"/>
      <c r="LQG231" s="340"/>
      <c r="LQH231" s="340"/>
      <c r="LQI231" s="340"/>
      <c r="LQJ231" s="340"/>
      <c r="LQK231" s="340"/>
      <c r="LQL231" s="340"/>
      <c r="LQM231" s="340"/>
      <c r="LQN231" s="340"/>
      <c r="LQO231" s="340"/>
      <c r="LQP231" s="340"/>
      <c r="LQQ231" s="340"/>
      <c r="LQR231" s="340"/>
      <c r="LQS231" s="340"/>
      <c r="LQT231" s="340"/>
      <c r="LQU231" s="340"/>
      <c r="LQV231" s="340"/>
      <c r="LQW231" s="340"/>
      <c r="LQX231" s="340"/>
      <c r="LQY231" s="340"/>
      <c r="LQZ231" s="340"/>
      <c r="LRA231" s="340"/>
      <c r="LRB231" s="340"/>
      <c r="LRC231" s="340"/>
      <c r="LRD231" s="340"/>
      <c r="LRE231" s="340"/>
      <c r="LRF231" s="340"/>
      <c r="LRG231" s="340"/>
      <c r="LRH231" s="340"/>
      <c r="LRI231" s="340"/>
      <c r="LRJ231" s="340"/>
      <c r="LRK231" s="340"/>
      <c r="LRL231" s="340"/>
      <c r="LRM231" s="340"/>
      <c r="LRN231" s="340"/>
      <c r="LRO231" s="340"/>
      <c r="LRP231" s="340"/>
      <c r="LRQ231" s="340"/>
      <c r="LRR231" s="340"/>
      <c r="LRS231" s="340"/>
      <c r="LRT231" s="340"/>
      <c r="LRU231" s="340"/>
      <c r="LRV231" s="340"/>
      <c r="LRW231" s="340"/>
      <c r="LRX231" s="340"/>
      <c r="LRY231" s="340"/>
      <c r="LRZ231" s="340"/>
      <c r="LSA231" s="340"/>
      <c r="LSB231" s="340"/>
      <c r="LSC231" s="340"/>
      <c r="LSD231" s="340"/>
      <c r="LSE231" s="340"/>
      <c r="LSF231" s="340"/>
      <c r="LSG231" s="340"/>
      <c r="LSH231" s="340"/>
      <c r="LSI231" s="340"/>
      <c r="LSJ231" s="340"/>
      <c r="LSK231" s="340"/>
      <c r="LSL231" s="340"/>
      <c r="LSM231" s="340"/>
      <c r="LSN231" s="340"/>
      <c r="LSO231" s="340"/>
      <c r="LSP231" s="340"/>
      <c r="LSQ231" s="340"/>
      <c r="LSR231" s="340"/>
      <c r="LSS231" s="340"/>
      <c r="LST231" s="340"/>
      <c r="LSU231" s="340"/>
      <c r="LSV231" s="340"/>
      <c r="LSW231" s="340"/>
      <c r="LSX231" s="340"/>
      <c r="LSY231" s="340"/>
      <c r="LSZ231" s="340"/>
      <c r="LTA231" s="340"/>
      <c r="LTB231" s="340"/>
      <c r="LTC231" s="340"/>
      <c r="LTD231" s="340"/>
      <c r="LTE231" s="340"/>
      <c r="LTF231" s="340"/>
      <c r="LTG231" s="340"/>
      <c r="LTH231" s="340"/>
      <c r="LTI231" s="340"/>
      <c r="LTJ231" s="340"/>
      <c r="LTK231" s="340"/>
      <c r="LTL231" s="340"/>
      <c r="LTM231" s="340"/>
      <c r="LTN231" s="340"/>
      <c r="LTO231" s="340"/>
      <c r="LTP231" s="340"/>
      <c r="LTQ231" s="340"/>
      <c r="LTR231" s="340"/>
      <c r="LTS231" s="340"/>
      <c r="LTT231" s="340"/>
      <c r="LTU231" s="340"/>
      <c r="LTV231" s="340"/>
      <c r="LTW231" s="340"/>
      <c r="LTX231" s="340"/>
      <c r="LTY231" s="340"/>
      <c r="LTZ231" s="340"/>
      <c r="LUA231" s="340"/>
      <c r="LUB231" s="340"/>
      <c r="LUC231" s="340"/>
      <c r="LUD231" s="340"/>
      <c r="LUE231" s="340"/>
      <c r="LUF231" s="340"/>
      <c r="LUG231" s="340"/>
      <c r="LUH231" s="340"/>
      <c r="LUI231" s="340"/>
      <c r="LUJ231" s="340"/>
      <c r="LUK231" s="340"/>
      <c r="LUL231" s="340"/>
      <c r="LUM231" s="340"/>
      <c r="LUN231" s="340"/>
      <c r="LUO231" s="340"/>
      <c r="LUP231" s="340"/>
      <c r="LUQ231" s="340"/>
      <c r="LUR231" s="340"/>
      <c r="LUS231" s="340"/>
      <c r="LUT231" s="340"/>
      <c r="LUU231" s="340"/>
      <c r="LUV231" s="340"/>
      <c r="LUW231" s="340"/>
      <c r="LUX231" s="340"/>
      <c r="LUY231" s="340"/>
      <c r="LUZ231" s="340"/>
      <c r="LVA231" s="340"/>
      <c r="LVB231" s="340"/>
      <c r="LVC231" s="340"/>
      <c r="LVD231" s="340"/>
      <c r="LVE231" s="340"/>
      <c r="LVF231" s="340"/>
      <c r="LVG231" s="340"/>
      <c r="LVH231" s="340"/>
      <c r="LVI231" s="340"/>
      <c r="LVJ231" s="340"/>
      <c r="LVK231" s="340"/>
      <c r="LVL231" s="340"/>
      <c r="LVM231" s="340"/>
      <c r="LVN231" s="340"/>
      <c r="LVO231" s="340"/>
      <c r="LVP231" s="340"/>
      <c r="LVQ231" s="340"/>
      <c r="LVR231" s="340"/>
      <c r="LVS231" s="340"/>
      <c r="LVT231" s="340"/>
      <c r="LVU231" s="340"/>
      <c r="LVV231" s="340"/>
      <c r="LVW231" s="340"/>
      <c r="LVX231" s="340"/>
      <c r="LVY231" s="340"/>
      <c r="LVZ231" s="340"/>
      <c r="LWA231" s="340"/>
      <c r="LWB231" s="340"/>
      <c r="LWC231" s="340"/>
      <c r="LWD231" s="340"/>
      <c r="LWE231" s="340"/>
      <c r="LWF231" s="340"/>
      <c r="LWG231" s="340"/>
      <c r="LWH231" s="340"/>
      <c r="LWI231" s="340"/>
      <c r="LWJ231" s="340"/>
      <c r="LWK231" s="340"/>
      <c r="LWL231" s="340"/>
      <c r="LWM231" s="340"/>
      <c r="LWN231" s="340"/>
      <c r="LWO231" s="340"/>
      <c r="LWP231" s="340"/>
      <c r="LWQ231" s="340"/>
      <c r="LWR231" s="340"/>
      <c r="LWS231" s="340"/>
      <c r="LWT231" s="340"/>
      <c r="LWU231" s="340"/>
      <c r="LWV231" s="340"/>
      <c r="LWW231" s="340"/>
      <c r="LWX231" s="340"/>
      <c r="LWY231" s="340"/>
      <c r="LWZ231" s="340"/>
      <c r="LXA231" s="340"/>
      <c r="LXB231" s="340"/>
      <c r="LXC231" s="340"/>
      <c r="LXD231" s="340"/>
      <c r="LXE231" s="340"/>
      <c r="LXF231" s="340"/>
      <c r="LXG231" s="340"/>
      <c r="LXH231" s="340"/>
      <c r="LXI231" s="340"/>
      <c r="LXJ231" s="340"/>
      <c r="LXK231" s="340"/>
      <c r="LXL231" s="340"/>
      <c r="LXM231" s="340"/>
      <c r="LXN231" s="340"/>
      <c r="LXO231" s="340"/>
      <c r="LXP231" s="340"/>
      <c r="LXQ231" s="340"/>
      <c r="LXR231" s="340"/>
      <c r="LXS231" s="340"/>
      <c r="LXT231" s="340"/>
      <c r="LXU231" s="340"/>
      <c r="LXV231" s="340"/>
      <c r="LXW231" s="340"/>
      <c r="LXX231" s="340"/>
      <c r="LXY231" s="340"/>
      <c r="LXZ231" s="340"/>
      <c r="LYA231" s="340"/>
      <c r="LYB231" s="340"/>
      <c r="LYC231" s="340"/>
      <c r="LYD231" s="340"/>
      <c r="LYE231" s="340"/>
      <c r="LYF231" s="340"/>
      <c r="LYG231" s="340"/>
      <c r="LYH231" s="340"/>
      <c r="LYI231" s="340"/>
      <c r="LYJ231" s="340"/>
      <c r="LYK231" s="340"/>
      <c r="LYL231" s="340"/>
      <c r="LYM231" s="340"/>
      <c r="LYN231" s="340"/>
      <c r="LYO231" s="340"/>
      <c r="LYP231" s="340"/>
      <c r="LYQ231" s="340"/>
      <c r="LYR231" s="340"/>
      <c r="LYS231" s="340"/>
      <c r="LYT231" s="340"/>
      <c r="LYU231" s="340"/>
      <c r="LYV231" s="340"/>
      <c r="LYW231" s="340"/>
      <c r="LYX231" s="340"/>
      <c r="LYY231" s="340"/>
      <c r="LYZ231" s="340"/>
      <c r="LZA231" s="340"/>
      <c r="LZB231" s="340"/>
      <c r="LZC231" s="340"/>
      <c r="LZD231" s="340"/>
      <c r="LZE231" s="340"/>
      <c r="LZF231" s="340"/>
      <c r="LZG231" s="340"/>
      <c r="LZH231" s="340"/>
      <c r="LZI231" s="340"/>
      <c r="LZJ231" s="340"/>
      <c r="LZK231" s="340"/>
      <c r="LZL231" s="340"/>
      <c r="LZM231" s="340"/>
      <c r="LZN231" s="340"/>
      <c r="LZO231" s="340"/>
      <c r="LZP231" s="340"/>
      <c r="LZQ231" s="340"/>
      <c r="LZR231" s="340"/>
      <c r="LZS231" s="340"/>
      <c r="LZT231" s="340"/>
      <c r="LZU231" s="340"/>
      <c r="LZV231" s="340"/>
      <c r="LZW231" s="340"/>
      <c r="LZX231" s="340"/>
      <c r="LZY231" s="340"/>
      <c r="LZZ231" s="340"/>
      <c r="MAA231" s="340"/>
      <c r="MAB231" s="340"/>
      <c r="MAC231" s="340"/>
      <c r="MAD231" s="340"/>
      <c r="MAE231" s="340"/>
      <c r="MAF231" s="340"/>
      <c r="MAG231" s="340"/>
      <c r="MAH231" s="340"/>
      <c r="MAI231" s="340"/>
      <c r="MAJ231" s="340"/>
      <c r="MAK231" s="340"/>
      <c r="MAL231" s="340"/>
      <c r="MAM231" s="340"/>
      <c r="MAN231" s="340"/>
      <c r="MAO231" s="340"/>
      <c r="MAP231" s="340"/>
      <c r="MAQ231" s="340"/>
      <c r="MAR231" s="340"/>
      <c r="MAS231" s="340"/>
      <c r="MAT231" s="340"/>
      <c r="MAU231" s="340"/>
      <c r="MAV231" s="340"/>
      <c r="MAW231" s="340"/>
      <c r="MAX231" s="340"/>
      <c r="MAY231" s="340"/>
      <c r="MAZ231" s="340"/>
      <c r="MBA231" s="340"/>
      <c r="MBB231" s="340"/>
      <c r="MBC231" s="340"/>
      <c r="MBD231" s="340"/>
      <c r="MBE231" s="340"/>
      <c r="MBF231" s="340"/>
      <c r="MBG231" s="340"/>
      <c r="MBH231" s="340"/>
      <c r="MBI231" s="340"/>
      <c r="MBJ231" s="340"/>
      <c r="MBK231" s="340"/>
      <c r="MBL231" s="340"/>
      <c r="MBM231" s="340"/>
      <c r="MBN231" s="340"/>
      <c r="MBO231" s="340"/>
      <c r="MBP231" s="340"/>
      <c r="MBQ231" s="340"/>
      <c r="MBR231" s="340"/>
      <c r="MBS231" s="340"/>
      <c r="MBT231" s="340"/>
      <c r="MBU231" s="340"/>
      <c r="MBV231" s="340"/>
      <c r="MBW231" s="340"/>
      <c r="MBX231" s="340"/>
      <c r="MBY231" s="340"/>
      <c r="MBZ231" s="340"/>
      <c r="MCA231" s="340"/>
      <c r="MCB231" s="340"/>
      <c r="MCC231" s="340"/>
      <c r="MCD231" s="340"/>
      <c r="MCE231" s="340"/>
      <c r="MCF231" s="340"/>
      <c r="MCG231" s="340"/>
      <c r="MCH231" s="340"/>
      <c r="MCI231" s="340"/>
      <c r="MCJ231" s="340"/>
      <c r="MCK231" s="340"/>
      <c r="MCL231" s="340"/>
      <c r="MCM231" s="340"/>
      <c r="MCN231" s="340"/>
      <c r="MCO231" s="340"/>
      <c r="MCP231" s="340"/>
      <c r="MCQ231" s="340"/>
      <c r="MCR231" s="340"/>
      <c r="MCS231" s="340"/>
      <c r="MCT231" s="340"/>
      <c r="MCU231" s="340"/>
      <c r="MCV231" s="340"/>
      <c r="MCW231" s="340"/>
      <c r="MCX231" s="340"/>
      <c r="MCY231" s="340"/>
      <c r="MCZ231" s="340"/>
      <c r="MDA231" s="340"/>
      <c r="MDB231" s="340"/>
      <c r="MDC231" s="340"/>
      <c r="MDD231" s="340"/>
      <c r="MDE231" s="340"/>
      <c r="MDF231" s="340"/>
      <c r="MDG231" s="340"/>
      <c r="MDH231" s="340"/>
      <c r="MDI231" s="340"/>
      <c r="MDJ231" s="340"/>
      <c r="MDK231" s="340"/>
      <c r="MDL231" s="340"/>
      <c r="MDM231" s="340"/>
      <c r="MDN231" s="340"/>
      <c r="MDO231" s="340"/>
      <c r="MDP231" s="340"/>
      <c r="MDQ231" s="340"/>
      <c r="MDR231" s="340"/>
      <c r="MDS231" s="340"/>
      <c r="MDT231" s="340"/>
      <c r="MDU231" s="340"/>
      <c r="MDV231" s="340"/>
      <c r="MDW231" s="340"/>
      <c r="MDX231" s="340"/>
      <c r="MDY231" s="340"/>
      <c r="MDZ231" s="340"/>
      <c r="MEA231" s="340"/>
      <c r="MEB231" s="340"/>
      <c r="MEC231" s="340"/>
      <c r="MED231" s="340"/>
      <c r="MEE231" s="340"/>
      <c r="MEF231" s="340"/>
      <c r="MEG231" s="340"/>
      <c r="MEH231" s="340"/>
      <c r="MEI231" s="340"/>
      <c r="MEJ231" s="340"/>
      <c r="MEK231" s="340"/>
      <c r="MEL231" s="340"/>
      <c r="MEM231" s="340"/>
      <c r="MEN231" s="340"/>
      <c r="MEO231" s="340"/>
      <c r="MEP231" s="340"/>
      <c r="MEQ231" s="340"/>
      <c r="MER231" s="340"/>
      <c r="MES231" s="340"/>
      <c r="MET231" s="340"/>
      <c r="MEU231" s="340"/>
      <c r="MEV231" s="340"/>
      <c r="MEW231" s="340"/>
      <c r="MEX231" s="340"/>
      <c r="MEY231" s="340"/>
      <c r="MEZ231" s="340"/>
      <c r="MFA231" s="340"/>
      <c r="MFB231" s="340"/>
      <c r="MFC231" s="340"/>
      <c r="MFD231" s="340"/>
      <c r="MFE231" s="340"/>
      <c r="MFF231" s="340"/>
      <c r="MFG231" s="340"/>
      <c r="MFH231" s="340"/>
      <c r="MFI231" s="340"/>
      <c r="MFJ231" s="340"/>
      <c r="MFK231" s="340"/>
      <c r="MFL231" s="340"/>
      <c r="MFM231" s="340"/>
      <c r="MFN231" s="340"/>
      <c r="MFO231" s="340"/>
      <c r="MFP231" s="340"/>
      <c r="MFQ231" s="340"/>
      <c r="MFR231" s="340"/>
      <c r="MFS231" s="340"/>
      <c r="MFT231" s="340"/>
      <c r="MFU231" s="340"/>
      <c r="MFV231" s="340"/>
      <c r="MFW231" s="340"/>
      <c r="MFX231" s="340"/>
      <c r="MFY231" s="340"/>
      <c r="MFZ231" s="340"/>
      <c r="MGA231" s="340"/>
      <c r="MGB231" s="340"/>
      <c r="MGC231" s="340"/>
      <c r="MGD231" s="340"/>
      <c r="MGE231" s="340"/>
      <c r="MGF231" s="340"/>
      <c r="MGG231" s="340"/>
      <c r="MGH231" s="340"/>
      <c r="MGI231" s="340"/>
      <c r="MGJ231" s="340"/>
      <c r="MGK231" s="340"/>
      <c r="MGL231" s="340"/>
      <c r="MGM231" s="340"/>
      <c r="MGN231" s="340"/>
      <c r="MGO231" s="340"/>
      <c r="MGP231" s="340"/>
      <c r="MGQ231" s="340"/>
      <c r="MGR231" s="340"/>
      <c r="MGS231" s="340"/>
      <c r="MGT231" s="340"/>
      <c r="MGU231" s="340"/>
      <c r="MGV231" s="340"/>
      <c r="MGW231" s="340"/>
      <c r="MGX231" s="340"/>
      <c r="MGY231" s="340"/>
      <c r="MGZ231" s="340"/>
      <c r="MHA231" s="340"/>
      <c r="MHB231" s="340"/>
      <c r="MHC231" s="340"/>
      <c r="MHD231" s="340"/>
      <c r="MHE231" s="340"/>
      <c r="MHF231" s="340"/>
      <c r="MHG231" s="340"/>
      <c r="MHH231" s="340"/>
      <c r="MHI231" s="340"/>
      <c r="MHJ231" s="340"/>
      <c r="MHK231" s="340"/>
      <c r="MHL231" s="340"/>
      <c r="MHM231" s="340"/>
      <c r="MHN231" s="340"/>
      <c r="MHO231" s="340"/>
      <c r="MHP231" s="340"/>
      <c r="MHQ231" s="340"/>
      <c r="MHR231" s="340"/>
      <c r="MHS231" s="340"/>
      <c r="MHT231" s="340"/>
      <c r="MHU231" s="340"/>
      <c r="MHV231" s="340"/>
      <c r="MHW231" s="340"/>
      <c r="MHX231" s="340"/>
      <c r="MHY231" s="340"/>
      <c r="MHZ231" s="340"/>
      <c r="MIA231" s="340"/>
      <c r="MIB231" s="340"/>
      <c r="MIC231" s="340"/>
      <c r="MID231" s="340"/>
      <c r="MIE231" s="340"/>
      <c r="MIF231" s="340"/>
      <c r="MIG231" s="340"/>
      <c r="MIH231" s="340"/>
      <c r="MII231" s="340"/>
      <c r="MIJ231" s="340"/>
      <c r="MIK231" s="340"/>
      <c r="MIL231" s="340"/>
      <c r="MIM231" s="340"/>
      <c r="MIN231" s="340"/>
      <c r="MIO231" s="340"/>
      <c r="MIP231" s="340"/>
      <c r="MIQ231" s="340"/>
      <c r="MIR231" s="340"/>
      <c r="MIS231" s="340"/>
      <c r="MIT231" s="340"/>
      <c r="MIU231" s="340"/>
      <c r="MIV231" s="340"/>
      <c r="MIW231" s="340"/>
      <c r="MIX231" s="340"/>
      <c r="MIY231" s="340"/>
      <c r="MIZ231" s="340"/>
      <c r="MJA231" s="340"/>
      <c r="MJB231" s="340"/>
      <c r="MJC231" s="340"/>
      <c r="MJD231" s="340"/>
      <c r="MJE231" s="340"/>
      <c r="MJF231" s="340"/>
      <c r="MJG231" s="340"/>
      <c r="MJH231" s="340"/>
      <c r="MJI231" s="340"/>
      <c r="MJJ231" s="340"/>
      <c r="MJK231" s="340"/>
      <c r="MJL231" s="340"/>
      <c r="MJM231" s="340"/>
      <c r="MJN231" s="340"/>
      <c r="MJO231" s="340"/>
      <c r="MJP231" s="340"/>
      <c r="MJQ231" s="340"/>
      <c r="MJR231" s="340"/>
      <c r="MJS231" s="340"/>
      <c r="MJT231" s="340"/>
      <c r="MJU231" s="340"/>
      <c r="MJV231" s="340"/>
      <c r="MJW231" s="340"/>
      <c r="MJX231" s="340"/>
      <c r="MJY231" s="340"/>
      <c r="MJZ231" s="340"/>
      <c r="MKA231" s="340"/>
      <c r="MKB231" s="340"/>
      <c r="MKC231" s="340"/>
      <c r="MKD231" s="340"/>
      <c r="MKE231" s="340"/>
      <c r="MKF231" s="340"/>
      <c r="MKG231" s="340"/>
      <c r="MKH231" s="340"/>
      <c r="MKI231" s="340"/>
      <c r="MKJ231" s="340"/>
      <c r="MKK231" s="340"/>
      <c r="MKL231" s="340"/>
      <c r="MKM231" s="340"/>
      <c r="MKN231" s="340"/>
      <c r="MKO231" s="340"/>
      <c r="MKP231" s="340"/>
      <c r="MKQ231" s="340"/>
      <c r="MKR231" s="340"/>
      <c r="MKS231" s="340"/>
      <c r="MKT231" s="340"/>
      <c r="MKU231" s="340"/>
      <c r="MKV231" s="340"/>
      <c r="MKW231" s="340"/>
      <c r="MKX231" s="340"/>
      <c r="MKY231" s="340"/>
      <c r="MKZ231" s="340"/>
      <c r="MLA231" s="340"/>
      <c r="MLB231" s="340"/>
      <c r="MLC231" s="340"/>
      <c r="MLD231" s="340"/>
      <c r="MLE231" s="340"/>
      <c r="MLF231" s="340"/>
      <c r="MLG231" s="340"/>
      <c r="MLH231" s="340"/>
      <c r="MLI231" s="340"/>
      <c r="MLJ231" s="340"/>
      <c r="MLK231" s="340"/>
      <c r="MLL231" s="340"/>
      <c r="MLM231" s="340"/>
      <c r="MLN231" s="340"/>
      <c r="MLO231" s="340"/>
      <c r="MLP231" s="340"/>
      <c r="MLQ231" s="340"/>
      <c r="MLR231" s="340"/>
      <c r="MLS231" s="340"/>
      <c r="MLT231" s="340"/>
      <c r="MLU231" s="340"/>
      <c r="MLV231" s="340"/>
      <c r="MLW231" s="340"/>
      <c r="MLX231" s="340"/>
      <c r="MLY231" s="340"/>
      <c r="MLZ231" s="340"/>
      <c r="MMA231" s="340"/>
      <c r="MMB231" s="340"/>
      <c r="MMC231" s="340"/>
      <c r="MMD231" s="340"/>
      <c r="MME231" s="340"/>
      <c r="MMF231" s="340"/>
      <c r="MMG231" s="340"/>
      <c r="MMH231" s="340"/>
      <c r="MMI231" s="340"/>
      <c r="MMJ231" s="340"/>
      <c r="MMK231" s="340"/>
      <c r="MML231" s="340"/>
      <c r="MMM231" s="340"/>
      <c r="MMN231" s="340"/>
      <c r="MMO231" s="340"/>
      <c r="MMP231" s="340"/>
      <c r="MMQ231" s="340"/>
      <c r="MMR231" s="340"/>
      <c r="MMS231" s="340"/>
      <c r="MMT231" s="340"/>
      <c r="MMU231" s="340"/>
      <c r="MMV231" s="340"/>
      <c r="MMW231" s="340"/>
      <c r="MMX231" s="340"/>
      <c r="MMY231" s="340"/>
      <c r="MMZ231" s="340"/>
      <c r="MNA231" s="340"/>
      <c r="MNB231" s="340"/>
      <c r="MNC231" s="340"/>
      <c r="MND231" s="340"/>
      <c r="MNE231" s="340"/>
      <c r="MNF231" s="340"/>
      <c r="MNG231" s="340"/>
      <c r="MNH231" s="340"/>
      <c r="MNI231" s="340"/>
      <c r="MNJ231" s="340"/>
      <c r="MNK231" s="340"/>
      <c r="MNL231" s="340"/>
      <c r="MNM231" s="340"/>
      <c r="MNN231" s="340"/>
      <c r="MNO231" s="340"/>
      <c r="MNP231" s="340"/>
      <c r="MNQ231" s="340"/>
      <c r="MNR231" s="340"/>
      <c r="MNS231" s="340"/>
      <c r="MNT231" s="340"/>
      <c r="MNU231" s="340"/>
      <c r="MNV231" s="340"/>
      <c r="MNW231" s="340"/>
      <c r="MNX231" s="340"/>
      <c r="MNY231" s="340"/>
      <c r="MNZ231" s="340"/>
      <c r="MOA231" s="340"/>
      <c r="MOB231" s="340"/>
      <c r="MOC231" s="340"/>
      <c r="MOD231" s="340"/>
      <c r="MOE231" s="340"/>
      <c r="MOF231" s="340"/>
      <c r="MOG231" s="340"/>
      <c r="MOH231" s="340"/>
      <c r="MOI231" s="340"/>
      <c r="MOJ231" s="340"/>
      <c r="MOK231" s="340"/>
      <c r="MOL231" s="340"/>
      <c r="MOM231" s="340"/>
      <c r="MON231" s="340"/>
      <c r="MOO231" s="340"/>
      <c r="MOP231" s="340"/>
      <c r="MOQ231" s="340"/>
      <c r="MOR231" s="340"/>
      <c r="MOS231" s="340"/>
      <c r="MOT231" s="340"/>
      <c r="MOU231" s="340"/>
      <c r="MOV231" s="340"/>
      <c r="MOW231" s="340"/>
      <c r="MOX231" s="340"/>
      <c r="MOY231" s="340"/>
      <c r="MOZ231" s="340"/>
      <c r="MPA231" s="340"/>
      <c r="MPB231" s="340"/>
      <c r="MPC231" s="340"/>
      <c r="MPD231" s="340"/>
      <c r="MPE231" s="340"/>
      <c r="MPF231" s="340"/>
      <c r="MPG231" s="340"/>
      <c r="MPH231" s="340"/>
      <c r="MPI231" s="340"/>
      <c r="MPJ231" s="340"/>
      <c r="MPK231" s="340"/>
      <c r="MPL231" s="340"/>
      <c r="MPM231" s="340"/>
      <c r="MPN231" s="340"/>
      <c r="MPO231" s="340"/>
      <c r="MPP231" s="340"/>
      <c r="MPQ231" s="340"/>
      <c r="MPR231" s="340"/>
      <c r="MPS231" s="340"/>
      <c r="MPT231" s="340"/>
      <c r="MPU231" s="340"/>
      <c r="MPV231" s="340"/>
      <c r="MPW231" s="340"/>
      <c r="MPX231" s="340"/>
      <c r="MPY231" s="340"/>
      <c r="MPZ231" s="340"/>
      <c r="MQA231" s="340"/>
      <c r="MQB231" s="340"/>
      <c r="MQC231" s="340"/>
      <c r="MQD231" s="340"/>
      <c r="MQE231" s="340"/>
      <c r="MQF231" s="340"/>
      <c r="MQG231" s="340"/>
      <c r="MQH231" s="340"/>
      <c r="MQI231" s="340"/>
      <c r="MQJ231" s="340"/>
      <c r="MQK231" s="340"/>
      <c r="MQL231" s="340"/>
      <c r="MQM231" s="340"/>
      <c r="MQN231" s="340"/>
      <c r="MQO231" s="340"/>
      <c r="MQP231" s="340"/>
      <c r="MQQ231" s="340"/>
      <c r="MQR231" s="340"/>
      <c r="MQS231" s="340"/>
      <c r="MQT231" s="340"/>
      <c r="MQU231" s="340"/>
      <c r="MQV231" s="340"/>
      <c r="MQW231" s="340"/>
      <c r="MQX231" s="340"/>
      <c r="MQY231" s="340"/>
      <c r="MQZ231" s="340"/>
      <c r="MRA231" s="340"/>
      <c r="MRB231" s="340"/>
      <c r="MRC231" s="340"/>
      <c r="MRD231" s="340"/>
      <c r="MRE231" s="340"/>
      <c r="MRF231" s="340"/>
      <c r="MRG231" s="340"/>
      <c r="MRH231" s="340"/>
      <c r="MRI231" s="340"/>
      <c r="MRJ231" s="340"/>
      <c r="MRK231" s="340"/>
      <c r="MRL231" s="340"/>
      <c r="MRM231" s="340"/>
      <c r="MRN231" s="340"/>
      <c r="MRO231" s="340"/>
      <c r="MRP231" s="340"/>
      <c r="MRQ231" s="340"/>
      <c r="MRR231" s="340"/>
      <c r="MRS231" s="340"/>
      <c r="MRT231" s="340"/>
      <c r="MRU231" s="340"/>
      <c r="MRV231" s="340"/>
      <c r="MRW231" s="340"/>
      <c r="MRX231" s="340"/>
      <c r="MRY231" s="340"/>
      <c r="MRZ231" s="340"/>
      <c r="MSA231" s="340"/>
      <c r="MSB231" s="340"/>
      <c r="MSC231" s="340"/>
      <c r="MSD231" s="340"/>
      <c r="MSE231" s="340"/>
      <c r="MSF231" s="340"/>
      <c r="MSG231" s="340"/>
      <c r="MSH231" s="340"/>
      <c r="MSI231" s="340"/>
      <c r="MSJ231" s="340"/>
      <c r="MSK231" s="340"/>
      <c r="MSL231" s="340"/>
      <c r="MSM231" s="340"/>
      <c r="MSN231" s="340"/>
      <c r="MSO231" s="340"/>
      <c r="MSP231" s="340"/>
      <c r="MSQ231" s="340"/>
      <c r="MSR231" s="340"/>
      <c r="MSS231" s="340"/>
      <c r="MST231" s="340"/>
      <c r="MSU231" s="340"/>
      <c r="MSV231" s="340"/>
      <c r="MSW231" s="340"/>
      <c r="MSX231" s="340"/>
      <c r="MSY231" s="340"/>
      <c r="MSZ231" s="340"/>
      <c r="MTA231" s="340"/>
      <c r="MTB231" s="340"/>
      <c r="MTC231" s="340"/>
      <c r="MTD231" s="340"/>
      <c r="MTE231" s="340"/>
      <c r="MTF231" s="340"/>
      <c r="MTG231" s="340"/>
      <c r="MTH231" s="340"/>
      <c r="MTI231" s="340"/>
      <c r="MTJ231" s="340"/>
      <c r="MTK231" s="340"/>
      <c r="MTL231" s="340"/>
      <c r="MTM231" s="340"/>
      <c r="MTN231" s="340"/>
      <c r="MTO231" s="340"/>
      <c r="MTP231" s="340"/>
      <c r="MTQ231" s="340"/>
      <c r="MTR231" s="340"/>
      <c r="MTS231" s="340"/>
      <c r="MTT231" s="340"/>
      <c r="MTU231" s="340"/>
      <c r="MTV231" s="340"/>
      <c r="MTW231" s="340"/>
      <c r="MTX231" s="340"/>
      <c r="MTY231" s="340"/>
      <c r="MTZ231" s="340"/>
      <c r="MUA231" s="340"/>
      <c r="MUB231" s="340"/>
      <c r="MUC231" s="340"/>
      <c r="MUD231" s="340"/>
      <c r="MUE231" s="340"/>
      <c r="MUF231" s="340"/>
      <c r="MUG231" s="340"/>
      <c r="MUH231" s="340"/>
      <c r="MUI231" s="340"/>
      <c r="MUJ231" s="340"/>
      <c r="MUK231" s="340"/>
      <c r="MUL231" s="340"/>
      <c r="MUM231" s="340"/>
      <c r="MUN231" s="340"/>
      <c r="MUO231" s="340"/>
      <c r="MUP231" s="340"/>
      <c r="MUQ231" s="340"/>
      <c r="MUR231" s="340"/>
      <c r="MUS231" s="340"/>
      <c r="MUT231" s="340"/>
      <c r="MUU231" s="340"/>
      <c r="MUV231" s="340"/>
      <c r="MUW231" s="340"/>
      <c r="MUX231" s="340"/>
      <c r="MUY231" s="340"/>
      <c r="MUZ231" s="340"/>
      <c r="MVA231" s="340"/>
      <c r="MVB231" s="340"/>
      <c r="MVC231" s="340"/>
      <c r="MVD231" s="340"/>
      <c r="MVE231" s="340"/>
      <c r="MVF231" s="340"/>
      <c r="MVG231" s="340"/>
      <c r="MVH231" s="340"/>
      <c r="MVI231" s="340"/>
      <c r="MVJ231" s="340"/>
      <c r="MVK231" s="340"/>
      <c r="MVL231" s="340"/>
      <c r="MVM231" s="340"/>
      <c r="MVN231" s="340"/>
      <c r="MVO231" s="340"/>
      <c r="MVP231" s="340"/>
      <c r="MVQ231" s="340"/>
      <c r="MVR231" s="340"/>
      <c r="MVS231" s="340"/>
      <c r="MVT231" s="340"/>
      <c r="MVU231" s="340"/>
      <c r="MVV231" s="340"/>
      <c r="MVW231" s="340"/>
      <c r="MVX231" s="340"/>
      <c r="MVY231" s="340"/>
      <c r="MVZ231" s="340"/>
      <c r="MWA231" s="340"/>
      <c r="MWB231" s="340"/>
      <c r="MWC231" s="340"/>
      <c r="MWD231" s="340"/>
      <c r="MWE231" s="340"/>
      <c r="MWF231" s="340"/>
      <c r="MWG231" s="340"/>
      <c r="MWH231" s="340"/>
      <c r="MWI231" s="340"/>
      <c r="MWJ231" s="340"/>
      <c r="MWK231" s="340"/>
      <c r="MWL231" s="340"/>
      <c r="MWM231" s="340"/>
      <c r="MWN231" s="340"/>
      <c r="MWO231" s="340"/>
      <c r="MWP231" s="340"/>
      <c r="MWQ231" s="340"/>
      <c r="MWR231" s="340"/>
      <c r="MWS231" s="340"/>
      <c r="MWT231" s="340"/>
      <c r="MWU231" s="340"/>
      <c r="MWV231" s="340"/>
      <c r="MWW231" s="340"/>
      <c r="MWX231" s="340"/>
      <c r="MWY231" s="340"/>
      <c r="MWZ231" s="340"/>
      <c r="MXA231" s="340"/>
      <c r="MXB231" s="340"/>
      <c r="MXC231" s="340"/>
      <c r="MXD231" s="340"/>
      <c r="MXE231" s="340"/>
      <c r="MXF231" s="340"/>
      <c r="MXG231" s="340"/>
      <c r="MXH231" s="340"/>
      <c r="MXI231" s="340"/>
      <c r="MXJ231" s="340"/>
      <c r="MXK231" s="340"/>
      <c r="MXL231" s="340"/>
      <c r="MXM231" s="340"/>
      <c r="MXN231" s="340"/>
      <c r="MXO231" s="340"/>
      <c r="MXP231" s="340"/>
      <c r="MXQ231" s="340"/>
      <c r="MXR231" s="340"/>
      <c r="MXS231" s="340"/>
      <c r="MXT231" s="340"/>
      <c r="MXU231" s="340"/>
      <c r="MXV231" s="340"/>
      <c r="MXW231" s="340"/>
      <c r="MXX231" s="340"/>
      <c r="MXY231" s="340"/>
      <c r="MXZ231" s="340"/>
      <c r="MYA231" s="340"/>
      <c r="MYB231" s="340"/>
      <c r="MYC231" s="340"/>
      <c r="MYD231" s="340"/>
      <c r="MYE231" s="340"/>
      <c r="MYF231" s="340"/>
      <c r="MYG231" s="340"/>
      <c r="MYH231" s="340"/>
      <c r="MYI231" s="340"/>
      <c r="MYJ231" s="340"/>
      <c r="MYK231" s="340"/>
      <c r="MYL231" s="340"/>
      <c r="MYM231" s="340"/>
      <c r="MYN231" s="340"/>
      <c r="MYO231" s="340"/>
      <c r="MYP231" s="340"/>
      <c r="MYQ231" s="340"/>
      <c r="MYR231" s="340"/>
      <c r="MYS231" s="340"/>
      <c r="MYT231" s="340"/>
      <c r="MYU231" s="340"/>
      <c r="MYV231" s="340"/>
      <c r="MYW231" s="340"/>
      <c r="MYX231" s="340"/>
      <c r="MYY231" s="340"/>
      <c r="MYZ231" s="340"/>
      <c r="MZA231" s="340"/>
      <c r="MZB231" s="340"/>
      <c r="MZC231" s="340"/>
      <c r="MZD231" s="340"/>
      <c r="MZE231" s="340"/>
      <c r="MZF231" s="340"/>
      <c r="MZG231" s="340"/>
      <c r="MZH231" s="340"/>
      <c r="MZI231" s="340"/>
      <c r="MZJ231" s="340"/>
      <c r="MZK231" s="340"/>
      <c r="MZL231" s="340"/>
      <c r="MZM231" s="340"/>
      <c r="MZN231" s="340"/>
      <c r="MZO231" s="340"/>
      <c r="MZP231" s="340"/>
      <c r="MZQ231" s="340"/>
      <c r="MZR231" s="340"/>
      <c r="MZS231" s="340"/>
      <c r="MZT231" s="340"/>
      <c r="MZU231" s="340"/>
      <c r="MZV231" s="340"/>
      <c r="MZW231" s="340"/>
      <c r="MZX231" s="340"/>
      <c r="MZY231" s="340"/>
      <c r="MZZ231" s="340"/>
      <c r="NAA231" s="340"/>
      <c r="NAB231" s="340"/>
      <c r="NAC231" s="340"/>
      <c r="NAD231" s="340"/>
      <c r="NAE231" s="340"/>
      <c r="NAF231" s="340"/>
      <c r="NAG231" s="340"/>
      <c r="NAH231" s="340"/>
      <c r="NAI231" s="340"/>
      <c r="NAJ231" s="340"/>
      <c r="NAK231" s="340"/>
      <c r="NAL231" s="340"/>
      <c r="NAM231" s="340"/>
      <c r="NAN231" s="340"/>
      <c r="NAO231" s="340"/>
      <c r="NAP231" s="340"/>
      <c r="NAQ231" s="340"/>
      <c r="NAR231" s="340"/>
      <c r="NAS231" s="340"/>
      <c r="NAT231" s="340"/>
      <c r="NAU231" s="340"/>
      <c r="NAV231" s="340"/>
      <c r="NAW231" s="340"/>
      <c r="NAX231" s="340"/>
      <c r="NAY231" s="340"/>
      <c r="NAZ231" s="340"/>
      <c r="NBA231" s="340"/>
      <c r="NBB231" s="340"/>
      <c r="NBC231" s="340"/>
      <c r="NBD231" s="340"/>
      <c r="NBE231" s="340"/>
      <c r="NBF231" s="340"/>
      <c r="NBG231" s="340"/>
      <c r="NBH231" s="340"/>
      <c r="NBI231" s="340"/>
      <c r="NBJ231" s="340"/>
      <c r="NBK231" s="340"/>
      <c r="NBL231" s="340"/>
      <c r="NBM231" s="340"/>
      <c r="NBN231" s="340"/>
      <c r="NBO231" s="340"/>
      <c r="NBP231" s="340"/>
      <c r="NBQ231" s="340"/>
      <c r="NBR231" s="340"/>
      <c r="NBS231" s="340"/>
      <c r="NBT231" s="340"/>
      <c r="NBU231" s="340"/>
      <c r="NBV231" s="340"/>
      <c r="NBW231" s="340"/>
      <c r="NBX231" s="340"/>
      <c r="NBY231" s="340"/>
      <c r="NBZ231" s="340"/>
      <c r="NCA231" s="340"/>
      <c r="NCB231" s="340"/>
      <c r="NCC231" s="340"/>
      <c r="NCD231" s="340"/>
      <c r="NCE231" s="340"/>
      <c r="NCF231" s="340"/>
      <c r="NCG231" s="340"/>
      <c r="NCH231" s="340"/>
      <c r="NCI231" s="340"/>
      <c r="NCJ231" s="340"/>
      <c r="NCK231" s="340"/>
      <c r="NCL231" s="340"/>
      <c r="NCM231" s="340"/>
      <c r="NCN231" s="340"/>
      <c r="NCO231" s="340"/>
      <c r="NCP231" s="340"/>
      <c r="NCQ231" s="340"/>
      <c r="NCR231" s="340"/>
      <c r="NCS231" s="340"/>
      <c r="NCT231" s="340"/>
      <c r="NCU231" s="340"/>
      <c r="NCV231" s="340"/>
      <c r="NCW231" s="340"/>
      <c r="NCX231" s="340"/>
      <c r="NCY231" s="340"/>
      <c r="NCZ231" s="340"/>
      <c r="NDA231" s="340"/>
      <c r="NDB231" s="340"/>
      <c r="NDC231" s="340"/>
      <c r="NDD231" s="340"/>
      <c r="NDE231" s="340"/>
      <c r="NDF231" s="340"/>
      <c r="NDG231" s="340"/>
      <c r="NDH231" s="340"/>
      <c r="NDI231" s="340"/>
      <c r="NDJ231" s="340"/>
      <c r="NDK231" s="340"/>
      <c r="NDL231" s="340"/>
      <c r="NDM231" s="340"/>
      <c r="NDN231" s="340"/>
      <c r="NDO231" s="340"/>
      <c r="NDP231" s="340"/>
      <c r="NDQ231" s="340"/>
      <c r="NDR231" s="340"/>
      <c r="NDS231" s="340"/>
      <c r="NDT231" s="340"/>
      <c r="NDU231" s="340"/>
      <c r="NDV231" s="340"/>
      <c r="NDW231" s="340"/>
      <c r="NDX231" s="340"/>
      <c r="NDY231" s="340"/>
      <c r="NDZ231" s="340"/>
      <c r="NEA231" s="340"/>
      <c r="NEB231" s="340"/>
      <c r="NEC231" s="340"/>
      <c r="NED231" s="340"/>
      <c r="NEE231" s="340"/>
      <c r="NEF231" s="340"/>
      <c r="NEG231" s="340"/>
      <c r="NEH231" s="340"/>
      <c r="NEI231" s="340"/>
      <c r="NEJ231" s="340"/>
      <c r="NEK231" s="340"/>
      <c r="NEL231" s="340"/>
      <c r="NEM231" s="340"/>
      <c r="NEN231" s="340"/>
      <c r="NEO231" s="340"/>
      <c r="NEP231" s="340"/>
      <c r="NEQ231" s="340"/>
      <c r="NER231" s="340"/>
      <c r="NES231" s="340"/>
      <c r="NET231" s="340"/>
      <c r="NEU231" s="340"/>
      <c r="NEV231" s="340"/>
      <c r="NEW231" s="340"/>
      <c r="NEX231" s="340"/>
      <c r="NEY231" s="340"/>
      <c r="NEZ231" s="340"/>
      <c r="NFA231" s="340"/>
      <c r="NFB231" s="340"/>
      <c r="NFC231" s="340"/>
      <c r="NFD231" s="340"/>
      <c r="NFE231" s="340"/>
      <c r="NFF231" s="340"/>
      <c r="NFG231" s="340"/>
      <c r="NFH231" s="340"/>
      <c r="NFI231" s="340"/>
      <c r="NFJ231" s="340"/>
      <c r="NFK231" s="340"/>
      <c r="NFL231" s="340"/>
      <c r="NFM231" s="340"/>
      <c r="NFN231" s="340"/>
      <c r="NFO231" s="340"/>
      <c r="NFP231" s="340"/>
      <c r="NFQ231" s="340"/>
      <c r="NFR231" s="340"/>
      <c r="NFS231" s="340"/>
      <c r="NFT231" s="340"/>
      <c r="NFU231" s="340"/>
      <c r="NFV231" s="340"/>
      <c r="NFW231" s="340"/>
      <c r="NFX231" s="340"/>
      <c r="NFY231" s="340"/>
      <c r="NFZ231" s="340"/>
      <c r="NGA231" s="340"/>
      <c r="NGB231" s="340"/>
      <c r="NGC231" s="340"/>
      <c r="NGD231" s="340"/>
      <c r="NGE231" s="340"/>
      <c r="NGF231" s="340"/>
      <c r="NGG231" s="340"/>
      <c r="NGH231" s="340"/>
      <c r="NGI231" s="340"/>
      <c r="NGJ231" s="340"/>
      <c r="NGK231" s="340"/>
      <c r="NGL231" s="340"/>
      <c r="NGM231" s="340"/>
      <c r="NGN231" s="340"/>
      <c r="NGO231" s="340"/>
      <c r="NGP231" s="340"/>
      <c r="NGQ231" s="340"/>
      <c r="NGR231" s="340"/>
      <c r="NGS231" s="340"/>
      <c r="NGT231" s="340"/>
      <c r="NGU231" s="340"/>
      <c r="NGV231" s="340"/>
      <c r="NGW231" s="340"/>
      <c r="NGX231" s="340"/>
      <c r="NGY231" s="340"/>
      <c r="NGZ231" s="340"/>
      <c r="NHA231" s="340"/>
      <c r="NHB231" s="340"/>
      <c r="NHC231" s="340"/>
      <c r="NHD231" s="340"/>
      <c r="NHE231" s="340"/>
      <c r="NHF231" s="340"/>
      <c r="NHG231" s="340"/>
      <c r="NHH231" s="340"/>
      <c r="NHI231" s="340"/>
      <c r="NHJ231" s="340"/>
      <c r="NHK231" s="340"/>
      <c r="NHL231" s="340"/>
      <c r="NHM231" s="340"/>
      <c r="NHN231" s="340"/>
      <c r="NHO231" s="340"/>
      <c r="NHP231" s="340"/>
      <c r="NHQ231" s="340"/>
      <c r="NHR231" s="340"/>
      <c r="NHS231" s="340"/>
      <c r="NHT231" s="340"/>
      <c r="NHU231" s="340"/>
      <c r="NHV231" s="340"/>
      <c r="NHW231" s="340"/>
      <c r="NHX231" s="340"/>
      <c r="NHY231" s="340"/>
      <c r="NHZ231" s="340"/>
      <c r="NIA231" s="340"/>
      <c r="NIB231" s="340"/>
      <c r="NIC231" s="340"/>
      <c r="NID231" s="340"/>
      <c r="NIE231" s="340"/>
      <c r="NIF231" s="340"/>
      <c r="NIG231" s="340"/>
      <c r="NIH231" s="340"/>
      <c r="NII231" s="340"/>
      <c r="NIJ231" s="340"/>
      <c r="NIK231" s="340"/>
      <c r="NIL231" s="340"/>
      <c r="NIM231" s="340"/>
      <c r="NIN231" s="340"/>
      <c r="NIO231" s="340"/>
      <c r="NIP231" s="340"/>
      <c r="NIQ231" s="340"/>
      <c r="NIR231" s="340"/>
      <c r="NIS231" s="340"/>
      <c r="NIT231" s="340"/>
      <c r="NIU231" s="340"/>
      <c r="NIV231" s="340"/>
      <c r="NIW231" s="340"/>
      <c r="NIX231" s="340"/>
      <c r="NIY231" s="340"/>
      <c r="NIZ231" s="340"/>
      <c r="NJA231" s="340"/>
      <c r="NJB231" s="340"/>
      <c r="NJC231" s="340"/>
      <c r="NJD231" s="340"/>
      <c r="NJE231" s="340"/>
      <c r="NJF231" s="340"/>
      <c r="NJG231" s="340"/>
      <c r="NJH231" s="340"/>
      <c r="NJI231" s="340"/>
      <c r="NJJ231" s="340"/>
      <c r="NJK231" s="340"/>
      <c r="NJL231" s="340"/>
      <c r="NJM231" s="340"/>
      <c r="NJN231" s="340"/>
      <c r="NJO231" s="340"/>
      <c r="NJP231" s="340"/>
      <c r="NJQ231" s="340"/>
      <c r="NJR231" s="340"/>
      <c r="NJS231" s="340"/>
      <c r="NJT231" s="340"/>
      <c r="NJU231" s="340"/>
      <c r="NJV231" s="340"/>
      <c r="NJW231" s="340"/>
      <c r="NJX231" s="340"/>
      <c r="NJY231" s="340"/>
      <c r="NJZ231" s="340"/>
      <c r="NKA231" s="340"/>
      <c r="NKB231" s="340"/>
      <c r="NKC231" s="340"/>
      <c r="NKD231" s="340"/>
      <c r="NKE231" s="340"/>
      <c r="NKF231" s="340"/>
      <c r="NKG231" s="340"/>
      <c r="NKH231" s="340"/>
      <c r="NKI231" s="340"/>
      <c r="NKJ231" s="340"/>
      <c r="NKK231" s="340"/>
      <c r="NKL231" s="340"/>
      <c r="NKM231" s="340"/>
      <c r="NKN231" s="340"/>
      <c r="NKO231" s="340"/>
      <c r="NKP231" s="340"/>
      <c r="NKQ231" s="340"/>
      <c r="NKR231" s="340"/>
      <c r="NKS231" s="340"/>
      <c r="NKT231" s="340"/>
      <c r="NKU231" s="340"/>
      <c r="NKV231" s="340"/>
      <c r="NKW231" s="340"/>
      <c r="NKX231" s="340"/>
      <c r="NKY231" s="340"/>
      <c r="NKZ231" s="340"/>
      <c r="NLA231" s="340"/>
      <c r="NLB231" s="340"/>
      <c r="NLC231" s="340"/>
      <c r="NLD231" s="340"/>
      <c r="NLE231" s="340"/>
      <c r="NLF231" s="340"/>
      <c r="NLG231" s="340"/>
      <c r="NLH231" s="340"/>
      <c r="NLI231" s="340"/>
      <c r="NLJ231" s="340"/>
      <c r="NLK231" s="340"/>
      <c r="NLL231" s="340"/>
      <c r="NLM231" s="340"/>
      <c r="NLN231" s="340"/>
      <c r="NLO231" s="340"/>
      <c r="NLP231" s="340"/>
      <c r="NLQ231" s="340"/>
      <c r="NLR231" s="340"/>
      <c r="NLS231" s="340"/>
      <c r="NLT231" s="340"/>
      <c r="NLU231" s="340"/>
      <c r="NLV231" s="340"/>
      <c r="NLW231" s="340"/>
      <c r="NLX231" s="340"/>
      <c r="NLY231" s="340"/>
      <c r="NLZ231" s="340"/>
      <c r="NMA231" s="340"/>
      <c r="NMB231" s="340"/>
      <c r="NMC231" s="340"/>
      <c r="NMD231" s="340"/>
      <c r="NME231" s="340"/>
      <c r="NMF231" s="340"/>
      <c r="NMG231" s="340"/>
      <c r="NMH231" s="340"/>
      <c r="NMI231" s="340"/>
      <c r="NMJ231" s="340"/>
      <c r="NMK231" s="340"/>
      <c r="NML231" s="340"/>
      <c r="NMM231" s="340"/>
      <c r="NMN231" s="340"/>
      <c r="NMO231" s="340"/>
      <c r="NMP231" s="340"/>
      <c r="NMQ231" s="340"/>
      <c r="NMR231" s="340"/>
      <c r="NMS231" s="340"/>
      <c r="NMT231" s="340"/>
      <c r="NMU231" s="340"/>
      <c r="NMV231" s="340"/>
      <c r="NMW231" s="340"/>
      <c r="NMX231" s="340"/>
      <c r="NMY231" s="340"/>
      <c r="NMZ231" s="340"/>
      <c r="NNA231" s="340"/>
      <c r="NNB231" s="340"/>
      <c r="NNC231" s="340"/>
      <c r="NND231" s="340"/>
      <c r="NNE231" s="340"/>
      <c r="NNF231" s="340"/>
      <c r="NNG231" s="340"/>
      <c r="NNH231" s="340"/>
      <c r="NNI231" s="340"/>
      <c r="NNJ231" s="340"/>
      <c r="NNK231" s="340"/>
      <c r="NNL231" s="340"/>
      <c r="NNM231" s="340"/>
      <c r="NNN231" s="340"/>
      <c r="NNO231" s="340"/>
      <c r="NNP231" s="340"/>
      <c r="NNQ231" s="340"/>
      <c r="NNR231" s="340"/>
      <c r="NNS231" s="340"/>
      <c r="NNT231" s="340"/>
      <c r="NNU231" s="340"/>
      <c r="NNV231" s="340"/>
      <c r="NNW231" s="340"/>
      <c r="NNX231" s="340"/>
      <c r="NNY231" s="340"/>
      <c r="NNZ231" s="340"/>
      <c r="NOA231" s="340"/>
      <c r="NOB231" s="340"/>
      <c r="NOC231" s="340"/>
      <c r="NOD231" s="340"/>
      <c r="NOE231" s="340"/>
      <c r="NOF231" s="340"/>
      <c r="NOG231" s="340"/>
      <c r="NOH231" s="340"/>
      <c r="NOI231" s="340"/>
      <c r="NOJ231" s="340"/>
      <c r="NOK231" s="340"/>
      <c r="NOL231" s="340"/>
      <c r="NOM231" s="340"/>
      <c r="NON231" s="340"/>
      <c r="NOO231" s="340"/>
      <c r="NOP231" s="340"/>
      <c r="NOQ231" s="340"/>
      <c r="NOR231" s="340"/>
      <c r="NOS231" s="340"/>
      <c r="NOT231" s="340"/>
      <c r="NOU231" s="340"/>
      <c r="NOV231" s="340"/>
      <c r="NOW231" s="340"/>
      <c r="NOX231" s="340"/>
      <c r="NOY231" s="340"/>
      <c r="NOZ231" s="340"/>
      <c r="NPA231" s="340"/>
      <c r="NPB231" s="340"/>
      <c r="NPC231" s="340"/>
      <c r="NPD231" s="340"/>
      <c r="NPE231" s="340"/>
      <c r="NPF231" s="340"/>
      <c r="NPG231" s="340"/>
      <c r="NPH231" s="340"/>
      <c r="NPI231" s="340"/>
      <c r="NPJ231" s="340"/>
      <c r="NPK231" s="340"/>
      <c r="NPL231" s="340"/>
      <c r="NPM231" s="340"/>
      <c r="NPN231" s="340"/>
      <c r="NPO231" s="340"/>
      <c r="NPP231" s="340"/>
      <c r="NPQ231" s="340"/>
      <c r="NPR231" s="340"/>
      <c r="NPS231" s="340"/>
      <c r="NPT231" s="340"/>
      <c r="NPU231" s="340"/>
      <c r="NPV231" s="340"/>
      <c r="NPW231" s="340"/>
      <c r="NPX231" s="340"/>
      <c r="NPY231" s="340"/>
      <c r="NPZ231" s="340"/>
      <c r="NQA231" s="340"/>
      <c r="NQB231" s="340"/>
      <c r="NQC231" s="340"/>
      <c r="NQD231" s="340"/>
      <c r="NQE231" s="340"/>
      <c r="NQF231" s="340"/>
      <c r="NQG231" s="340"/>
      <c r="NQH231" s="340"/>
      <c r="NQI231" s="340"/>
      <c r="NQJ231" s="340"/>
      <c r="NQK231" s="340"/>
      <c r="NQL231" s="340"/>
      <c r="NQM231" s="340"/>
      <c r="NQN231" s="340"/>
      <c r="NQO231" s="340"/>
      <c r="NQP231" s="340"/>
      <c r="NQQ231" s="340"/>
      <c r="NQR231" s="340"/>
      <c r="NQS231" s="340"/>
      <c r="NQT231" s="340"/>
      <c r="NQU231" s="340"/>
      <c r="NQV231" s="340"/>
      <c r="NQW231" s="340"/>
      <c r="NQX231" s="340"/>
      <c r="NQY231" s="340"/>
      <c r="NQZ231" s="340"/>
      <c r="NRA231" s="340"/>
      <c r="NRB231" s="340"/>
      <c r="NRC231" s="340"/>
      <c r="NRD231" s="340"/>
      <c r="NRE231" s="340"/>
      <c r="NRF231" s="340"/>
      <c r="NRG231" s="340"/>
      <c r="NRH231" s="340"/>
      <c r="NRI231" s="340"/>
      <c r="NRJ231" s="340"/>
      <c r="NRK231" s="340"/>
      <c r="NRL231" s="340"/>
      <c r="NRM231" s="340"/>
      <c r="NRN231" s="340"/>
      <c r="NRO231" s="340"/>
      <c r="NRP231" s="340"/>
      <c r="NRQ231" s="340"/>
      <c r="NRR231" s="340"/>
      <c r="NRS231" s="340"/>
      <c r="NRT231" s="340"/>
      <c r="NRU231" s="340"/>
      <c r="NRV231" s="340"/>
      <c r="NRW231" s="340"/>
      <c r="NRX231" s="340"/>
      <c r="NRY231" s="340"/>
      <c r="NRZ231" s="340"/>
      <c r="NSA231" s="340"/>
      <c r="NSB231" s="340"/>
      <c r="NSC231" s="340"/>
      <c r="NSD231" s="340"/>
      <c r="NSE231" s="340"/>
      <c r="NSF231" s="340"/>
      <c r="NSG231" s="340"/>
      <c r="NSH231" s="340"/>
      <c r="NSI231" s="340"/>
      <c r="NSJ231" s="340"/>
      <c r="NSK231" s="340"/>
      <c r="NSL231" s="340"/>
      <c r="NSM231" s="340"/>
      <c r="NSN231" s="340"/>
      <c r="NSO231" s="340"/>
      <c r="NSP231" s="340"/>
      <c r="NSQ231" s="340"/>
      <c r="NSR231" s="340"/>
      <c r="NSS231" s="340"/>
      <c r="NST231" s="340"/>
      <c r="NSU231" s="340"/>
      <c r="NSV231" s="340"/>
      <c r="NSW231" s="340"/>
      <c r="NSX231" s="340"/>
      <c r="NSY231" s="340"/>
      <c r="NSZ231" s="340"/>
      <c r="NTA231" s="340"/>
      <c r="NTB231" s="340"/>
      <c r="NTC231" s="340"/>
      <c r="NTD231" s="340"/>
      <c r="NTE231" s="340"/>
      <c r="NTF231" s="340"/>
      <c r="NTG231" s="340"/>
      <c r="NTH231" s="340"/>
      <c r="NTI231" s="340"/>
      <c r="NTJ231" s="340"/>
      <c r="NTK231" s="340"/>
      <c r="NTL231" s="340"/>
      <c r="NTM231" s="340"/>
      <c r="NTN231" s="340"/>
      <c r="NTO231" s="340"/>
      <c r="NTP231" s="340"/>
      <c r="NTQ231" s="340"/>
      <c r="NTR231" s="340"/>
      <c r="NTS231" s="340"/>
      <c r="NTT231" s="340"/>
      <c r="NTU231" s="340"/>
      <c r="NTV231" s="340"/>
      <c r="NTW231" s="340"/>
      <c r="NTX231" s="340"/>
      <c r="NTY231" s="340"/>
      <c r="NTZ231" s="340"/>
      <c r="NUA231" s="340"/>
      <c r="NUB231" s="340"/>
      <c r="NUC231" s="340"/>
      <c r="NUD231" s="340"/>
      <c r="NUE231" s="340"/>
      <c r="NUF231" s="340"/>
      <c r="NUG231" s="340"/>
      <c r="NUH231" s="340"/>
      <c r="NUI231" s="340"/>
      <c r="NUJ231" s="340"/>
      <c r="NUK231" s="340"/>
      <c r="NUL231" s="340"/>
      <c r="NUM231" s="340"/>
      <c r="NUN231" s="340"/>
      <c r="NUO231" s="340"/>
      <c r="NUP231" s="340"/>
      <c r="NUQ231" s="340"/>
      <c r="NUR231" s="340"/>
      <c r="NUS231" s="340"/>
      <c r="NUT231" s="340"/>
      <c r="NUU231" s="340"/>
      <c r="NUV231" s="340"/>
      <c r="NUW231" s="340"/>
      <c r="NUX231" s="340"/>
      <c r="NUY231" s="340"/>
      <c r="NUZ231" s="340"/>
      <c r="NVA231" s="340"/>
      <c r="NVB231" s="340"/>
      <c r="NVC231" s="340"/>
      <c r="NVD231" s="340"/>
      <c r="NVE231" s="340"/>
      <c r="NVF231" s="340"/>
      <c r="NVG231" s="340"/>
      <c r="NVH231" s="340"/>
      <c r="NVI231" s="340"/>
      <c r="NVJ231" s="340"/>
      <c r="NVK231" s="340"/>
      <c r="NVL231" s="340"/>
      <c r="NVM231" s="340"/>
      <c r="NVN231" s="340"/>
      <c r="NVO231" s="340"/>
      <c r="NVP231" s="340"/>
      <c r="NVQ231" s="340"/>
      <c r="NVR231" s="340"/>
      <c r="NVS231" s="340"/>
      <c r="NVT231" s="340"/>
      <c r="NVU231" s="340"/>
      <c r="NVV231" s="340"/>
      <c r="NVW231" s="340"/>
      <c r="NVX231" s="340"/>
      <c r="NVY231" s="340"/>
      <c r="NVZ231" s="340"/>
      <c r="NWA231" s="340"/>
      <c r="NWB231" s="340"/>
      <c r="NWC231" s="340"/>
      <c r="NWD231" s="340"/>
      <c r="NWE231" s="340"/>
      <c r="NWF231" s="340"/>
      <c r="NWG231" s="340"/>
      <c r="NWH231" s="340"/>
      <c r="NWI231" s="340"/>
      <c r="NWJ231" s="340"/>
      <c r="NWK231" s="340"/>
      <c r="NWL231" s="340"/>
      <c r="NWM231" s="340"/>
      <c r="NWN231" s="340"/>
      <c r="NWO231" s="340"/>
      <c r="NWP231" s="340"/>
      <c r="NWQ231" s="340"/>
      <c r="NWR231" s="340"/>
      <c r="NWS231" s="340"/>
      <c r="NWT231" s="340"/>
      <c r="NWU231" s="340"/>
      <c r="NWV231" s="340"/>
      <c r="NWW231" s="340"/>
      <c r="NWX231" s="340"/>
      <c r="NWY231" s="340"/>
      <c r="NWZ231" s="340"/>
      <c r="NXA231" s="340"/>
      <c r="NXB231" s="340"/>
      <c r="NXC231" s="340"/>
      <c r="NXD231" s="340"/>
      <c r="NXE231" s="340"/>
      <c r="NXF231" s="340"/>
      <c r="NXG231" s="340"/>
      <c r="NXH231" s="340"/>
      <c r="NXI231" s="340"/>
      <c r="NXJ231" s="340"/>
      <c r="NXK231" s="340"/>
      <c r="NXL231" s="340"/>
      <c r="NXM231" s="340"/>
      <c r="NXN231" s="340"/>
      <c r="NXO231" s="340"/>
      <c r="NXP231" s="340"/>
      <c r="NXQ231" s="340"/>
      <c r="NXR231" s="340"/>
      <c r="NXS231" s="340"/>
      <c r="NXT231" s="340"/>
      <c r="NXU231" s="340"/>
      <c r="NXV231" s="340"/>
      <c r="NXW231" s="340"/>
      <c r="NXX231" s="340"/>
      <c r="NXY231" s="340"/>
      <c r="NXZ231" s="340"/>
      <c r="NYA231" s="340"/>
      <c r="NYB231" s="340"/>
      <c r="NYC231" s="340"/>
      <c r="NYD231" s="340"/>
      <c r="NYE231" s="340"/>
      <c r="NYF231" s="340"/>
      <c r="NYG231" s="340"/>
      <c r="NYH231" s="340"/>
      <c r="NYI231" s="340"/>
      <c r="NYJ231" s="340"/>
      <c r="NYK231" s="340"/>
      <c r="NYL231" s="340"/>
      <c r="NYM231" s="340"/>
      <c r="NYN231" s="340"/>
      <c r="NYO231" s="340"/>
      <c r="NYP231" s="340"/>
      <c r="NYQ231" s="340"/>
      <c r="NYR231" s="340"/>
      <c r="NYS231" s="340"/>
      <c r="NYT231" s="340"/>
      <c r="NYU231" s="340"/>
      <c r="NYV231" s="340"/>
      <c r="NYW231" s="340"/>
      <c r="NYX231" s="340"/>
      <c r="NYY231" s="340"/>
      <c r="NYZ231" s="340"/>
      <c r="NZA231" s="340"/>
      <c r="NZB231" s="340"/>
      <c r="NZC231" s="340"/>
      <c r="NZD231" s="340"/>
      <c r="NZE231" s="340"/>
      <c r="NZF231" s="340"/>
      <c r="NZG231" s="340"/>
      <c r="NZH231" s="340"/>
      <c r="NZI231" s="340"/>
      <c r="NZJ231" s="340"/>
      <c r="NZK231" s="340"/>
      <c r="NZL231" s="340"/>
      <c r="NZM231" s="340"/>
      <c r="NZN231" s="340"/>
      <c r="NZO231" s="340"/>
      <c r="NZP231" s="340"/>
      <c r="NZQ231" s="340"/>
      <c r="NZR231" s="340"/>
      <c r="NZS231" s="340"/>
      <c r="NZT231" s="340"/>
      <c r="NZU231" s="340"/>
      <c r="NZV231" s="340"/>
      <c r="NZW231" s="340"/>
      <c r="NZX231" s="340"/>
      <c r="NZY231" s="340"/>
      <c r="NZZ231" s="340"/>
      <c r="OAA231" s="340"/>
      <c r="OAB231" s="340"/>
      <c r="OAC231" s="340"/>
      <c r="OAD231" s="340"/>
      <c r="OAE231" s="340"/>
      <c r="OAF231" s="340"/>
      <c r="OAG231" s="340"/>
      <c r="OAH231" s="340"/>
      <c r="OAI231" s="340"/>
      <c r="OAJ231" s="340"/>
      <c r="OAK231" s="340"/>
      <c r="OAL231" s="340"/>
      <c r="OAM231" s="340"/>
      <c r="OAN231" s="340"/>
      <c r="OAO231" s="340"/>
      <c r="OAP231" s="340"/>
      <c r="OAQ231" s="340"/>
      <c r="OAR231" s="340"/>
      <c r="OAS231" s="340"/>
      <c r="OAT231" s="340"/>
      <c r="OAU231" s="340"/>
      <c r="OAV231" s="340"/>
      <c r="OAW231" s="340"/>
      <c r="OAX231" s="340"/>
      <c r="OAY231" s="340"/>
      <c r="OAZ231" s="340"/>
      <c r="OBA231" s="340"/>
      <c r="OBB231" s="340"/>
      <c r="OBC231" s="340"/>
      <c r="OBD231" s="340"/>
      <c r="OBE231" s="340"/>
      <c r="OBF231" s="340"/>
      <c r="OBG231" s="340"/>
      <c r="OBH231" s="340"/>
      <c r="OBI231" s="340"/>
      <c r="OBJ231" s="340"/>
      <c r="OBK231" s="340"/>
      <c r="OBL231" s="340"/>
      <c r="OBM231" s="340"/>
      <c r="OBN231" s="340"/>
      <c r="OBO231" s="340"/>
      <c r="OBP231" s="340"/>
      <c r="OBQ231" s="340"/>
      <c r="OBR231" s="340"/>
      <c r="OBS231" s="340"/>
      <c r="OBT231" s="340"/>
      <c r="OBU231" s="340"/>
      <c r="OBV231" s="340"/>
      <c r="OBW231" s="340"/>
      <c r="OBX231" s="340"/>
      <c r="OBY231" s="340"/>
      <c r="OBZ231" s="340"/>
      <c r="OCA231" s="340"/>
      <c r="OCB231" s="340"/>
      <c r="OCC231" s="340"/>
      <c r="OCD231" s="340"/>
      <c r="OCE231" s="340"/>
      <c r="OCF231" s="340"/>
      <c r="OCG231" s="340"/>
      <c r="OCH231" s="340"/>
      <c r="OCI231" s="340"/>
      <c r="OCJ231" s="340"/>
      <c r="OCK231" s="340"/>
      <c r="OCL231" s="340"/>
      <c r="OCM231" s="340"/>
      <c r="OCN231" s="340"/>
      <c r="OCO231" s="340"/>
      <c r="OCP231" s="340"/>
      <c r="OCQ231" s="340"/>
      <c r="OCR231" s="340"/>
      <c r="OCS231" s="340"/>
      <c r="OCT231" s="340"/>
      <c r="OCU231" s="340"/>
      <c r="OCV231" s="340"/>
      <c r="OCW231" s="340"/>
      <c r="OCX231" s="340"/>
      <c r="OCY231" s="340"/>
      <c r="OCZ231" s="340"/>
      <c r="ODA231" s="340"/>
      <c r="ODB231" s="340"/>
      <c r="ODC231" s="340"/>
      <c r="ODD231" s="340"/>
      <c r="ODE231" s="340"/>
      <c r="ODF231" s="340"/>
      <c r="ODG231" s="340"/>
      <c r="ODH231" s="340"/>
      <c r="ODI231" s="340"/>
      <c r="ODJ231" s="340"/>
      <c r="ODK231" s="340"/>
      <c r="ODL231" s="340"/>
      <c r="ODM231" s="340"/>
      <c r="ODN231" s="340"/>
      <c r="ODO231" s="340"/>
      <c r="ODP231" s="340"/>
      <c r="ODQ231" s="340"/>
      <c r="ODR231" s="340"/>
      <c r="ODS231" s="340"/>
      <c r="ODT231" s="340"/>
      <c r="ODU231" s="340"/>
      <c r="ODV231" s="340"/>
      <c r="ODW231" s="340"/>
      <c r="ODX231" s="340"/>
      <c r="ODY231" s="340"/>
      <c r="ODZ231" s="340"/>
      <c r="OEA231" s="340"/>
      <c r="OEB231" s="340"/>
      <c r="OEC231" s="340"/>
      <c r="OED231" s="340"/>
      <c r="OEE231" s="340"/>
      <c r="OEF231" s="340"/>
      <c r="OEG231" s="340"/>
      <c r="OEH231" s="340"/>
      <c r="OEI231" s="340"/>
      <c r="OEJ231" s="340"/>
      <c r="OEK231" s="340"/>
      <c r="OEL231" s="340"/>
      <c r="OEM231" s="340"/>
      <c r="OEN231" s="340"/>
      <c r="OEO231" s="340"/>
      <c r="OEP231" s="340"/>
      <c r="OEQ231" s="340"/>
      <c r="OER231" s="340"/>
      <c r="OES231" s="340"/>
      <c r="OET231" s="340"/>
      <c r="OEU231" s="340"/>
      <c r="OEV231" s="340"/>
      <c r="OEW231" s="340"/>
      <c r="OEX231" s="340"/>
      <c r="OEY231" s="340"/>
      <c r="OEZ231" s="340"/>
      <c r="OFA231" s="340"/>
      <c r="OFB231" s="340"/>
      <c r="OFC231" s="340"/>
      <c r="OFD231" s="340"/>
      <c r="OFE231" s="340"/>
      <c r="OFF231" s="340"/>
      <c r="OFG231" s="340"/>
      <c r="OFH231" s="340"/>
      <c r="OFI231" s="340"/>
      <c r="OFJ231" s="340"/>
      <c r="OFK231" s="340"/>
      <c r="OFL231" s="340"/>
      <c r="OFM231" s="340"/>
      <c r="OFN231" s="340"/>
      <c r="OFO231" s="340"/>
      <c r="OFP231" s="340"/>
      <c r="OFQ231" s="340"/>
      <c r="OFR231" s="340"/>
      <c r="OFS231" s="340"/>
      <c r="OFT231" s="340"/>
      <c r="OFU231" s="340"/>
      <c r="OFV231" s="340"/>
      <c r="OFW231" s="340"/>
      <c r="OFX231" s="340"/>
      <c r="OFY231" s="340"/>
      <c r="OFZ231" s="340"/>
      <c r="OGA231" s="340"/>
      <c r="OGB231" s="340"/>
      <c r="OGC231" s="340"/>
      <c r="OGD231" s="340"/>
      <c r="OGE231" s="340"/>
      <c r="OGF231" s="340"/>
      <c r="OGG231" s="340"/>
      <c r="OGH231" s="340"/>
      <c r="OGI231" s="340"/>
      <c r="OGJ231" s="340"/>
      <c r="OGK231" s="340"/>
      <c r="OGL231" s="340"/>
      <c r="OGM231" s="340"/>
      <c r="OGN231" s="340"/>
      <c r="OGO231" s="340"/>
      <c r="OGP231" s="340"/>
      <c r="OGQ231" s="340"/>
      <c r="OGR231" s="340"/>
      <c r="OGS231" s="340"/>
      <c r="OGT231" s="340"/>
      <c r="OGU231" s="340"/>
      <c r="OGV231" s="340"/>
      <c r="OGW231" s="340"/>
      <c r="OGX231" s="340"/>
      <c r="OGY231" s="340"/>
      <c r="OGZ231" s="340"/>
      <c r="OHA231" s="340"/>
      <c r="OHB231" s="340"/>
      <c r="OHC231" s="340"/>
      <c r="OHD231" s="340"/>
      <c r="OHE231" s="340"/>
      <c r="OHF231" s="340"/>
      <c r="OHG231" s="340"/>
      <c r="OHH231" s="340"/>
      <c r="OHI231" s="340"/>
      <c r="OHJ231" s="340"/>
      <c r="OHK231" s="340"/>
      <c r="OHL231" s="340"/>
      <c r="OHM231" s="340"/>
      <c r="OHN231" s="340"/>
      <c r="OHO231" s="340"/>
      <c r="OHP231" s="340"/>
      <c r="OHQ231" s="340"/>
      <c r="OHR231" s="340"/>
      <c r="OHS231" s="340"/>
      <c r="OHT231" s="340"/>
      <c r="OHU231" s="340"/>
      <c r="OHV231" s="340"/>
      <c r="OHW231" s="340"/>
      <c r="OHX231" s="340"/>
      <c r="OHY231" s="340"/>
      <c r="OHZ231" s="340"/>
      <c r="OIA231" s="340"/>
      <c r="OIB231" s="340"/>
      <c r="OIC231" s="340"/>
      <c r="OID231" s="340"/>
      <c r="OIE231" s="340"/>
      <c r="OIF231" s="340"/>
      <c r="OIG231" s="340"/>
      <c r="OIH231" s="340"/>
      <c r="OII231" s="340"/>
      <c r="OIJ231" s="340"/>
      <c r="OIK231" s="340"/>
      <c r="OIL231" s="340"/>
      <c r="OIM231" s="340"/>
      <c r="OIN231" s="340"/>
      <c r="OIO231" s="340"/>
      <c r="OIP231" s="340"/>
      <c r="OIQ231" s="340"/>
      <c r="OIR231" s="340"/>
      <c r="OIS231" s="340"/>
      <c r="OIT231" s="340"/>
      <c r="OIU231" s="340"/>
      <c r="OIV231" s="340"/>
      <c r="OIW231" s="340"/>
      <c r="OIX231" s="340"/>
      <c r="OIY231" s="340"/>
      <c r="OIZ231" s="340"/>
      <c r="OJA231" s="340"/>
      <c r="OJB231" s="340"/>
      <c r="OJC231" s="340"/>
      <c r="OJD231" s="340"/>
      <c r="OJE231" s="340"/>
      <c r="OJF231" s="340"/>
      <c r="OJG231" s="340"/>
      <c r="OJH231" s="340"/>
      <c r="OJI231" s="340"/>
      <c r="OJJ231" s="340"/>
      <c r="OJK231" s="340"/>
      <c r="OJL231" s="340"/>
      <c r="OJM231" s="340"/>
      <c r="OJN231" s="340"/>
      <c r="OJO231" s="340"/>
      <c r="OJP231" s="340"/>
      <c r="OJQ231" s="340"/>
      <c r="OJR231" s="340"/>
      <c r="OJS231" s="340"/>
      <c r="OJT231" s="340"/>
      <c r="OJU231" s="340"/>
      <c r="OJV231" s="340"/>
      <c r="OJW231" s="340"/>
      <c r="OJX231" s="340"/>
      <c r="OJY231" s="340"/>
      <c r="OJZ231" s="340"/>
      <c r="OKA231" s="340"/>
      <c r="OKB231" s="340"/>
      <c r="OKC231" s="340"/>
      <c r="OKD231" s="340"/>
      <c r="OKE231" s="340"/>
      <c r="OKF231" s="340"/>
      <c r="OKG231" s="340"/>
      <c r="OKH231" s="340"/>
      <c r="OKI231" s="340"/>
      <c r="OKJ231" s="340"/>
      <c r="OKK231" s="340"/>
      <c r="OKL231" s="340"/>
      <c r="OKM231" s="340"/>
      <c r="OKN231" s="340"/>
      <c r="OKO231" s="340"/>
      <c r="OKP231" s="340"/>
      <c r="OKQ231" s="340"/>
      <c r="OKR231" s="340"/>
      <c r="OKS231" s="340"/>
      <c r="OKT231" s="340"/>
      <c r="OKU231" s="340"/>
      <c r="OKV231" s="340"/>
      <c r="OKW231" s="340"/>
      <c r="OKX231" s="340"/>
      <c r="OKY231" s="340"/>
      <c r="OKZ231" s="340"/>
      <c r="OLA231" s="340"/>
      <c r="OLB231" s="340"/>
      <c r="OLC231" s="340"/>
      <c r="OLD231" s="340"/>
      <c r="OLE231" s="340"/>
      <c r="OLF231" s="340"/>
      <c r="OLG231" s="340"/>
      <c r="OLH231" s="340"/>
      <c r="OLI231" s="340"/>
      <c r="OLJ231" s="340"/>
      <c r="OLK231" s="340"/>
      <c r="OLL231" s="340"/>
      <c r="OLM231" s="340"/>
      <c r="OLN231" s="340"/>
      <c r="OLO231" s="340"/>
      <c r="OLP231" s="340"/>
      <c r="OLQ231" s="340"/>
      <c r="OLR231" s="340"/>
      <c r="OLS231" s="340"/>
      <c r="OLT231" s="340"/>
      <c r="OLU231" s="340"/>
      <c r="OLV231" s="340"/>
      <c r="OLW231" s="340"/>
      <c r="OLX231" s="340"/>
      <c r="OLY231" s="340"/>
      <c r="OLZ231" s="340"/>
      <c r="OMA231" s="340"/>
      <c r="OMB231" s="340"/>
      <c r="OMC231" s="340"/>
      <c r="OMD231" s="340"/>
      <c r="OME231" s="340"/>
      <c r="OMF231" s="340"/>
      <c r="OMG231" s="340"/>
      <c r="OMH231" s="340"/>
      <c r="OMI231" s="340"/>
      <c r="OMJ231" s="340"/>
      <c r="OMK231" s="340"/>
      <c r="OML231" s="340"/>
      <c r="OMM231" s="340"/>
      <c r="OMN231" s="340"/>
      <c r="OMO231" s="340"/>
      <c r="OMP231" s="340"/>
      <c r="OMQ231" s="340"/>
      <c r="OMR231" s="340"/>
      <c r="OMS231" s="340"/>
      <c r="OMT231" s="340"/>
      <c r="OMU231" s="340"/>
      <c r="OMV231" s="340"/>
      <c r="OMW231" s="340"/>
      <c r="OMX231" s="340"/>
      <c r="OMY231" s="340"/>
      <c r="OMZ231" s="340"/>
      <c r="ONA231" s="340"/>
      <c r="ONB231" s="340"/>
      <c r="ONC231" s="340"/>
      <c r="OND231" s="340"/>
      <c r="ONE231" s="340"/>
      <c r="ONF231" s="340"/>
      <c r="ONG231" s="340"/>
      <c r="ONH231" s="340"/>
      <c r="ONI231" s="340"/>
      <c r="ONJ231" s="340"/>
      <c r="ONK231" s="340"/>
      <c r="ONL231" s="340"/>
      <c r="ONM231" s="340"/>
      <c r="ONN231" s="340"/>
      <c r="ONO231" s="340"/>
      <c r="ONP231" s="340"/>
      <c r="ONQ231" s="340"/>
      <c r="ONR231" s="340"/>
      <c r="ONS231" s="340"/>
      <c r="ONT231" s="340"/>
      <c r="ONU231" s="340"/>
      <c r="ONV231" s="340"/>
      <c r="ONW231" s="340"/>
      <c r="ONX231" s="340"/>
      <c r="ONY231" s="340"/>
      <c r="ONZ231" s="340"/>
      <c r="OOA231" s="340"/>
      <c r="OOB231" s="340"/>
      <c r="OOC231" s="340"/>
      <c r="OOD231" s="340"/>
      <c r="OOE231" s="340"/>
      <c r="OOF231" s="340"/>
      <c r="OOG231" s="340"/>
      <c r="OOH231" s="340"/>
      <c r="OOI231" s="340"/>
      <c r="OOJ231" s="340"/>
      <c r="OOK231" s="340"/>
      <c r="OOL231" s="340"/>
      <c r="OOM231" s="340"/>
      <c r="OON231" s="340"/>
      <c r="OOO231" s="340"/>
      <c r="OOP231" s="340"/>
      <c r="OOQ231" s="340"/>
      <c r="OOR231" s="340"/>
      <c r="OOS231" s="340"/>
      <c r="OOT231" s="340"/>
      <c r="OOU231" s="340"/>
      <c r="OOV231" s="340"/>
      <c r="OOW231" s="340"/>
      <c r="OOX231" s="340"/>
      <c r="OOY231" s="340"/>
      <c r="OOZ231" s="340"/>
      <c r="OPA231" s="340"/>
      <c r="OPB231" s="340"/>
      <c r="OPC231" s="340"/>
      <c r="OPD231" s="340"/>
      <c r="OPE231" s="340"/>
      <c r="OPF231" s="340"/>
      <c r="OPG231" s="340"/>
      <c r="OPH231" s="340"/>
      <c r="OPI231" s="340"/>
      <c r="OPJ231" s="340"/>
      <c r="OPK231" s="340"/>
      <c r="OPL231" s="340"/>
      <c r="OPM231" s="340"/>
      <c r="OPN231" s="340"/>
      <c r="OPO231" s="340"/>
      <c r="OPP231" s="340"/>
      <c r="OPQ231" s="340"/>
      <c r="OPR231" s="340"/>
      <c r="OPS231" s="340"/>
      <c r="OPT231" s="340"/>
      <c r="OPU231" s="340"/>
      <c r="OPV231" s="340"/>
      <c r="OPW231" s="340"/>
      <c r="OPX231" s="340"/>
      <c r="OPY231" s="340"/>
      <c r="OPZ231" s="340"/>
      <c r="OQA231" s="340"/>
      <c r="OQB231" s="340"/>
      <c r="OQC231" s="340"/>
      <c r="OQD231" s="340"/>
      <c r="OQE231" s="340"/>
      <c r="OQF231" s="340"/>
      <c r="OQG231" s="340"/>
      <c r="OQH231" s="340"/>
      <c r="OQI231" s="340"/>
      <c r="OQJ231" s="340"/>
      <c r="OQK231" s="340"/>
      <c r="OQL231" s="340"/>
      <c r="OQM231" s="340"/>
      <c r="OQN231" s="340"/>
      <c r="OQO231" s="340"/>
      <c r="OQP231" s="340"/>
      <c r="OQQ231" s="340"/>
      <c r="OQR231" s="340"/>
      <c r="OQS231" s="340"/>
      <c r="OQT231" s="340"/>
      <c r="OQU231" s="340"/>
      <c r="OQV231" s="340"/>
      <c r="OQW231" s="340"/>
      <c r="OQX231" s="340"/>
      <c r="OQY231" s="340"/>
      <c r="OQZ231" s="340"/>
      <c r="ORA231" s="340"/>
      <c r="ORB231" s="340"/>
      <c r="ORC231" s="340"/>
      <c r="ORD231" s="340"/>
      <c r="ORE231" s="340"/>
      <c r="ORF231" s="340"/>
      <c r="ORG231" s="340"/>
      <c r="ORH231" s="340"/>
      <c r="ORI231" s="340"/>
      <c r="ORJ231" s="340"/>
      <c r="ORK231" s="340"/>
      <c r="ORL231" s="340"/>
      <c r="ORM231" s="340"/>
      <c r="ORN231" s="340"/>
      <c r="ORO231" s="340"/>
      <c r="ORP231" s="340"/>
      <c r="ORQ231" s="340"/>
      <c r="ORR231" s="340"/>
      <c r="ORS231" s="340"/>
      <c r="ORT231" s="340"/>
      <c r="ORU231" s="340"/>
      <c r="ORV231" s="340"/>
      <c r="ORW231" s="340"/>
      <c r="ORX231" s="340"/>
      <c r="ORY231" s="340"/>
      <c r="ORZ231" s="340"/>
      <c r="OSA231" s="340"/>
      <c r="OSB231" s="340"/>
      <c r="OSC231" s="340"/>
      <c r="OSD231" s="340"/>
      <c r="OSE231" s="340"/>
      <c r="OSF231" s="340"/>
      <c r="OSG231" s="340"/>
      <c r="OSH231" s="340"/>
      <c r="OSI231" s="340"/>
      <c r="OSJ231" s="340"/>
      <c r="OSK231" s="340"/>
      <c r="OSL231" s="340"/>
      <c r="OSM231" s="340"/>
      <c r="OSN231" s="340"/>
      <c r="OSO231" s="340"/>
      <c r="OSP231" s="340"/>
      <c r="OSQ231" s="340"/>
      <c r="OSR231" s="340"/>
      <c r="OSS231" s="340"/>
      <c r="OST231" s="340"/>
      <c r="OSU231" s="340"/>
      <c r="OSV231" s="340"/>
      <c r="OSW231" s="340"/>
      <c r="OSX231" s="340"/>
      <c r="OSY231" s="340"/>
      <c r="OSZ231" s="340"/>
      <c r="OTA231" s="340"/>
      <c r="OTB231" s="340"/>
      <c r="OTC231" s="340"/>
      <c r="OTD231" s="340"/>
      <c r="OTE231" s="340"/>
      <c r="OTF231" s="340"/>
      <c r="OTG231" s="340"/>
      <c r="OTH231" s="340"/>
      <c r="OTI231" s="340"/>
      <c r="OTJ231" s="340"/>
      <c r="OTK231" s="340"/>
      <c r="OTL231" s="340"/>
      <c r="OTM231" s="340"/>
      <c r="OTN231" s="340"/>
      <c r="OTO231" s="340"/>
      <c r="OTP231" s="340"/>
      <c r="OTQ231" s="340"/>
      <c r="OTR231" s="340"/>
      <c r="OTS231" s="340"/>
      <c r="OTT231" s="340"/>
      <c r="OTU231" s="340"/>
      <c r="OTV231" s="340"/>
      <c r="OTW231" s="340"/>
      <c r="OTX231" s="340"/>
      <c r="OTY231" s="340"/>
      <c r="OTZ231" s="340"/>
      <c r="OUA231" s="340"/>
      <c r="OUB231" s="340"/>
      <c r="OUC231" s="340"/>
      <c r="OUD231" s="340"/>
      <c r="OUE231" s="340"/>
      <c r="OUF231" s="340"/>
      <c r="OUG231" s="340"/>
      <c r="OUH231" s="340"/>
      <c r="OUI231" s="340"/>
      <c r="OUJ231" s="340"/>
      <c r="OUK231" s="340"/>
      <c r="OUL231" s="340"/>
      <c r="OUM231" s="340"/>
      <c r="OUN231" s="340"/>
      <c r="OUO231" s="340"/>
      <c r="OUP231" s="340"/>
      <c r="OUQ231" s="340"/>
      <c r="OUR231" s="340"/>
      <c r="OUS231" s="340"/>
      <c r="OUT231" s="340"/>
      <c r="OUU231" s="340"/>
      <c r="OUV231" s="340"/>
      <c r="OUW231" s="340"/>
      <c r="OUX231" s="340"/>
      <c r="OUY231" s="340"/>
      <c r="OUZ231" s="340"/>
      <c r="OVA231" s="340"/>
      <c r="OVB231" s="340"/>
      <c r="OVC231" s="340"/>
      <c r="OVD231" s="340"/>
      <c r="OVE231" s="340"/>
      <c r="OVF231" s="340"/>
      <c r="OVG231" s="340"/>
      <c r="OVH231" s="340"/>
      <c r="OVI231" s="340"/>
      <c r="OVJ231" s="340"/>
      <c r="OVK231" s="340"/>
      <c r="OVL231" s="340"/>
      <c r="OVM231" s="340"/>
      <c r="OVN231" s="340"/>
      <c r="OVO231" s="340"/>
      <c r="OVP231" s="340"/>
      <c r="OVQ231" s="340"/>
      <c r="OVR231" s="340"/>
      <c r="OVS231" s="340"/>
      <c r="OVT231" s="340"/>
      <c r="OVU231" s="340"/>
      <c r="OVV231" s="340"/>
      <c r="OVW231" s="340"/>
      <c r="OVX231" s="340"/>
      <c r="OVY231" s="340"/>
      <c r="OVZ231" s="340"/>
      <c r="OWA231" s="340"/>
      <c r="OWB231" s="340"/>
      <c r="OWC231" s="340"/>
      <c r="OWD231" s="340"/>
      <c r="OWE231" s="340"/>
      <c r="OWF231" s="340"/>
      <c r="OWG231" s="340"/>
      <c r="OWH231" s="340"/>
      <c r="OWI231" s="340"/>
      <c r="OWJ231" s="340"/>
      <c r="OWK231" s="340"/>
      <c r="OWL231" s="340"/>
      <c r="OWM231" s="340"/>
      <c r="OWN231" s="340"/>
      <c r="OWO231" s="340"/>
      <c r="OWP231" s="340"/>
      <c r="OWQ231" s="340"/>
      <c r="OWR231" s="340"/>
      <c r="OWS231" s="340"/>
      <c r="OWT231" s="340"/>
      <c r="OWU231" s="340"/>
      <c r="OWV231" s="340"/>
      <c r="OWW231" s="340"/>
      <c r="OWX231" s="340"/>
      <c r="OWY231" s="340"/>
      <c r="OWZ231" s="340"/>
      <c r="OXA231" s="340"/>
      <c r="OXB231" s="340"/>
      <c r="OXC231" s="340"/>
      <c r="OXD231" s="340"/>
      <c r="OXE231" s="340"/>
      <c r="OXF231" s="340"/>
      <c r="OXG231" s="340"/>
      <c r="OXH231" s="340"/>
      <c r="OXI231" s="340"/>
      <c r="OXJ231" s="340"/>
      <c r="OXK231" s="340"/>
      <c r="OXL231" s="340"/>
      <c r="OXM231" s="340"/>
      <c r="OXN231" s="340"/>
      <c r="OXO231" s="340"/>
      <c r="OXP231" s="340"/>
      <c r="OXQ231" s="340"/>
      <c r="OXR231" s="340"/>
      <c r="OXS231" s="340"/>
      <c r="OXT231" s="340"/>
      <c r="OXU231" s="340"/>
      <c r="OXV231" s="340"/>
      <c r="OXW231" s="340"/>
      <c r="OXX231" s="340"/>
      <c r="OXY231" s="340"/>
      <c r="OXZ231" s="340"/>
      <c r="OYA231" s="340"/>
      <c r="OYB231" s="340"/>
      <c r="OYC231" s="340"/>
      <c r="OYD231" s="340"/>
      <c r="OYE231" s="340"/>
      <c r="OYF231" s="340"/>
      <c r="OYG231" s="340"/>
      <c r="OYH231" s="340"/>
      <c r="OYI231" s="340"/>
      <c r="OYJ231" s="340"/>
      <c r="OYK231" s="340"/>
      <c r="OYL231" s="340"/>
      <c r="OYM231" s="340"/>
      <c r="OYN231" s="340"/>
      <c r="OYO231" s="340"/>
      <c r="OYP231" s="340"/>
      <c r="OYQ231" s="340"/>
      <c r="OYR231" s="340"/>
      <c r="OYS231" s="340"/>
      <c r="OYT231" s="340"/>
      <c r="OYU231" s="340"/>
      <c r="OYV231" s="340"/>
      <c r="OYW231" s="340"/>
      <c r="OYX231" s="340"/>
      <c r="OYY231" s="340"/>
      <c r="OYZ231" s="340"/>
      <c r="OZA231" s="340"/>
      <c r="OZB231" s="340"/>
      <c r="OZC231" s="340"/>
      <c r="OZD231" s="340"/>
      <c r="OZE231" s="340"/>
      <c r="OZF231" s="340"/>
      <c r="OZG231" s="340"/>
      <c r="OZH231" s="340"/>
      <c r="OZI231" s="340"/>
      <c r="OZJ231" s="340"/>
      <c r="OZK231" s="340"/>
      <c r="OZL231" s="340"/>
      <c r="OZM231" s="340"/>
      <c r="OZN231" s="340"/>
      <c r="OZO231" s="340"/>
      <c r="OZP231" s="340"/>
      <c r="OZQ231" s="340"/>
      <c r="OZR231" s="340"/>
      <c r="OZS231" s="340"/>
      <c r="OZT231" s="340"/>
      <c r="OZU231" s="340"/>
      <c r="OZV231" s="340"/>
      <c r="OZW231" s="340"/>
      <c r="OZX231" s="340"/>
      <c r="OZY231" s="340"/>
      <c r="OZZ231" s="340"/>
      <c r="PAA231" s="340"/>
      <c r="PAB231" s="340"/>
      <c r="PAC231" s="340"/>
      <c r="PAD231" s="340"/>
      <c r="PAE231" s="340"/>
      <c r="PAF231" s="340"/>
      <c r="PAG231" s="340"/>
      <c r="PAH231" s="340"/>
      <c r="PAI231" s="340"/>
      <c r="PAJ231" s="340"/>
      <c r="PAK231" s="340"/>
      <c r="PAL231" s="340"/>
      <c r="PAM231" s="340"/>
      <c r="PAN231" s="340"/>
      <c r="PAO231" s="340"/>
      <c r="PAP231" s="340"/>
      <c r="PAQ231" s="340"/>
      <c r="PAR231" s="340"/>
      <c r="PAS231" s="340"/>
      <c r="PAT231" s="340"/>
      <c r="PAU231" s="340"/>
      <c r="PAV231" s="340"/>
      <c r="PAW231" s="340"/>
      <c r="PAX231" s="340"/>
      <c r="PAY231" s="340"/>
      <c r="PAZ231" s="340"/>
      <c r="PBA231" s="340"/>
      <c r="PBB231" s="340"/>
      <c r="PBC231" s="340"/>
      <c r="PBD231" s="340"/>
      <c r="PBE231" s="340"/>
      <c r="PBF231" s="340"/>
      <c r="PBG231" s="340"/>
      <c r="PBH231" s="340"/>
      <c r="PBI231" s="340"/>
      <c r="PBJ231" s="340"/>
      <c r="PBK231" s="340"/>
      <c r="PBL231" s="340"/>
      <c r="PBM231" s="340"/>
      <c r="PBN231" s="340"/>
      <c r="PBO231" s="340"/>
      <c r="PBP231" s="340"/>
      <c r="PBQ231" s="340"/>
      <c r="PBR231" s="340"/>
      <c r="PBS231" s="340"/>
      <c r="PBT231" s="340"/>
      <c r="PBU231" s="340"/>
      <c r="PBV231" s="340"/>
      <c r="PBW231" s="340"/>
      <c r="PBX231" s="340"/>
      <c r="PBY231" s="340"/>
      <c r="PBZ231" s="340"/>
      <c r="PCA231" s="340"/>
      <c r="PCB231" s="340"/>
      <c r="PCC231" s="340"/>
      <c r="PCD231" s="340"/>
      <c r="PCE231" s="340"/>
      <c r="PCF231" s="340"/>
      <c r="PCG231" s="340"/>
      <c r="PCH231" s="340"/>
      <c r="PCI231" s="340"/>
      <c r="PCJ231" s="340"/>
      <c r="PCK231" s="340"/>
      <c r="PCL231" s="340"/>
      <c r="PCM231" s="340"/>
      <c r="PCN231" s="340"/>
      <c r="PCO231" s="340"/>
      <c r="PCP231" s="340"/>
      <c r="PCQ231" s="340"/>
      <c r="PCR231" s="340"/>
      <c r="PCS231" s="340"/>
      <c r="PCT231" s="340"/>
      <c r="PCU231" s="340"/>
      <c r="PCV231" s="340"/>
      <c r="PCW231" s="340"/>
      <c r="PCX231" s="340"/>
      <c r="PCY231" s="340"/>
      <c r="PCZ231" s="340"/>
      <c r="PDA231" s="340"/>
      <c r="PDB231" s="340"/>
      <c r="PDC231" s="340"/>
      <c r="PDD231" s="340"/>
      <c r="PDE231" s="340"/>
      <c r="PDF231" s="340"/>
      <c r="PDG231" s="340"/>
      <c r="PDH231" s="340"/>
      <c r="PDI231" s="340"/>
      <c r="PDJ231" s="340"/>
      <c r="PDK231" s="340"/>
      <c r="PDL231" s="340"/>
      <c r="PDM231" s="340"/>
      <c r="PDN231" s="340"/>
      <c r="PDO231" s="340"/>
      <c r="PDP231" s="340"/>
      <c r="PDQ231" s="340"/>
      <c r="PDR231" s="340"/>
      <c r="PDS231" s="340"/>
      <c r="PDT231" s="340"/>
      <c r="PDU231" s="340"/>
      <c r="PDV231" s="340"/>
      <c r="PDW231" s="340"/>
      <c r="PDX231" s="340"/>
      <c r="PDY231" s="340"/>
      <c r="PDZ231" s="340"/>
      <c r="PEA231" s="340"/>
      <c r="PEB231" s="340"/>
      <c r="PEC231" s="340"/>
      <c r="PED231" s="340"/>
      <c r="PEE231" s="340"/>
      <c r="PEF231" s="340"/>
      <c r="PEG231" s="340"/>
      <c r="PEH231" s="340"/>
      <c r="PEI231" s="340"/>
      <c r="PEJ231" s="340"/>
      <c r="PEK231" s="340"/>
      <c r="PEL231" s="340"/>
      <c r="PEM231" s="340"/>
      <c r="PEN231" s="340"/>
      <c r="PEO231" s="340"/>
      <c r="PEP231" s="340"/>
      <c r="PEQ231" s="340"/>
      <c r="PER231" s="340"/>
      <c r="PES231" s="340"/>
      <c r="PET231" s="340"/>
      <c r="PEU231" s="340"/>
      <c r="PEV231" s="340"/>
      <c r="PEW231" s="340"/>
      <c r="PEX231" s="340"/>
      <c r="PEY231" s="340"/>
      <c r="PEZ231" s="340"/>
      <c r="PFA231" s="340"/>
      <c r="PFB231" s="340"/>
      <c r="PFC231" s="340"/>
      <c r="PFD231" s="340"/>
      <c r="PFE231" s="340"/>
      <c r="PFF231" s="340"/>
      <c r="PFG231" s="340"/>
      <c r="PFH231" s="340"/>
      <c r="PFI231" s="340"/>
      <c r="PFJ231" s="340"/>
      <c r="PFK231" s="340"/>
      <c r="PFL231" s="340"/>
      <c r="PFM231" s="340"/>
      <c r="PFN231" s="340"/>
      <c r="PFO231" s="340"/>
      <c r="PFP231" s="340"/>
      <c r="PFQ231" s="340"/>
      <c r="PFR231" s="340"/>
      <c r="PFS231" s="340"/>
      <c r="PFT231" s="340"/>
      <c r="PFU231" s="340"/>
      <c r="PFV231" s="340"/>
      <c r="PFW231" s="340"/>
      <c r="PFX231" s="340"/>
      <c r="PFY231" s="340"/>
      <c r="PFZ231" s="340"/>
      <c r="PGA231" s="340"/>
      <c r="PGB231" s="340"/>
      <c r="PGC231" s="340"/>
      <c r="PGD231" s="340"/>
      <c r="PGE231" s="340"/>
      <c r="PGF231" s="340"/>
      <c r="PGG231" s="340"/>
      <c r="PGH231" s="340"/>
      <c r="PGI231" s="340"/>
      <c r="PGJ231" s="340"/>
      <c r="PGK231" s="340"/>
      <c r="PGL231" s="340"/>
      <c r="PGM231" s="340"/>
      <c r="PGN231" s="340"/>
      <c r="PGO231" s="340"/>
      <c r="PGP231" s="340"/>
      <c r="PGQ231" s="340"/>
      <c r="PGR231" s="340"/>
      <c r="PGS231" s="340"/>
      <c r="PGT231" s="340"/>
      <c r="PGU231" s="340"/>
      <c r="PGV231" s="340"/>
      <c r="PGW231" s="340"/>
      <c r="PGX231" s="340"/>
      <c r="PGY231" s="340"/>
      <c r="PGZ231" s="340"/>
      <c r="PHA231" s="340"/>
      <c r="PHB231" s="340"/>
      <c r="PHC231" s="340"/>
      <c r="PHD231" s="340"/>
      <c r="PHE231" s="340"/>
      <c r="PHF231" s="340"/>
      <c r="PHG231" s="340"/>
      <c r="PHH231" s="340"/>
      <c r="PHI231" s="340"/>
      <c r="PHJ231" s="340"/>
      <c r="PHK231" s="340"/>
      <c r="PHL231" s="340"/>
      <c r="PHM231" s="340"/>
      <c r="PHN231" s="340"/>
      <c r="PHO231" s="340"/>
      <c r="PHP231" s="340"/>
      <c r="PHQ231" s="340"/>
      <c r="PHR231" s="340"/>
      <c r="PHS231" s="340"/>
      <c r="PHT231" s="340"/>
      <c r="PHU231" s="340"/>
      <c r="PHV231" s="340"/>
      <c r="PHW231" s="340"/>
      <c r="PHX231" s="340"/>
      <c r="PHY231" s="340"/>
      <c r="PHZ231" s="340"/>
      <c r="PIA231" s="340"/>
      <c r="PIB231" s="340"/>
      <c r="PIC231" s="340"/>
      <c r="PID231" s="340"/>
      <c r="PIE231" s="340"/>
      <c r="PIF231" s="340"/>
      <c r="PIG231" s="340"/>
      <c r="PIH231" s="340"/>
      <c r="PII231" s="340"/>
      <c r="PIJ231" s="340"/>
      <c r="PIK231" s="340"/>
      <c r="PIL231" s="340"/>
      <c r="PIM231" s="340"/>
      <c r="PIN231" s="340"/>
      <c r="PIO231" s="340"/>
      <c r="PIP231" s="340"/>
      <c r="PIQ231" s="340"/>
      <c r="PIR231" s="340"/>
      <c r="PIS231" s="340"/>
      <c r="PIT231" s="340"/>
      <c r="PIU231" s="340"/>
      <c r="PIV231" s="340"/>
      <c r="PIW231" s="340"/>
      <c r="PIX231" s="340"/>
      <c r="PIY231" s="340"/>
      <c r="PIZ231" s="340"/>
      <c r="PJA231" s="340"/>
      <c r="PJB231" s="340"/>
      <c r="PJC231" s="340"/>
      <c r="PJD231" s="340"/>
      <c r="PJE231" s="340"/>
      <c r="PJF231" s="340"/>
      <c r="PJG231" s="340"/>
      <c r="PJH231" s="340"/>
      <c r="PJI231" s="340"/>
      <c r="PJJ231" s="340"/>
      <c r="PJK231" s="340"/>
      <c r="PJL231" s="340"/>
      <c r="PJM231" s="340"/>
      <c r="PJN231" s="340"/>
      <c r="PJO231" s="340"/>
      <c r="PJP231" s="340"/>
      <c r="PJQ231" s="340"/>
      <c r="PJR231" s="340"/>
      <c r="PJS231" s="340"/>
      <c r="PJT231" s="340"/>
      <c r="PJU231" s="340"/>
      <c r="PJV231" s="340"/>
      <c r="PJW231" s="340"/>
      <c r="PJX231" s="340"/>
      <c r="PJY231" s="340"/>
      <c r="PJZ231" s="340"/>
      <c r="PKA231" s="340"/>
      <c r="PKB231" s="340"/>
      <c r="PKC231" s="340"/>
      <c r="PKD231" s="340"/>
      <c r="PKE231" s="340"/>
      <c r="PKF231" s="340"/>
      <c r="PKG231" s="340"/>
      <c r="PKH231" s="340"/>
      <c r="PKI231" s="340"/>
      <c r="PKJ231" s="340"/>
      <c r="PKK231" s="340"/>
      <c r="PKL231" s="340"/>
      <c r="PKM231" s="340"/>
      <c r="PKN231" s="340"/>
      <c r="PKO231" s="340"/>
      <c r="PKP231" s="340"/>
      <c r="PKQ231" s="340"/>
      <c r="PKR231" s="340"/>
      <c r="PKS231" s="340"/>
      <c r="PKT231" s="340"/>
      <c r="PKU231" s="340"/>
      <c r="PKV231" s="340"/>
      <c r="PKW231" s="340"/>
      <c r="PKX231" s="340"/>
      <c r="PKY231" s="340"/>
      <c r="PKZ231" s="340"/>
      <c r="PLA231" s="340"/>
      <c r="PLB231" s="340"/>
      <c r="PLC231" s="340"/>
      <c r="PLD231" s="340"/>
      <c r="PLE231" s="340"/>
      <c r="PLF231" s="340"/>
      <c r="PLG231" s="340"/>
      <c r="PLH231" s="340"/>
      <c r="PLI231" s="340"/>
      <c r="PLJ231" s="340"/>
      <c r="PLK231" s="340"/>
      <c r="PLL231" s="340"/>
      <c r="PLM231" s="340"/>
      <c r="PLN231" s="340"/>
      <c r="PLO231" s="340"/>
      <c r="PLP231" s="340"/>
      <c r="PLQ231" s="340"/>
      <c r="PLR231" s="340"/>
      <c r="PLS231" s="340"/>
      <c r="PLT231" s="340"/>
      <c r="PLU231" s="340"/>
      <c r="PLV231" s="340"/>
      <c r="PLW231" s="340"/>
      <c r="PLX231" s="340"/>
      <c r="PLY231" s="340"/>
      <c r="PLZ231" s="340"/>
      <c r="PMA231" s="340"/>
      <c r="PMB231" s="340"/>
      <c r="PMC231" s="340"/>
      <c r="PMD231" s="340"/>
      <c r="PME231" s="340"/>
      <c r="PMF231" s="340"/>
      <c r="PMG231" s="340"/>
      <c r="PMH231" s="340"/>
      <c r="PMI231" s="340"/>
      <c r="PMJ231" s="340"/>
      <c r="PMK231" s="340"/>
      <c r="PML231" s="340"/>
      <c r="PMM231" s="340"/>
      <c r="PMN231" s="340"/>
      <c r="PMO231" s="340"/>
      <c r="PMP231" s="340"/>
      <c r="PMQ231" s="340"/>
      <c r="PMR231" s="340"/>
      <c r="PMS231" s="340"/>
      <c r="PMT231" s="340"/>
      <c r="PMU231" s="340"/>
      <c r="PMV231" s="340"/>
      <c r="PMW231" s="340"/>
      <c r="PMX231" s="340"/>
      <c r="PMY231" s="340"/>
      <c r="PMZ231" s="340"/>
      <c r="PNA231" s="340"/>
      <c r="PNB231" s="340"/>
      <c r="PNC231" s="340"/>
      <c r="PND231" s="340"/>
      <c r="PNE231" s="340"/>
      <c r="PNF231" s="340"/>
      <c r="PNG231" s="340"/>
      <c r="PNH231" s="340"/>
      <c r="PNI231" s="340"/>
      <c r="PNJ231" s="340"/>
      <c r="PNK231" s="340"/>
      <c r="PNL231" s="340"/>
      <c r="PNM231" s="340"/>
      <c r="PNN231" s="340"/>
      <c r="PNO231" s="340"/>
      <c r="PNP231" s="340"/>
      <c r="PNQ231" s="340"/>
      <c r="PNR231" s="340"/>
      <c r="PNS231" s="340"/>
      <c r="PNT231" s="340"/>
      <c r="PNU231" s="340"/>
      <c r="PNV231" s="340"/>
      <c r="PNW231" s="340"/>
      <c r="PNX231" s="340"/>
      <c r="PNY231" s="340"/>
      <c r="PNZ231" s="340"/>
      <c r="POA231" s="340"/>
      <c r="POB231" s="340"/>
      <c r="POC231" s="340"/>
      <c r="POD231" s="340"/>
      <c r="POE231" s="340"/>
      <c r="POF231" s="340"/>
      <c r="POG231" s="340"/>
      <c r="POH231" s="340"/>
      <c r="POI231" s="340"/>
      <c r="POJ231" s="340"/>
      <c r="POK231" s="340"/>
      <c r="POL231" s="340"/>
      <c r="POM231" s="340"/>
      <c r="PON231" s="340"/>
      <c r="POO231" s="340"/>
      <c r="POP231" s="340"/>
      <c r="POQ231" s="340"/>
      <c r="POR231" s="340"/>
      <c r="POS231" s="340"/>
      <c r="POT231" s="340"/>
      <c r="POU231" s="340"/>
      <c r="POV231" s="340"/>
      <c r="POW231" s="340"/>
      <c r="POX231" s="340"/>
      <c r="POY231" s="340"/>
      <c r="POZ231" s="340"/>
      <c r="PPA231" s="340"/>
      <c r="PPB231" s="340"/>
      <c r="PPC231" s="340"/>
      <c r="PPD231" s="340"/>
      <c r="PPE231" s="340"/>
      <c r="PPF231" s="340"/>
      <c r="PPG231" s="340"/>
      <c r="PPH231" s="340"/>
      <c r="PPI231" s="340"/>
      <c r="PPJ231" s="340"/>
      <c r="PPK231" s="340"/>
      <c r="PPL231" s="340"/>
      <c r="PPM231" s="340"/>
      <c r="PPN231" s="340"/>
      <c r="PPO231" s="340"/>
      <c r="PPP231" s="340"/>
      <c r="PPQ231" s="340"/>
      <c r="PPR231" s="340"/>
      <c r="PPS231" s="340"/>
      <c r="PPT231" s="340"/>
      <c r="PPU231" s="340"/>
      <c r="PPV231" s="340"/>
      <c r="PPW231" s="340"/>
      <c r="PPX231" s="340"/>
      <c r="PPY231" s="340"/>
      <c r="PPZ231" s="340"/>
      <c r="PQA231" s="340"/>
      <c r="PQB231" s="340"/>
      <c r="PQC231" s="340"/>
      <c r="PQD231" s="340"/>
      <c r="PQE231" s="340"/>
      <c r="PQF231" s="340"/>
      <c r="PQG231" s="340"/>
      <c r="PQH231" s="340"/>
      <c r="PQI231" s="340"/>
      <c r="PQJ231" s="340"/>
      <c r="PQK231" s="340"/>
      <c r="PQL231" s="340"/>
      <c r="PQM231" s="340"/>
      <c r="PQN231" s="340"/>
      <c r="PQO231" s="340"/>
      <c r="PQP231" s="340"/>
      <c r="PQQ231" s="340"/>
      <c r="PQR231" s="340"/>
      <c r="PQS231" s="340"/>
      <c r="PQT231" s="340"/>
      <c r="PQU231" s="340"/>
      <c r="PQV231" s="340"/>
      <c r="PQW231" s="340"/>
      <c r="PQX231" s="340"/>
      <c r="PQY231" s="340"/>
      <c r="PQZ231" s="340"/>
      <c r="PRA231" s="340"/>
      <c r="PRB231" s="340"/>
      <c r="PRC231" s="340"/>
      <c r="PRD231" s="340"/>
      <c r="PRE231" s="340"/>
      <c r="PRF231" s="340"/>
      <c r="PRG231" s="340"/>
      <c r="PRH231" s="340"/>
      <c r="PRI231" s="340"/>
      <c r="PRJ231" s="340"/>
      <c r="PRK231" s="340"/>
      <c r="PRL231" s="340"/>
      <c r="PRM231" s="340"/>
      <c r="PRN231" s="340"/>
      <c r="PRO231" s="340"/>
      <c r="PRP231" s="340"/>
      <c r="PRQ231" s="340"/>
      <c r="PRR231" s="340"/>
      <c r="PRS231" s="340"/>
      <c r="PRT231" s="340"/>
      <c r="PRU231" s="340"/>
      <c r="PRV231" s="340"/>
      <c r="PRW231" s="340"/>
      <c r="PRX231" s="340"/>
      <c r="PRY231" s="340"/>
      <c r="PRZ231" s="340"/>
      <c r="PSA231" s="340"/>
      <c r="PSB231" s="340"/>
      <c r="PSC231" s="340"/>
      <c r="PSD231" s="340"/>
      <c r="PSE231" s="340"/>
      <c r="PSF231" s="340"/>
      <c r="PSG231" s="340"/>
      <c r="PSH231" s="340"/>
      <c r="PSI231" s="340"/>
      <c r="PSJ231" s="340"/>
      <c r="PSK231" s="340"/>
      <c r="PSL231" s="340"/>
      <c r="PSM231" s="340"/>
      <c r="PSN231" s="340"/>
      <c r="PSO231" s="340"/>
      <c r="PSP231" s="340"/>
      <c r="PSQ231" s="340"/>
      <c r="PSR231" s="340"/>
      <c r="PSS231" s="340"/>
      <c r="PST231" s="340"/>
      <c r="PSU231" s="340"/>
      <c r="PSV231" s="340"/>
      <c r="PSW231" s="340"/>
      <c r="PSX231" s="340"/>
      <c r="PSY231" s="340"/>
      <c r="PSZ231" s="340"/>
      <c r="PTA231" s="340"/>
      <c r="PTB231" s="340"/>
      <c r="PTC231" s="340"/>
      <c r="PTD231" s="340"/>
      <c r="PTE231" s="340"/>
      <c r="PTF231" s="340"/>
      <c r="PTG231" s="340"/>
      <c r="PTH231" s="340"/>
      <c r="PTI231" s="340"/>
      <c r="PTJ231" s="340"/>
      <c r="PTK231" s="340"/>
      <c r="PTL231" s="340"/>
      <c r="PTM231" s="340"/>
      <c r="PTN231" s="340"/>
      <c r="PTO231" s="340"/>
      <c r="PTP231" s="340"/>
      <c r="PTQ231" s="340"/>
      <c r="PTR231" s="340"/>
      <c r="PTS231" s="340"/>
      <c r="PTT231" s="340"/>
      <c r="PTU231" s="340"/>
      <c r="PTV231" s="340"/>
      <c r="PTW231" s="340"/>
      <c r="PTX231" s="340"/>
      <c r="PTY231" s="340"/>
      <c r="PTZ231" s="340"/>
      <c r="PUA231" s="340"/>
      <c r="PUB231" s="340"/>
      <c r="PUC231" s="340"/>
      <c r="PUD231" s="340"/>
      <c r="PUE231" s="340"/>
      <c r="PUF231" s="340"/>
      <c r="PUG231" s="340"/>
      <c r="PUH231" s="340"/>
      <c r="PUI231" s="340"/>
      <c r="PUJ231" s="340"/>
      <c r="PUK231" s="340"/>
      <c r="PUL231" s="340"/>
      <c r="PUM231" s="340"/>
      <c r="PUN231" s="340"/>
      <c r="PUO231" s="340"/>
      <c r="PUP231" s="340"/>
      <c r="PUQ231" s="340"/>
      <c r="PUR231" s="340"/>
      <c r="PUS231" s="340"/>
      <c r="PUT231" s="340"/>
      <c r="PUU231" s="340"/>
      <c r="PUV231" s="340"/>
      <c r="PUW231" s="340"/>
      <c r="PUX231" s="340"/>
      <c r="PUY231" s="340"/>
      <c r="PUZ231" s="340"/>
      <c r="PVA231" s="340"/>
      <c r="PVB231" s="340"/>
      <c r="PVC231" s="340"/>
      <c r="PVD231" s="340"/>
      <c r="PVE231" s="340"/>
      <c r="PVF231" s="340"/>
      <c r="PVG231" s="340"/>
      <c r="PVH231" s="340"/>
      <c r="PVI231" s="340"/>
      <c r="PVJ231" s="340"/>
      <c r="PVK231" s="340"/>
      <c r="PVL231" s="340"/>
      <c r="PVM231" s="340"/>
      <c r="PVN231" s="340"/>
      <c r="PVO231" s="340"/>
      <c r="PVP231" s="340"/>
      <c r="PVQ231" s="340"/>
      <c r="PVR231" s="340"/>
      <c r="PVS231" s="340"/>
      <c r="PVT231" s="340"/>
      <c r="PVU231" s="340"/>
      <c r="PVV231" s="340"/>
      <c r="PVW231" s="340"/>
      <c r="PVX231" s="340"/>
      <c r="PVY231" s="340"/>
      <c r="PVZ231" s="340"/>
      <c r="PWA231" s="340"/>
      <c r="PWB231" s="340"/>
      <c r="PWC231" s="340"/>
      <c r="PWD231" s="340"/>
      <c r="PWE231" s="340"/>
      <c r="PWF231" s="340"/>
      <c r="PWG231" s="340"/>
      <c r="PWH231" s="340"/>
      <c r="PWI231" s="340"/>
      <c r="PWJ231" s="340"/>
      <c r="PWK231" s="340"/>
      <c r="PWL231" s="340"/>
      <c r="PWM231" s="340"/>
      <c r="PWN231" s="340"/>
      <c r="PWO231" s="340"/>
      <c r="PWP231" s="340"/>
      <c r="PWQ231" s="340"/>
      <c r="PWR231" s="340"/>
      <c r="PWS231" s="340"/>
      <c r="PWT231" s="340"/>
      <c r="PWU231" s="340"/>
      <c r="PWV231" s="340"/>
      <c r="PWW231" s="340"/>
      <c r="PWX231" s="340"/>
      <c r="PWY231" s="340"/>
      <c r="PWZ231" s="340"/>
      <c r="PXA231" s="340"/>
      <c r="PXB231" s="340"/>
      <c r="PXC231" s="340"/>
      <c r="PXD231" s="340"/>
      <c r="PXE231" s="340"/>
      <c r="PXF231" s="340"/>
      <c r="PXG231" s="340"/>
      <c r="PXH231" s="340"/>
      <c r="PXI231" s="340"/>
      <c r="PXJ231" s="340"/>
      <c r="PXK231" s="340"/>
      <c r="PXL231" s="340"/>
      <c r="PXM231" s="340"/>
      <c r="PXN231" s="340"/>
      <c r="PXO231" s="340"/>
      <c r="PXP231" s="340"/>
      <c r="PXQ231" s="340"/>
      <c r="PXR231" s="340"/>
      <c r="PXS231" s="340"/>
      <c r="PXT231" s="340"/>
      <c r="PXU231" s="340"/>
      <c r="PXV231" s="340"/>
      <c r="PXW231" s="340"/>
      <c r="PXX231" s="340"/>
      <c r="PXY231" s="340"/>
      <c r="PXZ231" s="340"/>
      <c r="PYA231" s="340"/>
      <c r="PYB231" s="340"/>
      <c r="PYC231" s="340"/>
      <c r="PYD231" s="340"/>
      <c r="PYE231" s="340"/>
      <c r="PYF231" s="340"/>
      <c r="PYG231" s="340"/>
      <c r="PYH231" s="340"/>
      <c r="PYI231" s="340"/>
      <c r="PYJ231" s="340"/>
      <c r="PYK231" s="340"/>
      <c r="PYL231" s="340"/>
      <c r="PYM231" s="340"/>
      <c r="PYN231" s="340"/>
      <c r="PYO231" s="340"/>
      <c r="PYP231" s="340"/>
      <c r="PYQ231" s="340"/>
      <c r="PYR231" s="340"/>
      <c r="PYS231" s="340"/>
      <c r="PYT231" s="340"/>
      <c r="PYU231" s="340"/>
      <c r="PYV231" s="340"/>
      <c r="PYW231" s="340"/>
      <c r="PYX231" s="340"/>
      <c r="PYY231" s="340"/>
      <c r="PYZ231" s="340"/>
      <c r="PZA231" s="340"/>
      <c r="PZB231" s="340"/>
      <c r="PZC231" s="340"/>
      <c r="PZD231" s="340"/>
      <c r="PZE231" s="340"/>
      <c r="PZF231" s="340"/>
      <c r="PZG231" s="340"/>
      <c r="PZH231" s="340"/>
      <c r="PZI231" s="340"/>
      <c r="PZJ231" s="340"/>
      <c r="PZK231" s="340"/>
      <c r="PZL231" s="340"/>
      <c r="PZM231" s="340"/>
      <c r="PZN231" s="340"/>
      <c r="PZO231" s="340"/>
      <c r="PZP231" s="340"/>
      <c r="PZQ231" s="340"/>
      <c r="PZR231" s="340"/>
      <c r="PZS231" s="340"/>
      <c r="PZT231" s="340"/>
      <c r="PZU231" s="340"/>
      <c r="PZV231" s="340"/>
      <c r="PZW231" s="340"/>
      <c r="PZX231" s="340"/>
      <c r="PZY231" s="340"/>
      <c r="PZZ231" s="340"/>
      <c r="QAA231" s="340"/>
      <c r="QAB231" s="340"/>
      <c r="QAC231" s="340"/>
      <c r="QAD231" s="340"/>
      <c r="QAE231" s="340"/>
      <c r="QAF231" s="340"/>
      <c r="QAG231" s="340"/>
      <c r="QAH231" s="340"/>
      <c r="QAI231" s="340"/>
      <c r="QAJ231" s="340"/>
      <c r="QAK231" s="340"/>
      <c r="QAL231" s="340"/>
      <c r="QAM231" s="340"/>
      <c r="QAN231" s="340"/>
      <c r="QAO231" s="340"/>
      <c r="QAP231" s="340"/>
      <c r="QAQ231" s="340"/>
      <c r="QAR231" s="340"/>
      <c r="QAS231" s="340"/>
      <c r="QAT231" s="340"/>
      <c r="QAU231" s="340"/>
      <c r="QAV231" s="340"/>
      <c r="QAW231" s="340"/>
      <c r="QAX231" s="340"/>
      <c r="QAY231" s="340"/>
      <c r="QAZ231" s="340"/>
      <c r="QBA231" s="340"/>
      <c r="QBB231" s="340"/>
      <c r="QBC231" s="340"/>
      <c r="QBD231" s="340"/>
      <c r="QBE231" s="340"/>
      <c r="QBF231" s="340"/>
      <c r="QBG231" s="340"/>
      <c r="QBH231" s="340"/>
      <c r="QBI231" s="340"/>
      <c r="QBJ231" s="340"/>
      <c r="QBK231" s="340"/>
      <c r="QBL231" s="340"/>
      <c r="QBM231" s="340"/>
      <c r="QBN231" s="340"/>
      <c r="QBO231" s="340"/>
      <c r="QBP231" s="340"/>
      <c r="QBQ231" s="340"/>
      <c r="QBR231" s="340"/>
      <c r="QBS231" s="340"/>
      <c r="QBT231" s="340"/>
      <c r="QBU231" s="340"/>
      <c r="QBV231" s="340"/>
      <c r="QBW231" s="340"/>
      <c r="QBX231" s="340"/>
      <c r="QBY231" s="340"/>
      <c r="QBZ231" s="340"/>
      <c r="QCA231" s="340"/>
      <c r="QCB231" s="340"/>
      <c r="QCC231" s="340"/>
      <c r="QCD231" s="340"/>
      <c r="QCE231" s="340"/>
      <c r="QCF231" s="340"/>
      <c r="QCG231" s="340"/>
      <c r="QCH231" s="340"/>
      <c r="QCI231" s="340"/>
      <c r="QCJ231" s="340"/>
      <c r="QCK231" s="340"/>
      <c r="QCL231" s="340"/>
      <c r="QCM231" s="340"/>
      <c r="QCN231" s="340"/>
      <c r="QCO231" s="340"/>
      <c r="QCP231" s="340"/>
      <c r="QCQ231" s="340"/>
      <c r="QCR231" s="340"/>
      <c r="QCS231" s="340"/>
      <c r="QCT231" s="340"/>
      <c r="QCU231" s="340"/>
      <c r="QCV231" s="340"/>
      <c r="QCW231" s="340"/>
      <c r="QCX231" s="340"/>
      <c r="QCY231" s="340"/>
      <c r="QCZ231" s="340"/>
      <c r="QDA231" s="340"/>
      <c r="QDB231" s="340"/>
      <c r="QDC231" s="340"/>
      <c r="QDD231" s="340"/>
      <c r="QDE231" s="340"/>
      <c r="QDF231" s="340"/>
      <c r="QDG231" s="340"/>
      <c r="QDH231" s="340"/>
      <c r="QDI231" s="340"/>
      <c r="QDJ231" s="340"/>
      <c r="QDK231" s="340"/>
      <c r="QDL231" s="340"/>
      <c r="QDM231" s="340"/>
      <c r="QDN231" s="340"/>
      <c r="QDO231" s="340"/>
      <c r="QDP231" s="340"/>
      <c r="QDQ231" s="340"/>
      <c r="QDR231" s="340"/>
      <c r="QDS231" s="340"/>
      <c r="QDT231" s="340"/>
      <c r="QDU231" s="340"/>
      <c r="QDV231" s="340"/>
      <c r="QDW231" s="340"/>
      <c r="QDX231" s="340"/>
      <c r="QDY231" s="340"/>
      <c r="QDZ231" s="340"/>
      <c r="QEA231" s="340"/>
      <c r="QEB231" s="340"/>
      <c r="QEC231" s="340"/>
      <c r="QED231" s="340"/>
      <c r="QEE231" s="340"/>
      <c r="QEF231" s="340"/>
      <c r="QEG231" s="340"/>
      <c r="QEH231" s="340"/>
      <c r="QEI231" s="340"/>
      <c r="QEJ231" s="340"/>
      <c r="QEK231" s="340"/>
      <c r="QEL231" s="340"/>
      <c r="QEM231" s="340"/>
      <c r="QEN231" s="340"/>
      <c r="QEO231" s="340"/>
      <c r="QEP231" s="340"/>
      <c r="QEQ231" s="340"/>
      <c r="QER231" s="340"/>
      <c r="QES231" s="340"/>
      <c r="QET231" s="340"/>
      <c r="QEU231" s="340"/>
      <c r="QEV231" s="340"/>
      <c r="QEW231" s="340"/>
      <c r="QEX231" s="340"/>
      <c r="QEY231" s="340"/>
      <c r="QEZ231" s="340"/>
      <c r="QFA231" s="340"/>
      <c r="QFB231" s="340"/>
      <c r="QFC231" s="340"/>
      <c r="QFD231" s="340"/>
      <c r="QFE231" s="340"/>
      <c r="QFF231" s="340"/>
      <c r="QFG231" s="340"/>
      <c r="QFH231" s="340"/>
      <c r="QFI231" s="340"/>
      <c r="QFJ231" s="340"/>
      <c r="QFK231" s="340"/>
      <c r="QFL231" s="340"/>
      <c r="QFM231" s="340"/>
      <c r="QFN231" s="340"/>
      <c r="QFO231" s="340"/>
      <c r="QFP231" s="340"/>
      <c r="QFQ231" s="340"/>
      <c r="QFR231" s="340"/>
      <c r="QFS231" s="340"/>
      <c r="QFT231" s="340"/>
      <c r="QFU231" s="340"/>
      <c r="QFV231" s="340"/>
      <c r="QFW231" s="340"/>
      <c r="QFX231" s="340"/>
      <c r="QFY231" s="340"/>
      <c r="QFZ231" s="340"/>
      <c r="QGA231" s="340"/>
      <c r="QGB231" s="340"/>
      <c r="QGC231" s="340"/>
      <c r="QGD231" s="340"/>
      <c r="QGE231" s="340"/>
      <c r="QGF231" s="340"/>
      <c r="QGG231" s="340"/>
      <c r="QGH231" s="340"/>
      <c r="QGI231" s="340"/>
      <c r="QGJ231" s="340"/>
      <c r="QGK231" s="340"/>
      <c r="QGL231" s="340"/>
      <c r="QGM231" s="340"/>
      <c r="QGN231" s="340"/>
      <c r="QGO231" s="340"/>
      <c r="QGP231" s="340"/>
      <c r="QGQ231" s="340"/>
      <c r="QGR231" s="340"/>
      <c r="QGS231" s="340"/>
      <c r="QGT231" s="340"/>
      <c r="QGU231" s="340"/>
      <c r="QGV231" s="340"/>
      <c r="QGW231" s="340"/>
      <c r="QGX231" s="340"/>
      <c r="QGY231" s="340"/>
      <c r="QGZ231" s="340"/>
      <c r="QHA231" s="340"/>
      <c r="QHB231" s="340"/>
      <c r="QHC231" s="340"/>
      <c r="QHD231" s="340"/>
      <c r="QHE231" s="340"/>
      <c r="QHF231" s="340"/>
      <c r="QHG231" s="340"/>
      <c r="QHH231" s="340"/>
      <c r="QHI231" s="340"/>
      <c r="QHJ231" s="340"/>
      <c r="QHK231" s="340"/>
      <c r="QHL231" s="340"/>
      <c r="QHM231" s="340"/>
      <c r="QHN231" s="340"/>
      <c r="QHO231" s="340"/>
      <c r="QHP231" s="340"/>
      <c r="QHQ231" s="340"/>
      <c r="QHR231" s="340"/>
      <c r="QHS231" s="340"/>
      <c r="QHT231" s="340"/>
      <c r="QHU231" s="340"/>
      <c r="QHV231" s="340"/>
      <c r="QHW231" s="340"/>
      <c r="QHX231" s="340"/>
      <c r="QHY231" s="340"/>
      <c r="QHZ231" s="340"/>
      <c r="QIA231" s="340"/>
      <c r="QIB231" s="340"/>
      <c r="QIC231" s="340"/>
      <c r="QID231" s="340"/>
      <c r="QIE231" s="340"/>
      <c r="QIF231" s="340"/>
      <c r="QIG231" s="340"/>
      <c r="QIH231" s="340"/>
      <c r="QII231" s="340"/>
      <c r="QIJ231" s="340"/>
      <c r="QIK231" s="340"/>
      <c r="QIL231" s="340"/>
      <c r="QIM231" s="340"/>
      <c r="QIN231" s="340"/>
      <c r="QIO231" s="340"/>
      <c r="QIP231" s="340"/>
      <c r="QIQ231" s="340"/>
      <c r="QIR231" s="340"/>
      <c r="QIS231" s="340"/>
      <c r="QIT231" s="340"/>
      <c r="QIU231" s="340"/>
      <c r="QIV231" s="340"/>
      <c r="QIW231" s="340"/>
      <c r="QIX231" s="340"/>
      <c r="QIY231" s="340"/>
      <c r="QIZ231" s="340"/>
      <c r="QJA231" s="340"/>
      <c r="QJB231" s="340"/>
      <c r="QJC231" s="340"/>
      <c r="QJD231" s="340"/>
      <c r="QJE231" s="340"/>
      <c r="QJF231" s="340"/>
      <c r="QJG231" s="340"/>
      <c r="QJH231" s="340"/>
      <c r="QJI231" s="340"/>
      <c r="QJJ231" s="340"/>
      <c r="QJK231" s="340"/>
      <c r="QJL231" s="340"/>
      <c r="QJM231" s="340"/>
      <c r="QJN231" s="340"/>
      <c r="QJO231" s="340"/>
      <c r="QJP231" s="340"/>
      <c r="QJQ231" s="340"/>
      <c r="QJR231" s="340"/>
      <c r="QJS231" s="340"/>
      <c r="QJT231" s="340"/>
      <c r="QJU231" s="340"/>
      <c r="QJV231" s="340"/>
      <c r="QJW231" s="340"/>
      <c r="QJX231" s="340"/>
      <c r="QJY231" s="340"/>
      <c r="QJZ231" s="340"/>
      <c r="QKA231" s="340"/>
      <c r="QKB231" s="340"/>
      <c r="QKC231" s="340"/>
      <c r="QKD231" s="340"/>
      <c r="QKE231" s="340"/>
      <c r="QKF231" s="340"/>
      <c r="QKG231" s="340"/>
      <c r="QKH231" s="340"/>
      <c r="QKI231" s="340"/>
      <c r="QKJ231" s="340"/>
      <c r="QKK231" s="340"/>
      <c r="QKL231" s="340"/>
      <c r="QKM231" s="340"/>
      <c r="QKN231" s="340"/>
      <c r="QKO231" s="340"/>
      <c r="QKP231" s="340"/>
      <c r="QKQ231" s="340"/>
      <c r="QKR231" s="340"/>
      <c r="QKS231" s="340"/>
      <c r="QKT231" s="340"/>
      <c r="QKU231" s="340"/>
      <c r="QKV231" s="340"/>
      <c r="QKW231" s="340"/>
      <c r="QKX231" s="340"/>
      <c r="QKY231" s="340"/>
      <c r="QKZ231" s="340"/>
      <c r="QLA231" s="340"/>
      <c r="QLB231" s="340"/>
      <c r="QLC231" s="340"/>
      <c r="QLD231" s="340"/>
      <c r="QLE231" s="340"/>
      <c r="QLF231" s="340"/>
      <c r="QLG231" s="340"/>
      <c r="QLH231" s="340"/>
      <c r="QLI231" s="340"/>
      <c r="QLJ231" s="340"/>
      <c r="QLK231" s="340"/>
      <c r="QLL231" s="340"/>
      <c r="QLM231" s="340"/>
      <c r="QLN231" s="340"/>
      <c r="QLO231" s="340"/>
      <c r="QLP231" s="340"/>
      <c r="QLQ231" s="340"/>
      <c r="QLR231" s="340"/>
      <c r="QLS231" s="340"/>
      <c r="QLT231" s="340"/>
      <c r="QLU231" s="340"/>
      <c r="QLV231" s="340"/>
      <c r="QLW231" s="340"/>
      <c r="QLX231" s="340"/>
      <c r="QLY231" s="340"/>
      <c r="QLZ231" s="340"/>
      <c r="QMA231" s="340"/>
      <c r="QMB231" s="340"/>
      <c r="QMC231" s="340"/>
      <c r="QMD231" s="340"/>
      <c r="QME231" s="340"/>
      <c r="QMF231" s="340"/>
      <c r="QMG231" s="340"/>
      <c r="QMH231" s="340"/>
      <c r="QMI231" s="340"/>
      <c r="QMJ231" s="340"/>
      <c r="QMK231" s="340"/>
      <c r="QML231" s="340"/>
      <c r="QMM231" s="340"/>
      <c r="QMN231" s="340"/>
      <c r="QMO231" s="340"/>
      <c r="QMP231" s="340"/>
      <c r="QMQ231" s="340"/>
      <c r="QMR231" s="340"/>
      <c r="QMS231" s="340"/>
      <c r="QMT231" s="340"/>
      <c r="QMU231" s="340"/>
      <c r="QMV231" s="340"/>
      <c r="QMW231" s="340"/>
      <c r="QMX231" s="340"/>
      <c r="QMY231" s="340"/>
      <c r="QMZ231" s="340"/>
      <c r="QNA231" s="340"/>
      <c r="QNB231" s="340"/>
      <c r="QNC231" s="340"/>
      <c r="QND231" s="340"/>
      <c r="QNE231" s="340"/>
      <c r="QNF231" s="340"/>
      <c r="QNG231" s="340"/>
      <c r="QNH231" s="340"/>
      <c r="QNI231" s="340"/>
      <c r="QNJ231" s="340"/>
      <c r="QNK231" s="340"/>
      <c r="QNL231" s="340"/>
      <c r="QNM231" s="340"/>
      <c r="QNN231" s="340"/>
      <c r="QNO231" s="340"/>
      <c r="QNP231" s="340"/>
      <c r="QNQ231" s="340"/>
      <c r="QNR231" s="340"/>
      <c r="QNS231" s="340"/>
      <c r="QNT231" s="340"/>
      <c r="QNU231" s="340"/>
      <c r="QNV231" s="340"/>
      <c r="QNW231" s="340"/>
      <c r="QNX231" s="340"/>
      <c r="QNY231" s="340"/>
      <c r="QNZ231" s="340"/>
      <c r="QOA231" s="340"/>
      <c r="QOB231" s="340"/>
      <c r="QOC231" s="340"/>
      <c r="QOD231" s="340"/>
      <c r="QOE231" s="340"/>
      <c r="QOF231" s="340"/>
      <c r="QOG231" s="340"/>
      <c r="QOH231" s="340"/>
      <c r="QOI231" s="340"/>
      <c r="QOJ231" s="340"/>
      <c r="QOK231" s="340"/>
      <c r="QOL231" s="340"/>
      <c r="QOM231" s="340"/>
      <c r="QON231" s="340"/>
      <c r="QOO231" s="340"/>
      <c r="QOP231" s="340"/>
      <c r="QOQ231" s="340"/>
      <c r="QOR231" s="340"/>
      <c r="QOS231" s="340"/>
      <c r="QOT231" s="340"/>
      <c r="QOU231" s="340"/>
      <c r="QOV231" s="340"/>
      <c r="QOW231" s="340"/>
      <c r="QOX231" s="340"/>
      <c r="QOY231" s="340"/>
      <c r="QOZ231" s="340"/>
      <c r="QPA231" s="340"/>
      <c r="QPB231" s="340"/>
      <c r="QPC231" s="340"/>
      <c r="QPD231" s="340"/>
      <c r="QPE231" s="340"/>
      <c r="QPF231" s="340"/>
      <c r="QPG231" s="340"/>
      <c r="QPH231" s="340"/>
      <c r="QPI231" s="340"/>
      <c r="QPJ231" s="340"/>
      <c r="QPK231" s="340"/>
      <c r="QPL231" s="340"/>
      <c r="QPM231" s="340"/>
      <c r="QPN231" s="340"/>
      <c r="QPO231" s="340"/>
      <c r="QPP231" s="340"/>
      <c r="QPQ231" s="340"/>
      <c r="QPR231" s="340"/>
      <c r="QPS231" s="340"/>
      <c r="QPT231" s="340"/>
      <c r="QPU231" s="340"/>
      <c r="QPV231" s="340"/>
      <c r="QPW231" s="340"/>
      <c r="QPX231" s="340"/>
      <c r="QPY231" s="340"/>
      <c r="QPZ231" s="340"/>
      <c r="QQA231" s="340"/>
      <c r="QQB231" s="340"/>
      <c r="QQC231" s="340"/>
      <c r="QQD231" s="340"/>
      <c r="QQE231" s="340"/>
      <c r="QQF231" s="340"/>
      <c r="QQG231" s="340"/>
      <c r="QQH231" s="340"/>
      <c r="QQI231" s="340"/>
      <c r="QQJ231" s="340"/>
      <c r="QQK231" s="340"/>
      <c r="QQL231" s="340"/>
      <c r="QQM231" s="340"/>
      <c r="QQN231" s="340"/>
      <c r="QQO231" s="340"/>
      <c r="QQP231" s="340"/>
      <c r="QQQ231" s="340"/>
      <c r="QQR231" s="340"/>
      <c r="QQS231" s="340"/>
      <c r="QQT231" s="340"/>
      <c r="QQU231" s="340"/>
      <c r="QQV231" s="340"/>
      <c r="QQW231" s="340"/>
      <c r="QQX231" s="340"/>
      <c r="QQY231" s="340"/>
      <c r="QQZ231" s="340"/>
      <c r="QRA231" s="340"/>
      <c r="QRB231" s="340"/>
      <c r="QRC231" s="340"/>
      <c r="QRD231" s="340"/>
      <c r="QRE231" s="340"/>
      <c r="QRF231" s="340"/>
      <c r="QRG231" s="340"/>
      <c r="QRH231" s="340"/>
      <c r="QRI231" s="340"/>
      <c r="QRJ231" s="340"/>
      <c r="QRK231" s="340"/>
      <c r="QRL231" s="340"/>
      <c r="QRM231" s="340"/>
      <c r="QRN231" s="340"/>
      <c r="QRO231" s="340"/>
      <c r="QRP231" s="340"/>
      <c r="QRQ231" s="340"/>
      <c r="QRR231" s="340"/>
      <c r="QRS231" s="340"/>
      <c r="QRT231" s="340"/>
      <c r="QRU231" s="340"/>
      <c r="QRV231" s="340"/>
      <c r="QRW231" s="340"/>
      <c r="QRX231" s="340"/>
      <c r="QRY231" s="340"/>
      <c r="QRZ231" s="340"/>
      <c r="QSA231" s="340"/>
      <c r="QSB231" s="340"/>
      <c r="QSC231" s="340"/>
      <c r="QSD231" s="340"/>
      <c r="QSE231" s="340"/>
      <c r="QSF231" s="340"/>
      <c r="QSG231" s="340"/>
      <c r="QSH231" s="340"/>
      <c r="QSI231" s="340"/>
      <c r="QSJ231" s="340"/>
      <c r="QSK231" s="340"/>
      <c r="QSL231" s="340"/>
      <c r="QSM231" s="340"/>
      <c r="QSN231" s="340"/>
      <c r="QSO231" s="340"/>
      <c r="QSP231" s="340"/>
      <c r="QSQ231" s="340"/>
      <c r="QSR231" s="340"/>
      <c r="QSS231" s="340"/>
      <c r="QST231" s="340"/>
      <c r="QSU231" s="340"/>
      <c r="QSV231" s="340"/>
      <c r="QSW231" s="340"/>
      <c r="QSX231" s="340"/>
      <c r="QSY231" s="340"/>
      <c r="QSZ231" s="340"/>
      <c r="QTA231" s="340"/>
      <c r="QTB231" s="340"/>
      <c r="QTC231" s="340"/>
      <c r="QTD231" s="340"/>
      <c r="QTE231" s="340"/>
      <c r="QTF231" s="340"/>
      <c r="QTG231" s="340"/>
      <c r="QTH231" s="340"/>
      <c r="QTI231" s="340"/>
      <c r="QTJ231" s="340"/>
      <c r="QTK231" s="340"/>
      <c r="QTL231" s="340"/>
      <c r="QTM231" s="340"/>
      <c r="QTN231" s="340"/>
      <c r="QTO231" s="340"/>
      <c r="QTP231" s="340"/>
      <c r="QTQ231" s="340"/>
      <c r="QTR231" s="340"/>
      <c r="QTS231" s="340"/>
      <c r="QTT231" s="340"/>
      <c r="QTU231" s="340"/>
      <c r="QTV231" s="340"/>
      <c r="QTW231" s="340"/>
      <c r="QTX231" s="340"/>
      <c r="QTY231" s="340"/>
      <c r="QTZ231" s="340"/>
      <c r="QUA231" s="340"/>
      <c r="QUB231" s="340"/>
      <c r="QUC231" s="340"/>
      <c r="QUD231" s="340"/>
      <c r="QUE231" s="340"/>
      <c r="QUF231" s="340"/>
      <c r="QUG231" s="340"/>
      <c r="QUH231" s="340"/>
      <c r="QUI231" s="340"/>
      <c r="QUJ231" s="340"/>
      <c r="QUK231" s="340"/>
      <c r="QUL231" s="340"/>
      <c r="QUM231" s="340"/>
      <c r="QUN231" s="340"/>
      <c r="QUO231" s="340"/>
      <c r="QUP231" s="340"/>
      <c r="QUQ231" s="340"/>
      <c r="QUR231" s="340"/>
      <c r="QUS231" s="340"/>
      <c r="QUT231" s="340"/>
      <c r="QUU231" s="340"/>
      <c r="QUV231" s="340"/>
      <c r="QUW231" s="340"/>
      <c r="QUX231" s="340"/>
      <c r="QUY231" s="340"/>
      <c r="QUZ231" s="340"/>
      <c r="QVA231" s="340"/>
      <c r="QVB231" s="340"/>
      <c r="QVC231" s="340"/>
      <c r="QVD231" s="340"/>
      <c r="QVE231" s="340"/>
      <c r="QVF231" s="340"/>
      <c r="QVG231" s="340"/>
      <c r="QVH231" s="340"/>
      <c r="QVI231" s="340"/>
      <c r="QVJ231" s="340"/>
      <c r="QVK231" s="340"/>
      <c r="QVL231" s="340"/>
      <c r="QVM231" s="340"/>
      <c r="QVN231" s="340"/>
      <c r="QVO231" s="340"/>
      <c r="QVP231" s="340"/>
      <c r="QVQ231" s="340"/>
      <c r="QVR231" s="340"/>
      <c r="QVS231" s="340"/>
      <c r="QVT231" s="340"/>
      <c r="QVU231" s="340"/>
      <c r="QVV231" s="340"/>
      <c r="QVW231" s="340"/>
      <c r="QVX231" s="340"/>
      <c r="QVY231" s="340"/>
      <c r="QVZ231" s="340"/>
      <c r="QWA231" s="340"/>
      <c r="QWB231" s="340"/>
      <c r="QWC231" s="340"/>
      <c r="QWD231" s="340"/>
      <c r="QWE231" s="340"/>
      <c r="QWF231" s="340"/>
      <c r="QWG231" s="340"/>
      <c r="QWH231" s="340"/>
      <c r="QWI231" s="340"/>
      <c r="QWJ231" s="340"/>
      <c r="QWK231" s="340"/>
      <c r="QWL231" s="340"/>
      <c r="QWM231" s="340"/>
      <c r="QWN231" s="340"/>
      <c r="QWO231" s="340"/>
      <c r="QWP231" s="340"/>
      <c r="QWQ231" s="340"/>
      <c r="QWR231" s="340"/>
      <c r="QWS231" s="340"/>
      <c r="QWT231" s="340"/>
      <c r="QWU231" s="340"/>
      <c r="QWV231" s="340"/>
      <c r="QWW231" s="340"/>
      <c r="QWX231" s="340"/>
      <c r="QWY231" s="340"/>
      <c r="QWZ231" s="340"/>
      <c r="QXA231" s="340"/>
      <c r="QXB231" s="340"/>
      <c r="QXC231" s="340"/>
      <c r="QXD231" s="340"/>
      <c r="QXE231" s="340"/>
      <c r="QXF231" s="340"/>
      <c r="QXG231" s="340"/>
      <c r="QXH231" s="340"/>
      <c r="QXI231" s="340"/>
      <c r="QXJ231" s="340"/>
      <c r="QXK231" s="340"/>
      <c r="QXL231" s="340"/>
      <c r="QXM231" s="340"/>
      <c r="QXN231" s="340"/>
      <c r="QXO231" s="340"/>
      <c r="QXP231" s="340"/>
      <c r="QXQ231" s="340"/>
      <c r="QXR231" s="340"/>
      <c r="QXS231" s="340"/>
      <c r="QXT231" s="340"/>
      <c r="QXU231" s="340"/>
      <c r="QXV231" s="340"/>
      <c r="QXW231" s="340"/>
      <c r="QXX231" s="340"/>
      <c r="QXY231" s="340"/>
      <c r="QXZ231" s="340"/>
      <c r="QYA231" s="340"/>
      <c r="QYB231" s="340"/>
      <c r="QYC231" s="340"/>
      <c r="QYD231" s="340"/>
      <c r="QYE231" s="340"/>
      <c r="QYF231" s="340"/>
      <c r="QYG231" s="340"/>
      <c r="QYH231" s="340"/>
      <c r="QYI231" s="340"/>
      <c r="QYJ231" s="340"/>
      <c r="QYK231" s="340"/>
      <c r="QYL231" s="340"/>
      <c r="QYM231" s="340"/>
      <c r="QYN231" s="340"/>
      <c r="QYO231" s="340"/>
      <c r="QYP231" s="340"/>
      <c r="QYQ231" s="340"/>
      <c r="QYR231" s="340"/>
      <c r="QYS231" s="340"/>
      <c r="QYT231" s="340"/>
      <c r="QYU231" s="340"/>
      <c r="QYV231" s="340"/>
      <c r="QYW231" s="340"/>
      <c r="QYX231" s="340"/>
      <c r="QYY231" s="340"/>
      <c r="QYZ231" s="340"/>
      <c r="QZA231" s="340"/>
      <c r="QZB231" s="340"/>
      <c r="QZC231" s="340"/>
      <c r="QZD231" s="340"/>
      <c r="QZE231" s="340"/>
      <c r="QZF231" s="340"/>
      <c r="QZG231" s="340"/>
      <c r="QZH231" s="340"/>
      <c r="QZI231" s="340"/>
      <c r="QZJ231" s="340"/>
      <c r="QZK231" s="340"/>
      <c r="QZL231" s="340"/>
      <c r="QZM231" s="340"/>
      <c r="QZN231" s="340"/>
      <c r="QZO231" s="340"/>
      <c r="QZP231" s="340"/>
      <c r="QZQ231" s="340"/>
      <c r="QZR231" s="340"/>
      <c r="QZS231" s="340"/>
      <c r="QZT231" s="340"/>
      <c r="QZU231" s="340"/>
      <c r="QZV231" s="340"/>
      <c r="QZW231" s="340"/>
      <c r="QZX231" s="340"/>
      <c r="QZY231" s="340"/>
      <c r="QZZ231" s="340"/>
      <c r="RAA231" s="340"/>
      <c r="RAB231" s="340"/>
      <c r="RAC231" s="340"/>
      <c r="RAD231" s="340"/>
      <c r="RAE231" s="340"/>
      <c r="RAF231" s="340"/>
      <c r="RAG231" s="340"/>
      <c r="RAH231" s="340"/>
      <c r="RAI231" s="340"/>
      <c r="RAJ231" s="340"/>
      <c r="RAK231" s="340"/>
      <c r="RAL231" s="340"/>
      <c r="RAM231" s="340"/>
      <c r="RAN231" s="340"/>
      <c r="RAO231" s="340"/>
      <c r="RAP231" s="340"/>
      <c r="RAQ231" s="340"/>
      <c r="RAR231" s="340"/>
      <c r="RAS231" s="340"/>
      <c r="RAT231" s="340"/>
      <c r="RAU231" s="340"/>
      <c r="RAV231" s="340"/>
      <c r="RAW231" s="340"/>
      <c r="RAX231" s="340"/>
      <c r="RAY231" s="340"/>
      <c r="RAZ231" s="340"/>
      <c r="RBA231" s="340"/>
      <c r="RBB231" s="340"/>
      <c r="RBC231" s="340"/>
      <c r="RBD231" s="340"/>
      <c r="RBE231" s="340"/>
      <c r="RBF231" s="340"/>
      <c r="RBG231" s="340"/>
      <c r="RBH231" s="340"/>
      <c r="RBI231" s="340"/>
      <c r="RBJ231" s="340"/>
      <c r="RBK231" s="340"/>
      <c r="RBL231" s="340"/>
      <c r="RBM231" s="340"/>
      <c r="RBN231" s="340"/>
      <c r="RBO231" s="340"/>
      <c r="RBP231" s="340"/>
      <c r="RBQ231" s="340"/>
      <c r="RBR231" s="340"/>
      <c r="RBS231" s="340"/>
      <c r="RBT231" s="340"/>
      <c r="RBU231" s="340"/>
      <c r="RBV231" s="340"/>
      <c r="RBW231" s="340"/>
      <c r="RBX231" s="340"/>
      <c r="RBY231" s="340"/>
      <c r="RBZ231" s="340"/>
      <c r="RCA231" s="340"/>
      <c r="RCB231" s="340"/>
      <c r="RCC231" s="340"/>
      <c r="RCD231" s="340"/>
      <c r="RCE231" s="340"/>
      <c r="RCF231" s="340"/>
      <c r="RCG231" s="340"/>
      <c r="RCH231" s="340"/>
      <c r="RCI231" s="340"/>
      <c r="RCJ231" s="340"/>
      <c r="RCK231" s="340"/>
      <c r="RCL231" s="340"/>
      <c r="RCM231" s="340"/>
      <c r="RCN231" s="340"/>
      <c r="RCO231" s="340"/>
      <c r="RCP231" s="340"/>
      <c r="RCQ231" s="340"/>
      <c r="RCR231" s="340"/>
      <c r="RCS231" s="340"/>
      <c r="RCT231" s="340"/>
      <c r="RCU231" s="340"/>
      <c r="RCV231" s="340"/>
      <c r="RCW231" s="340"/>
      <c r="RCX231" s="340"/>
      <c r="RCY231" s="340"/>
      <c r="RCZ231" s="340"/>
      <c r="RDA231" s="340"/>
      <c r="RDB231" s="340"/>
      <c r="RDC231" s="340"/>
      <c r="RDD231" s="340"/>
      <c r="RDE231" s="340"/>
      <c r="RDF231" s="340"/>
      <c r="RDG231" s="340"/>
      <c r="RDH231" s="340"/>
      <c r="RDI231" s="340"/>
      <c r="RDJ231" s="340"/>
      <c r="RDK231" s="340"/>
      <c r="RDL231" s="340"/>
      <c r="RDM231" s="340"/>
      <c r="RDN231" s="340"/>
      <c r="RDO231" s="340"/>
      <c r="RDP231" s="340"/>
      <c r="RDQ231" s="340"/>
      <c r="RDR231" s="340"/>
      <c r="RDS231" s="340"/>
      <c r="RDT231" s="340"/>
      <c r="RDU231" s="340"/>
      <c r="RDV231" s="340"/>
      <c r="RDW231" s="340"/>
      <c r="RDX231" s="340"/>
      <c r="RDY231" s="340"/>
      <c r="RDZ231" s="340"/>
      <c r="REA231" s="340"/>
      <c r="REB231" s="340"/>
      <c r="REC231" s="340"/>
      <c r="RED231" s="340"/>
      <c r="REE231" s="340"/>
      <c r="REF231" s="340"/>
      <c r="REG231" s="340"/>
      <c r="REH231" s="340"/>
      <c r="REI231" s="340"/>
      <c r="REJ231" s="340"/>
      <c r="REK231" s="340"/>
      <c r="REL231" s="340"/>
      <c r="REM231" s="340"/>
      <c r="REN231" s="340"/>
      <c r="REO231" s="340"/>
      <c r="REP231" s="340"/>
      <c r="REQ231" s="340"/>
      <c r="RER231" s="340"/>
      <c r="RES231" s="340"/>
      <c r="RET231" s="340"/>
      <c r="REU231" s="340"/>
      <c r="REV231" s="340"/>
      <c r="REW231" s="340"/>
      <c r="REX231" s="340"/>
      <c r="REY231" s="340"/>
      <c r="REZ231" s="340"/>
      <c r="RFA231" s="340"/>
      <c r="RFB231" s="340"/>
      <c r="RFC231" s="340"/>
      <c r="RFD231" s="340"/>
      <c r="RFE231" s="340"/>
      <c r="RFF231" s="340"/>
      <c r="RFG231" s="340"/>
      <c r="RFH231" s="340"/>
      <c r="RFI231" s="340"/>
      <c r="RFJ231" s="340"/>
      <c r="RFK231" s="340"/>
      <c r="RFL231" s="340"/>
      <c r="RFM231" s="340"/>
      <c r="RFN231" s="340"/>
      <c r="RFO231" s="340"/>
      <c r="RFP231" s="340"/>
      <c r="RFQ231" s="340"/>
      <c r="RFR231" s="340"/>
      <c r="RFS231" s="340"/>
      <c r="RFT231" s="340"/>
      <c r="RFU231" s="340"/>
      <c r="RFV231" s="340"/>
      <c r="RFW231" s="340"/>
      <c r="RFX231" s="340"/>
      <c r="RFY231" s="340"/>
      <c r="RFZ231" s="340"/>
      <c r="RGA231" s="340"/>
      <c r="RGB231" s="340"/>
      <c r="RGC231" s="340"/>
      <c r="RGD231" s="340"/>
      <c r="RGE231" s="340"/>
      <c r="RGF231" s="340"/>
      <c r="RGG231" s="340"/>
      <c r="RGH231" s="340"/>
      <c r="RGI231" s="340"/>
      <c r="RGJ231" s="340"/>
      <c r="RGK231" s="340"/>
      <c r="RGL231" s="340"/>
      <c r="RGM231" s="340"/>
      <c r="RGN231" s="340"/>
      <c r="RGO231" s="340"/>
      <c r="RGP231" s="340"/>
      <c r="RGQ231" s="340"/>
      <c r="RGR231" s="340"/>
      <c r="RGS231" s="340"/>
      <c r="RGT231" s="340"/>
      <c r="RGU231" s="340"/>
      <c r="RGV231" s="340"/>
      <c r="RGW231" s="340"/>
      <c r="RGX231" s="340"/>
      <c r="RGY231" s="340"/>
      <c r="RGZ231" s="340"/>
      <c r="RHA231" s="340"/>
      <c r="RHB231" s="340"/>
      <c r="RHC231" s="340"/>
      <c r="RHD231" s="340"/>
      <c r="RHE231" s="340"/>
      <c r="RHF231" s="340"/>
      <c r="RHG231" s="340"/>
      <c r="RHH231" s="340"/>
      <c r="RHI231" s="340"/>
      <c r="RHJ231" s="340"/>
      <c r="RHK231" s="340"/>
      <c r="RHL231" s="340"/>
      <c r="RHM231" s="340"/>
      <c r="RHN231" s="340"/>
      <c r="RHO231" s="340"/>
      <c r="RHP231" s="340"/>
      <c r="RHQ231" s="340"/>
      <c r="RHR231" s="340"/>
      <c r="RHS231" s="340"/>
      <c r="RHT231" s="340"/>
      <c r="RHU231" s="340"/>
      <c r="RHV231" s="340"/>
      <c r="RHW231" s="340"/>
      <c r="RHX231" s="340"/>
      <c r="RHY231" s="340"/>
      <c r="RHZ231" s="340"/>
      <c r="RIA231" s="340"/>
      <c r="RIB231" s="340"/>
      <c r="RIC231" s="340"/>
      <c r="RID231" s="340"/>
      <c r="RIE231" s="340"/>
      <c r="RIF231" s="340"/>
      <c r="RIG231" s="340"/>
      <c r="RIH231" s="340"/>
      <c r="RII231" s="340"/>
      <c r="RIJ231" s="340"/>
      <c r="RIK231" s="340"/>
      <c r="RIL231" s="340"/>
      <c r="RIM231" s="340"/>
      <c r="RIN231" s="340"/>
      <c r="RIO231" s="340"/>
      <c r="RIP231" s="340"/>
      <c r="RIQ231" s="340"/>
      <c r="RIR231" s="340"/>
      <c r="RIS231" s="340"/>
      <c r="RIT231" s="340"/>
      <c r="RIU231" s="340"/>
      <c r="RIV231" s="340"/>
      <c r="RIW231" s="340"/>
      <c r="RIX231" s="340"/>
      <c r="RIY231" s="340"/>
      <c r="RIZ231" s="340"/>
      <c r="RJA231" s="340"/>
      <c r="RJB231" s="340"/>
      <c r="RJC231" s="340"/>
      <c r="RJD231" s="340"/>
      <c r="RJE231" s="340"/>
      <c r="RJF231" s="340"/>
      <c r="RJG231" s="340"/>
      <c r="RJH231" s="340"/>
      <c r="RJI231" s="340"/>
      <c r="RJJ231" s="340"/>
      <c r="RJK231" s="340"/>
      <c r="RJL231" s="340"/>
      <c r="RJM231" s="340"/>
      <c r="RJN231" s="340"/>
      <c r="RJO231" s="340"/>
      <c r="RJP231" s="340"/>
      <c r="RJQ231" s="340"/>
      <c r="RJR231" s="340"/>
      <c r="RJS231" s="340"/>
      <c r="RJT231" s="340"/>
      <c r="RJU231" s="340"/>
      <c r="RJV231" s="340"/>
      <c r="RJW231" s="340"/>
      <c r="RJX231" s="340"/>
      <c r="RJY231" s="340"/>
      <c r="RJZ231" s="340"/>
      <c r="RKA231" s="340"/>
      <c r="RKB231" s="340"/>
      <c r="RKC231" s="340"/>
      <c r="RKD231" s="340"/>
      <c r="RKE231" s="340"/>
      <c r="RKF231" s="340"/>
      <c r="RKG231" s="340"/>
      <c r="RKH231" s="340"/>
      <c r="RKI231" s="340"/>
      <c r="RKJ231" s="340"/>
      <c r="RKK231" s="340"/>
      <c r="RKL231" s="340"/>
      <c r="RKM231" s="340"/>
      <c r="RKN231" s="340"/>
      <c r="RKO231" s="340"/>
      <c r="RKP231" s="340"/>
      <c r="RKQ231" s="340"/>
      <c r="RKR231" s="340"/>
      <c r="RKS231" s="340"/>
      <c r="RKT231" s="340"/>
      <c r="RKU231" s="340"/>
      <c r="RKV231" s="340"/>
      <c r="RKW231" s="340"/>
      <c r="RKX231" s="340"/>
      <c r="RKY231" s="340"/>
      <c r="RKZ231" s="340"/>
      <c r="RLA231" s="340"/>
      <c r="RLB231" s="340"/>
      <c r="RLC231" s="340"/>
      <c r="RLD231" s="340"/>
      <c r="RLE231" s="340"/>
      <c r="RLF231" s="340"/>
      <c r="RLG231" s="340"/>
      <c r="RLH231" s="340"/>
      <c r="RLI231" s="340"/>
      <c r="RLJ231" s="340"/>
      <c r="RLK231" s="340"/>
      <c r="RLL231" s="340"/>
      <c r="RLM231" s="340"/>
      <c r="RLN231" s="340"/>
      <c r="RLO231" s="340"/>
      <c r="RLP231" s="340"/>
      <c r="RLQ231" s="340"/>
      <c r="RLR231" s="340"/>
      <c r="RLS231" s="340"/>
      <c r="RLT231" s="340"/>
      <c r="RLU231" s="340"/>
      <c r="RLV231" s="340"/>
      <c r="RLW231" s="340"/>
      <c r="RLX231" s="340"/>
      <c r="RLY231" s="340"/>
      <c r="RLZ231" s="340"/>
      <c r="RMA231" s="340"/>
      <c r="RMB231" s="340"/>
      <c r="RMC231" s="340"/>
      <c r="RMD231" s="340"/>
      <c r="RME231" s="340"/>
      <c r="RMF231" s="340"/>
      <c r="RMG231" s="340"/>
      <c r="RMH231" s="340"/>
      <c r="RMI231" s="340"/>
      <c r="RMJ231" s="340"/>
      <c r="RMK231" s="340"/>
      <c r="RML231" s="340"/>
      <c r="RMM231" s="340"/>
      <c r="RMN231" s="340"/>
      <c r="RMO231" s="340"/>
      <c r="RMP231" s="340"/>
      <c r="RMQ231" s="340"/>
      <c r="RMR231" s="340"/>
      <c r="RMS231" s="340"/>
      <c r="RMT231" s="340"/>
      <c r="RMU231" s="340"/>
      <c r="RMV231" s="340"/>
      <c r="RMW231" s="340"/>
      <c r="RMX231" s="340"/>
      <c r="RMY231" s="340"/>
      <c r="RMZ231" s="340"/>
      <c r="RNA231" s="340"/>
      <c r="RNB231" s="340"/>
      <c r="RNC231" s="340"/>
      <c r="RND231" s="340"/>
      <c r="RNE231" s="340"/>
      <c r="RNF231" s="340"/>
      <c r="RNG231" s="340"/>
      <c r="RNH231" s="340"/>
      <c r="RNI231" s="340"/>
      <c r="RNJ231" s="340"/>
      <c r="RNK231" s="340"/>
      <c r="RNL231" s="340"/>
      <c r="RNM231" s="340"/>
      <c r="RNN231" s="340"/>
      <c r="RNO231" s="340"/>
      <c r="RNP231" s="340"/>
      <c r="RNQ231" s="340"/>
      <c r="RNR231" s="340"/>
      <c r="RNS231" s="340"/>
      <c r="RNT231" s="340"/>
      <c r="RNU231" s="340"/>
      <c r="RNV231" s="340"/>
      <c r="RNW231" s="340"/>
      <c r="RNX231" s="340"/>
      <c r="RNY231" s="340"/>
      <c r="RNZ231" s="340"/>
      <c r="ROA231" s="340"/>
      <c r="ROB231" s="340"/>
      <c r="ROC231" s="340"/>
      <c r="ROD231" s="340"/>
      <c r="ROE231" s="340"/>
      <c r="ROF231" s="340"/>
      <c r="ROG231" s="340"/>
      <c r="ROH231" s="340"/>
      <c r="ROI231" s="340"/>
      <c r="ROJ231" s="340"/>
      <c r="ROK231" s="340"/>
      <c r="ROL231" s="340"/>
      <c r="ROM231" s="340"/>
      <c r="RON231" s="340"/>
      <c r="ROO231" s="340"/>
      <c r="ROP231" s="340"/>
      <c r="ROQ231" s="340"/>
      <c r="ROR231" s="340"/>
      <c r="ROS231" s="340"/>
      <c r="ROT231" s="340"/>
      <c r="ROU231" s="340"/>
      <c r="ROV231" s="340"/>
      <c r="ROW231" s="340"/>
      <c r="ROX231" s="340"/>
      <c r="ROY231" s="340"/>
      <c r="ROZ231" s="340"/>
      <c r="RPA231" s="340"/>
      <c r="RPB231" s="340"/>
      <c r="RPC231" s="340"/>
      <c r="RPD231" s="340"/>
      <c r="RPE231" s="340"/>
      <c r="RPF231" s="340"/>
      <c r="RPG231" s="340"/>
      <c r="RPH231" s="340"/>
      <c r="RPI231" s="340"/>
      <c r="RPJ231" s="340"/>
      <c r="RPK231" s="340"/>
      <c r="RPL231" s="340"/>
      <c r="RPM231" s="340"/>
      <c r="RPN231" s="340"/>
      <c r="RPO231" s="340"/>
      <c r="RPP231" s="340"/>
      <c r="RPQ231" s="340"/>
      <c r="RPR231" s="340"/>
      <c r="RPS231" s="340"/>
      <c r="RPT231" s="340"/>
      <c r="RPU231" s="340"/>
      <c r="RPV231" s="340"/>
      <c r="RPW231" s="340"/>
      <c r="RPX231" s="340"/>
      <c r="RPY231" s="340"/>
      <c r="RPZ231" s="340"/>
      <c r="RQA231" s="340"/>
      <c r="RQB231" s="340"/>
      <c r="RQC231" s="340"/>
      <c r="RQD231" s="340"/>
      <c r="RQE231" s="340"/>
      <c r="RQF231" s="340"/>
      <c r="RQG231" s="340"/>
      <c r="RQH231" s="340"/>
      <c r="RQI231" s="340"/>
      <c r="RQJ231" s="340"/>
      <c r="RQK231" s="340"/>
      <c r="RQL231" s="340"/>
      <c r="RQM231" s="340"/>
      <c r="RQN231" s="340"/>
      <c r="RQO231" s="340"/>
      <c r="RQP231" s="340"/>
      <c r="RQQ231" s="340"/>
      <c r="RQR231" s="340"/>
      <c r="RQS231" s="340"/>
      <c r="RQT231" s="340"/>
      <c r="RQU231" s="340"/>
      <c r="RQV231" s="340"/>
      <c r="RQW231" s="340"/>
      <c r="RQX231" s="340"/>
      <c r="RQY231" s="340"/>
      <c r="RQZ231" s="340"/>
      <c r="RRA231" s="340"/>
      <c r="RRB231" s="340"/>
      <c r="RRC231" s="340"/>
      <c r="RRD231" s="340"/>
      <c r="RRE231" s="340"/>
      <c r="RRF231" s="340"/>
      <c r="RRG231" s="340"/>
      <c r="RRH231" s="340"/>
      <c r="RRI231" s="340"/>
      <c r="RRJ231" s="340"/>
      <c r="RRK231" s="340"/>
      <c r="RRL231" s="340"/>
      <c r="RRM231" s="340"/>
      <c r="RRN231" s="340"/>
      <c r="RRO231" s="340"/>
      <c r="RRP231" s="340"/>
      <c r="RRQ231" s="340"/>
      <c r="RRR231" s="340"/>
      <c r="RRS231" s="340"/>
      <c r="RRT231" s="340"/>
      <c r="RRU231" s="340"/>
      <c r="RRV231" s="340"/>
      <c r="RRW231" s="340"/>
      <c r="RRX231" s="340"/>
      <c r="RRY231" s="340"/>
      <c r="RRZ231" s="340"/>
      <c r="RSA231" s="340"/>
      <c r="RSB231" s="340"/>
      <c r="RSC231" s="340"/>
      <c r="RSD231" s="340"/>
      <c r="RSE231" s="340"/>
      <c r="RSF231" s="340"/>
      <c r="RSG231" s="340"/>
      <c r="RSH231" s="340"/>
      <c r="RSI231" s="340"/>
      <c r="RSJ231" s="340"/>
      <c r="RSK231" s="340"/>
      <c r="RSL231" s="340"/>
      <c r="RSM231" s="340"/>
      <c r="RSN231" s="340"/>
      <c r="RSO231" s="340"/>
      <c r="RSP231" s="340"/>
      <c r="RSQ231" s="340"/>
      <c r="RSR231" s="340"/>
      <c r="RSS231" s="340"/>
      <c r="RST231" s="340"/>
      <c r="RSU231" s="340"/>
      <c r="RSV231" s="340"/>
      <c r="RSW231" s="340"/>
      <c r="RSX231" s="340"/>
      <c r="RSY231" s="340"/>
      <c r="RSZ231" s="340"/>
      <c r="RTA231" s="340"/>
      <c r="RTB231" s="340"/>
      <c r="RTC231" s="340"/>
      <c r="RTD231" s="340"/>
      <c r="RTE231" s="340"/>
      <c r="RTF231" s="340"/>
      <c r="RTG231" s="340"/>
      <c r="RTH231" s="340"/>
      <c r="RTI231" s="340"/>
      <c r="RTJ231" s="340"/>
      <c r="RTK231" s="340"/>
      <c r="RTL231" s="340"/>
      <c r="RTM231" s="340"/>
      <c r="RTN231" s="340"/>
      <c r="RTO231" s="340"/>
      <c r="RTP231" s="340"/>
      <c r="RTQ231" s="340"/>
      <c r="RTR231" s="340"/>
      <c r="RTS231" s="340"/>
      <c r="RTT231" s="340"/>
      <c r="RTU231" s="340"/>
      <c r="RTV231" s="340"/>
      <c r="RTW231" s="340"/>
      <c r="RTX231" s="340"/>
      <c r="RTY231" s="340"/>
      <c r="RTZ231" s="340"/>
      <c r="RUA231" s="340"/>
      <c r="RUB231" s="340"/>
      <c r="RUC231" s="340"/>
      <c r="RUD231" s="340"/>
      <c r="RUE231" s="340"/>
      <c r="RUF231" s="340"/>
      <c r="RUG231" s="340"/>
      <c r="RUH231" s="340"/>
      <c r="RUI231" s="340"/>
      <c r="RUJ231" s="340"/>
      <c r="RUK231" s="340"/>
      <c r="RUL231" s="340"/>
      <c r="RUM231" s="340"/>
      <c r="RUN231" s="340"/>
      <c r="RUO231" s="340"/>
      <c r="RUP231" s="340"/>
      <c r="RUQ231" s="340"/>
      <c r="RUR231" s="340"/>
      <c r="RUS231" s="340"/>
      <c r="RUT231" s="340"/>
      <c r="RUU231" s="340"/>
      <c r="RUV231" s="340"/>
      <c r="RUW231" s="340"/>
      <c r="RUX231" s="340"/>
      <c r="RUY231" s="340"/>
      <c r="RUZ231" s="340"/>
      <c r="RVA231" s="340"/>
      <c r="RVB231" s="340"/>
      <c r="RVC231" s="340"/>
      <c r="RVD231" s="340"/>
      <c r="RVE231" s="340"/>
      <c r="RVF231" s="340"/>
      <c r="RVG231" s="340"/>
      <c r="RVH231" s="340"/>
      <c r="RVI231" s="340"/>
      <c r="RVJ231" s="340"/>
      <c r="RVK231" s="340"/>
      <c r="RVL231" s="340"/>
      <c r="RVM231" s="340"/>
      <c r="RVN231" s="340"/>
      <c r="RVO231" s="340"/>
      <c r="RVP231" s="340"/>
      <c r="RVQ231" s="340"/>
      <c r="RVR231" s="340"/>
      <c r="RVS231" s="340"/>
      <c r="RVT231" s="340"/>
      <c r="RVU231" s="340"/>
      <c r="RVV231" s="340"/>
      <c r="RVW231" s="340"/>
      <c r="RVX231" s="340"/>
      <c r="RVY231" s="340"/>
      <c r="RVZ231" s="340"/>
      <c r="RWA231" s="340"/>
      <c r="RWB231" s="340"/>
      <c r="RWC231" s="340"/>
      <c r="RWD231" s="340"/>
      <c r="RWE231" s="340"/>
      <c r="RWF231" s="340"/>
      <c r="RWG231" s="340"/>
      <c r="RWH231" s="340"/>
      <c r="RWI231" s="340"/>
      <c r="RWJ231" s="340"/>
      <c r="RWK231" s="340"/>
      <c r="RWL231" s="340"/>
      <c r="RWM231" s="340"/>
      <c r="RWN231" s="340"/>
      <c r="RWO231" s="340"/>
      <c r="RWP231" s="340"/>
      <c r="RWQ231" s="340"/>
      <c r="RWR231" s="340"/>
      <c r="RWS231" s="340"/>
      <c r="RWT231" s="340"/>
      <c r="RWU231" s="340"/>
      <c r="RWV231" s="340"/>
      <c r="RWW231" s="340"/>
      <c r="RWX231" s="340"/>
      <c r="RWY231" s="340"/>
      <c r="RWZ231" s="340"/>
      <c r="RXA231" s="340"/>
      <c r="RXB231" s="340"/>
      <c r="RXC231" s="340"/>
      <c r="RXD231" s="340"/>
      <c r="RXE231" s="340"/>
      <c r="RXF231" s="340"/>
      <c r="RXG231" s="340"/>
      <c r="RXH231" s="340"/>
      <c r="RXI231" s="340"/>
      <c r="RXJ231" s="340"/>
      <c r="RXK231" s="340"/>
      <c r="RXL231" s="340"/>
      <c r="RXM231" s="340"/>
      <c r="RXN231" s="340"/>
      <c r="RXO231" s="340"/>
      <c r="RXP231" s="340"/>
      <c r="RXQ231" s="340"/>
      <c r="RXR231" s="340"/>
      <c r="RXS231" s="340"/>
      <c r="RXT231" s="340"/>
      <c r="RXU231" s="340"/>
      <c r="RXV231" s="340"/>
      <c r="RXW231" s="340"/>
      <c r="RXX231" s="340"/>
      <c r="RXY231" s="340"/>
      <c r="RXZ231" s="340"/>
      <c r="RYA231" s="340"/>
      <c r="RYB231" s="340"/>
      <c r="RYC231" s="340"/>
      <c r="RYD231" s="340"/>
      <c r="RYE231" s="340"/>
      <c r="RYF231" s="340"/>
      <c r="RYG231" s="340"/>
      <c r="RYH231" s="340"/>
      <c r="RYI231" s="340"/>
      <c r="RYJ231" s="340"/>
      <c r="RYK231" s="340"/>
      <c r="RYL231" s="340"/>
      <c r="RYM231" s="340"/>
      <c r="RYN231" s="340"/>
      <c r="RYO231" s="340"/>
      <c r="RYP231" s="340"/>
      <c r="RYQ231" s="340"/>
      <c r="RYR231" s="340"/>
      <c r="RYS231" s="340"/>
      <c r="RYT231" s="340"/>
      <c r="RYU231" s="340"/>
      <c r="RYV231" s="340"/>
      <c r="RYW231" s="340"/>
      <c r="RYX231" s="340"/>
      <c r="RYY231" s="340"/>
      <c r="RYZ231" s="340"/>
      <c r="RZA231" s="340"/>
      <c r="RZB231" s="340"/>
      <c r="RZC231" s="340"/>
      <c r="RZD231" s="340"/>
      <c r="RZE231" s="340"/>
      <c r="RZF231" s="340"/>
      <c r="RZG231" s="340"/>
      <c r="RZH231" s="340"/>
      <c r="RZI231" s="340"/>
      <c r="RZJ231" s="340"/>
      <c r="RZK231" s="340"/>
      <c r="RZL231" s="340"/>
      <c r="RZM231" s="340"/>
      <c r="RZN231" s="340"/>
      <c r="RZO231" s="340"/>
      <c r="RZP231" s="340"/>
      <c r="RZQ231" s="340"/>
      <c r="RZR231" s="340"/>
      <c r="RZS231" s="340"/>
      <c r="RZT231" s="340"/>
      <c r="RZU231" s="340"/>
      <c r="RZV231" s="340"/>
      <c r="RZW231" s="340"/>
      <c r="RZX231" s="340"/>
      <c r="RZY231" s="340"/>
      <c r="RZZ231" s="340"/>
      <c r="SAA231" s="340"/>
      <c r="SAB231" s="340"/>
      <c r="SAC231" s="340"/>
      <c r="SAD231" s="340"/>
      <c r="SAE231" s="340"/>
      <c r="SAF231" s="340"/>
      <c r="SAG231" s="340"/>
      <c r="SAH231" s="340"/>
      <c r="SAI231" s="340"/>
      <c r="SAJ231" s="340"/>
      <c r="SAK231" s="340"/>
      <c r="SAL231" s="340"/>
      <c r="SAM231" s="340"/>
      <c r="SAN231" s="340"/>
      <c r="SAO231" s="340"/>
      <c r="SAP231" s="340"/>
      <c r="SAQ231" s="340"/>
      <c r="SAR231" s="340"/>
      <c r="SAS231" s="340"/>
      <c r="SAT231" s="340"/>
      <c r="SAU231" s="340"/>
      <c r="SAV231" s="340"/>
      <c r="SAW231" s="340"/>
      <c r="SAX231" s="340"/>
      <c r="SAY231" s="340"/>
      <c r="SAZ231" s="340"/>
      <c r="SBA231" s="340"/>
      <c r="SBB231" s="340"/>
      <c r="SBC231" s="340"/>
      <c r="SBD231" s="340"/>
      <c r="SBE231" s="340"/>
      <c r="SBF231" s="340"/>
      <c r="SBG231" s="340"/>
      <c r="SBH231" s="340"/>
      <c r="SBI231" s="340"/>
      <c r="SBJ231" s="340"/>
      <c r="SBK231" s="340"/>
      <c r="SBL231" s="340"/>
      <c r="SBM231" s="340"/>
      <c r="SBN231" s="340"/>
      <c r="SBO231" s="340"/>
      <c r="SBP231" s="340"/>
      <c r="SBQ231" s="340"/>
      <c r="SBR231" s="340"/>
      <c r="SBS231" s="340"/>
      <c r="SBT231" s="340"/>
      <c r="SBU231" s="340"/>
      <c r="SBV231" s="340"/>
      <c r="SBW231" s="340"/>
      <c r="SBX231" s="340"/>
      <c r="SBY231" s="340"/>
      <c r="SBZ231" s="340"/>
      <c r="SCA231" s="340"/>
      <c r="SCB231" s="340"/>
      <c r="SCC231" s="340"/>
      <c r="SCD231" s="340"/>
      <c r="SCE231" s="340"/>
      <c r="SCF231" s="340"/>
      <c r="SCG231" s="340"/>
      <c r="SCH231" s="340"/>
      <c r="SCI231" s="340"/>
      <c r="SCJ231" s="340"/>
      <c r="SCK231" s="340"/>
      <c r="SCL231" s="340"/>
      <c r="SCM231" s="340"/>
      <c r="SCN231" s="340"/>
      <c r="SCO231" s="340"/>
      <c r="SCP231" s="340"/>
      <c r="SCQ231" s="340"/>
      <c r="SCR231" s="340"/>
      <c r="SCS231" s="340"/>
      <c r="SCT231" s="340"/>
      <c r="SCU231" s="340"/>
      <c r="SCV231" s="340"/>
      <c r="SCW231" s="340"/>
      <c r="SCX231" s="340"/>
      <c r="SCY231" s="340"/>
      <c r="SCZ231" s="340"/>
      <c r="SDA231" s="340"/>
      <c r="SDB231" s="340"/>
      <c r="SDC231" s="340"/>
      <c r="SDD231" s="340"/>
      <c r="SDE231" s="340"/>
      <c r="SDF231" s="340"/>
      <c r="SDG231" s="340"/>
      <c r="SDH231" s="340"/>
      <c r="SDI231" s="340"/>
      <c r="SDJ231" s="340"/>
      <c r="SDK231" s="340"/>
      <c r="SDL231" s="340"/>
      <c r="SDM231" s="340"/>
      <c r="SDN231" s="340"/>
      <c r="SDO231" s="340"/>
      <c r="SDP231" s="340"/>
      <c r="SDQ231" s="340"/>
      <c r="SDR231" s="340"/>
      <c r="SDS231" s="340"/>
      <c r="SDT231" s="340"/>
      <c r="SDU231" s="340"/>
      <c r="SDV231" s="340"/>
      <c r="SDW231" s="340"/>
      <c r="SDX231" s="340"/>
      <c r="SDY231" s="340"/>
      <c r="SDZ231" s="340"/>
      <c r="SEA231" s="340"/>
      <c r="SEB231" s="340"/>
      <c r="SEC231" s="340"/>
      <c r="SED231" s="340"/>
      <c r="SEE231" s="340"/>
      <c r="SEF231" s="340"/>
      <c r="SEG231" s="340"/>
      <c r="SEH231" s="340"/>
      <c r="SEI231" s="340"/>
      <c r="SEJ231" s="340"/>
      <c r="SEK231" s="340"/>
      <c r="SEL231" s="340"/>
      <c r="SEM231" s="340"/>
      <c r="SEN231" s="340"/>
      <c r="SEO231" s="340"/>
      <c r="SEP231" s="340"/>
      <c r="SEQ231" s="340"/>
      <c r="SER231" s="340"/>
      <c r="SES231" s="340"/>
      <c r="SET231" s="340"/>
      <c r="SEU231" s="340"/>
      <c r="SEV231" s="340"/>
      <c r="SEW231" s="340"/>
      <c r="SEX231" s="340"/>
      <c r="SEY231" s="340"/>
      <c r="SEZ231" s="340"/>
      <c r="SFA231" s="340"/>
      <c r="SFB231" s="340"/>
      <c r="SFC231" s="340"/>
      <c r="SFD231" s="340"/>
      <c r="SFE231" s="340"/>
      <c r="SFF231" s="340"/>
      <c r="SFG231" s="340"/>
      <c r="SFH231" s="340"/>
      <c r="SFI231" s="340"/>
      <c r="SFJ231" s="340"/>
      <c r="SFK231" s="340"/>
      <c r="SFL231" s="340"/>
      <c r="SFM231" s="340"/>
      <c r="SFN231" s="340"/>
      <c r="SFO231" s="340"/>
      <c r="SFP231" s="340"/>
      <c r="SFQ231" s="340"/>
      <c r="SFR231" s="340"/>
      <c r="SFS231" s="340"/>
      <c r="SFT231" s="340"/>
      <c r="SFU231" s="340"/>
      <c r="SFV231" s="340"/>
      <c r="SFW231" s="340"/>
      <c r="SFX231" s="340"/>
      <c r="SFY231" s="340"/>
      <c r="SFZ231" s="340"/>
      <c r="SGA231" s="340"/>
      <c r="SGB231" s="340"/>
      <c r="SGC231" s="340"/>
      <c r="SGD231" s="340"/>
      <c r="SGE231" s="340"/>
      <c r="SGF231" s="340"/>
      <c r="SGG231" s="340"/>
      <c r="SGH231" s="340"/>
      <c r="SGI231" s="340"/>
      <c r="SGJ231" s="340"/>
      <c r="SGK231" s="340"/>
      <c r="SGL231" s="340"/>
      <c r="SGM231" s="340"/>
      <c r="SGN231" s="340"/>
      <c r="SGO231" s="340"/>
      <c r="SGP231" s="340"/>
      <c r="SGQ231" s="340"/>
      <c r="SGR231" s="340"/>
      <c r="SGS231" s="340"/>
      <c r="SGT231" s="340"/>
      <c r="SGU231" s="340"/>
      <c r="SGV231" s="340"/>
      <c r="SGW231" s="340"/>
      <c r="SGX231" s="340"/>
      <c r="SGY231" s="340"/>
      <c r="SGZ231" s="340"/>
      <c r="SHA231" s="340"/>
      <c r="SHB231" s="340"/>
      <c r="SHC231" s="340"/>
      <c r="SHD231" s="340"/>
      <c r="SHE231" s="340"/>
      <c r="SHF231" s="340"/>
      <c r="SHG231" s="340"/>
      <c r="SHH231" s="340"/>
      <c r="SHI231" s="340"/>
      <c r="SHJ231" s="340"/>
      <c r="SHK231" s="340"/>
      <c r="SHL231" s="340"/>
      <c r="SHM231" s="340"/>
      <c r="SHN231" s="340"/>
      <c r="SHO231" s="340"/>
      <c r="SHP231" s="340"/>
      <c r="SHQ231" s="340"/>
      <c r="SHR231" s="340"/>
      <c r="SHS231" s="340"/>
      <c r="SHT231" s="340"/>
      <c r="SHU231" s="340"/>
      <c r="SHV231" s="340"/>
      <c r="SHW231" s="340"/>
      <c r="SHX231" s="340"/>
      <c r="SHY231" s="340"/>
      <c r="SHZ231" s="340"/>
      <c r="SIA231" s="340"/>
      <c r="SIB231" s="340"/>
      <c r="SIC231" s="340"/>
      <c r="SID231" s="340"/>
      <c r="SIE231" s="340"/>
      <c r="SIF231" s="340"/>
      <c r="SIG231" s="340"/>
      <c r="SIH231" s="340"/>
      <c r="SII231" s="340"/>
      <c r="SIJ231" s="340"/>
      <c r="SIK231" s="340"/>
      <c r="SIL231" s="340"/>
      <c r="SIM231" s="340"/>
      <c r="SIN231" s="340"/>
      <c r="SIO231" s="340"/>
      <c r="SIP231" s="340"/>
      <c r="SIQ231" s="340"/>
      <c r="SIR231" s="340"/>
      <c r="SIS231" s="340"/>
      <c r="SIT231" s="340"/>
      <c r="SIU231" s="340"/>
      <c r="SIV231" s="340"/>
      <c r="SIW231" s="340"/>
      <c r="SIX231" s="340"/>
      <c r="SIY231" s="340"/>
      <c r="SIZ231" s="340"/>
      <c r="SJA231" s="340"/>
      <c r="SJB231" s="340"/>
      <c r="SJC231" s="340"/>
      <c r="SJD231" s="340"/>
      <c r="SJE231" s="340"/>
      <c r="SJF231" s="340"/>
      <c r="SJG231" s="340"/>
      <c r="SJH231" s="340"/>
      <c r="SJI231" s="340"/>
      <c r="SJJ231" s="340"/>
      <c r="SJK231" s="340"/>
      <c r="SJL231" s="340"/>
      <c r="SJM231" s="340"/>
      <c r="SJN231" s="340"/>
      <c r="SJO231" s="340"/>
      <c r="SJP231" s="340"/>
      <c r="SJQ231" s="340"/>
      <c r="SJR231" s="340"/>
      <c r="SJS231" s="340"/>
      <c r="SJT231" s="340"/>
      <c r="SJU231" s="340"/>
      <c r="SJV231" s="340"/>
      <c r="SJW231" s="340"/>
      <c r="SJX231" s="340"/>
      <c r="SJY231" s="340"/>
      <c r="SJZ231" s="340"/>
      <c r="SKA231" s="340"/>
      <c r="SKB231" s="340"/>
      <c r="SKC231" s="340"/>
      <c r="SKD231" s="340"/>
      <c r="SKE231" s="340"/>
      <c r="SKF231" s="340"/>
      <c r="SKG231" s="340"/>
      <c r="SKH231" s="340"/>
      <c r="SKI231" s="340"/>
      <c r="SKJ231" s="340"/>
      <c r="SKK231" s="340"/>
      <c r="SKL231" s="340"/>
      <c r="SKM231" s="340"/>
      <c r="SKN231" s="340"/>
      <c r="SKO231" s="340"/>
      <c r="SKP231" s="340"/>
      <c r="SKQ231" s="340"/>
      <c r="SKR231" s="340"/>
      <c r="SKS231" s="340"/>
      <c r="SKT231" s="340"/>
      <c r="SKU231" s="340"/>
      <c r="SKV231" s="340"/>
      <c r="SKW231" s="340"/>
      <c r="SKX231" s="340"/>
      <c r="SKY231" s="340"/>
      <c r="SKZ231" s="340"/>
      <c r="SLA231" s="340"/>
      <c r="SLB231" s="340"/>
      <c r="SLC231" s="340"/>
      <c r="SLD231" s="340"/>
      <c r="SLE231" s="340"/>
      <c r="SLF231" s="340"/>
      <c r="SLG231" s="340"/>
      <c r="SLH231" s="340"/>
      <c r="SLI231" s="340"/>
      <c r="SLJ231" s="340"/>
      <c r="SLK231" s="340"/>
      <c r="SLL231" s="340"/>
      <c r="SLM231" s="340"/>
      <c r="SLN231" s="340"/>
      <c r="SLO231" s="340"/>
      <c r="SLP231" s="340"/>
      <c r="SLQ231" s="340"/>
      <c r="SLR231" s="340"/>
      <c r="SLS231" s="340"/>
      <c r="SLT231" s="340"/>
      <c r="SLU231" s="340"/>
      <c r="SLV231" s="340"/>
      <c r="SLW231" s="340"/>
      <c r="SLX231" s="340"/>
      <c r="SLY231" s="340"/>
      <c r="SLZ231" s="340"/>
      <c r="SMA231" s="340"/>
      <c r="SMB231" s="340"/>
      <c r="SMC231" s="340"/>
      <c r="SMD231" s="340"/>
      <c r="SME231" s="340"/>
      <c r="SMF231" s="340"/>
      <c r="SMG231" s="340"/>
      <c r="SMH231" s="340"/>
      <c r="SMI231" s="340"/>
      <c r="SMJ231" s="340"/>
      <c r="SMK231" s="340"/>
      <c r="SML231" s="340"/>
      <c r="SMM231" s="340"/>
      <c r="SMN231" s="340"/>
      <c r="SMO231" s="340"/>
      <c r="SMP231" s="340"/>
      <c r="SMQ231" s="340"/>
      <c r="SMR231" s="340"/>
      <c r="SMS231" s="340"/>
      <c r="SMT231" s="340"/>
      <c r="SMU231" s="340"/>
      <c r="SMV231" s="340"/>
      <c r="SMW231" s="340"/>
      <c r="SMX231" s="340"/>
      <c r="SMY231" s="340"/>
      <c r="SMZ231" s="340"/>
      <c r="SNA231" s="340"/>
      <c r="SNB231" s="340"/>
      <c r="SNC231" s="340"/>
      <c r="SND231" s="340"/>
      <c r="SNE231" s="340"/>
      <c r="SNF231" s="340"/>
      <c r="SNG231" s="340"/>
      <c r="SNH231" s="340"/>
      <c r="SNI231" s="340"/>
      <c r="SNJ231" s="340"/>
      <c r="SNK231" s="340"/>
      <c r="SNL231" s="340"/>
      <c r="SNM231" s="340"/>
      <c r="SNN231" s="340"/>
      <c r="SNO231" s="340"/>
      <c r="SNP231" s="340"/>
      <c r="SNQ231" s="340"/>
      <c r="SNR231" s="340"/>
      <c r="SNS231" s="340"/>
      <c r="SNT231" s="340"/>
      <c r="SNU231" s="340"/>
      <c r="SNV231" s="340"/>
      <c r="SNW231" s="340"/>
      <c r="SNX231" s="340"/>
      <c r="SNY231" s="340"/>
      <c r="SNZ231" s="340"/>
      <c r="SOA231" s="340"/>
      <c r="SOB231" s="340"/>
      <c r="SOC231" s="340"/>
      <c r="SOD231" s="340"/>
      <c r="SOE231" s="340"/>
      <c r="SOF231" s="340"/>
      <c r="SOG231" s="340"/>
      <c r="SOH231" s="340"/>
      <c r="SOI231" s="340"/>
      <c r="SOJ231" s="340"/>
      <c r="SOK231" s="340"/>
      <c r="SOL231" s="340"/>
      <c r="SOM231" s="340"/>
      <c r="SON231" s="340"/>
      <c r="SOO231" s="340"/>
      <c r="SOP231" s="340"/>
      <c r="SOQ231" s="340"/>
      <c r="SOR231" s="340"/>
      <c r="SOS231" s="340"/>
      <c r="SOT231" s="340"/>
      <c r="SOU231" s="340"/>
      <c r="SOV231" s="340"/>
      <c r="SOW231" s="340"/>
      <c r="SOX231" s="340"/>
      <c r="SOY231" s="340"/>
      <c r="SOZ231" s="340"/>
      <c r="SPA231" s="340"/>
      <c r="SPB231" s="340"/>
      <c r="SPC231" s="340"/>
      <c r="SPD231" s="340"/>
      <c r="SPE231" s="340"/>
      <c r="SPF231" s="340"/>
      <c r="SPG231" s="340"/>
      <c r="SPH231" s="340"/>
      <c r="SPI231" s="340"/>
      <c r="SPJ231" s="340"/>
      <c r="SPK231" s="340"/>
      <c r="SPL231" s="340"/>
      <c r="SPM231" s="340"/>
      <c r="SPN231" s="340"/>
      <c r="SPO231" s="340"/>
      <c r="SPP231" s="340"/>
      <c r="SPQ231" s="340"/>
      <c r="SPR231" s="340"/>
      <c r="SPS231" s="340"/>
      <c r="SPT231" s="340"/>
      <c r="SPU231" s="340"/>
      <c r="SPV231" s="340"/>
      <c r="SPW231" s="340"/>
      <c r="SPX231" s="340"/>
      <c r="SPY231" s="340"/>
      <c r="SPZ231" s="340"/>
      <c r="SQA231" s="340"/>
      <c r="SQB231" s="340"/>
      <c r="SQC231" s="340"/>
      <c r="SQD231" s="340"/>
      <c r="SQE231" s="340"/>
      <c r="SQF231" s="340"/>
      <c r="SQG231" s="340"/>
      <c r="SQH231" s="340"/>
      <c r="SQI231" s="340"/>
      <c r="SQJ231" s="340"/>
      <c r="SQK231" s="340"/>
      <c r="SQL231" s="340"/>
      <c r="SQM231" s="340"/>
      <c r="SQN231" s="340"/>
      <c r="SQO231" s="340"/>
      <c r="SQP231" s="340"/>
      <c r="SQQ231" s="340"/>
      <c r="SQR231" s="340"/>
      <c r="SQS231" s="340"/>
      <c r="SQT231" s="340"/>
      <c r="SQU231" s="340"/>
      <c r="SQV231" s="340"/>
      <c r="SQW231" s="340"/>
      <c r="SQX231" s="340"/>
      <c r="SQY231" s="340"/>
      <c r="SQZ231" s="340"/>
      <c r="SRA231" s="340"/>
      <c r="SRB231" s="340"/>
      <c r="SRC231" s="340"/>
      <c r="SRD231" s="340"/>
      <c r="SRE231" s="340"/>
      <c r="SRF231" s="340"/>
      <c r="SRG231" s="340"/>
      <c r="SRH231" s="340"/>
      <c r="SRI231" s="340"/>
      <c r="SRJ231" s="340"/>
      <c r="SRK231" s="340"/>
      <c r="SRL231" s="340"/>
      <c r="SRM231" s="340"/>
      <c r="SRN231" s="340"/>
      <c r="SRO231" s="340"/>
      <c r="SRP231" s="340"/>
      <c r="SRQ231" s="340"/>
      <c r="SRR231" s="340"/>
      <c r="SRS231" s="340"/>
      <c r="SRT231" s="340"/>
      <c r="SRU231" s="340"/>
      <c r="SRV231" s="340"/>
      <c r="SRW231" s="340"/>
      <c r="SRX231" s="340"/>
      <c r="SRY231" s="340"/>
      <c r="SRZ231" s="340"/>
      <c r="SSA231" s="340"/>
      <c r="SSB231" s="340"/>
      <c r="SSC231" s="340"/>
      <c r="SSD231" s="340"/>
      <c r="SSE231" s="340"/>
      <c r="SSF231" s="340"/>
      <c r="SSG231" s="340"/>
      <c r="SSH231" s="340"/>
      <c r="SSI231" s="340"/>
      <c r="SSJ231" s="340"/>
      <c r="SSK231" s="340"/>
      <c r="SSL231" s="340"/>
      <c r="SSM231" s="340"/>
      <c r="SSN231" s="340"/>
      <c r="SSO231" s="340"/>
      <c r="SSP231" s="340"/>
      <c r="SSQ231" s="340"/>
      <c r="SSR231" s="340"/>
      <c r="SSS231" s="340"/>
      <c r="SST231" s="340"/>
      <c r="SSU231" s="340"/>
      <c r="SSV231" s="340"/>
      <c r="SSW231" s="340"/>
      <c r="SSX231" s="340"/>
      <c r="SSY231" s="340"/>
      <c r="SSZ231" s="340"/>
      <c r="STA231" s="340"/>
      <c r="STB231" s="340"/>
      <c r="STC231" s="340"/>
      <c r="STD231" s="340"/>
      <c r="STE231" s="340"/>
      <c r="STF231" s="340"/>
      <c r="STG231" s="340"/>
      <c r="STH231" s="340"/>
      <c r="STI231" s="340"/>
      <c r="STJ231" s="340"/>
      <c r="STK231" s="340"/>
      <c r="STL231" s="340"/>
      <c r="STM231" s="340"/>
      <c r="STN231" s="340"/>
      <c r="STO231" s="340"/>
      <c r="STP231" s="340"/>
      <c r="STQ231" s="340"/>
      <c r="STR231" s="340"/>
      <c r="STS231" s="340"/>
      <c r="STT231" s="340"/>
      <c r="STU231" s="340"/>
      <c r="STV231" s="340"/>
      <c r="STW231" s="340"/>
      <c r="STX231" s="340"/>
      <c r="STY231" s="340"/>
      <c r="STZ231" s="340"/>
      <c r="SUA231" s="340"/>
      <c r="SUB231" s="340"/>
      <c r="SUC231" s="340"/>
      <c r="SUD231" s="340"/>
      <c r="SUE231" s="340"/>
      <c r="SUF231" s="340"/>
      <c r="SUG231" s="340"/>
      <c r="SUH231" s="340"/>
      <c r="SUI231" s="340"/>
      <c r="SUJ231" s="340"/>
      <c r="SUK231" s="340"/>
      <c r="SUL231" s="340"/>
      <c r="SUM231" s="340"/>
      <c r="SUN231" s="340"/>
      <c r="SUO231" s="340"/>
      <c r="SUP231" s="340"/>
      <c r="SUQ231" s="340"/>
      <c r="SUR231" s="340"/>
      <c r="SUS231" s="340"/>
      <c r="SUT231" s="340"/>
      <c r="SUU231" s="340"/>
      <c r="SUV231" s="340"/>
      <c r="SUW231" s="340"/>
      <c r="SUX231" s="340"/>
      <c r="SUY231" s="340"/>
      <c r="SUZ231" s="340"/>
      <c r="SVA231" s="340"/>
      <c r="SVB231" s="340"/>
      <c r="SVC231" s="340"/>
      <c r="SVD231" s="340"/>
      <c r="SVE231" s="340"/>
      <c r="SVF231" s="340"/>
      <c r="SVG231" s="340"/>
      <c r="SVH231" s="340"/>
      <c r="SVI231" s="340"/>
      <c r="SVJ231" s="340"/>
      <c r="SVK231" s="340"/>
      <c r="SVL231" s="340"/>
      <c r="SVM231" s="340"/>
      <c r="SVN231" s="340"/>
      <c r="SVO231" s="340"/>
      <c r="SVP231" s="340"/>
      <c r="SVQ231" s="340"/>
      <c r="SVR231" s="340"/>
      <c r="SVS231" s="340"/>
      <c r="SVT231" s="340"/>
      <c r="SVU231" s="340"/>
      <c r="SVV231" s="340"/>
      <c r="SVW231" s="340"/>
      <c r="SVX231" s="340"/>
      <c r="SVY231" s="340"/>
      <c r="SVZ231" s="340"/>
      <c r="SWA231" s="340"/>
      <c r="SWB231" s="340"/>
      <c r="SWC231" s="340"/>
      <c r="SWD231" s="340"/>
      <c r="SWE231" s="340"/>
      <c r="SWF231" s="340"/>
      <c r="SWG231" s="340"/>
      <c r="SWH231" s="340"/>
      <c r="SWI231" s="340"/>
      <c r="SWJ231" s="340"/>
      <c r="SWK231" s="340"/>
      <c r="SWL231" s="340"/>
      <c r="SWM231" s="340"/>
      <c r="SWN231" s="340"/>
      <c r="SWO231" s="340"/>
      <c r="SWP231" s="340"/>
      <c r="SWQ231" s="340"/>
      <c r="SWR231" s="340"/>
      <c r="SWS231" s="340"/>
      <c r="SWT231" s="340"/>
      <c r="SWU231" s="340"/>
      <c r="SWV231" s="340"/>
      <c r="SWW231" s="340"/>
      <c r="SWX231" s="340"/>
      <c r="SWY231" s="340"/>
      <c r="SWZ231" s="340"/>
      <c r="SXA231" s="340"/>
      <c r="SXB231" s="340"/>
      <c r="SXC231" s="340"/>
      <c r="SXD231" s="340"/>
      <c r="SXE231" s="340"/>
      <c r="SXF231" s="340"/>
      <c r="SXG231" s="340"/>
      <c r="SXH231" s="340"/>
      <c r="SXI231" s="340"/>
      <c r="SXJ231" s="340"/>
      <c r="SXK231" s="340"/>
      <c r="SXL231" s="340"/>
      <c r="SXM231" s="340"/>
      <c r="SXN231" s="340"/>
      <c r="SXO231" s="340"/>
      <c r="SXP231" s="340"/>
      <c r="SXQ231" s="340"/>
      <c r="SXR231" s="340"/>
      <c r="SXS231" s="340"/>
      <c r="SXT231" s="340"/>
      <c r="SXU231" s="340"/>
      <c r="SXV231" s="340"/>
      <c r="SXW231" s="340"/>
      <c r="SXX231" s="340"/>
      <c r="SXY231" s="340"/>
      <c r="SXZ231" s="340"/>
      <c r="SYA231" s="340"/>
      <c r="SYB231" s="340"/>
      <c r="SYC231" s="340"/>
      <c r="SYD231" s="340"/>
      <c r="SYE231" s="340"/>
      <c r="SYF231" s="340"/>
      <c r="SYG231" s="340"/>
      <c r="SYH231" s="340"/>
      <c r="SYI231" s="340"/>
      <c r="SYJ231" s="340"/>
      <c r="SYK231" s="340"/>
      <c r="SYL231" s="340"/>
      <c r="SYM231" s="340"/>
      <c r="SYN231" s="340"/>
      <c r="SYO231" s="340"/>
      <c r="SYP231" s="340"/>
      <c r="SYQ231" s="340"/>
      <c r="SYR231" s="340"/>
      <c r="SYS231" s="340"/>
      <c r="SYT231" s="340"/>
      <c r="SYU231" s="340"/>
      <c r="SYV231" s="340"/>
      <c r="SYW231" s="340"/>
      <c r="SYX231" s="340"/>
      <c r="SYY231" s="340"/>
      <c r="SYZ231" s="340"/>
      <c r="SZA231" s="340"/>
      <c r="SZB231" s="340"/>
      <c r="SZC231" s="340"/>
      <c r="SZD231" s="340"/>
      <c r="SZE231" s="340"/>
      <c r="SZF231" s="340"/>
      <c r="SZG231" s="340"/>
      <c r="SZH231" s="340"/>
      <c r="SZI231" s="340"/>
      <c r="SZJ231" s="340"/>
      <c r="SZK231" s="340"/>
      <c r="SZL231" s="340"/>
      <c r="SZM231" s="340"/>
      <c r="SZN231" s="340"/>
      <c r="SZO231" s="340"/>
      <c r="SZP231" s="340"/>
      <c r="SZQ231" s="340"/>
      <c r="SZR231" s="340"/>
      <c r="SZS231" s="340"/>
      <c r="SZT231" s="340"/>
      <c r="SZU231" s="340"/>
      <c r="SZV231" s="340"/>
      <c r="SZW231" s="340"/>
      <c r="SZX231" s="340"/>
      <c r="SZY231" s="340"/>
      <c r="SZZ231" s="340"/>
      <c r="TAA231" s="340"/>
      <c r="TAB231" s="340"/>
      <c r="TAC231" s="340"/>
      <c r="TAD231" s="340"/>
      <c r="TAE231" s="340"/>
      <c r="TAF231" s="340"/>
      <c r="TAG231" s="340"/>
      <c r="TAH231" s="340"/>
      <c r="TAI231" s="340"/>
      <c r="TAJ231" s="340"/>
      <c r="TAK231" s="340"/>
      <c r="TAL231" s="340"/>
      <c r="TAM231" s="340"/>
      <c r="TAN231" s="340"/>
      <c r="TAO231" s="340"/>
      <c r="TAP231" s="340"/>
      <c r="TAQ231" s="340"/>
      <c r="TAR231" s="340"/>
      <c r="TAS231" s="340"/>
      <c r="TAT231" s="340"/>
      <c r="TAU231" s="340"/>
      <c r="TAV231" s="340"/>
      <c r="TAW231" s="340"/>
      <c r="TAX231" s="340"/>
      <c r="TAY231" s="340"/>
      <c r="TAZ231" s="340"/>
      <c r="TBA231" s="340"/>
      <c r="TBB231" s="340"/>
      <c r="TBC231" s="340"/>
      <c r="TBD231" s="340"/>
      <c r="TBE231" s="340"/>
      <c r="TBF231" s="340"/>
      <c r="TBG231" s="340"/>
      <c r="TBH231" s="340"/>
      <c r="TBI231" s="340"/>
      <c r="TBJ231" s="340"/>
      <c r="TBK231" s="340"/>
      <c r="TBL231" s="340"/>
      <c r="TBM231" s="340"/>
      <c r="TBN231" s="340"/>
      <c r="TBO231" s="340"/>
      <c r="TBP231" s="340"/>
      <c r="TBQ231" s="340"/>
      <c r="TBR231" s="340"/>
      <c r="TBS231" s="340"/>
      <c r="TBT231" s="340"/>
      <c r="TBU231" s="340"/>
      <c r="TBV231" s="340"/>
      <c r="TBW231" s="340"/>
      <c r="TBX231" s="340"/>
      <c r="TBY231" s="340"/>
      <c r="TBZ231" s="340"/>
      <c r="TCA231" s="340"/>
      <c r="TCB231" s="340"/>
      <c r="TCC231" s="340"/>
      <c r="TCD231" s="340"/>
      <c r="TCE231" s="340"/>
      <c r="TCF231" s="340"/>
      <c r="TCG231" s="340"/>
      <c r="TCH231" s="340"/>
      <c r="TCI231" s="340"/>
      <c r="TCJ231" s="340"/>
      <c r="TCK231" s="340"/>
      <c r="TCL231" s="340"/>
      <c r="TCM231" s="340"/>
      <c r="TCN231" s="340"/>
      <c r="TCO231" s="340"/>
      <c r="TCP231" s="340"/>
      <c r="TCQ231" s="340"/>
      <c r="TCR231" s="340"/>
      <c r="TCS231" s="340"/>
      <c r="TCT231" s="340"/>
      <c r="TCU231" s="340"/>
      <c r="TCV231" s="340"/>
      <c r="TCW231" s="340"/>
      <c r="TCX231" s="340"/>
      <c r="TCY231" s="340"/>
      <c r="TCZ231" s="340"/>
      <c r="TDA231" s="340"/>
      <c r="TDB231" s="340"/>
      <c r="TDC231" s="340"/>
      <c r="TDD231" s="340"/>
      <c r="TDE231" s="340"/>
      <c r="TDF231" s="340"/>
      <c r="TDG231" s="340"/>
      <c r="TDH231" s="340"/>
      <c r="TDI231" s="340"/>
      <c r="TDJ231" s="340"/>
      <c r="TDK231" s="340"/>
      <c r="TDL231" s="340"/>
      <c r="TDM231" s="340"/>
      <c r="TDN231" s="340"/>
      <c r="TDO231" s="340"/>
      <c r="TDP231" s="340"/>
      <c r="TDQ231" s="340"/>
      <c r="TDR231" s="340"/>
      <c r="TDS231" s="340"/>
      <c r="TDT231" s="340"/>
      <c r="TDU231" s="340"/>
      <c r="TDV231" s="340"/>
      <c r="TDW231" s="340"/>
      <c r="TDX231" s="340"/>
      <c r="TDY231" s="340"/>
      <c r="TDZ231" s="340"/>
      <c r="TEA231" s="340"/>
      <c r="TEB231" s="340"/>
      <c r="TEC231" s="340"/>
      <c r="TED231" s="340"/>
      <c r="TEE231" s="340"/>
      <c r="TEF231" s="340"/>
      <c r="TEG231" s="340"/>
      <c r="TEH231" s="340"/>
      <c r="TEI231" s="340"/>
      <c r="TEJ231" s="340"/>
      <c r="TEK231" s="340"/>
      <c r="TEL231" s="340"/>
      <c r="TEM231" s="340"/>
      <c r="TEN231" s="340"/>
      <c r="TEO231" s="340"/>
      <c r="TEP231" s="340"/>
      <c r="TEQ231" s="340"/>
      <c r="TER231" s="340"/>
      <c r="TES231" s="340"/>
      <c r="TET231" s="340"/>
      <c r="TEU231" s="340"/>
      <c r="TEV231" s="340"/>
      <c r="TEW231" s="340"/>
      <c r="TEX231" s="340"/>
      <c r="TEY231" s="340"/>
      <c r="TEZ231" s="340"/>
      <c r="TFA231" s="340"/>
      <c r="TFB231" s="340"/>
      <c r="TFC231" s="340"/>
      <c r="TFD231" s="340"/>
      <c r="TFE231" s="340"/>
      <c r="TFF231" s="340"/>
      <c r="TFG231" s="340"/>
      <c r="TFH231" s="340"/>
      <c r="TFI231" s="340"/>
      <c r="TFJ231" s="340"/>
      <c r="TFK231" s="340"/>
      <c r="TFL231" s="340"/>
      <c r="TFM231" s="340"/>
      <c r="TFN231" s="340"/>
      <c r="TFO231" s="340"/>
      <c r="TFP231" s="340"/>
      <c r="TFQ231" s="340"/>
      <c r="TFR231" s="340"/>
      <c r="TFS231" s="340"/>
      <c r="TFT231" s="340"/>
      <c r="TFU231" s="340"/>
      <c r="TFV231" s="340"/>
      <c r="TFW231" s="340"/>
      <c r="TFX231" s="340"/>
      <c r="TFY231" s="340"/>
      <c r="TFZ231" s="340"/>
      <c r="TGA231" s="340"/>
      <c r="TGB231" s="340"/>
      <c r="TGC231" s="340"/>
      <c r="TGD231" s="340"/>
      <c r="TGE231" s="340"/>
      <c r="TGF231" s="340"/>
      <c r="TGG231" s="340"/>
      <c r="TGH231" s="340"/>
      <c r="TGI231" s="340"/>
      <c r="TGJ231" s="340"/>
      <c r="TGK231" s="340"/>
      <c r="TGL231" s="340"/>
      <c r="TGM231" s="340"/>
      <c r="TGN231" s="340"/>
      <c r="TGO231" s="340"/>
      <c r="TGP231" s="340"/>
      <c r="TGQ231" s="340"/>
      <c r="TGR231" s="340"/>
      <c r="TGS231" s="340"/>
      <c r="TGT231" s="340"/>
      <c r="TGU231" s="340"/>
      <c r="TGV231" s="340"/>
      <c r="TGW231" s="340"/>
      <c r="TGX231" s="340"/>
      <c r="TGY231" s="340"/>
      <c r="TGZ231" s="340"/>
      <c r="THA231" s="340"/>
      <c r="THB231" s="340"/>
      <c r="THC231" s="340"/>
      <c r="THD231" s="340"/>
      <c r="THE231" s="340"/>
      <c r="THF231" s="340"/>
      <c r="THG231" s="340"/>
      <c r="THH231" s="340"/>
      <c r="THI231" s="340"/>
      <c r="THJ231" s="340"/>
      <c r="THK231" s="340"/>
      <c r="THL231" s="340"/>
      <c r="THM231" s="340"/>
      <c r="THN231" s="340"/>
      <c r="THO231" s="340"/>
      <c r="THP231" s="340"/>
      <c r="THQ231" s="340"/>
      <c r="THR231" s="340"/>
      <c r="THS231" s="340"/>
      <c r="THT231" s="340"/>
      <c r="THU231" s="340"/>
      <c r="THV231" s="340"/>
      <c r="THW231" s="340"/>
      <c r="THX231" s="340"/>
      <c r="THY231" s="340"/>
      <c r="THZ231" s="340"/>
      <c r="TIA231" s="340"/>
      <c r="TIB231" s="340"/>
      <c r="TIC231" s="340"/>
      <c r="TID231" s="340"/>
      <c r="TIE231" s="340"/>
      <c r="TIF231" s="340"/>
      <c r="TIG231" s="340"/>
      <c r="TIH231" s="340"/>
      <c r="TII231" s="340"/>
      <c r="TIJ231" s="340"/>
      <c r="TIK231" s="340"/>
      <c r="TIL231" s="340"/>
      <c r="TIM231" s="340"/>
      <c r="TIN231" s="340"/>
      <c r="TIO231" s="340"/>
      <c r="TIP231" s="340"/>
      <c r="TIQ231" s="340"/>
      <c r="TIR231" s="340"/>
      <c r="TIS231" s="340"/>
      <c r="TIT231" s="340"/>
      <c r="TIU231" s="340"/>
      <c r="TIV231" s="340"/>
      <c r="TIW231" s="340"/>
      <c r="TIX231" s="340"/>
      <c r="TIY231" s="340"/>
      <c r="TIZ231" s="340"/>
      <c r="TJA231" s="340"/>
      <c r="TJB231" s="340"/>
      <c r="TJC231" s="340"/>
      <c r="TJD231" s="340"/>
      <c r="TJE231" s="340"/>
      <c r="TJF231" s="340"/>
      <c r="TJG231" s="340"/>
      <c r="TJH231" s="340"/>
      <c r="TJI231" s="340"/>
      <c r="TJJ231" s="340"/>
      <c r="TJK231" s="340"/>
      <c r="TJL231" s="340"/>
      <c r="TJM231" s="340"/>
      <c r="TJN231" s="340"/>
      <c r="TJO231" s="340"/>
      <c r="TJP231" s="340"/>
      <c r="TJQ231" s="340"/>
      <c r="TJR231" s="340"/>
      <c r="TJS231" s="340"/>
      <c r="TJT231" s="340"/>
      <c r="TJU231" s="340"/>
      <c r="TJV231" s="340"/>
      <c r="TJW231" s="340"/>
      <c r="TJX231" s="340"/>
      <c r="TJY231" s="340"/>
      <c r="TJZ231" s="340"/>
      <c r="TKA231" s="340"/>
      <c r="TKB231" s="340"/>
      <c r="TKC231" s="340"/>
      <c r="TKD231" s="340"/>
      <c r="TKE231" s="340"/>
      <c r="TKF231" s="340"/>
      <c r="TKG231" s="340"/>
      <c r="TKH231" s="340"/>
      <c r="TKI231" s="340"/>
      <c r="TKJ231" s="340"/>
      <c r="TKK231" s="340"/>
      <c r="TKL231" s="340"/>
      <c r="TKM231" s="340"/>
      <c r="TKN231" s="340"/>
      <c r="TKO231" s="340"/>
      <c r="TKP231" s="340"/>
      <c r="TKQ231" s="340"/>
      <c r="TKR231" s="340"/>
      <c r="TKS231" s="340"/>
      <c r="TKT231" s="340"/>
      <c r="TKU231" s="340"/>
      <c r="TKV231" s="340"/>
      <c r="TKW231" s="340"/>
      <c r="TKX231" s="340"/>
      <c r="TKY231" s="340"/>
      <c r="TKZ231" s="340"/>
      <c r="TLA231" s="340"/>
      <c r="TLB231" s="340"/>
      <c r="TLC231" s="340"/>
      <c r="TLD231" s="340"/>
      <c r="TLE231" s="340"/>
      <c r="TLF231" s="340"/>
      <c r="TLG231" s="340"/>
      <c r="TLH231" s="340"/>
      <c r="TLI231" s="340"/>
      <c r="TLJ231" s="340"/>
      <c r="TLK231" s="340"/>
      <c r="TLL231" s="340"/>
      <c r="TLM231" s="340"/>
      <c r="TLN231" s="340"/>
      <c r="TLO231" s="340"/>
      <c r="TLP231" s="340"/>
      <c r="TLQ231" s="340"/>
      <c r="TLR231" s="340"/>
      <c r="TLS231" s="340"/>
      <c r="TLT231" s="340"/>
      <c r="TLU231" s="340"/>
      <c r="TLV231" s="340"/>
      <c r="TLW231" s="340"/>
      <c r="TLX231" s="340"/>
      <c r="TLY231" s="340"/>
      <c r="TLZ231" s="340"/>
      <c r="TMA231" s="340"/>
      <c r="TMB231" s="340"/>
      <c r="TMC231" s="340"/>
      <c r="TMD231" s="340"/>
      <c r="TME231" s="340"/>
      <c r="TMF231" s="340"/>
      <c r="TMG231" s="340"/>
      <c r="TMH231" s="340"/>
      <c r="TMI231" s="340"/>
      <c r="TMJ231" s="340"/>
      <c r="TMK231" s="340"/>
      <c r="TML231" s="340"/>
      <c r="TMM231" s="340"/>
      <c r="TMN231" s="340"/>
      <c r="TMO231" s="340"/>
      <c r="TMP231" s="340"/>
      <c r="TMQ231" s="340"/>
      <c r="TMR231" s="340"/>
      <c r="TMS231" s="340"/>
      <c r="TMT231" s="340"/>
      <c r="TMU231" s="340"/>
      <c r="TMV231" s="340"/>
      <c r="TMW231" s="340"/>
      <c r="TMX231" s="340"/>
      <c r="TMY231" s="340"/>
      <c r="TMZ231" s="340"/>
      <c r="TNA231" s="340"/>
      <c r="TNB231" s="340"/>
      <c r="TNC231" s="340"/>
      <c r="TND231" s="340"/>
      <c r="TNE231" s="340"/>
      <c r="TNF231" s="340"/>
      <c r="TNG231" s="340"/>
      <c r="TNH231" s="340"/>
      <c r="TNI231" s="340"/>
      <c r="TNJ231" s="340"/>
      <c r="TNK231" s="340"/>
      <c r="TNL231" s="340"/>
      <c r="TNM231" s="340"/>
      <c r="TNN231" s="340"/>
      <c r="TNO231" s="340"/>
      <c r="TNP231" s="340"/>
      <c r="TNQ231" s="340"/>
      <c r="TNR231" s="340"/>
      <c r="TNS231" s="340"/>
      <c r="TNT231" s="340"/>
      <c r="TNU231" s="340"/>
      <c r="TNV231" s="340"/>
      <c r="TNW231" s="340"/>
      <c r="TNX231" s="340"/>
      <c r="TNY231" s="340"/>
      <c r="TNZ231" s="340"/>
      <c r="TOA231" s="340"/>
      <c r="TOB231" s="340"/>
      <c r="TOC231" s="340"/>
      <c r="TOD231" s="340"/>
      <c r="TOE231" s="340"/>
      <c r="TOF231" s="340"/>
      <c r="TOG231" s="340"/>
      <c r="TOH231" s="340"/>
      <c r="TOI231" s="340"/>
      <c r="TOJ231" s="340"/>
      <c r="TOK231" s="340"/>
      <c r="TOL231" s="340"/>
      <c r="TOM231" s="340"/>
      <c r="TON231" s="340"/>
      <c r="TOO231" s="340"/>
      <c r="TOP231" s="340"/>
      <c r="TOQ231" s="340"/>
      <c r="TOR231" s="340"/>
      <c r="TOS231" s="340"/>
      <c r="TOT231" s="340"/>
      <c r="TOU231" s="340"/>
      <c r="TOV231" s="340"/>
      <c r="TOW231" s="340"/>
      <c r="TOX231" s="340"/>
      <c r="TOY231" s="340"/>
      <c r="TOZ231" s="340"/>
      <c r="TPA231" s="340"/>
      <c r="TPB231" s="340"/>
      <c r="TPC231" s="340"/>
      <c r="TPD231" s="340"/>
      <c r="TPE231" s="340"/>
      <c r="TPF231" s="340"/>
      <c r="TPG231" s="340"/>
      <c r="TPH231" s="340"/>
      <c r="TPI231" s="340"/>
      <c r="TPJ231" s="340"/>
      <c r="TPK231" s="340"/>
      <c r="TPL231" s="340"/>
      <c r="TPM231" s="340"/>
      <c r="TPN231" s="340"/>
      <c r="TPO231" s="340"/>
      <c r="TPP231" s="340"/>
      <c r="TPQ231" s="340"/>
      <c r="TPR231" s="340"/>
      <c r="TPS231" s="340"/>
      <c r="TPT231" s="340"/>
      <c r="TPU231" s="340"/>
      <c r="TPV231" s="340"/>
      <c r="TPW231" s="340"/>
      <c r="TPX231" s="340"/>
      <c r="TPY231" s="340"/>
      <c r="TPZ231" s="340"/>
      <c r="TQA231" s="340"/>
      <c r="TQB231" s="340"/>
      <c r="TQC231" s="340"/>
      <c r="TQD231" s="340"/>
      <c r="TQE231" s="340"/>
      <c r="TQF231" s="340"/>
      <c r="TQG231" s="340"/>
      <c r="TQH231" s="340"/>
      <c r="TQI231" s="340"/>
      <c r="TQJ231" s="340"/>
      <c r="TQK231" s="340"/>
      <c r="TQL231" s="340"/>
      <c r="TQM231" s="340"/>
      <c r="TQN231" s="340"/>
      <c r="TQO231" s="340"/>
      <c r="TQP231" s="340"/>
      <c r="TQQ231" s="340"/>
      <c r="TQR231" s="340"/>
      <c r="TQS231" s="340"/>
      <c r="TQT231" s="340"/>
      <c r="TQU231" s="340"/>
      <c r="TQV231" s="340"/>
      <c r="TQW231" s="340"/>
      <c r="TQX231" s="340"/>
      <c r="TQY231" s="340"/>
      <c r="TQZ231" s="340"/>
      <c r="TRA231" s="340"/>
      <c r="TRB231" s="340"/>
      <c r="TRC231" s="340"/>
      <c r="TRD231" s="340"/>
      <c r="TRE231" s="340"/>
      <c r="TRF231" s="340"/>
      <c r="TRG231" s="340"/>
      <c r="TRH231" s="340"/>
      <c r="TRI231" s="340"/>
      <c r="TRJ231" s="340"/>
      <c r="TRK231" s="340"/>
      <c r="TRL231" s="340"/>
      <c r="TRM231" s="340"/>
      <c r="TRN231" s="340"/>
      <c r="TRO231" s="340"/>
      <c r="TRP231" s="340"/>
      <c r="TRQ231" s="340"/>
      <c r="TRR231" s="340"/>
      <c r="TRS231" s="340"/>
      <c r="TRT231" s="340"/>
      <c r="TRU231" s="340"/>
      <c r="TRV231" s="340"/>
      <c r="TRW231" s="340"/>
      <c r="TRX231" s="340"/>
      <c r="TRY231" s="340"/>
      <c r="TRZ231" s="340"/>
      <c r="TSA231" s="340"/>
      <c r="TSB231" s="340"/>
      <c r="TSC231" s="340"/>
      <c r="TSD231" s="340"/>
      <c r="TSE231" s="340"/>
      <c r="TSF231" s="340"/>
      <c r="TSG231" s="340"/>
      <c r="TSH231" s="340"/>
      <c r="TSI231" s="340"/>
      <c r="TSJ231" s="340"/>
      <c r="TSK231" s="340"/>
      <c r="TSL231" s="340"/>
      <c r="TSM231" s="340"/>
      <c r="TSN231" s="340"/>
      <c r="TSO231" s="340"/>
      <c r="TSP231" s="340"/>
      <c r="TSQ231" s="340"/>
      <c r="TSR231" s="340"/>
      <c r="TSS231" s="340"/>
      <c r="TST231" s="340"/>
      <c r="TSU231" s="340"/>
      <c r="TSV231" s="340"/>
      <c r="TSW231" s="340"/>
      <c r="TSX231" s="340"/>
      <c r="TSY231" s="340"/>
      <c r="TSZ231" s="340"/>
      <c r="TTA231" s="340"/>
      <c r="TTB231" s="340"/>
      <c r="TTC231" s="340"/>
      <c r="TTD231" s="340"/>
      <c r="TTE231" s="340"/>
      <c r="TTF231" s="340"/>
      <c r="TTG231" s="340"/>
      <c r="TTH231" s="340"/>
      <c r="TTI231" s="340"/>
      <c r="TTJ231" s="340"/>
      <c r="TTK231" s="340"/>
      <c r="TTL231" s="340"/>
      <c r="TTM231" s="340"/>
      <c r="TTN231" s="340"/>
      <c r="TTO231" s="340"/>
      <c r="TTP231" s="340"/>
      <c r="TTQ231" s="340"/>
      <c r="TTR231" s="340"/>
      <c r="TTS231" s="340"/>
      <c r="TTT231" s="340"/>
      <c r="TTU231" s="340"/>
      <c r="TTV231" s="340"/>
      <c r="TTW231" s="340"/>
      <c r="TTX231" s="340"/>
      <c r="TTY231" s="340"/>
      <c r="TTZ231" s="340"/>
      <c r="TUA231" s="340"/>
      <c r="TUB231" s="340"/>
      <c r="TUC231" s="340"/>
      <c r="TUD231" s="340"/>
      <c r="TUE231" s="340"/>
      <c r="TUF231" s="340"/>
      <c r="TUG231" s="340"/>
      <c r="TUH231" s="340"/>
      <c r="TUI231" s="340"/>
      <c r="TUJ231" s="340"/>
      <c r="TUK231" s="340"/>
      <c r="TUL231" s="340"/>
      <c r="TUM231" s="340"/>
      <c r="TUN231" s="340"/>
      <c r="TUO231" s="340"/>
      <c r="TUP231" s="340"/>
      <c r="TUQ231" s="340"/>
      <c r="TUR231" s="340"/>
      <c r="TUS231" s="340"/>
      <c r="TUT231" s="340"/>
      <c r="TUU231" s="340"/>
      <c r="TUV231" s="340"/>
      <c r="TUW231" s="340"/>
      <c r="TUX231" s="340"/>
      <c r="TUY231" s="340"/>
      <c r="TUZ231" s="340"/>
      <c r="TVA231" s="340"/>
      <c r="TVB231" s="340"/>
      <c r="TVC231" s="340"/>
      <c r="TVD231" s="340"/>
      <c r="TVE231" s="340"/>
      <c r="TVF231" s="340"/>
      <c r="TVG231" s="340"/>
      <c r="TVH231" s="340"/>
      <c r="TVI231" s="340"/>
      <c r="TVJ231" s="340"/>
      <c r="TVK231" s="340"/>
      <c r="TVL231" s="340"/>
      <c r="TVM231" s="340"/>
      <c r="TVN231" s="340"/>
      <c r="TVO231" s="340"/>
      <c r="TVP231" s="340"/>
      <c r="TVQ231" s="340"/>
      <c r="TVR231" s="340"/>
      <c r="TVS231" s="340"/>
      <c r="TVT231" s="340"/>
      <c r="TVU231" s="340"/>
      <c r="TVV231" s="340"/>
      <c r="TVW231" s="340"/>
      <c r="TVX231" s="340"/>
      <c r="TVY231" s="340"/>
      <c r="TVZ231" s="340"/>
      <c r="TWA231" s="340"/>
      <c r="TWB231" s="340"/>
      <c r="TWC231" s="340"/>
      <c r="TWD231" s="340"/>
      <c r="TWE231" s="340"/>
      <c r="TWF231" s="340"/>
      <c r="TWG231" s="340"/>
      <c r="TWH231" s="340"/>
      <c r="TWI231" s="340"/>
      <c r="TWJ231" s="340"/>
      <c r="TWK231" s="340"/>
      <c r="TWL231" s="340"/>
      <c r="TWM231" s="340"/>
      <c r="TWN231" s="340"/>
      <c r="TWO231" s="340"/>
      <c r="TWP231" s="340"/>
      <c r="TWQ231" s="340"/>
      <c r="TWR231" s="340"/>
      <c r="TWS231" s="340"/>
      <c r="TWT231" s="340"/>
      <c r="TWU231" s="340"/>
      <c r="TWV231" s="340"/>
      <c r="TWW231" s="340"/>
      <c r="TWX231" s="340"/>
      <c r="TWY231" s="340"/>
      <c r="TWZ231" s="340"/>
      <c r="TXA231" s="340"/>
      <c r="TXB231" s="340"/>
      <c r="TXC231" s="340"/>
      <c r="TXD231" s="340"/>
      <c r="TXE231" s="340"/>
      <c r="TXF231" s="340"/>
      <c r="TXG231" s="340"/>
      <c r="TXH231" s="340"/>
      <c r="TXI231" s="340"/>
      <c r="TXJ231" s="340"/>
      <c r="TXK231" s="340"/>
      <c r="TXL231" s="340"/>
      <c r="TXM231" s="340"/>
      <c r="TXN231" s="340"/>
      <c r="TXO231" s="340"/>
      <c r="TXP231" s="340"/>
      <c r="TXQ231" s="340"/>
      <c r="TXR231" s="340"/>
      <c r="TXS231" s="340"/>
      <c r="TXT231" s="340"/>
      <c r="TXU231" s="340"/>
      <c r="TXV231" s="340"/>
      <c r="TXW231" s="340"/>
      <c r="TXX231" s="340"/>
      <c r="TXY231" s="340"/>
      <c r="TXZ231" s="340"/>
      <c r="TYA231" s="340"/>
      <c r="TYB231" s="340"/>
      <c r="TYC231" s="340"/>
      <c r="TYD231" s="340"/>
      <c r="TYE231" s="340"/>
      <c r="TYF231" s="340"/>
      <c r="TYG231" s="340"/>
      <c r="TYH231" s="340"/>
      <c r="TYI231" s="340"/>
      <c r="TYJ231" s="340"/>
      <c r="TYK231" s="340"/>
      <c r="TYL231" s="340"/>
      <c r="TYM231" s="340"/>
      <c r="TYN231" s="340"/>
      <c r="TYO231" s="340"/>
      <c r="TYP231" s="340"/>
      <c r="TYQ231" s="340"/>
      <c r="TYR231" s="340"/>
      <c r="TYS231" s="340"/>
      <c r="TYT231" s="340"/>
      <c r="TYU231" s="340"/>
      <c r="TYV231" s="340"/>
      <c r="TYW231" s="340"/>
      <c r="TYX231" s="340"/>
      <c r="TYY231" s="340"/>
      <c r="TYZ231" s="340"/>
      <c r="TZA231" s="340"/>
      <c r="TZB231" s="340"/>
      <c r="TZC231" s="340"/>
      <c r="TZD231" s="340"/>
      <c r="TZE231" s="340"/>
      <c r="TZF231" s="340"/>
      <c r="TZG231" s="340"/>
      <c r="TZH231" s="340"/>
      <c r="TZI231" s="340"/>
      <c r="TZJ231" s="340"/>
      <c r="TZK231" s="340"/>
      <c r="TZL231" s="340"/>
      <c r="TZM231" s="340"/>
      <c r="TZN231" s="340"/>
      <c r="TZO231" s="340"/>
      <c r="TZP231" s="340"/>
      <c r="TZQ231" s="340"/>
      <c r="TZR231" s="340"/>
      <c r="TZS231" s="340"/>
      <c r="TZT231" s="340"/>
      <c r="TZU231" s="340"/>
      <c r="TZV231" s="340"/>
      <c r="TZW231" s="340"/>
      <c r="TZX231" s="340"/>
      <c r="TZY231" s="340"/>
      <c r="TZZ231" s="340"/>
      <c r="UAA231" s="340"/>
      <c r="UAB231" s="340"/>
      <c r="UAC231" s="340"/>
      <c r="UAD231" s="340"/>
      <c r="UAE231" s="340"/>
      <c r="UAF231" s="340"/>
      <c r="UAG231" s="340"/>
      <c r="UAH231" s="340"/>
      <c r="UAI231" s="340"/>
      <c r="UAJ231" s="340"/>
      <c r="UAK231" s="340"/>
      <c r="UAL231" s="340"/>
      <c r="UAM231" s="340"/>
      <c r="UAN231" s="340"/>
      <c r="UAO231" s="340"/>
      <c r="UAP231" s="340"/>
      <c r="UAQ231" s="340"/>
      <c r="UAR231" s="340"/>
      <c r="UAS231" s="340"/>
      <c r="UAT231" s="340"/>
      <c r="UAU231" s="340"/>
      <c r="UAV231" s="340"/>
      <c r="UAW231" s="340"/>
      <c r="UAX231" s="340"/>
      <c r="UAY231" s="340"/>
      <c r="UAZ231" s="340"/>
      <c r="UBA231" s="340"/>
      <c r="UBB231" s="340"/>
      <c r="UBC231" s="340"/>
      <c r="UBD231" s="340"/>
      <c r="UBE231" s="340"/>
      <c r="UBF231" s="340"/>
      <c r="UBG231" s="340"/>
      <c r="UBH231" s="340"/>
      <c r="UBI231" s="340"/>
      <c r="UBJ231" s="340"/>
      <c r="UBK231" s="340"/>
      <c r="UBL231" s="340"/>
      <c r="UBM231" s="340"/>
      <c r="UBN231" s="340"/>
      <c r="UBO231" s="340"/>
      <c r="UBP231" s="340"/>
      <c r="UBQ231" s="340"/>
      <c r="UBR231" s="340"/>
      <c r="UBS231" s="340"/>
      <c r="UBT231" s="340"/>
      <c r="UBU231" s="340"/>
      <c r="UBV231" s="340"/>
      <c r="UBW231" s="340"/>
      <c r="UBX231" s="340"/>
      <c r="UBY231" s="340"/>
      <c r="UBZ231" s="340"/>
      <c r="UCA231" s="340"/>
      <c r="UCB231" s="340"/>
      <c r="UCC231" s="340"/>
      <c r="UCD231" s="340"/>
      <c r="UCE231" s="340"/>
      <c r="UCF231" s="340"/>
      <c r="UCG231" s="340"/>
      <c r="UCH231" s="340"/>
      <c r="UCI231" s="340"/>
      <c r="UCJ231" s="340"/>
      <c r="UCK231" s="340"/>
      <c r="UCL231" s="340"/>
      <c r="UCM231" s="340"/>
      <c r="UCN231" s="340"/>
      <c r="UCO231" s="340"/>
      <c r="UCP231" s="340"/>
      <c r="UCQ231" s="340"/>
      <c r="UCR231" s="340"/>
      <c r="UCS231" s="340"/>
      <c r="UCT231" s="340"/>
      <c r="UCU231" s="340"/>
      <c r="UCV231" s="340"/>
      <c r="UCW231" s="340"/>
      <c r="UCX231" s="340"/>
      <c r="UCY231" s="340"/>
      <c r="UCZ231" s="340"/>
      <c r="UDA231" s="340"/>
      <c r="UDB231" s="340"/>
      <c r="UDC231" s="340"/>
      <c r="UDD231" s="340"/>
      <c r="UDE231" s="340"/>
      <c r="UDF231" s="340"/>
      <c r="UDG231" s="340"/>
      <c r="UDH231" s="340"/>
      <c r="UDI231" s="340"/>
      <c r="UDJ231" s="340"/>
      <c r="UDK231" s="340"/>
      <c r="UDL231" s="340"/>
      <c r="UDM231" s="340"/>
      <c r="UDN231" s="340"/>
      <c r="UDO231" s="340"/>
      <c r="UDP231" s="340"/>
      <c r="UDQ231" s="340"/>
      <c r="UDR231" s="340"/>
      <c r="UDS231" s="340"/>
      <c r="UDT231" s="340"/>
      <c r="UDU231" s="340"/>
      <c r="UDV231" s="340"/>
      <c r="UDW231" s="340"/>
      <c r="UDX231" s="340"/>
      <c r="UDY231" s="340"/>
      <c r="UDZ231" s="340"/>
      <c r="UEA231" s="340"/>
      <c r="UEB231" s="340"/>
      <c r="UEC231" s="340"/>
      <c r="UED231" s="340"/>
      <c r="UEE231" s="340"/>
      <c r="UEF231" s="340"/>
      <c r="UEG231" s="340"/>
      <c r="UEH231" s="340"/>
      <c r="UEI231" s="340"/>
      <c r="UEJ231" s="340"/>
      <c r="UEK231" s="340"/>
      <c r="UEL231" s="340"/>
      <c r="UEM231" s="340"/>
      <c r="UEN231" s="340"/>
      <c r="UEO231" s="340"/>
      <c r="UEP231" s="340"/>
      <c r="UEQ231" s="340"/>
      <c r="UER231" s="340"/>
      <c r="UES231" s="340"/>
      <c r="UET231" s="340"/>
      <c r="UEU231" s="340"/>
      <c r="UEV231" s="340"/>
      <c r="UEW231" s="340"/>
      <c r="UEX231" s="340"/>
      <c r="UEY231" s="340"/>
      <c r="UEZ231" s="340"/>
      <c r="UFA231" s="340"/>
      <c r="UFB231" s="340"/>
      <c r="UFC231" s="340"/>
      <c r="UFD231" s="340"/>
      <c r="UFE231" s="340"/>
      <c r="UFF231" s="340"/>
      <c r="UFG231" s="340"/>
      <c r="UFH231" s="340"/>
      <c r="UFI231" s="340"/>
      <c r="UFJ231" s="340"/>
      <c r="UFK231" s="340"/>
      <c r="UFL231" s="340"/>
      <c r="UFM231" s="340"/>
      <c r="UFN231" s="340"/>
      <c r="UFO231" s="340"/>
      <c r="UFP231" s="340"/>
      <c r="UFQ231" s="340"/>
      <c r="UFR231" s="340"/>
      <c r="UFS231" s="340"/>
      <c r="UFT231" s="340"/>
      <c r="UFU231" s="340"/>
      <c r="UFV231" s="340"/>
      <c r="UFW231" s="340"/>
      <c r="UFX231" s="340"/>
      <c r="UFY231" s="340"/>
      <c r="UFZ231" s="340"/>
      <c r="UGA231" s="340"/>
      <c r="UGB231" s="340"/>
      <c r="UGC231" s="340"/>
      <c r="UGD231" s="340"/>
      <c r="UGE231" s="340"/>
      <c r="UGF231" s="340"/>
      <c r="UGG231" s="340"/>
      <c r="UGH231" s="340"/>
      <c r="UGI231" s="340"/>
      <c r="UGJ231" s="340"/>
      <c r="UGK231" s="340"/>
      <c r="UGL231" s="340"/>
      <c r="UGM231" s="340"/>
      <c r="UGN231" s="340"/>
      <c r="UGO231" s="340"/>
      <c r="UGP231" s="340"/>
      <c r="UGQ231" s="340"/>
      <c r="UGR231" s="340"/>
      <c r="UGS231" s="340"/>
      <c r="UGT231" s="340"/>
      <c r="UGU231" s="340"/>
      <c r="UGV231" s="340"/>
      <c r="UGW231" s="340"/>
      <c r="UGX231" s="340"/>
      <c r="UGY231" s="340"/>
      <c r="UGZ231" s="340"/>
      <c r="UHA231" s="340"/>
      <c r="UHB231" s="340"/>
      <c r="UHC231" s="340"/>
      <c r="UHD231" s="340"/>
      <c r="UHE231" s="340"/>
      <c r="UHF231" s="340"/>
      <c r="UHG231" s="340"/>
      <c r="UHH231" s="340"/>
      <c r="UHI231" s="340"/>
      <c r="UHJ231" s="340"/>
      <c r="UHK231" s="340"/>
      <c r="UHL231" s="340"/>
      <c r="UHM231" s="340"/>
      <c r="UHN231" s="340"/>
      <c r="UHO231" s="340"/>
      <c r="UHP231" s="340"/>
      <c r="UHQ231" s="340"/>
      <c r="UHR231" s="340"/>
      <c r="UHS231" s="340"/>
      <c r="UHT231" s="340"/>
      <c r="UHU231" s="340"/>
      <c r="UHV231" s="340"/>
      <c r="UHW231" s="340"/>
      <c r="UHX231" s="340"/>
      <c r="UHY231" s="340"/>
      <c r="UHZ231" s="340"/>
      <c r="UIA231" s="340"/>
      <c r="UIB231" s="340"/>
      <c r="UIC231" s="340"/>
      <c r="UID231" s="340"/>
      <c r="UIE231" s="340"/>
      <c r="UIF231" s="340"/>
      <c r="UIG231" s="340"/>
      <c r="UIH231" s="340"/>
      <c r="UII231" s="340"/>
      <c r="UIJ231" s="340"/>
      <c r="UIK231" s="340"/>
      <c r="UIL231" s="340"/>
      <c r="UIM231" s="340"/>
      <c r="UIN231" s="340"/>
      <c r="UIO231" s="340"/>
      <c r="UIP231" s="340"/>
      <c r="UIQ231" s="340"/>
      <c r="UIR231" s="340"/>
      <c r="UIS231" s="340"/>
      <c r="UIT231" s="340"/>
      <c r="UIU231" s="340"/>
      <c r="UIV231" s="340"/>
      <c r="UIW231" s="340"/>
      <c r="UIX231" s="340"/>
      <c r="UIY231" s="340"/>
      <c r="UIZ231" s="340"/>
      <c r="UJA231" s="340"/>
      <c r="UJB231" s="340"/>
      <c r="UJC231" s="340"/>
      <c r="UJD231" s="340"/>
      <c r="UJE231" s="340"/>
      <c r="UJF231" s="340"/>
      <c r="UJG231" s="340"/>
      <c r="UJH231" s="340"/>
      <c r="UJI231" s="340"/>
      <c r="UJJ231" s="340"/>
      <c r="UJK231" s="340"/>
      <c r="UJL231" s="340"/>
      <c r="UJM231" s="340"/>
      <c r="UJN231" s="340"/>
      <c r="UJO231" s="340"/>
      <c r="UJP231" s="340"/>
      <c r="UJQ231" s="340"/>
      <c r="UJR231" s="340"/>
      <c r="UJS231" s="340"/>
      <c r="UJT231" s="340"/>
      <c r="UJU231" s="340"/>
      <c r="UJV231" s="340"/>
      <c r="UJW231" s="340"/>
      <c r="UJX231" s="340"/>
      <c r="UJY231" s="340"/>
      <c r="UJZ231" s="340"/>
      <c r="UKA231" s="340"/>
      <c r="UKB231" s="340"/>
      <c r="UKC231" s="340"/>
      <c r="UKD231" s="340"/>
      <c r="UKE231" s="340"/>
      <c r="UKF231" s="340"/>
      <c r="UKG231" s="340"/>
      <c r="UKH231" s="340"/>
      <c r="UKI231" s="340"/>
      <c r="UKJ231" s="340"/>
      <c r="UKK231" s="340"/>
      <c r="UKL231" s="340"/>
      <c r="UKM231" s="340"/>
      <c r="UKN231" s="340"/>
      <c r="UKO231" s="340"/>
      <c r="UKP231" s="340"/>
      <c r="UKQ231" s="340"/>
      <c r="UKR231" s="340"/>
      <c r="UKS231" s="340"/>
      <c r="UKT231" s="340"/>
      <c r="UKU231" s="340"/>
      <c r="UKV231" s="340"/>
      <c r="UKW231" s="340"/>
      <c r="UKX231" s="340"/>
      <c r="UKY231" s="340"/>
      <c r="UKZ231" s="340"/>
      <c r="ULA231" s="340"/>
      <c r="ULB231" s="340"/>
      <c r="ULC231" s="340"/>
      <c r="ULD231" s="340"/>
      <c r="ULE231" s="340"/>
      <c r="ULF231" s="340"/>
      <c r="ULG231" s="340"/>
      <c r="ULH231" s="340"/>
      <c r="ULI231" s="340"/>
      <c r="ULJ231" s="340"/>
      <c r="ULK231" s="340"/>
      <c r="ULL231" s="340"/>
      <c r="ULM231" s="340"/>
      <c r="ULN231" s="340"/>
      <c r="ULO231" s="340"/>
      <c r="ULP231" s="340"/>
      <c r="ULQ231" s="340"/>
      <c r="ULR231" s="340"/>
      <c r="ULS231" s="340"/>
      <c r="ULT231" s="340"/>
      <c r="ULU231" s="340"/>
      <c r="ULV231" s="340"/>
      <c r="ULW231" s="340"/>
      <c r="ULX231" s="340"/>
      <c r="ULY231" s="340"/>
      <c r="ULZ231" s="340"/>
      <c r="UMA231" s="340"/>
      <c r="UMB231" s="340"/>
      <c r="UMC231" s="340"/>
      <c r="UMD231" s="340"/>
      <c r="UME231" s="340"/>
      <c r="UMF231" s="340"/>
      <c r="UMG231" s="340"/>
      <c r="UMH231" s="340"/>
      <c r="UMI231" s="340"/>
      <c r="UMJ231" s="340"/>
      <c r="UMK231" s="340"/>
      <c r="UML231" s="340"/>
      <c r="UMM231" s="340"/>
      <c r="UMN231" s="340"/>
      <c r="UMO231" s="340"/>
      <c r="UMP231" s="340"/>
      <c r="UMQ231" s="340"/>
      <c r="UMR231" s="340"/>
      <c r="UMS231" s="340"/>
      <c r="UMT231" s="340"/>
      <c r="UMU231" s="340"/>
      <c r="UMV231" s="340"/>
      <c r="UMW231" s="340"/>
      <c r="UMX231" s="340"/>
      <c r="UMY231" s="340"/>
      <c r="UMZ231" s="340"/>
      <c r="UNA231" s="340"/>
      <c r="UNB231" s="340"/>
      <c r="UNC231" s="340"/>
      <c r="UND231" s="340"/>
      <c r="UNE231" s="340"/>
      <c r="UNF231" s="340"/>
      <c r="UNG231" s="340"/>
      <c r="UNH231" s="340"/>
      <c r="UNI231" s="340"/>
      <c r="UNJ231" s="340"/>
      <c r="UNK231" s="340"/>
      <c r="UNL231" s="340"/>
      <c r="UNM231" s="340"/>
      <c r="UNN231" s="340"/>
      <c r="UNO231" s="340"/>
      <c r="UNP231" s="340"/>
      <c r="UNQ231" s="340"/>
      <c r="UNR231" s="340"/>
      <c r="UNS231" s="340"/>
      <c r="UNT231" s="340"/>
      <c r="UNU231" s="340"/>
      <c r="UNV231" s="340"/>
      <c r="UNW231" s="340"/>
      <c r="UNX231" s="340"/>
      <c r="UNY231" s="340"/>
      <c r="UNZ231" s="340"/>
      <c r="UOA231" s="340"/>
      <c r="UOB231" s="340"/>
      <c r="UOC231" s="340"/>
      <c r="UOD231" s="340"/>
      <c r="UOE231" s="340"/>
      <c r="UOF231" s="340"/>
      <c r="UOG231" s="340"/>
      <c r="UOH231" s="340"/>
      <c r="UOI231" s="340"/>
      <c r="UOJ231" s="340"/>
      <c r="UOK231" s="340"/>
      <c r="UOL231" s="340"/>
      <c r="UOM231" s="340"/>
      <c r="UON231" s="340"/>
      <c r="UOO231" s="340"/>
      <c r="UOP231" s="340"/>
      <c r="UOQ231" s="340"/>
      <c r="UOR231" s="340"/>
      <c r="UOS231" s="340"/>
      <c r="UOT231" s="340"/>
      <c r="UOU231" s="340"/>
      <c r="UOV231" s="340"/>
      <c r="UOW231" s="340"/>
      <c r="UOX231" s="340"/>
      <c r="UOY231" s="340"/>
      <c r="UOZ231" s="340"/>
      <c r="UPA231" s="340"/>
      <c r="UPB231" s="340"/>
      <c r="UPC231" s="340"/>
      <c r="UPD231" s="340"/>
      <c r="UPE231" s="340"/>
      <c r="UPF231" s="340"/>
      <c r="UPG231" s="340"/>
      <c r="UPH231" s="340"/>
      <c r="UPI231" s="340"/>
      <c r="UPJ231" s="340"/>
      <c r="UPK231" s="340"/>
      <c r="UPL231" s="340"/>
      <c r="UPM231" s="340"/>
      <c r="UPN231" s="340"/>
      <c r="UPO231" s="340"/>
      <c r="UPP231" s="340"/>
      <c r="UPQ231" s="340"/>
      <c r="UPR231" s="340"/>
      <c r="UPS231" s="340"/>
      <c r="UPT231" s="340"/>
      <c r="UPU231" s="340"/>
      <c r="UPV231" s="340"/>
      <c r="UPW231" s="340"/>
      <c r="UPX231" s="340"/>
      <c r="UPY231" s="340"/>
      <c r="UPZ231" s="340"/>
      <c r="UQA231" s="340"/>
      <c r="UQB231" s="340"/>
      <c r="UQC231" s="340"/>
      <c r="UQD231" s="340"/>
      <c r="UQE231" s="340"/>
      <c r="UQF231" s="340"/>
      <c r="UQG231" s="340"/>
      <c r="UQH231" s="340"/>
      <c r="UQI231" s="340"/>
      <c r="UQJ231" s="340"/>
      <c r="UQK231" s="340"/>
      <c r="UQL231" s="340"/>
      <c r="UQM231" s="340"/>
      <c r="UQN231" s="340"/>
      <c r="UQO231" s="340"/>
      <c r="UQP231" s="340"/>
      <c r="UQQ231" s="340"/>
      <c r="UQR231" s="340"/>
      <c r="UQS231" s="340"/>
      <c r="UQT231" s="340"/>
      <c r="UQU231" s="340"/>
      <c r="UQV231" s="340"/>
      <c r="UQW231" s="340"/>
      <c r="UQX231" s="340"/>
      <c r="UQY231" s="340"/>
      <c r="UQZ231" s="340"/>
      <c r="URA231" s="340"/>
      <c r="URB231" s="340"/>
      <c r="URC231" s="340"/>
      <c r="URD231" s="340"/>
      <c r="URE231" s="340"/>
      <c r="URF231" s="340"/>
      <c r="URG231" s="340"/>
      <c r="URH231" s="340"/>
      <c r="URI231" s="340"/>
      <c r="URJ231" s="340"/>
      <c r="URK231" s="340"/>
      <c r="URL231" s="340"/>
      <c r="URM231" s="340"/>
      <c r="URN231" s="340"/>
      <c r="URO231" s="340"/>
      <c r="URP231" s="340"/>
      <c r="URQ231" s="340"/>
      <c r="URR231" s="340"/>
      <c r="URS231" s="340"/>
      <c r="URT231" s="340"/>
      <c r="URU231" s="340"/>
      <c r="URV231" s="340"/>
      <c r="URW231" s="340"/>
      <c r="URX231" s="340"/>
      <c r="URY231" s="340"/>
      <c r="URZ231" s="340"/>
      <c r="USA231" s="340"/>
      <c r="USB231" s="340"/>
      <c r="USC231" s="340"/>
      <c r="USD231" s="340"/>
      <c r="USE231" s="340"/>
      <c r="USF231" s="340"/>
      <c r="USG231" s="340"/>
      <c r="USH231" s="340"/>
      <c r="USI231" s="340"/>
      <c r="USJ231" s="340"/>
      <c r="USK231" s="340"/>
      <c r="USL231" s="340"/>
      <c r="USM231" s="340"/>
      <c r="USN231" s="340"/>
      <c r="USO231" s="340"/>
      <c r="USP231" s="340"/>
      <c r="USQ231" s="340"/>
      <c r="USR231" s="340"/>
      <c r="USS231" s="340"/>
      <c r="UST231" s="340"/>
      <c r="USU231" s="340"/>
      <c r="USV231" s="340"/>
      <c r="USW231" s="340"/>
      <c r="USX231" s="340"/>
      <c r="USY231" s="340"/>
      <c r="USZ231" s="340"/>
      <c r="UTA231" s="340"/>
      <c r="UTB231" s="340"/>
      <c r="UTC231" s="340"/>
      <c r="UTD231" s="340"/>
      <c r="UTE231" s="340"/>
      <c r="UTF231" s="340"/>
      <c r="UTG231" s="340"/>
      <c r="UTH231" s="340"/>
      <c r="UTI231" s="340"/>
      <c r="UTJ231" s="340"/>
      <c r="UTK231" s="340"/>
      <c r="UTL231" s="340"/>
      <c r="UTM231" s="340"/>
      <c r="UTN231" s="340"/>
      <c r="UTO231" s="340"/>
      <c r="UTP231" s="340"/>
      <c r="UTQ231" s="340"/>
      <c r="UTR231" s="340"/>
      <c r="UTS231" s="340"/>
      <c r="UTT231" s="340"/>
      <c r="UTU231" s="340"/>
      <c r="UTV231" s="340"/>
      <c r="UTW231" s="340"/>
      <c r="UTX231" s="340"/>
      <c r="UTY231" s="340"/>
      <c r="UTZ231" s="340"/>
      <c r="UUA231" s="340"/>
      <c r="UUB231" s="340"/>
      <c r="UUC231" s="340"/>
      <c r="UUD231" s="340"/>
      <c r="UUE231" s="340"/>
      <c r="UUF231" s="340"/>
      <c r="UUG231" s="340"/>
      <c r="UUH231" s="340"/>
      <c r="UUI231" s="340"/>
      <c r="UUJ231" s="340"/>
      <c r="UUK231" s="340"/>
      <c r="UUL231" s="340"/>
      <c r="UUM231" s="340"/>
      <c r="UUN231" s="340"/>
      <c r="UUO231" s="340"/>
      <c r="UUP231" s="340"/>
      <c r="UUQ231" s="340"/>
      <c r="UUR231" s="340"/>
      <c r="UUS231" s="340"/>
      <c r="UUT231" s="340"/>
      <c r="UUU231" s="340"/>
      <c r="UUV231" s="340"/>
      <c r="UUW231" s="340"/>
      <c r="UUX231" s="340"/>
      <c r="UUY231" s="340"/>
      <c r="UUZ231" s="340"/>
      <c r="UVA231" s="340"/>
      <c r="UVB231" s="340"/>
      <c r="UVC231" s="340"/>
      <c r="UVD231" s="340"/>
      <c r="UVE231" s="340"/>
      <c r="UVF231" s="340"/>
      <c r="UVG231" s="340"/>
      <c r="UVH231" s="340"/>
      <c r="UVI231" s="340"/>
      <c r="UVJ231" s="340"/>
      <c r="UVK231" s="340"/>
      <c r="UVL231" s="340"/>
      <c r="UVM231" s="340"/>
      <c r="UVN231" s="340"/>
      <c r="UVO231" s="340"/>
      <c r="UVP231" s="340"/>
      <c r="UVQ231" s="340"/>
      <c r="UVR231" s="340"/>
      <c r="UVS231" s="340"/>
      <c r="UVT231" s="340"/>
      <c r="UVU231" s="340"/>
      <c r="UVV231" s="340"/>
      <c r="UVW231" s="340"/>
      <c r="UVX231" s="340"/>
      <c r="UVY231" s="340"/>
      <c r="UVZ231" s="340"/>
      <c r="UWA231" s="340"/>
      <c r="UWB231" s="340"/>
      <c r="UWC231" s="340"/>
      <c r="UWD231" s="340"/>
      <c r="UWE231" s="340"/>
      <c r="UWF231" s="340"/>
      <c r="UWG231" s="340"/>
      <c r="UWH231" s="340"/>
      <c r="UWI231" s="340"/>
      <c r="UWJ231" s="340"/>
      <c r="UWK231" s="340"/>
      <c r="UWL231" s="340"/>
      <c r="UWM231" s="340"/>
      <c r="UWN231" s="340"/>
      <c r="UWO231" s="340"/>
      <c r="UWP231" s="340"/>
      <c r="UWQ231" s="340"/>
      <c r="UWR231" s="340"/>
      <c r="UWS231" s="340"/>
      <c r="UWT231" s="340"/>
      <c r="UWU231" s="340"/>
      <c r="UWV231" s="340"/>
      <c r="UWW231" s="340"/>
      <c r="UWX231" s="340"/>
      <c r="UWY231" s="340"/>
      <c r="UWZ231" s="340"/>
      <c r="UXA231" s="340"/>
      <c r="UXB231" s="340"/>
      <c r="UXC231" s="340"/>
      <c r="UXD231" s="340"/>
      <c r="UXE231" s="340"/>
      <c r="UXF231" s="340"/>
      <c r="UXG231" s="340"/>
      <c r="UXH231" s="340"/>
      <c r="UXI231" s="340"/>
      <c r="UXJ231" s="340"/>
      <c r="UXK231" s="340"/>
      <c r="UXL231" s="340"/>
      <c r="UXM231" s="340"/>
      <c r="UXN231" s="340"/>
      <c r="UXO231" s="340"/>
      <c r="UXP231" s="340"/>
      <c r="UXQ231" s="340"/>
      <c r="UXR231" s="340"/>
      <c r="UXS231" s="340"/>
      <c r="UXT231" s="340"/>
      <c r="UXU231" s="340"/>
      <c r="UXV231" s="340"/>
      <c r="UXW231" s="340"/>
      <c r="UXX231" s="340"/>
      <c r="UXY231" s="340"/>
      <c r="UXZ231" s="340"/>
      <c r="UYA231" s="340"/>
      <c r="UYB231" s="340"/>
      <c r="UYC231" s="340"/>
      <c r="UYD231" s="340"/>
      <c r="UYE231" s="340"/>
      <c r="UYF231" s="340"/>
      <c r="UYG231" s="340"/>
      <c r="UYH231" s="340"/>
      <c r="UYI231" s="340"/>
      <c r="UYJ231" s="340"/>
      <c r="UYK231" s="340"/>
      <c r="UYL231" s="340"/>
      <c r="UYM231" s="340"/>
      <c r="UYN231" s="340"/>
      <c r="UYO231" s="340"/>
      <c r="UYP231" s="340"/>
      <c r="UYQ231" s="340"/>
      <c r="UYR231" s="340"/>
      <c r="UYS231" s="340"/>
      <c r="UYT231" s="340"/>
      <c r="UYU231" s="340"/>
      <c r="UYV231" s="340"/>
      <c r="UYW231" s="340"/>
      <c r="UYX231" s="340"/>
      <c r="UYY231" s="340"/>
      <c r="UYZ231" s="340"/>
      <c r="UZA231" s="340"/>
      <c r="UZB231" s="340"/>
      <c r="UZC231" s="340"/>
      <c r="UZD231" s="340"/>
      <c r="UZE231" s="340"/>
      <c r="UZF231" s="340"/>
      <c r="UZG231" s="340"/>
      <c r="UZH231" s="340"/>
      <c r="UZI231" s="340"/>
      <c r="UZJ231" s="340"/>
      <c r="UZK231" s="340"/>
      <c r="UZL231" s="340"/>
      <c r="UZM231" s="340"/>
      <c r="UZN231" s="340"/>
      <c r="UZO231" s="340"/>
      <c r="UZP231" s="340"/>
      <c r="UZQ231" s="340"/>
      <c r="UZR231" s="340"/>
      <c r="UZS231" s="340"/>
      <c r="UZT231" s="340"/>
      <c r="UZU231" s="340"/>
      <c r="UZV231" s="340"/>
      <c r="UZW231" s="340"/>
      <c r="UZX231" s="340"/>
      <c r="UZY231" s="340"/>
      <c r="UZZ231" s="340"/>
      <c r="VAA231" s="340"/>
      <c r="VAB231" s="340"/>
      <c r="VAC231" s="340"/>
      <c r="VAD231" s="340"/>
      <c r="VAE231" s="340"/>
      <c r="VAF231" s="340"/>
      <c r="VAG231" s="340"/>
      <c r="VAH231" s="340"/>
      <c r="VAI231" s="340"/>
      <c r="VAJ231" s="340"/>
      <c r="VAK231" s="340"/>
      <c r="VAL231" s="340"/>
      <c r="VAM231" s="340"/>
      <c r="VAN231" s="340"/>
      <c r="VAO231" s="340"/>
      <c r="VAP231" s="340"/>
      <c r="VAQ231" s="340"/>
      <c r="VAR231" s="340"/>
      <c r="VAS231" s="340"/>
      <c r="VAT231" s="340"/>
      <c r="VAU231" s="340"/>
      <c r="VAV231" s="340"/>
      <c r="VAW231" s="340"/>
      <c r="VAX231" s="340"/>
      <c r="VAY231" s="340"/>
      <c r="VAZ231" s="340"/>
      <c r="VBA231" s="340"/>
      <c r="VBB231" s="340"/>
      <c r="VBC231" s="340"/>
      <c r="VBD231" s="340"/>
      <c r="VBE231" s="340"/>
      <c r="VBF231" s="340"/>
      <c r="VBG231" s="340"/>
      <c r="VBH231" s="340"/>
      <c r="VBI231" s="340"/>
      <c r="VBJ231" s="340"/>
      <c r="VBK231" s="340"/>
      <c r="VBL231" s="340"/>
      <c r="VBM231" s="340"/>
      <c r="VBN231" s="340"/>
      <c r="VBO231" s="340"/>
      <c r="VBP231" s="340"/>
      <c r="VBQ231" s="340"/>
      <c r="VBR231" s="340"/>
      <c r="VBS231" s="340"/>
      <c r="VBT231" s="340"/>
      <c r="VBU231" s="340"/>
      <c r="VBV231" s="340"/>
      <c r="VBW231" s="340"/>
      <c r="VBX231" s="340"/>
      <c r="VBY231" s="340"/>
      <c r="VBZ231" s="340"/>
      <c r="VCA231" s="340"/>
      <c r="VCB231" s="340"/>
      <c r="VCC231" s="340"/>
      <c r="VCD231" s="340"/>
      <c r="VCE231" s="340"/>
      <c r="VCF231" s="340"/>
      <c r="VCG231" s="340"/>
      <c r="VCH231" s="340"/>
      <c r="VCI231" s="340"/>
      <c r="VCJ231" s="340"/>
      <c r="VCK231" s="340"/>
      <c r="VCL231" s="340"/>
      <c r="VCM231" s="340"/>
      <c r="VCN231" s="340"/>
      <c r="VCO231" s="340"/>
      <c r="VCP231" s="340"/>
      <c r="VCQ231" s="340"/>
      <c r="VCR231" s="340"/>
      <c r="VCS231" s="340"/>
      <c r="VCT231" s="340"/>
      <c r="VCU231" s="340"/>
      <c r="VCV231" s="340"/>
      <c r="VCW231" s="340"/>
      <c r="VCX231" s="340"/>
      <c r="VCY231" s="340"/>
      <c r="VCZ231" s="340"/>
      <c r="VDA231" s="340"/>
      <c r="VDB231" s="340"/>
      <c r="VDC231" s="340"/>
      <c r="VDD231" s="340"/>
      <c r="VDE231" s="340"/>
      <c r="VDF231" s="340"/>
      <c r="VDG231" s="340"/>
      <c r="VDH231" s="340"/>
      <c r="VDI231" s="340"/>
      <c r="VDJ231" s="340"/>
      <c r="VDK231" s="340"/>
      <c r="VDL231" s="340"/>
      <c r="VDM231" s="340"/>
      <c r="VDN231" s="340"/>
      <c r="VDO231" s="340"/>
      <c r="VDP231" s="340"/>
      <c r="VDQ231" s="340"/>
      <c r="VDR231" s="340"/>
      <c r="VDS231" s="340"/>
      <c r="VDT231" s="340"/>
      <c r="VDU231" s="340"/>
      <c r="VDV231" s="340"/>
      <c r="VDW231" s="340"/>
      <c r="VDX231" s="340"/>
      <c r="VDY231" s="340"/>
      <c r="VDZ231" s="340"/>
      <c r="VEA231" s="340"/>
      <c r="VEB231" s="340"/>
      <c r="VEC231" s="340"/>
      <c r="VED231" s="340"/>
      <c r="VEE231" s="340"/>
      <c r="VEF231" s="340"/>
      <c r="VEG231" s="340"/>
      <c r="VEH231" s="340"/>
      <c r="VEI231" s="340"/>
      <c r="VEJ231" s="340"/>
      <c r="VEK231" s="340"/>
      <c r="VEL231" s="340"/>
      <c r="VEM231" s="340"/>
      <c r="VEN231" s="340"/>
      <c r="VEO231" s="340"/>
      <c r="VEP231" s="340"/>
      <c r="VEQ231" s="340"/>
      <c r="VER231" s="340"/>
      <c r="VES231" s="340"/>
      <c r="VET231" s="340"/>
      <c r="VEU231" s="340"/>
      <c r="VEV231" s="340"/>
      <c r="VEW231" s="340"/>
      <c r="VEX231" s="340"/>
      <c r="VEY231" s="340"/>
      <c r="VEZ231" s="340"/>
      <c r="VFA231" s="340"/>
      <c r="VFB231" s="340"/>
      <c r="VFC231" s="340"/>
      <c r="VFD231" s="340"/>
      <c r="VFE231" s="340"/>
      <c r="VFF231" s="340"/>
      <c r="VFG231" s="340"/>
      <c r="VFH231" s="340"/>
      <c r="VFI231" s="340"/>
      <c r="VFJ231" s="340"/>
      <c r="VFK231" s="340"/>
      <c r="VFL231" s="340"/>
      <c r="VFM231" s="340"/>
      <c r="VFN231" s="340"/>
      <c r="VFO231" s="340"/>
      <c r="VFP231" s="340"/>
      <c r="VFQ231" s="340"/>
      <c r="VFR231" s="340"/>
      <c r="VFS231" s="340"/>
      <c r="VFT231" s="340"/>
      <c r="VFU231" s="340"/>
      <c r="VFV231" s="340"/>
      <c r="VFW231" s="340"/>
      <c r="VFX231" s="340"/>
      <c r="VFY231" s="340"/>
      <c r="VFZ231" s="340"/>
      <c r="VGA231" s="340"/>
      <c r="VGB231" s="340"/>
      <c r="VGC231" s="340"/>
      <c r="VGD231" s="340"/>
      <c r="VGE231" s="340"/>
      <c r="VGF231" s="340"/>
      <c r="VGG231" s="340"/>
      <c r="VGH231" s="340"/>
      <c r="VGI231" s="340"/>
      <c r="VGJ231" s="340"/>
      <c r="VGK231" s="340"/>
      <c r="VGL231" s="340"/>
      <c r="VGM231" s="340"/>
      <c r="VGN231" s="340"/>
      <c r="VGO231" s="340"/>
      <c r="VGP231" s="340"/>
      <c r="VGQ231" s="340"/>
      <c r="VGR231" s="340"/>
      <c r="VGS231" s="340"/>
      <c r="VGT231" s="340"/>
      <c r="VGU231" s="340"/>
      <c r="VGV231" s="340"/>
      <c r="VGW231" s="340"/>
      <c r="VGX231" s="340"/>
      <c r="VGY231" s="340"/>
      <c r="VGZ231" s="340"/>
      <c r="VHA231" s="340"/>
      <c r="VHB231" s="340"/>
      <c r="VHC231" s="340"/>
      <c r="VHD231" s="340"/>
      <c r="VHE231" s="340"/>
      <c r="VHF231" s="340"/>
      <c r="VHG231" s="340"/>
      <c r="VHH231" s="340"/>
      <c r="VHI231" s="340"/>
      <c r="VHJ231" s="340"/>
      <c r="VHK231" s="340"/>
      <c r="VHL231" s="340"/>
      <c r="VHM231" s="340"/>
      <c r="VHN231" s="340"/>
      <c r="VHO231" s="340"/>
      <c r="VHP231" s="340"/>
      <c r="VHQ231" s="340"/>
      <c r="VHR231" s="340"/>
      <c r="VHS231" s="340"/>
      <c r="VHT231" s="340"/>
      <c r="VHU231" s="340"/>
      <c r="VHV231" s="340"/>
      <c r="VHW231" s="340"/>
      <c r="VHX231" s="340"/>
      <c r="VHY231" s="340"/>
      <c r="VHZ231" s="340"/>
      <c r="VIA231" s="340"/>
      <c r="VIB231" s="340"/>
      <c r="VIC231" s="340"/>
      <c r="VID231" s="340"/>
      <c r="VIE231" s="340"/>
      <c r="VIF231" s="340"/>
      <c r="VIG231" s="340"/>
      <c r="VIH231" s="340"/>
      <c r="VII231" s="340"/>
      <c r="VIJ231" s="340"/>
      <c r="VIK231" s="340"/>
      <c r="VIL231" s="340"/>
      <c r="VIM231" s="340"/>
      <c r="VIN231" s="340"/>
      <c r="VIO231" s="340"/>
      <c r="VIP231" s="340"/>
      <c r="VIQ231" s="340"/>
      <c r="VIR231" s="340"/>
      <c r="VIS231" s="340"/>
      <c r="VIT231" s="340"/>
      <c r="VIU231" s="340"/>
      <c r="VIV231" s="340"/>
      <c r="VIW231" s="340"/>
      <c r="VIX231" s="340"/>
      <c r="VIY231" s="340"/>
      <c r="VIZ231" s="340"/>
      <c r="VJA231" s="340"/>
      <c r="VJB231" s="340"/>
      <c r="VJC231" s="340"/>
      <c r="VJD231" s="340"/>
      <c r="VJE231" s="340"/>
      <c r="VJF231" s="340"/>
      <c r="VJG231" s="340"/>
      <c r="VJH231" s="340"/>
      <c r="VJI231" s="340"/>
      <c r="VJJ231" s="340"/>
      <c r="VJK231" s="340"/>
      <c r="VJL231" s="340"/>
      <c r="VJM231" s="340"/>
      <c r="VJN231" s="340"/>
      <c r="VJO231" s="340"/>
      <c r="VJP231" s="340"/>
      <c r="VJQ231" s="340"/>
      <c r="VJR231" s="340"/>
      <c r="VJS231" s="340"/>
      <c r="VJT231" s="340"/>
      <c r="VJU231" s="340"/>
      <c r="VJV231" s="340"/>
      <c r="VJW231" s="340"/>
      <c r="VJX231" s="340"/>
      <c r="VJY231" s="340"/>
      <c r="VJZ231" s="340"/>
      <c r="VKA231" s="340"/>
      <c r="VKB231" s="340"/>
      <c r="VKC231" s="340"/>
      <c r="VKD231" s="340"/>
      <c r="VKE231" s="340"/>
      <c r="VKF231" s="340"/>
      <c r="VKG231" s="340"/>
      <c r="VKH231" s="340"/>
      <c r="VKI231" s="340"/>
      <c r="VKJ231" s="340"/>
      <c r="VKK231" s="340"/>
      <c r="VKL231" s="340"/>
      <c r="VKM231" s="340"/>
      <c r="VKN231" s="340"/>
      <c r="VKO231" s="340"/>
      <c r="VKP231" s="340"/>
      <c r="VKQ231" s="340"/>
      <c r="VKR231" s="340"/>
      <c r="VKS231" s="340"/>
      <c r="VKT231" s="340"/>
      <c r="VKU231" s="340"/>
      <c r="VKV231" s="340"/>
      <c r="VKW231" s="340"/>
      <c r="VKX231" s="340"/>
      <c r="VKY231" s="340"/>
      <c r="VKZ231" s="340"/>
      <c r="VLA231" s="340"/>
      <c r="VLB231" s="340"/>
      <c r="VLC231" s="340"/>
      <c r="VLD231" s="340"/>
      <c r="VLE231" s="340"/>
      <c r="VLF231" s="340"/>
      <c r="VLG231" s="340"/>
      <c r="VLH231" s="340"/>
      <c r="VLI231" s="340"/>
      <c r="VLJ231" s="340"/>
      <c r="VLK231" s="340"/>
      <c r="VLL231" s="340"/>
      <c r="VLM231" s="340"/>
      <c r="VLN231" s="340"/>
      <c r="VLO231" s="340"/>
      <c r="VLP231" s="340"/>
      <c r="VLQ231" s="340"/>
      <c r="VLR231" s="340"/>
      <c r="VLS231" s="340"/>
      <c r="VLT231" s="340"/>
      <c r="VLU231" s="340"/>
      <c r="VLV231" s="340"/>
      <c r="VLW231" s="340"/>
      <c r="VLX231" s="340"/>
      <c r="VLY231" s="340"/>
      <c r="VLZ231" s="340"/>
      <c r="VMA231" s="340"/>
      <c r="VMB231" s="340"/>
      <c r="VMC231" s="340"/>
      <c r="VMD231" s="340"/>
      <c r="VME231" s="340"/>
      <c r="VMF231" s="340"/>
      <c r="VMG231" s="340"/>
      <c r="VMH231" s="340"/>
      <c r="VMI231" s="340"/>
      <c r="VMJ231" s="340"/>
      <c r="VMK231" s="340"/>
      <c r="VML231" s="340"/>
      <c r="VMM231" s="340"/>
      <c r="VMN231" s="340"/>
      <c r="VMO231" s="340"/>
      <c r="VMP231" s="340"/>
      <c r="VMQ231" s="340"/>
      <c r="VMR231" s="340"/>
      <c r="VMS231" s="340"/>
      <c r="VMT231" s="340"/>
      <c r="VMU231" s="340"/>
      <c r="VMV231" s="340"/>
      <c r="VMW231" s="340"/>
      <c r="VMX231" s="340"/>
      <c r="VMY231" s="340"/>
      <c r="VMZ231" s="340"/>
      <c r="VNA231" s="340"/>
      <c r="VNB231" s="340"/>
      <c r="VNC231" s="340"/>
      <c r="VND231" s="340"/>
      <c r="VNE231" s="340"/>
      <c r="VNF231" s="340"/>
      <c r="VNG231" s="340"/>
      <c r="VNH231" s="340"/>
      <c r="VNI231" s="340"/>
      <c r="VNJ231" s="340"/>
      <c r="VNK231" s="340"/>
      <c r="VNL231" s="340"/>
      <c r="VNM231" s="340"/>
      <c r="VNN231" s="340"/>
      <c r="VNO231" s="340"/>
      <c r="VNP231" s="340"/>
      <c r="VNQ231" s="340"/>
      <c r="VNR231" s="340"/>
      <c r="VNS231" s="340"/>
      <c r="VNT231" s="340"/>
      <c r="VNU231" s="340"/>
      <c r="VNV231" s="340"/>
      <c r="VNW231" s="340"/>
      <c r="VNX231" s="340"/>
      <c r="VNY231" s="340"/>
      <c r="VNZ231" s="340"/>
      <c r="VOA231" s="340"/>
      <c r="VOB231" s="340"/>
      <c r="VOC231" s="340"/>
      <c r="VOD231" s="340"/>
      <c r="VOE231" s="340"/>
      <c r="VOF231" s="340"/>
      <c r="VOG231" s="340"/>
      <c r="VOH231" s="340"/>
      <c r="VOI231" s="340"/>
      <c r="VOJ231" s="340"/>
      <c r="VOK231" s="340"/>
      <c r="VOL231" s="340"/>
      <c r="VOM231" s="340"/>
      <c r="VON231" s="340"/>
      <c r="VOO231" s="340"/>
      <c r="VOP231" s="340"/>
      <c r="VOQ231" s="340"/>
      <c r="VOR231" s="340"/>
      <c r="VOS231" s="340"/>
      <c r="VOT231" s="340"/>
      <c r="VOU231" s="340"/>
      <c r="VOV231" s="340"/>
      <c r="VOW231" s="340"/>
      <c r="VOX231" s="340"/>
      <c r="VOY231" s="340"/>
      <c r="VOZ231" s="340"/>
      <c r="VPA231" s="340"/>
      <c r="VPB231" s="340"/>
      <c r="VPC231" s="340"/>
      <c r="VPD231" s="340"/>
      <c r="VPE231" s="340"/>
      <c r="VPF231" s="340"/>
      <c r="VPG231" s="340"/>
      <c r="VPH231" s="340"/>
      <c r="VPI231" s="340"/>
      <c r="VPJ231" s="340"/>
      <c r="VPK231" s="340"/>
      <c r="VPL231" s="340"/>
      <c r="VPM231" s="340"/>
      <c r="VPN231" s="340"/>
      <c r="VPO231" s="340"/>
      <c r="VPP231" s="340"/>
      <c r="VPQ231" s="340"/>
      <c r="VPR231" s="340"/>
      <c r="VPS231" s="340"/>
      <c r="VPT231" s="340"/>
      <c r="VPU231" s="340"/>
      <c r="VPV231" s="340"/>
      <c r="VPW231" s="340"/>
      <c r="VPX231" s="340"/>
      <c r="VPY231" s="340"/>
      <c r="VPZ231" s="340"/>
      <c r="VQA231" s="340"/>
      <c r="VQB231" s="340"/>
      <c r="VQC231" s="340"/>
      <c r="VQD231" s="340"/>
      <c r="VQE231" s="340"/>
      <c r="VQF231" s="340"/>
      <c r="VQG231" s="340"/>
      <c r="VQH231" s="340"/>
      <c r="VQI231" s="340"/>
      <c r="VQJ231" s="340"/>
      <c r="VQK231" s="340"/>
      <c r="VQL231" s="340"/>
      <c r="VQM231" s="340"/>
      <c r="VQN231" s="340"/>
      <c r="VQO231" s="340"/>
      <c r="VQP231" s="340"/>
      <c r="VQQ231" s="340"/>
      <c r="VQR231" s="340"/>
      <c r="VQS231" s="340"/>
      <c r="VQT231" s="340"/>
      <c r="VQU231" s="340"/>
      <c r="VQV231" s="340"/>
      <c r="VQW231" s="340"/>
      <c r="VQX231" s="340"/>
      <c r="VQY231" s="340"/>
      <c r="VQZ231" s="340"/>
      <c r="VRA231" s="340"/>
      <c r="VRB231" s="340"/>
      <c r="VRC231" s="340"/>
      <c r="VRD231" s="340"/>
      <c r="VRE231" s="340"/>
      <c r="VRF231" s="340"/>
      <c r="VRG231" s="340"/>
      <c r="VRH231" s="340"/>
      <c r="VRI231" s="340"/>
      <c r="VRJ231" s="340"/>
      <c r="VRK231" s="340"/>
      <c r="VRL231" s="340"/>
      <c r="VRM231" s="340"/>
      <c r="VRN231" s="340"/>
      <c r="VRO231" s="340"/>
      <c r="VRP231" s="340"/>
      <c r="VRQ231" s="340"/>
      <c r="VRR231" s="340"/>
      <c r="VRS231" s="340"/>
      <c r="VRT231" s="340"/>
      <c r="VRU231" s="340"/>
      <c r="VRV231" s="340"/>
      <c r="VRW231" s="340"/>
      <c r="VRX231" s="340"/>
      <c r="VRY231" s="340"/>
      <c r="VRZ231" s="340"/>
      <c r="VSA231" s="340"/>
      <c r="VSB231" s="340"/>
      <c r="VSC231" s="340"/>
      <c r="VSD231" s="340"/>
      <c r="VSE231" s="340"/>
      <c r="VSF231" s="340"/>
      <c r="VSG231" s="340"/>
      <c r="VSH231" s="340"/>
      <c r="VSI231" s="340"/>
      <c r="VSJ231" s="340"/>
      <c r="VSK231" s="340"/>
      <c r="VSL231" s="340"/>
      <c r="VSM231" s="340"/>
      <c r="VSN231" s="340"/>
      <c r="VSO231" s="340"/>
      <c r="VSP231" s="340"/>
      <c r="VSQ231" s="340"/>
      <c r="VSR231" s="340"/>
      <c r="VSS231" s="340"/>
      <c r="VST231" s="340"/>
      <c r="VSU231" s="340"/>
      <c r="VSV231" s="340"/>
      <c r="VSW231" s="340"/>
      <c r="VSX231" s="340"/>
      <c r="VSY231" s="340"/>
      <c r="VSZ231" s="340"/>
      <c r="VTA231" s="340"/>
      <c r="VTB231" s="340"/>
      <c r="VTC231" s="340"/>
      <c r="VTD231" s="340"/>
      <c r="VTE231" s="340"/>
      <c r="VTF231" s="340"/>
      <c r="VTG231" s="340"/>
      <c r="VTH231" s="340"/>
      <c r="VTI231" s="340"/>
      <c r="VTJ231" s="340"/>
      <c r="VTK231" s="340"/>
      <c r="VTL231" s="340"/>
      <c r="VTM231" s="340"/>
      <c r="VTN231" s="340"/>
      <c r="VTO231" s="340"/>
      <c r="VTP231" s="340"/>
      <c r="VTQ231" s="340"/>
      <c r="VTR231" s="340"/>
      <c r="VTS231" s="340"/>
      <c r="VTT231" s="340"/>
      <c r="VTU231" s="340"/>
      <c r="VTV231" s="340"/>
      <c r="VTW231" s="340"/>
      <c r="VTX231" s="340"/>
      <c r="VTY231" s="340"/>
      <c r="VTZ231" s="340"/>
      <c r="VUA231" s="340"/>
      <c r="VUB231" s="340"/>
      <c r="VUC231" s="340"/>
      <c r="VUD231" s="340"/>
      <c r="VUE231" s="340"/>
      <c r="VUF231" s="340"/>
      <c r="VUG231" s="340"/>
      <c r="VUH231" s="340"/>
      <c r="VUI231" s="340"/>
      <c r="VUJ231" s="340"/>
      <c r="VUK231" s="340"/>
      <c r="VUL231" s="340"/>
      <c r="VUM231" s="340"/>
      <c r="VUN231" s="340"/>
      <c r="VUO231" s="340"/>
      <c r="VUP231" s="340"/>
      <c r="VUQ231" s="340"/>
      <c r="VUR231" s="340"/>
      <c r="VUS231" s="340"/>
      <c r="VUT231" s="340"/>
      <c r="VUU231" s="340"/>
      <c r="VUV231" s="340"/>
      <c r="VUW231" s="340"/>
      <c r="VUX231" s="340"/>
      <c r="VUY231" s="340"/>
      <c r="VUZ231" s="340"/>
      <c r="VVA231" s="340"/>
      <c r="VVB231" s="340"/>
      <c r="VVC231" s="340"/>
      <c r="VVD231" s="340"/>
      <c r="VVE231" s="340"/>
      <c r="VVF231" s="340"/>
      <c r="VVG231" s="340"/>
      <c r="VVH231" s="340"/>
      <c r="VVI231" s="340"/>
      <c r="VVJ231" s="340"/>
      <c r="VVK231" s="340"/>
      <c r="VVL231" s="340"/>
      <c r="VVM231" s="340"/>
      <c r="VVN231" s="340"/>
      <c r="VVO231" s="340"/>
      <c r="VVP231" s="340"/>
      <c r="VVQ231" s="340"/>
      <c r="VVR231" s="340"/>
      <c r="VVS231" s="340"/>
      <c r="VVT231" s="340"/>
      <c r="VVU231" s="340"/>
      <c r="VVV231" s="340"/>
      <c r="VVW231" s="340"/>
      <c r="VVX231" s="340"/>
      <c r="VVY231" s="340"/>
      <c r="VVZ231" s="340"/>
      <c r="VWA231" s="340"/>
      <c r="VWB231" s="340"/>
      <c r="VWC231" s="340"/>
      <c r="VWD231" s="340"/>
      <c r="VWE231" s="340"/>
      <c r="VWF231" s="340"/>
      <c r="VWG231" s="340"/>
      <c r="VWH231" s="340"/>
      <c r="VWI231" s="340"/>
      <c r="VWJ231" s="340"/>
      <c r="VWK231" s="340"/>
      <c r="VWL231" s="340"/>
      <c r="VWM231" s="340"/>
      <c r="VWN231" s="340"/>
      <c r="VWO231" s="340"/>
      <c r="VWP231" s="340"/>
      <c r="VWQ231" s="340"/>
      <c r="VWR231" s="340"/>
      <c r="VWS231" s="340"/>
      <c r="VWT231" s="340"/>
      <c r="VWU231" s="340"/>
      <c r="VWV231" s="340"/>
      <c r="VWW231" s="340"/>
      <c r="VWX231" s="340"/>
      <c r="VWY231" s="340"/>
      <c r="VWZ231" s="340"/>
      <c r="VXA231" s="340"/>
      <c r="VXB231" s="340"/>
      <c r="VXC231" s="340"/>
      <c r="VXD231" s="340"/>
      <c r="VXE231" s="340"/>
      <c r="VXF231" s="340"/>
      <c r="VXG231" s="340"/>
      <c r="VXH231" s="340"/>
      <c r="VXI231" s="340"/>
      <c r="VXJ231" s="340"/>
      <c r="VXK231" s="340"/>
      <c r="VXL231" s="340"/>
      <c r="VXM231" s="340"/>
      <c r="VXN231" s="340"/>
      <c r="VXO231" s="340"/>
      <c r="VXP231" s="340"/>
      <c r="VXQ231" s="340"/>
      <c r="VXR231" s="340"/>
      <c r="VXS231" s="340"/>
      <c r="VXT231" s="340"/>
      <c r="VXU231" s="340"/>
      <c r="VXV231" s="340"/>
      <c r="VXW231" s="340"/>
      <c r="VXX231" s="340"/>
      <c r="VXY231" s="340"/>
      <c r="VXZ231" s="340"/>
      <c r="VYA231" s="340"/>
      <c r="VYB231" s="340"/>
      <c r="VYC231" s="340"/>
      <c r="VYD231" s="340"/>
      <c r="VYE231" s="340"/>
      <c r="VYF231" s="340"/>
      <c r="VYG231" s="340"/>
      <c r="VYH231" s="340"/>
      <c r="VYI231" s="340"/>
      <c r="VYJ231" s="340"/>
      <c r="VYK231" s="340"/>
      <c r="VYL231" s="340"/>
      <c r="VYM231" s="340"/>
      <c r="VYN231" s="340"/>
      <c r="VYO231" s="340"/>
      <c r="VYP231" s="340"/>
      <c r="VYQ231" s="340"/>
      <c r="VYR231" s="340"/>
      <c r="VYS231" s="340"/>
      <c r="VYT231" s="340"/>
      <c r="VYU231" s="340"/>
      <c r="VYV231" s="340"/>
      <c r="VYW231" s="340"/>
      <c r="VYX231" s="340"/>
      <c r="VYY231" s="340"/>
      <c r="VYZ231" s="340"/>
      <c r="VZA231" s="340"/>
      <c r="VZB231" s="340"/>
      <c r="VZC231" s="340"/>
      <c r="VZD231" s="340"/>
      <c r="VZE231" s="340"/>
      <c r="VZF231" s="340"/>
      <c r="VZG231" s="340"/>
      <c r="VZH231" s="340"/>
      <c r="VZI231" s="340"/>
      <c r="VZJ231" s="340"/>
      <c r="VZK231" s="340"/>
      <c r="VZL231" s="340"/>
      <c r="VZM231" s="340"/>
      <c r="VZN231" s="340"/>
      <c r="VZO231" s="340"/>
      <c r="VZP231" s="340"/>
      <c r="VZQ231" s="340"/>
      <c r="VZR231" s="340"/>
      <c r="VZS231" s="340"/>
      <c r="VZT231" s="340"/>
      <c r="VZU231" s="340"/>
      <c r="VZV231" s="340"/>
      <c r="VZW231" s="340"/>
      <c r="VZX231" s="340"/>
      <c r="VZY231" s="340"/>
      <c r="VZZ231" s="340"/>
      <c r="WAA231" s="340"/>
      <c r="WAB231" s="340"/>
      <c r="WAC231" s="340"/>
      <c r="WAD231" s="340"/>
      <c r="WAE231" s="340"/>
      <c r="WAF231" s="340"/>
      <c r="WAG231" s="340"/>
      <c r="WAH231" s="340"/>
      <c r="WAI231" s="340"/>
      <c r="WAJ231" s="340"/>
      <c r="WAK231" s="340"/>
      <c r="WAL231" s="340"/>
      <c r="WAM231" s="340"/>
      <c r="WAN231" s="340"/>
      <c r="WAO231" s="340"/>
      <c r="WAP231" s="340"/>
      <c r="WAQ231" s="340"/>
      <c r="WAR231" s="340"/>
      <c r="WAS231" s="340"/>
      <c r="WAT231" s="340"/>
      <c r="WAU231" s="340"/>
      <c r="WAV231" s="340"/>
      <c r="WAW231" s="340"/>
      <c r="WAX231" s="340"/>
      <c r="WAY231" s="340"/>
      <c r="WAZ231" s="340"/>
      <c r="WBA231" s="340"/>
      <c r="WBB231" s="340"/>
      <c r="WBC231" s="340"/>
      <c r="WBD231" s="340"/>
      <c r="WBE231" s="340"/>
      <c r="WBF231" s="340"/>
      <c r="WBG231" s="340"/>
      <c r="WBH231" s="340"/>
      <c r="WBI231" s="340"/>
      <c r="WBJ231" s="340"/>
      <c r="WBK231" s="340"/>
      <c r="WBL231" s="340"/>
      <c r="WBM231" s="340"/>
      <c r="WBN231" s="340"/>
      <c r="WBO231" s="340"/>
      <c r="WBP231" s="340"/>
      <c r="WBQ231" s="340"/>
      <c r="WBR231" s="340"/>
      <c r="WBS231" s="340"/>
      <c r="WBT231" s="340"/>
      <c r="WBU231" s="340"/>
      <c r="WBV231" s="340"/>
      <c r="WBW231" s="340"/>
      <c r="WBX231" s="340"/>
      <c r="WBY231" s="340"/>
      <c r="WBZ231" s="340"/>
      <c r="WCA231" s="340"/>
      <c r="WCB231" s="340"/>
      <c r="WCC231" s="340"/>
      <c r="WCD231" s="340"/>
      <c r="WCE231" s="340"/>
      <c r="WCF231" s="340"/>
      <c r="WCG231" s="340"/>
      <c r="WCH231" s="340"/>
      <c r="WCI231" s="340"/>
      <c r="WCJ231" s="340"/>
      <c r="WCK231" s="340"/>
      <c r="WCL231" s="340"/>
      <c r="WCM231" s="340"/>
      <c r="WCN231" s="340"/>
      <c r="WCO231" s="340"/>
      <c r="WCP231" s="340"/>
      <c r="WCQ231" s="340"/>
      <c r="WCR231" s="340"/>
      <c r="WCS231" s="340"/>
      <c r="WCT231" s="340"/>
      <c r="WCU231" s="340"/>
      <c r="WCV231" s="340"/>
      <c r="WCW231" s="340"/>
      <c r="WCX231" s="340"/>
      <c r="WCY231" s="340"/>
      <c r="WCZ231" s="340"/>
      <c r="WDA231" s="340"/>
      <c r="WDB231" s="340"/>
      <c r="WDC231" s="340"/>
      <c r="WDD231" s="340"/>
      <c r="WDE231" s="340"/>
      <c r="WDF231" s="340"/>
      <c r="WDG231" s="340"/>
      <c r="WDH231" s="340"/>
      <c r="WDI231" s="340"/>
      <c r="WDJ231" s="340"/>
      <c r="WDK231" s="340"/>
      <c r="WDL231" s="340"/>
      <c r="WDM231" s="340"/>
      <c r="WDN231" s="340"/>
      <c r="WDO231" s="340"/>
      <c r="WDP231" s="340"/>
      <c r="WDQ231" s="340"/>
      <c r="WDR231" s="340"/>
      <c r="WDS231" s="340"/>
      <c r="WDT231" s="340"/>
      <c r="WDU231" s="340"/>
      <c r="WDV231" s="340"/>
      <c r="WDW231" s="340"/>
      <c r="WDX231" s="340"/>
      <c r="WDY231" s="340"/>
      <c r="WDZ231" s="340"/>
      <c r="WEA231" s="340"/>
      <c r="WEB231" s="340"/>
      <c r="WEC231" s="340"/>
      <c r="WED231" s="340"/>
      <c r="WEE231" s="340"/>
      <c r="WEF231" s="340"/>
      <c r="WEG231" s="340"/>
      <c r="WEH231" s="340"/>
      <c r="WEI231" s="340"/>
      <c r="WEJ231" s="340"/>
      <c r="WEK231" s="340"/>
      <c r="WEL231" s="340"/>
      <c r="WEM231" s="340"/>
      <c r="WEN231" s="340"/>
      <c r="WEO231" s="340"/>
      <c r="WEP231" s="340"/>
      <c r="WEQ231" s="340"/>
      <c r="WER231" s="340"/>
      <c r="WES231" s="340"/>
      <c r="WET231" s="340"/>
      <c r="WEU231" s="340"/>
      <c r="WEV231" s="340"/>
      <c r="WEW231" s="340"/>
      <c r="WEX231" s="340"/>
      <c r="WEY231" s="340"/>
      <c r="WEZ231" s="340"/>
      <c r="WFA231" s="340"/>
      <c r="WFB231" s="340"/>
      <c r="WFC231" s="340"/>
      <c r="WFD231" s="340"/>
      <c r="WFE231" s="340"/>
      <c r="WFF231" s="340"/>
      <c r="WFG231" s="340"/>
      <c r="WFH231" s="340"/>
      <c r="WFI231" s="340"/>
      <c r="WFJ231" s="340"/>
      <c r="WFK231" s="340"/>
      <c r="WFL231" s="340"/>
      <c r="WFM231" s="340"/>
      <c r="WFN231" s="340"/>
      <c r="WFO231" s="340"/>
      <c r="WFP231" s="340"/>
      <c r="WFQ231" s="340"/>
      <c r="WFR231" s="340"/>
      <c r="WFS231" s="340"/>
      <c r="WFT231" s="340"/>
      <c r="WFU231" s="340"/>
      <c r="WFV231" s="340"/>
      <c r="WFW231" s="340"/>
      <c r="WFX231" s="340"/>
      <c r="WFY231" s="340"/>
      <c r="WFZ231" s="340"/>
      <c r="WGA231" s="340"/>
      <c r="WGB231" s="340"/>
      <c r="WGC231" s="340"/>
      <c r="WGD231" s="340"/>
      <c r="WGE231" s="340"/>
      <c r="WGF231" s="340"/>
      <c r="WGG231" s="340"/>
      <c r="WGH231" s="340"/>
      <c r="WGI231" s="340"/>
      <c r="WGJ231" s="340"/>
      <c r="WGK231" s="340"/>
      <c r="WGL231" s="340"/>
      <c r="WGM231" s="340"/>
      <c r="WGN231" s="340"/>
      <c r="WGO231" s="340"/>
      <c r="WGP231" s="340"/>
      <c r="WGQ231" s="340"/>
      <c r="WGR231" s="340"/>
      <c r="WGS231" s="340"/>
      <c r="WGT231" s="340"/>
      <c r="WGU231" s="340"/>
      <c r="WGV231" s="340"/>
      <c r="WGW231" s="340"/>
      <c r="WGX231" s="340"/>
      <c r="WGY231" s="340"/>
      <c r="WGZ231" s="340"/>
      <c r="WHA231" s="340"/>
      <c r="WHB231" s="340"/>
      <c r="WHC231" s="340"/>
      <c r="WHD231" s="340"/>
      <c r="WHE231" s="340"/>
      <c r="WHF231" s="340"/>
      <c r="WHG231" s="340"/>
      <c r="WHH231" s="340"/>
      <c r="WHI231" s="340"/>
      <c r="WHJ231" s="340"/>
      <c r="WHK231" s="340"/>
      <c r="WHL231" s="340"/>
      <c r="WHM231" s="340"/>
      <c r="WHN231" s="340"/>
      <c r="WHO231" s="340"/>
      <c r="WHP231" s="340"/>
      <c r="WHQ231" s="340"/>
      <c r="WHR231" s="340"/>
      <c r="WHS231" s="340"/>
      <c r="WHT231" s="340"/>
      <c r="WHU231" s="340"/>
      <c r="WHV231" s="340"/>
      <c r="WHW231" s="340"/>
      <c r="WHX231" s="340"/>
      <c r="WHY231" s="340"/>
      <c r="WHZ231" s="340"/>
      <c r="WIA231" s="340"/>
      <c r="WIB231" s="340"/>
      <c r="WIC231" s="340"/>
      <c r="WID231" s="340"/>
      <c r="WIE231" s="340"/>
      <c r="WIF231" s="340"/>
      <c r="WIG231" s="340"/>
      <c r="WIH231" s="340"/>
      <c r="WII231" s="340"/>
      <c r="WIJ231" s="340"/>
      <c r="WIK231" s="340"/>
      <c r="WIL231" s="340"/>
      <c r="WIM231" s="340"/>
      <c r="WIN231" s="340"/>
      <c r="WIO231" s="340"/>
      <c r="WIP231" s="340"/>
      <c r="WIQ231" s="340"/>
      <c r="WIR231" s="340"/>
      <c r="WIS231" s="340"/>
      <c r="WIT231" s="340"/>
      <c r="WIU231" s="340"/>
      <c r="WIV231" s="340"/>
      <c r="WIW231" s="340"/>
      <c r="WIX231" s="340"/>
      <c r="WIY231" s="340"/>
      <c r="WIZ231" s="340"/>
      <c r="WJA231" s="340"/>
      <c r="WJB231" s="340"/>
      <c r="WJC231" s="340"/>
      <c r="WJD231" s="340"/>
      <c r="WJE231" s="340"/>
      <c r="WJF231" s="340"/>
      <c r="WJG231" s="340"/>
      <c r="WJH231" s="340"/>
      <c r="WJI231" s="340"/>
      <c r="WJJ231" s="340"/>
      <c r="WJK231" s="340"/>
      <c r="WJL231" s="340"/>
      <c r="WJM231" s="340"/>
      <c r="WJN231" s="340"/>
      <c r="WJO231" s="340"/>
      <c r="WJP231" s="340"/>
      <c r="WJQ231" s="340"/>
      <c r="WJR231" s="340"/>
      <c r="WJS231" s="340"/>
      <c r="WJT231" s="340"/>
      <c r="WJU231" s="340"/>
      <c r="WJV231" s="340"/>
      <c r="WJW231" s="340"/>
      <c r="WJX231" s="340"/>
      <c r="WJY231" s="340"/>
      <c r="WJZ231" s="340"/>
      <c r="WKA231" s="340"/>
      <c r="WKB231" s="340"/>
      <c r="WKC231" s="340"/>
      <c r="WKD231" s="340"/>
      <c r="WKE231" s="340"/>
      <c r="WKF231" s="340"/>
      <c r="WKG231" s="340"/>
      <c r="WKH231" s="340"/>
      <c r="WKI231" s="340"/>
      <c r="WKJ231" s="340"/>
      <c r="WKK231" s="340"/>
      <c r="WKL231" s="340"/>
      <c r="WKM231" s="340"/>
      <c r="WKN231" s="340"/>
      <c r="WKO231" s="340"/>
      <c r="WKP231" s="340"/>
      <c r="WKQ231" s="340"/>
      <c r="WKR231" s="340"/>
      <c r="WKS231" s="340"/>
      <c r="WKT231" s="340"/>
      <c r="WKU231" s="340"/>
      <c r="WKV231" s="340"/>
      <c r="WKW231" s="340"/>
      <c r="WKX231" s="340"/>
      <c r="WKY231" s="340"/>
      <c r="WKZ231" s="340"/>
      <c r="WLA231" s="340"/>
      <c r="WLB231" s="340"/>
      <c r="WLC231" s="340"/>
      <c r="WLD231" s="340"/>
      <c r="WLE231" s="340"/>
      <c r="WLF231" s="340"/>
      <c r="WLG231" s="340"/>
      <c r="WLH231" s="340"/>
      <c r="WLI231" s="340"/>
      <c r="WLJ231" s="340"/>
      <c r="WLK231" s="340"/>
      <c r="WLL231" s="340"/>
      <c r="WLM231" s="340"/>
      <c r="WLN231" s="340"/>
      <c r="WLO231" s="340"/>
      <c r="WLP231" s="340"/>
      <c r="WLQ231" s="340"/>
      <c r="WLR231" s="340"/>
      <c r="WLS231" s="340"/>
      <c r="WLT231" s="340"/>
      <c r="WLU231" s="340"/>
      <c r="WLV231" s="340"/>
      <c r="WLW231" s="340"/>
      <c r="WLX231" s="340"/>
      <c r="WLY231" s="340"/>
      <c r="WLZ231" s="340"/>
      <c r="WMA231" s="340"/>
      <c r="WMB231" s="340"/>
      <c r="WMC231" s="340"/>
      <c r="WMD231" s="340"/>
      <c r="WME231" s="340"/>
      <c r="WMF231" s="340"/>
      <c r="WMG231" s="340"/>
      <c r="WMH231" s="340"/>
      <c r="WMI231" s="340"/>
      <c r="WMJ231" s="340"/>
      <c r="WMK231" s="340"/>
      <c r="WML231" s="340"/>
      <c r="WMM231" s="340"/>
      <c r="WMN231" s="340"/>
      <c r="WMO231" s="340"/>
      <c r="WMP231" s="340"/>
      <c r="WMQ231" s="340"/>
      <c r="WMR231" s="340"/>
      <c r="WMS231" s="340"/>
      <c r="WMT231" s="340"/>
      <c r="WMU231" s="340"/>
      <c r="WMV231" s="340"/>
      <c r="WMW231" s="340"/>
      <c r="WMX231" s="340"/>
      <c r="WMY231" s="340"/>
      <c r="WMZ231" s="340"/>
      <c r="WNA231" s="340"/>
      <c r="WNB231" s="340"/>
      <c r="WNC231" s="340"/>
      <c r="WND231" s="340"/>
      <c r="WNE231" s="340"/>
      <c r="WNF231" s="340"/>
      <c r="WNG231" s="340"/>
      <c r="WNH231" s="340"/>
      <c r="WNI231" s="340"/>
      <c r="WNJ231" s="340"/>
      <c r="WNK231" s="340"/>
      <c r="WNL231" s="340"/>
      <c r="WNM231" s="340"/>
      <c r="WNN231" s="340"/>
      <c r="WNO231" s="340"/>
      <c r="WNP231" s="340"/>
      <c r="WNQ231" s="340"/>
      <c r="WNR231" s="340"/>
      <c r="WNS231" s="340"/>
      <c r="WNT231" s="340"/>
      <c r="WNU231" s="340"/>
      <c r="WNV231" s="340"/>
      <c r="WNW231" s="340"/>
      <c r="WNX231" s="340"/>
      <c r="WNY231" s="340"/>
      <c r="WNZ231" s="340"/>
      <c r="WOA231" s="340"/>
      <c r="WOB231" s="340"/>
      <c r="WOC231" s="340"/>
      <c r="WOD231" s="340"/>
      <c r="WOE231" s="340"/>
      <c r="WOF231" s="340"/>
      <c r="WOG231" s="340"/>
      <c r="WOH231" s="340"/>
      <c r="WOI231" s="340"/>
      <c r="WOJ231" s="340"/>
      <c r="WOK231" s="340"/>
      <c r="WOL231" s="340"/>
      <c r="WOM231" s="340"/>
      <c r="WON231" s="340"/>
      <c r="WOO231" s="340"/>
      <c r="WOP231" s="340"/>
      <c r="WOQ231" s="340"/>
      <c r="WOR231" s="340"/>
      <c r="WOS231" s="340"/>
      <c r="WOT231" s="340"/>
      <c r="WOU231" s="340"/>
      <c r="WOV231" s="340"/>
      <c r="WOW231" s="340"/>
      <c r="WOX231" s="340"/>
      <c r="WOY231" s="340"/>
      <c r="WOZ231" s="340"/>
      <c r="WPA231" s="340"/>
      <c r="WPB231" s="340"/>
      <c r="WPC231" s="340"/>
      <c r="WPD231" s="340"/>
      <c r="WPE231" s="340"/>
      <c r="WPF231" s="340"/>
      <c r="WPG231" s="340"/>
      <c r="WPH231" s="340"/>
      <c r="WPI231" s="340"/>
      <c r="WPJ231" s="340"/>
      <c r="WPK231" s="340"/>
      <c r="WPL231" s="340"/>
      <c r="WPM231" s="340"/>
      <c r="WPN231" s="340"/>
      <c r="WPO231" s="340"/>
      <c r="WPP231" s="340"/>
      <c r="WPQ231" s="340"/>
      <c r="WPR231" s="340"/>
      <c r="WPS231" s="340"/>
      <c r="WPT231" s="340"/>
      <c r="WPU231" s="340"/>
      <c r="WPV231" s="340"/>
      <c r="WPW231" s="340"/>
      <c r="WPX231" s="340"/>
      <c r="WPY231" s="340"/>
      <c r="WPZ231" s="340"/>
      <c r="WQA231" s="340"/>
      <c r="WQB231" s="340"/>
      <c r="WQC231" s="340"/>
      <c r="WQD231" s="340"/>
      <c r="WQE231" s="340"/>
      <c r="WQF231" s="340"/>
      <c r="WQG231" s="340"/>
      <c r="WQH231" s="340"/>
      <c r="WQI231" s="340"/>
      <c r="WQJ231" s="340"/>
      <c r="WQK231" s="340"/>
      <c r="WQL231" s="340"/>
      <c r="WQM231" s="340"/>
      <c r="WQN231" s="340"/>
      <c r="WQO231" s="340"/>
      <c r="WQP231" s="340"/>
      <c r="WQQ231" s="340"/>
      <c r="WQR231" s="340"/>
      <c r="WQS231" s="340"/>
      <c r="WQT231" s="340"/>
      <c r="WQU231" s="340"/>
      <c r="WQV231" s="340"/>
      <c r="WQW231" s="340"/>
      <c r="WQX231" s="340"/>
      <c r="WQY231" s="340"/>
      <c r="WQZ231" s="340"/>
      <c r="WRA231" s="340"/>
      <c r="WRB231" s="340"/>
      <c r="WRC231" s="340"/>
      <c r="WRD231" s="340"/>
      <c r="WRE231" s="340"/>
      <c r="WRF231" s="340"/>
      <c r="WRG231" s="340"/>
      <c r="WRH231" s="340"/>
      <c r="WRI231" s="340"/>
      <c r="WRJ231" s="340"/>
      <c r="WRK231" s="340"/>
      <c r="WRL231" s="340"/>
      <c r="WRM231" s="340"/>
      <c r="WRN231" s="340"/>
      <c r="WRO231" s="340"/>
      <c r="WRP231" s="340"/>
      <c r="WRQ231" s="340"/>
      <c r="WRR231" s="340"/>
      <c r="WRS231" s="340"/>
      <c r="WRT231" s="340"/>
      <c r="WRU231" s="340"/>
      <c r="WRV231" s="340"/>
      <c r="WRW231" s="340"/>
      <c r="WRX231" s="340"/>
      <c r="WRY231" s="340"/>
      <c r="WRZ231" s="340"/>
      <c r="WSA231" s="340"/>
      <c r="WSB231" s="340"/>
      <c r="WSC231" s="340"/>
      <c r="WSD231" s="340"/>
      <c r="WSE231" s="340"/>
      <c r="WSF231" s="340"/>
      <c r="WSG231" s="340"/>
      <c r="WSH231" s="340"/>
      <c r="WSI231" s="340"/>
      <c r="WSJ231" s="340"/>
      <c r="WSK231" s="340"/>
      <c r="WSL231" s="340"/>
      <c r="WSM231" s="340"/>
      <c r="WSN231" s="340"/>
      <c r="WSO231" s="340"/>
      <c r="WSP231" s="340"/>
      <c r="WSQ231" s="340"/>
      <c r="WSR231" s="340"/>
      <c r="WSS231" s="340"/>
      <c r="WST231" s="340"/>
      <c r="WSU231" s="340"/>
      <c r="WSV231" s="340"/>
      <c r="WSW231" s="340"/>
      <c r="WSX231" s="340"/>
      <c r="WSY231" s="340"/>
      <c r="WSZ231" s="340"/>
      <c r="WTA231" s="340"/>
      <c r="WTB231" s="340"/>
      <c r="WTC231" s="340"/>
      <c r="WTD231" s="340"/>
      <c r="WTE231" s="340"/>
      <c r="WTF231" s="340"/>
      <c r="WTG231" s="340"/>
      <c r="WTH231" s="340"/>
      <c r="WTI231" s="340"/>
      <c r="WTJ231" s="340"/>
      <c r="WTK231" s="340"/>
      <c r="WTL231" s="340"/>
      <c r="WTM231" s="340"/>
      <c r="WTN231" s="340"/>
      <c r="WTO231" s="340"/>
      <c r="WTP231" s="340"/>
      <c r="WTQ231" s="340"/>
      <c r="WTR231" s="340"/>
      <c r="WTS231" s="340"/>
      <c r="WTT231" s="340"/>
      <c r="WTU231" s="340"/>
      <c r="WTV231" s="340"/>
      <c r="WTW231" s="340"/>
      <c r="WTX231" s="340"/>
      <c r="WTY231" s="340"/>
      <c r="WTZ231" s="340"/>
      <c r="WUA231" s="340"/>
      <c r="WUB231" s="340"/>
      <c r="WUC231" s="340"/>
      <c r="WUD231" s="340"/>
      <c r="WUE231" s="340"/>
      <c r="WUF231" s="340"/>
      <c r="WUG231" s="340"/>
      <c r="WUH231" s="340"/>
      <c r="WUI231" s="340"/>
      <c r="WUJ231" s="340"/>
      <c r="WUK231" s="340"/>
      <c r="WUL231" s="340"/>
      <c r="WUM231" s="340"/>
      <c r="WUN231" s="340"/>
      <c r="WUO231" s="340"/>
      <c r="WUP231" s="340"/>
      <c r="WUQ231" s="340"/>
      <c r="WUR231" s="340"/>
      <c r="WUS231" s="340"/>
      <c r="WUT231" s="340"/>
      <c r="WUU231" s="340"/>
      <c r="WUV231" s="340"/>
      <c r="WUW231" s="340"/>
      <c r="WUX231" s="340"/>
      <c r="WUY231" s="340"/>
      <c r="WUZ231" s="340"/>
      <c r="WVA231" s="340"/>
      <c r="WVB231" s="340"/>
      <c r="WVC231" s="340"/>
      <c r="WVD231" s="340"/>
      <c r="WVE231" s="340"/>
      <c r="WVF231" s="340"/>
      <c r="WVG231" s="340"/>
      <c r="WVH231" s="340"/>
      <c r="WVI231" s="340"/>
      <c r="WVJ231" s="340"/>
      <c r="WVK231" s="340"/>
      <c r="WVL231" s="340"/>
      <c r="WVM231" s="340"/>
      <c r="WVN231" s="340"/>
      <c r="WVO231" s="340"/>
      <c r="WVP231" s="340"/>
      <c r="WVQ231" s="340"/>
      <c r="WVR231" s="340"/>
      <c r="WVS231" s="340"/>
      <c r="WVT231" s="340"/>
      <c r="WVU231" s="340"/>
      <c r="WVV231" s="340"/>
      <c r="WVW231" s="340"/>
      <c r="WVX231" s="340"/>
      <c r="WVY231" s="340"/>
      <c r="WVZ231" s="340"/>
      <c r="WWA231" s="340"/>
      <c r="WWB231" s="340"/>
      <c r="WWC231" s="340"/>
      <c r="WWD231" s="340"/>
      <c r="WWE231" s="340"/>
      <c r="WWF231" s="340"/>
      <c r="WWG231" s="340"/>
      <c r="WWH231" s="340"/>
      <c r="WWI231" s="340"/>
      <c r="WWJ231" s="340"/>
      <c r="WWK231" s="340"/>
      <c r="WWL231" s="340"/>
      <c r="WWM231" s="340"/>
      <c r="WWN231" s="340"/>
      <c r="WWO231" s="340"/>
      <c r="WWP231" s="340"/>
      <c r="WWQ231" s="340"/>
      <c r="WWR231" s="340"/>
      <c r="WWS231" s="340"/>
      <c r="WWT231" s="340"/>
      <c r="WWU231" s="340"/>
      <c r="WWV231" s="340"/>
      <c r="WWW231" s="340"/>
      <c r="WWX231" s="340"/>
      <c r="WWY231" s="340"/>
      <c r="WWZ231" s="340"/>
      <c r="WXA231" s="340"/>
      <c r="WXB231" s="340"/>
      <c r="WXC231" s="340"/>
      <c r="WXD231" s="340"/>
      <c r="WXE231" s="340"/>
      <c r="WXF231" s="340"/>
      <c r="WXG231" s="340"/>
      <c r="WXH231" s="340"/>
      <c r="WXI231" s="340"/>
      <c r="WXJ231" s="340"/>
      <c r="WXK231" s="340"/>
      <c r="WXL231" s="340"/>
      <c r="WXM231" s="340"/>
      <c r="WXN231" s="340"/>
      <c r="WXO231" s="340"/>
      <c r="WXP231" s="340"/>
      <c r="WXQ231" s="340"/>
      <c r="WXR231" s="340"/>
      <c r="WXS231" s="340"/>
      <c r="WXT231" s="340"/>
      <c r="WXU231" s="340"/>
      <c r="WXV231" s="340"/>
      <c r="WXW231" s="340"/>
      <c r="WXX231" s="340"/>
      <c r="WXY231" s="340"/>
      <c r="WXZ231" s="340"/>
      <c r="WYA231" s="340"/>
      <c r="WYB231" s="340"/>
      <c r="WYC231" s="340"/>
      <c r="WYD231" s="340"/>
      <c r="WYE231" s="340"/>
      <c r="WYF231" s="340"/>
      <c r="WYG231" s="340"/>
      <c r="WYH231" s="340"/>
      <c r="WYI231" s="340"/>
      <c r="WYJ231" s="340"/>
      <c r="WYK231" s="340"/>
      <c r="WYL231" s="340"/>
      <c r="WYM231" s="340"/>
      <c r="WYN231" s="340"/>
      <c r="WYO231" s="340"/>
      <c r="WYP231" s="340"/>
      <c r="WYQ231" s="340"/>
      <c r="WYR231" s="340"/>
      <c r="WYS231" s="340"/>
      <c r="WYT231" s="340"/>
      <c r="WYU231" s="340"/>
      <c r="WYV231" s="340"/>
      <c r="WYW231" s="340"/>
      <c r="WYX231" s="340"/>
      <c r="WYY231" s="340"/>
      <c r="WYZ231" s="340"/>
      <c r="WZA231" s="340"/>
      <c r="WZB231" s="340"/>
      <c r="WZC231" s="340"/>
      <c r="WZD231" s="340"/>
      <c r="WZE231" s="340"/>
      <c r="WZF231" s="340"/>
      <c r="WZG231" s="340"/>
      <c r="WZH231" s="340"/>
      <c r="WZI231" s="340"/>
      <c r="WZJ231" s="340"/>
      <c r="WZK231" s="340"/>
      <c r="WZL231" s="340"/>
      <c r="WZM231" s="340"/>
      <c r="WZN231" s="340"/>
      <c r="WZO231" s="340"/>
      <c r="WZP231" s="340"/>
      <c r="WZQ231" s="340"/>
      <c r="WZR231" s="340"/>
      <c r="WZS231" s="340"/>
      <c r="WZT231" s="340"/>
      <c r="WZU231" s="340"/>
      <c r="WZV231" s="340"/>
      <c r="WZW231" s="340"/>
      <c r="WZX231" s="340"/>
      <c r="WZY231" s="340"/>
      <c r="WZZ231" s="340"/>
      <c r="XAA231" s="340"/>
      <c r="XAB231" s="340"/>
      <c r="XAC231" s="340"/>
      <c r="XAD231" s="340"/>
      <c r="XAE231" s="340"/>
      <c r="XAF231" s="340"/>
      <c r="XAG231" s="340"/>
      <c r="XAH231" s="340"/>
      <c r="XAI231" s="340"/>
      <c r="XAJ231" s="340"/>
      <c r="XAK231" s="340"/>
      <c r="XAL231" s="340"/>
      <c r="XAM231" s="340"/>
      <c r="XAN231" s="340"/>
      <c r="XAO231" s="340"/>
      <c r="XAP231" s="340"/>
      <c r="XAQ231" s="340"/>
      <c r="XAR231" s="340"/>
      <c r="XAS231" s="340"/>
      <c r="XAT231" s="340"/>
      <c r="XAU231" s="340"/>
      <c r="XAV231" s="340"/>
      <c r="XAW231" s="340"/>
      <c r="XAX231" s="340"/>
      <c r="XAY231" s="340"/>
      <c r="XAZ231" s="340"/>
      <c r="XBA231" s="340"/>
      <c r="XBB231" s="340"/>
      <c r="XBC231" s="340"/>
      <c r="XBD231" s="340"/>
      <c r="XBE231" s="340"/>
      <c r="XBF231" s="340"/>
      <c r="XBG231" s="340"/>
      <c r="XBH231" s="340"/>
      <c r="XBI231" s="340"/>
      <c r="XBJ231" s="340"/>
      <c r="XBK231" s="340"/>
      <c r="XBL231" s="340"/>
      <c r="XBM231" s="340"/>
      <c r="XBN231" s="340"/>
      <c r="XBO231" s="340"/>
      <c r="XBP231" s="340"/>
      <c r="XBQ231" s="340"/>
      <c r="XBR231" s="340"/>
      <c r="XBS231" s="340"/>
      <c r="XBT231" s="340"/>
      <c r="XBU231" s="340"/>
      <c r="XBV231" s="340"/>
      <c r="XBW231" s="340"/>
      <c r="XBX231" s="340"/>
      <c r="XBY231" s="340"/>
      <c r="XBZ231" s="340"/>
      <c r="XCA231" s="340"/>
      <c r="XCB231" s="340"/>
      <c r="XCC231" s="340"/>
      <c r="XCD231" s="340"/>
      <c r="XCE231" s="340"/>
      <c r="XCF231" s="340"/>
      <c r="XCG231" s="340"/>
      <c r="XCH231" s="340"/>
      <c r="XCI231" s="340"/>
      <c r="XCJ231" s="340"/>
      <c r="XCK231" s="340"/>
      <c r="XCL231" s="340"/>
      <c r="XCM231" s="340"/>
      <c r="XCN231" s="340"/>
      <c r="XCO231" s="340"/>
      <c r="XCP231" s="340"/>
      <c r="XCQ231" s="340"/>
      <c r="XCR231" s="340"/>
      <c r="XCS231" s="340"/>
      <c r="XCT231" s="340"/>
      <c r="XCU231" s="340"/>
      <c r="XCV231" s="340"/>
      <c r="XCW231" s="340"/>
      <c r="XCX231" s="340"/>
      <c r="XCY231" s="340"/>
      <c r="XCZ231" s="340"/>
      <c r="XDA231" s="340"/>
      <c r="XDB231" s="340"/>
      <c r="XDC231" s="340"/>
      <c r="XDD231" s="340"/>
      <c r="XDE231" s="340"/>
      <c r="XDF231" s="340"/>
      <c r="XDG231" s="340"/>
      <c r="XDH231" s="340"/>
      <c r="XDI231" s="340"/>
      <c r="XDJ231" s="340"/>
      <c r="XDK231" s="340"/>
      <c r="XDL231" s="340"/>
      <c r="XDM231" s="340"/>
      <c r="XDN231" s="340"/>
      <c r="XDO231" s="340"/>
      <c r="XDP231" s="340"/>
      <c r="XDQ231" s="340"/>
      <c r="XDR231" s="340"/>
      <c r="XDS231" s="340"/>
      <c r="XDT231" s="340"/>
      <c r="XDU231" s="340"/>
      <c r="XDV231" s="340"/>
      <c r="XDW231" s="340"/>
      <c r="XDX231" s="340"/>
      <c r="XDY231" s="340"/>
      <c r="XDZ231" s="340"/>
      <c r="XEA231" s="340"/>
      <c r="XEB231" s="340"/>
      <c r="XEC231" s="340"/>
      <c r="XED231" s="340"/>
      <c r="XEE231" s="340"/>
      <c r="XEF231" s="340"/>
      <c r="XEG231" s="340"/>
      <c r="XEH231" s="340"/>
      <c r="XEI231" s="340"/>
      <c r="XEJ231" s="340"/>
      <c r="XEK231" s="340"/>
      <c r="XEL231" s="340"/>
      <c r="XEM231" s="340"/>
      <c r="XEN231" s="340"/>
      <c r="XEO231" s="340"/>
      <c r="XEP231" s="340"/>
      <c r="XEQ231" s="340"/>
      <c r="XER231" s="340"/>
      <c r="XES231" s="340"/>
      <c r="XET231" s="340"/>
      <c r="XEU231" s="340"/>
      <c r="XEV231" s="340"/>
      <c r="XEW231" s="340"/>
      <c r="XEX231" s="340"/>
      <c r="XEY231" s="340"/>
      <c r="XEZ231" s="340"/>
      <c r="XFA231" s="340"/>
      <c r="XFB231" s="340"/>
      <c r="XFC231" s="340"/>
      <c r="XFD231" s="340"/>
    </row>
    <row r="232" spans="1:16384" s="250" customFormat="1" ht="24.95" customHeight="1">
      <c r="A232" s="327">
        <v>39</v>
      </c>
      <c r="B232" s="951" t="s">
        <v>526</v>
      </c>
      <c r="C232" s="951"/>
      <c r="D232" s="1055" t="s">
        <v>62</v>
      </c>
      <c r="E232" s="1055"/>
      <c r="F232" s="1055">
        <v>29.38</v>
      </c>
      <c r="G232" s="1055" t="s">
        <v>32</v>
      </c>
      <c r="H232" s="1055" t="s">
        <v>33</v>
      </c>
      <c r="I232" s="160"/>
      <c r="J232" s="1055" t="s">
        <v>4088</v>
      </c>
      <c r="K232" s="160" t="s">
        <v>4381</v>
      </c>
      <c r="L232" s="140">
        <v>67574</v>
      </c>
      <c r="M232" s="140">
        <v>20272.2</v>
      </c>
      <c r="N232" s="1095" t="s">
        <v>4384</v>
      </c>
      <c r="O232" s="1055" t="s">
        <v>4090</v>
      </c>
      <c r="P232" s="147" t="s">
        <v>4091</v>
      </c>
      <c r="Q232" s="951">
        <v>19906957772</v>
      </c>
      <c r="R232" s="103" t="s">
        <v>4092</v>
      </c>
      <c r="S232" s="125" t="s">
        <v>4043</v>
      </c>
      <c r="T232" s="147"/>
    </row>
    <row r="233" spans="1:16384" s="250" customFormat="1" ht="24.95" customHeight="1">
      <c r="A233" s="327">
        <v>40</v>
      </c>
      <c r="B233" s="168" t="s">
        <v>4385</v>
      </c>
      <c r="C233" s="174" t="s">
        <v>4386</v>
      </c>
      <c r="D233" s="174"/>
      <c r="E233" s="168"/>
      <c r="F233" s="168">
        <v>47.34</v>
      </c>
      <c r="G233" s="222" t="s">
        <v>32</v>
      </c>
      <c r="H233" s="222" t="s">
        <v>41</v>
      </c>
      <c r="I233" s="1096" t="s">
        <v>4127</v>
      </c>
      <c r="J233" s="404" t="s">
        <v>4128</v>
      </c>
      <c r="K233" s="1097" t="s">
        <v>4129</v>
      </c>
      <c r="L233" s="168">
        <v>129474.9</v>
      </c>
      <c r="M233" s="168">
        <v>38842.47</v>
      </c>
      <c r="N233" s="1066">
        <v>43678</v>
      </c>
      <c r="O233" s="1910" t="s">
        <v>4130</v>
      </c>
      <c r="P233" s="147" t="s">
        <v>4131</v>
      </c>
      <c r="Q233" s="951">
        <v>17373170973</v>
      </c>
      <c r="R233" s="147" t="s">
        <v>4132</v>
      </c>
      <c r="S233" s="147" t="s">
        <v>4043</v>
      </c>
      <c r="T233" s="147"/>
    </row>
    <row r="234" spans="1:16384" s="250" customFormat="1" ht="24.95" customHeight="1">
      <c r="A234" s="327">
        <v>41</v>
      </c>
      <c r="B234" s="168" t="s">
        <v>4387</v>
      </c>
      <c r="C234" s="174" t="s">
        <v>4388</v>
      </c>
      <c r="D234" s="174" t="s">
        <v>131</v>
      </c>
      <c r="E234" s="168">
        <v>2</v>
      </c>
      <c r="F234" s="168"/>
      <c r="G234" s="222" t="s">
        <v>32</v>
      </c>
      <c r="H234" s="222" t="s">
        <v>41</v>
      </c>
      <c r="I234" s="1096" t="s">
        <v>404</v>
      </c>
      <c r="J234" s="404" t="s">
        <v>4128</v>
      </c>
      <c r="K234" s="1097" t="s">
        <v>4184</v>
      </c>
      <c r="L234" s="168">
        <v>2307.69</v>
      </c>
      <c r="M234" s="168">
        <v>692.31</v>
      </c>
      <c r="N234" s="1075">
        <v>43922</v>
      </c>
      <c r="O234" s="1911"/>
      <c r="P234" s="147" t="s">
        <v>4131</v>
      </c>
      <c r="Q234" s="951">
        <v>17373170973</v>
      </c>
      <c r="R234" s="147" t="s">
        <v>4132</v>
      </c>
      <c r="S234" s="147" t="s">
        <v>4043</v>
      </c>
      <c r="T234" s="147"/>
    </row>
    <row r="235" spans="1:16384" s="1093" customFormat="1" ht="24.95" customHeight="1">
      <c r="A235" s="327">
        <v>42</v>
      </c>
      <c r="B235" s="168" t="s">
        <v>514</v>
      </c>
      <c r="C235" s="174" t="s">
        <v>4389</v>
      </c>
      <c r="D235" s="174" t="s">
        <v>31</v>
      </c>
      <c r="E235" s="168">
        <v>173</v>
      </c>
      <c r="F235" s="168"/>
      <c r="G235" s="222" t="s">
        <v>32</v>
      </c>
      <c r="H235" s="222" t="s">
        <v>41</v>
      </c>
      <c r="I235" s="1096" t="s">
        <v>404</v>
      </c>
      <c r="J235" s="404" t="s">
        <v>4128</v>
      </c>
      <c r="K235" s="1097" t="s">
        <v>4184</v>
      </c>
      <c r="L235" s="168">
        <v>10601.8</v>
      </c>
      <c r="M235" s="168">
        <v>3180.54</v>
      </c>
      <c r="N235" s="1075">
        <v>43922</v>
      </c>
      <c r="O235" s="1911"/>
      <c r="P235" s="1073" t="s">
        <v>4131</v>
      </c>
      <c r="Q235" s="103">
        <v>17373170973</v>
      </c>
      <c r="R235" s="103" t="s">
        <v>4132</v>
      </c>
      <c r="S235" s="1060" t="s">
        <v>4043</v>
      </c>
      <c r="T235" s="147"/>
    </row>
    <row r="236" spans="1:16384" s="1093" customFormat="1" ht="24.95" customHeight="1">
      <c r="A236" s="327">
        <v>43</v>
      </c>
      <c r="B236" s="1098" t="s">
        <v>593</v>
      </c>
      <c r="C236" s="1098" t="s">
        <v>3774</v>
      </c>
      <c r="D236" s="1099" t="s">
        <v>62</v>
      </c>
      <c r="E236" s="168"/>
      <c r="F236" s="242">
        <v>3.7240000000000002</v>
      </c>
      <c r="G236" s="222" t="s">
        <v>32</v>
      </c>
      <c r="H236" s="222" t="s">
        <v>41</v>
      </c>
      <c r="I236" s="1096" t="s">
        <v>404</v>
      </c>
      <c r="J236" s="404" t="s">
        <v>4128</v>
      </c>
      <c r="K236" s="1097" t="s">
        <v>4390</v>
      </c>
      <c r="L236" s="929">
        <v>16345.29</v>
      </c>
      <c r="M236" s="168">
        <v>4903.59</v>
      </c>
      <c r="N236" s="1075">
        <v>44317</v>
      </c>
      <c r="O236" s="1911"/>
      <c r="P236" s="1073" t="s">
        <v>4131</v>
      </c>
      <c r="Q236" s="103">
        <v>17373170973</v>
      </c>
      <c r="R236" s="103" t="s">
        <v>4132</v>
      </c>
      <c r="S236" s="1060" t="s">
        <v>4043</v>
      </c>
      <c r="T236" s="147"/>
    </row>
    <row r="237" spans="1:16384" s="1093" customFormat="1" ht="24.95" customHeight="1">
      <c r="A237" s="327">
        <v>44</v>
      </c>
      <c r="B237" s="1098" t="s">
        <v>593</v>
      </c>
      <c r="C237" s="1098" t="s">
        <v>4391</v>
      </c>
      <c r="D237" s="1099" t="s">
        <v>62</v>
      </c>
      <c r="E237" s="168"/>
      <c r="F237" s="242">
        <v>4.7610000000000001</v>
      </c>
      <c r="G237" s="222" t="s">
        <v>32</v>
      </c>
      <c r="H237" s="222" t="s">
        <v>41</v>
      </c>
      <c r="I237" s="1096" t="s">
        <v>404</v>
      </c>
      <c r="J237" s="404" t="s">
        <v>4128</v>
      </c>
      <c r="K237" s="1097" t="s">
        <v>4390</v>
      </c>
      <c r="L237" s="929">
        <v>20896.87</v>
      </c>
      <c r="M237" s="168">
        <v>6269.06</v>
      </c>
      <c r="N237" s="1075">
        <v>44317</v>
      </c>
      <c r="O237" s="1911"/>
      <c r="P237" s="1073" t="s">
        <v>4131</v>
      </c>
      <c r="Q237" s="103">
        <v>17373170973</v>
      </c>
      <c r="R237" s="103" t="s">
        <v>4132</v>
      </c>
      <c r="S237" s="1060" t="s">
        <v>4043</v>
      </c>
      <c r="T237" s="147"/>
    </row>
    <row r="238" spans="1:16384" s="1093" customFormat="1" ht="24.95" customHeight="1">
      <c r="A238" s="327">
        <v>45</v>
      </c>
      <c r="B238" s="1098" t="s">
        <v>514</v>
      </c>
      <c r="C238" s="1098" t="s">
        <v>887</v>
      </c>
      <c r="D238" s="1099" t="s">
        <v>62</v>
      </c>
      <c r="E238" s="168"/>
      <c r="F238" s="242">
        <v>28.045000000000002</v>
      </c>
      <c r="G238" s="222" t="s">
        <v>32</v>
      </c>
      <c r="H238" s="222" t="s">
        <v>41</v>
      </c>
      <c r="I238" s="1096" t="s">
        <v>404</v>
      </c>
      <c r="J238" s="404" t="s">
        <v>4128</v>
      </c>
      <c r="K238" s="1097" t="s">
        <v>4390</v>
      </c>
      <c r="L238" s="929">
        <v>136621.35</v>
      </c>
      <c r="M238" s="168">
        <v>40986.410000000003</v>
      </c>
      <c r="N238" s="1075">
        <v>44317</v>
      </c>
      <c r="O238" s="1911"/>
      <c r="P238" s="1073" t="s">
        <v>4131</v>
      </c>
      <c r="Q238" s="103">
        <v>17373170973</v>
      </c>
      <c r="R238" s="103" t="s">
        <v>4132</v>
      </c>
      <c r="S238" s="1060" t="s">
        <v>4043</v>
      </c>
      <c r="T238" s="147"/>
    </row>
    <row r="239" spans="1:16384" s="1093" customFormat="1" ht="24.95" customHeight="1">
      <c r="A239" s="327">
        <v>46</v>
      </c>
      <c r="B239" s="1098" t="s">
        <v>593</v>
      </c>
      <c r="C239" s="1098" t="s">
        <v>3772</v>
      </c>
      <c r="D239" s="1099" t="s">
        <v>62</v>
      </c>
      <c r="E239" s="168"/>
      <c r="F239" s="242">
        <v>83.819000000000003</v>
      </c>
      <c r="G239" s="222" t="s">
        <v>32</v>
      </c>
      <c r="H239" s="222" t="s">
        <v>41</v>
      </c>
      <c r="I239" s="1096" t="s">
        <v>404</v>
      </c>
      <c r="J239" s="404" t="s">
        <v>4128</v>
      </c>
      <c r="K239" s="1097" t="s">
        <v>4390</v>
      </c>
      <c r="L239" s="929">
        <v>463969.32</v>
      </c>
      <c r="M239" s="168">
        <v>139190.79999999999</v>
      </c>
      <c r="N239" s="1075">
        <v>44317</v>
      </c>
      <c r="O239" s="1911"/>
      <c r="P239" s="1073" t="s">
        <v>4131</v>
      </c>
      <c r="Q239" s="103">
        <v>17373170973</v>
      </c>
      <c r="R239" s="103" t="s">
        <v>4132</v>
      </c>
      <c r="S239" s="1060" t="s">
        <v>4043</v>
      </c>
      <c r="T239" s="147"/>
    </row>
    <row r="240" spans="1:16384" s="1093" customFormat="1" ht="24.95" customHeight="1">
      <c r="A240" s="327">
        <v>47</v>
      </c>
      <c r="B240" s="1098" t="s">
        <v>593</v>
      </c>
      <c r="C240" s="1098" t="s">
        <v>4392</v>
      </c>
      <c r="D240" s="1099" t="s">
        <v>62</v>
      </c>
      <c r="E240" s="168"/>
      <c r="F240" s="242">
        <v>36.466000000000001</v>
      </c>
      <c r="G240" s="222" t="s">
        <v>32</v>
      </c>
      <c r="H240" s="222" t="s">
        <v>41</v>
      </c>
      <c r="I240" s="1096" t="s">
        <v>404</v>
      </c>
      <c r="J240" s="404" t="s">
        <v>4128</v>
      </c>
      <c r="K240" s="1097" t="s">
        <v>4390</v>
      </c>
      <c r="L240" s="929">
        <v>204134.41</v>
      </c>
      <c r="M240" s="168">
        <v>61240.32</v>
      </c>
      <c r="N240" s="1075">
        <v>44317</v>
      </c>
      <c r="O240" s="1911"/>
      <c r="P240" s="1073" t="s">
        <v>4131</v>
      </c>
      <c r="Q240" s="103">
        <v>17373170973</v>
      </c>
      <c r="R240" s="103" t="s">
        <v>4132</v>
      </c>
      <c r="S240" s="1060" t="s">
        <v>4043</v>
      </c>
      <c r="T240" s="147"/>
    </row>
    <row r="241" spans="1:20" s="1093" customFormat="1" ht="24.95" customHeight="1">
      <c r="A241" s="327">
        <v>48</v>
      </c>
      <c r="B241" s="1098" t="s">
        <v>514</v>
      </c>
      <c r="C241" s="1098" t="s">
        <v>4393</v>
      </c>
      <c r="D241" s="1099" t="s">
        <v>62</v>
      </c>
      <c r="E241" s="168"/>
      <c r="F241" s="242">
        <v>68.275999999999996</v>
      </c>
      <c r="G241" s="222" t="s">
        <v>32</v>
      </c>
      <c r="H241" s="222" t="s">
        <v>41</v>
      </c>
      <c r="I241" s="1096" t="s">
        <v>404</v>
      </c>
      <c r="J241" s="404" t="s">
        <v>4128</v>
      </c>
      <c r="K241" s="1097" t="s">
        <v>4390</v>
      </c>
      <c r="L241" s="929">
        <v>409339.39</v>
      </c>
      <c r="M241" s="168">
        <v>122801.82</v>
      </c>
      <c r="N241" s="1075">
        <v>44317</v>
      </c>
      <c r="O241" s="1911"/>
      <c r="P241" s="1073" t="s">
        <v>4131</v>
      </c>
      <c r="Q241" s="103">
        <v>17373170973</v>
      </c>
      <c r="R241" s="103" t="s">
        <v>4132</v>
      </c>
      <c r="S241" s="1060" t="s">
        <v>4043</v>
      </c>
      <c r="T241" s="147"/>
    </row>
    <row r="242" spans="1:20" s="1093" customFormat="1" ht="24.95" customHeight="1">
      <c r="A242" s="327">
        <v>49</v>
      </c>
      <c r="B242" s="1098" t="s">
        <v>514</v>
      </c>
      <c r="C242" s="1098" t="s">
        <v>4394</v>
      </c>
      <c r="D242" s="1099" t="s">
        <v>62</v>
      </c>
      <c r="E242" s="168"/>
      <c r="F242" s="242">
        <v>15.932</v>
      </c>
      <c r="G242" s="222" t="s">
        <v>32</v>
      </c>
      <c r="H242" s="222" t="s">
        <v>41</v>
      </c>
      <c r="I242" s="1096" t="s">
        <v>404</v>
      </c>
      <c r="J242" s="404" t="s">
        <v>4128</v>
      </c>
      <c r="K242" s="1097" t="s">
        <v>4390</v>
      </c>
      <c r="L242" s="929">
        <v>88732.64</v>
      </c>
      <c r="M242" s="168">
        <v>26619.79</v>
      </c>
      <c r="N242" s="1075">
        <v>44317</v>
      </c>
      <c r="O242" s="1911"/>
      <c r="P242" s="1073" t="s">
        <v>4131</v>
      </c>
      <c r="Q242" s="103">
        <v>17373170973</v>
      </c>
      <c r="R242" s="103" t="s">
        <v>4132</v>
      </c>
      <c r="S242" s="1060" t="s">
        <v>4043</v>
      </c>
      <c r="T242" s="147"/>
    </row>
    <row r="243" spans="1:20" s="1093" customFormat="1" ht="24.95" customHeight="1">
      <c r="A243" s="327">
        <v>50</v>
      </c>
      <c r="B243" s="1098" t="s">
        <v>514</v>
      </c>
      <c r="C243" s="1098" t="s">
        <v>4395</v>
      </c>
      <c r="D243" s="1099" t="s">
        <v>62</v>
      </c>
      <c r="E243" s="168"/>
      <c r="F243" s="242">
        <v>13.276</v>
      </c>
      <c r="G243" s="222" t="s">
        <v>32</v>
      </c>
      <c r="H243" s="222" t="s">
        <v>41</v>
      </c>
      <c r="I243" s="1096" t="s">
        <v>404</v>
      </c>
      <c r="J243" s="404" t="s">
        <v>4128</v>
      </c>
      <c r="K243" s="1097" t="s">
        <v>4390</v>
      </c>
      <c r="L243" s="929">
        <v>78323.350000000006</v>
      </c>
      <c r="M243" s="168">
        <v>23497.01</v>
      </c>
      <c r="N243" s="1075">
        <v>44317</v>
      </c>
      <c r="O243" s="1911"/>
      <c r="P243" s="1073" t="s">
        <v>4131</v>
      </c>
      <c r="Q243" s="103">
        <v>17373170973</v>
      </c>
      <c r="R243" s="103" t="s">
        <v>4132</v>
      </c>
      <c r="S243" s="1060" t="s">
        <v>4043</v>
      </c>
      <c r="T243" s="147"/>
    </row>
    <row r="244" spans="1:20" s="1093" customFormat="1" ht="24.95" customHeight="1">
      <c r="A244" s="327">
        <v>51</v>
      </c>
      <c r="B244" s="1098" t="s">
        <v>593</v>
      </c>
      <c r="C244" s="1098" t="s">
        <v>3772</v>
      </c>
      <c r="D244" s="1099" t="s">
        <v>62</v>
      </c>
      <c r="E244" s="168"/>
      <c r="F244" s="242">
        <v>22.276</v>
      </c>
      <c r="G244" s="222" t="s">
        <v>32</v>
      </c>
      <c r="H244" s="222" t="s">
        <v>41</v>
      </c>
      <c r="I244" s="1096" t="s">
        <v>404</v>
      </c>
      <c r="J244" s="404" t="s">
        <v>4128</v>
      </c>
      <c r="K244" s="1097" t="s">
        <v>4390</v>
      </c>
      <c r="L244" s="929">
        <v>120889.29</v>
      </c>
      <c r="M244" s="168">
        <v>36266.79</v>
      </c>
      <c r="N244" s="1075">
        <v>44440</v>
      </c>
      <c r="O244" s="1911"/>
      <c r="P244" s="1073" t="s">
        <v>4131</v>
      </c>
      <c r="Q244" s="103">
        <v>17373170973</v>
      </c>
      <c r="R244" s="103" t="s">
        <v>4132</v>
      </c>
      <c r="S244" s="1060" t="s">
        <v>4043</v>
      </c>
      <c r="T244" s="147"/>
    </row>
    <row r="245" spans="1:20" s="1093" customFormat="1" ht="24.95" customHeight="1">
      <c r="A245" s="327">
        <v>52</v>
      </c>
      <c r="B245" s="1098" t="s">
        <v>593</v>
      </c>
      <c r="C245" s="1098" t="s">
        <v>4392</v>
      </c>
      <c r="D245" s="1099" t="s">
        <v>62</v>
      </c>
      <c r="E245" s="168"/>
      <c r="F245" s="242">
        <v>12.879</v>
      </c>
      <c r="G245" s="222" t="s">
        <v>32</v>
      </c>
      <c r="H245" s="222" t="s">
        <v>41</v>
      </c>
      <c r="I245" s="1096" t="s">
        <v>404</v>
      </c>
      <c r="J245" s="404" t="s">
        <v>4128</v>
      </c>
      <c r="K245" s="1097" t="s">
        <v>4390</v>
      </c>
      <c r="L245" s="929">
        <v>70698.649999999994</v>
      </c>
      <c r="M245" s="168">
        <v>21209.599999999999</v>
      </c>
      <c r="N245" s="1075">
        <v>44440</v>
      </c>
      <c r="O245" s="1911"/>
      <c r="P245" s="1073" t="s">
        <v>4131</v>
      </c>
      <c r="Q245" s="103">
        <v>17373170973</v>
      </c>
      <c r="R245" s="103" t="s">
        <v>4132</v>
      </c>
      <c r="S245" s="1060" t="s">
        <v>4043</v>
      </c>
      <c r="T245" s="147"/>
    </row>
    <row r="246" spans="1:20" s="1093" customFormat="1" ht="24.95" customHeight="1">
      <c r="A246" s="327">
        <v>53</v>
      </c>
      <c r="B246" s="1098" t="s">
        <v>593</v>
      </c>
      <c r="C246" s="1098" t="s">
        <v>3773</v>
      </c>
      <c r="D246" s="1099" t="s">
        <v>62</v>
      </c>
      <c r="E246" s="168"/>
      <c r="F246" s="242">
        <v>9.3309999999999995</v>
      </c>
      <c r="G246" s="222" t="s">
        <v>32</v>
      </c>
      <c r="H246" s="222" t="s">
        <v>41</v>
      </c>
      <c r="I246" s="1096" t="s">
        <v>404</v>
      </c>
      <c r="J246" s="404" t="s">
        <v>4128</v>
      </c>
      <c r="K246" s="1097" t="s">
        <v>4390</v>
      </c>
      <c r="L246" s="929">
        <v>51805.88</v>
      </c>
      <c r="M246" s="168">
        <v>15541.76</v>
      </c>
      <c r="N246" s="1075">
        <v>44440</v>
      </c>
      <c r="O246" s="1911"/>
      <c r="P246" s="1073" t="s">
        <v>4131</v>
      </c>
      <c r="Q246" s="103">
        <v>17373170973</v>
      </c>
      <c r="R246" s="103" t="s">
        <v>4132</v>
      </c>
      <c r="S246" s="1060" t="s">
        <v>4043</v>
      </c>
      <c r="T246" s="147"/>
    </row>
    <row r="247" spans="1:20" s="1093" customFormat="1" ht="24.95" customHeight="1">
      <c r="A247" s="327">
        <v>54</v>
      </c>
      <c r="B247" s="1098" t="s">
        <v>514</v>
      </c>
      <c r="C247" s="1098" t="s">
        <v>4396</v>
      </c>
      <c r="D247" s="1099" t="s">
        <v>62</v>
      </c>
      <c r="E247" s="168"/>
      <c r="F247" s="242">
        <v>7.1219999999999999</v>
      </c>
      <c r="G247" s="222" t="s">
        <v>32</v>
      </c>
      <c r="H247" s="222" t="s">
        <v>41</v>
      </c>
      <c r="I247" s="1096" t="s">
        <v>404</v>
      </c>
      <c r="J247" s="404" t="s">
        <v>4128</v>
      </c>
      <c r="K247" s="1097" t="s">
        <v>4390</v>
      </c>
      <c r="L247" s="929">
        <v>40314.870000000003</v>
      </c>
      <c r="M247" s="168">
        <v>12094.46</v>
      </c>
      <c r="N247" s="1075">
        <v>44440</v>
      </c>
      <c r="O247" s="1911"/>
      <c r="P247" s="1073" t="s">
        <v>4131</v>
      </c>
      <c r="Q247" s="103">
        <v>17373170973</v>
      </c>
      <c r="R247" s="103" t="s">
        <v>4132</v>
      </c>
      <c r="S247" s="1060" t="s">
        <v>4043</v>
      </c>
      <c r="T247" s="147"/>
    </row>
    <row r="248" spans="1:20" s="1093" customFormat="1" ht="24.95" customHeight="1">
      <c r="A248" s="327">
        <v>55</v>
      </c>
      <c r="B248" s="1098" t="s">
        <v>514</v>
      </c>
      <c r="C248" s="1098" t="s">
        <v>4394</v>
      </c>
      <c r="D248" s="1099" t="s">
        <v>62</v>
      </c>
      <c r="E248" s="168"/>
      <c r="F248" s="242">
        <v>22.759</v>
      </c>
      <c r="G248" s="222" t="s">
        <v>32</v>
      </c>
      <c r="H248" s="222" t="s">
        <v>41</v>
      </c>
      <c r="I248" s="1096" t="s">
        <v>404</v>
      </c>
      <c r="J248" s="404" t="s">
        <v>4128</v>
      </c>
      <c r="K248" s="1097" t="s">
        <v>4390</v>
      </c>
      <c r="L248" s="929">
        <v>116726.27</v>
      </c>
      <c r="M248" s="168">
        <v>35017.879999999997</v>
      </c>
      <c r="N248" s="1075">
        <v>44440</v>
      </c>
      <c r="O248" s="1911"/>
      <c r="P248" s="1073" t="s">
        <v>4131</v>
      </c>
      <c r="Q248" s="103">
        <v>17373170973</v>
      </c>
      <c r="R248" s="103" t="s">
        <v>4132</v>
      </c>
      <c r="S248" s="1060" t="s">
        <v>4043</v>
      </c>
      <c r="T248" s="147"/>
    </row>
    <row r="249" spans="1:20" s="1093" customFormat="1" ht="24.95" customHeight="1">
      <c r="A249" s="327">
        <v>56</v>
      </c>
      <c r="B249" s="1098" t="s">
        <v>593</v>
      </c>
      <c r="C249" s="1098" t="s">
        <v>4392</v>
      </c>
      <c r="D249" s="1099" t="s">
        <v>62</v>
      </c>
      <c r="E249" s="168"/>
      <c r="F249" s="242">
        <v>19.68</v>
      </c>
      <c r="G249" s="222" t="s">
        <v>32</v>
      </c>
      <c r="H249" s="222" t="s">
        <v>41</v>
      </c>
      <c r="I249" s="1096" t="s">
        <v>404</v>
      </c>
      <c r="J249" s="404" t="s">
        <v>4128</v>
      </c>
      <c r="K249" s="1097" t="s">
        <v>4390</v>
      </c>
      <c r="L249" s="929">
        <v>104768.49</v>
      </c>
      <c r="M249" s="168">
        <v>31430.55</v>
      </c>
      <c r="N249" s="1075">
        <v>44440</v>
      </c>
      <c r="O249" s="1911"/>
      <c r="P249" s="1073" t="s">
        <v>4131</v>
      </c>
      <c r="Q249" s="103">
        <v>17373170973</v>
      </c>
      <c r="R249" s="103" t="s">
        <v>4132</v>
      </c>
      <c r="S249" s="1060" t="s">
        <v>4043</v>
      </c>
      <c r="T249" s="147"/>
    </row>
    <row r="250" spans="1:20" s="1093" customFormat="1" ht="24.95" customHeight="1">
      <c r="A250" s="327">
        <v>57</v>
      </c>
      <c r="B250" s="1098" t="s">
        <v>593</v>
      </c>
      <c r="C250" s="1098" t="s">
        <v>4397</v>
      </c>
      <c r="D250" s="1099" t="s">
        <v>62</v>
      </c>
      <c r="E250" s="168"/>
      <c r="F250" s="242">
        <v>9.2799999999999994</v>
      </c>
      <c r="G250" s="222" t="s">
        <v>32</v>
      </c>
      <c r="H250" s="222" t="s">
        <v>41</v>
      </c>
      <c r="I250" s="1096" t="s">
        <v>404</v>
      </c>
      <c r="J250" s="404" t="s">
        <v>4128</v>
      </c>
      <c r="K250" s="1097" t="s">
        <v>4390</v>
      </c>
      <c r="L250" s="929">
        <v>49983.64</v>
      </c>
      <c r="M250" s="168">
        <v>14995.09</v>
      </c>
      <c r="N250" s="1075">
        <v>44440</v>
      </c>
      <c r="O250" s="1911"/>
      <c r="P250" s="1073" t="s">
        <v>4131</v>
      </c>
      <c r="Q250" s="103">
        <v>17373170973</v>
      </c>
      <c r="R250" s="103" t="s">
        <v>4132</v>
      </c>
      <c r="S250" s="1060" t="s">
        <v>4043</v>
      </c>
      <c r="T250" s="147"/>
    </row>
    <row r="251" spans="1:20" s="1093" customFormat="1" ht="24.95" customHeight="1">
      <c r="A251" s="327">
        <v>58</v>
      </c>
      <c r="B251" s="1098" t="s">
        <v>514</v>
      </c>
      <c r="C251" s="1098" t="s">
        <v>2697</v>
      </c>
      <c r="D251" s="1099" t="s">
        <v>62</v>
      </c>
      <c r="E251" s="168"/>
      <c r="F251" s="242">
        <v>23.911999999999999</v>
      </c>
      <c r="G251" s="222" t="s">
        <v>32</v>
      </c>
      <c r="H251" s="222" t="s">
        <v>41</v>
      </c>
      <c r="I251" s="1096" t="s">
        <v>404</v>
      </c>
      <c r="J251" s="404" t="s">
        <v>4128</v>
      </c>
      <c r="K251" s="1097" t="s">
        <v>4390</v>
      </c>
      <c r="L251" s="929">
        <v>131153.29999999999</v>
      </c>
      <c r="M251" s="168">
        <v>39345.99</v>
      </c>
      <c r="N251" s="1075">
        <v>44440</v>
      </c>
      <c r="O251" s="1911"/>
      <c r="P251" s="1073" t="s">
        <v>4131</v>
      </c>
      <c r="Q251" s="103">
        <v>17373170973</v>
      </c>
      <c r="R251" s="103" t="s">
        <v>4132</v>
      </c>
      <c r="S251" s="1060" t="s">
        <v>4043</v>
      </c>
      <c r="T251" s="147"/>
    </row>
    <row r="252" spans="1:20" s="1093" customFormat="1" ht="24.95" customHeight="1">
      <c r="A252" s="327">
        <v>59</v>
      </c>
      <c r="B252" s="1098" t="s">
        <v>514</v>
      </c>
      <c r="C252" s="1098" t="s">
        <v>1842</v>
      </c>
      <c r="D252" s="1099" t="s">
        <v>62</v>
      </c>
      <c r="E252" s="168"/>
      <c r="F252" s="242">
        <v>50.258000000000003</v>
      </c>
      <c r="G252" s="222" t="s">
        <v>32</v>
      </c>
      <c r="H252" s="222" t="s">
        <v>41</v>
      </c>
      <c r="I252" s="1096" t="s">
        <v>404</v>
      </c>
      <c r="J252" s="404" t="s">
        <v>4128</v>
      </c>
      <c r="K252" s="1097" t="s">
        <v>4390</v>
      </c>
      <c r="L252" s="929">
        <v>254428.68</v>
      </c>
      <c r="M252" s="168">
        <v>76328.600000000006</v>
      </c>
      <c r="N252" s="1075">
        <v>44440</v>
      </c>
      <c r="O252" s="1911"/>
      <c r="P252" s="1073" t="s">
        <v>4131</v>
      </c>
      <c r="Q252" s="103">
        <v>17373170973</v>
      </c>
      <c r="R252" s="103" t="s">
        <v>4132</v>
      </c>
      <c r="S252" s="1060" t="s">
        <v>4043</v>
      </c>
      <c r="T252" s="147"/>
    </row>
    <row r="253" spans="1:20" s="1093" customFormat="1" ht="24.95" customHeight="1">
      <c r="A253" s="327">
        <v>60</v>
      </c>
      <c r="B253" s="1098" t="s">
        <v>514</v>
      </c>
      <c r="C253" s="1098" t="s">
        <v>1860</v>
      </c>
      <c r="D253" s="1099" t="s">
        <v>62</v>
      </c>
      <c r="E253" s="168"/>
      <c r="F253" s="242">
        <v>22.757999999999999</v>
      </c>
      <c r="G253" s="222" t="s">
        <v>32</v>
      </c>
      <c r="H253" s="222" t="s">
        <v>41</v>
      </c>
      <c r="I253" s="1096" t="s">
        <v>404</v>
      </c>
      <c r="J253" s="404" t="s">
        <v>4128</v>
      </c>
      <c r="K253" s="1097" t="s">
        <v>4390</v>
      </c>
      <c r="L253" s="929">
        <v>115211.27</v>
      </c>
      <c r="M253" s="168">
        <v>34563.379999999997</v>
      </c>
      <c r="N253" s="1075">
        <v>44440</v>
      </c>
      <c r="O253" s="1911"/>
      <c r="P253" s="1073" t="s">
        <v>4131</v>
      </c>
      <c r="Q253" s="103">
        <v>17373170973</v>
      </c>
      <c r="R253" s="103" t="s">
        <v>4132</v>
      </c>
      <c r="S253" s="1060" t="s">
        <v>4043</v>
      </c>
      <c r="T253" s="147"/>
    </row>
    <row r="254" spans="1:20" s="1093" customFormat="1" ht="24.95" customHeight="1">
      <c r="A254" s="327">
        <v>61</v>
      </c>
      <c r="B254" s="1098" t="s">
        <v>514</v>
      </c>
      <c r="C254" s="1098" t="s">
        <v>1853</v>
      </c>
      <c r="D254" s="1099" t="s">
        <v>62</v>
      </c>
      <c r="E254" s="168"/>
      <c r="F254" s="242">
        <v>17.263999999999999</v>
      </c>
      <c r="G254" s="222" t="s">
        <v>32</v>
      </c>
      <c r="H254" s="222" t="s">
        <v>41</v>
      </c>
      <c r="I254" s="1096" t="s">
        <v>404</v>
      </c>
      <c r="J254" s="404" t="s">
        <v>4128</v>
      </c>
      <c r="K254" s="1097" t="s">
        <v>4390</v>
      </c>
      <c r="L254" s="929">
        <v>94274.73</v>
      </c>
      <c r="M254" s="168">
        <v>28282.42</v>
      </c>
      <c r="N254" s="1075">
        <v>44440</v>
      </c>
      <c r="O254" s="1911"/>
      <c r="P254" s="1073" t="s">
        <v>4131</v>
      </c>
      <c r="Q254" s="103">
        <v>17373170973</v>
      </c>
      <c r="R254" s="103" t="s">
        <v>4132</v>
      </c>
      <c r="S254" s="1060" t="s">
        <v>4043</v>
      </c>
      <c r="T254" s="147"/>
    </row>
    <row r="255" spans="1:20" s="1093" customFormat="1" ht="24.95" customHeight="1">
      <c r="A255" s="327">
        <v>62</v>
      </c>
      <c r="B255" s="1098" t="s">
        <v>593</v>
      </c>
      <c r="C255" s="1098" t="s">
        <v>3772</v>
      </c>
      <c r="D255" s="1099" t="s">
        <v>62</v>
      </c>
      <c r="E255" s="168"/>
      <c r="F255" s="242">
        <v>34.9</v>
      </c>
      <c r="G255" s="222" t="s">
        <v>32</v>
      </c>
      <c r="H255" s="222" t="s">
        <v>4398</v>
      </c>
      <c r="I255" s="1096" t="s">
        <v>404</v>
      </c>
      <c r="J255" s="404" t="s">
        <v>4128</v>
      </c>
      <c r="K255" s="1097" t="s">
        <v>4390</v>
      </c>
      <c r="L255" s="929">
        <v>185203.19</v>
      </c>
      <c r="M255" s="168">
        <v>55560.959999999999</v>
      </c>
      <c r="N255" s="1075">
        <v>44501</v>
      </c>
      <c r="O255" s="1911"/>
      <c r="P255" s="1073" t="s">
        <v>4131</v>
      </c>
      <c r="Q255" s="103">
        <v>17373170973</v>
      </c>
      <c r="R255" s="103" t="s">
        <v>4132</v>
      </c>
      <c r="S255" s="1060" t="s">
        <v>4043</v>
      </c>
      <c r="T255" s="147"/>
    </row>
    <row r="256" spans="1:20" s="1093" customFormat="1" ht="24.95" customHeight="1">
      <c r="A256" s="327">
        <v>63</v>
      </c>
      <c r="B256" s="1098" t="s">
        <v>593</v>
      </c>
      <c r="C256" s="1098" t="s">
        <v>4392</v>
      </c>
      <c r="D256" s="1099" t="s">
        <v>62</v>
      </c>
      <c r="E256" s="168"/>
      <c r="F256" s="242">
        <v>34.94</v>
      </c>
      <c r="G256" s="222" t="s">
        <v>32</v>
      </c>
      <c r="H256" s="222" t="s">
        <v>4398</v>
      </c>
      <c r="I256" s="1096" t="s">
        <v>404</v>
      </c>
      <c r="J256" s="404" t="s">
        <v>4128</v>
      </c>
      <c r="K256" s="1097" t="s">
        <v>4390</v>
      </c>
      <c r="L256" s="929">
        <v>187601.52</v>
      </c>
      <c r="M256" s="168">
        <v>56280.46</v>
      </c>
      <c r="N256" s="1075">
        <v>44501</v>
      </c>
      <c r="O256" s="1911"/>
      <c r="P256" s="1073" t="s">
        <v>4131</v>
      </c>
      <c r="Q256" s="103">
        <v>17373170973</v>
      </c>
      <c r="R256" s="103" t="s">
        <v>4132</v>
      </c>
      <c r="S256" s="1060" t="s">
        <v>4043</v>
      </c>
      <c r="T256" s="147"/>
    </row>
    <row r="257" spans="1:20" s="1093" customFormat="1" ht="24.95" customHeight="1">
      <c r="A257" s="327">
        <v>64</v>
      </c>
      <c r="B257" s="1098" t="s">
        <v>514</v>
      </c>
      <c r="C257" s="1098" t="s">
        <v>2758</v>
      </c>
      <c r="D257" s="1099" t="s">
        <v>62</v>
      </c>
      <c r="E257" s="168"/>
      <c r="F257" s="242">
        <v>13</v>
      </c>
      <c r="G257" s="222" t="s">
        <v>32</v>
      </c>
      <c r="H257" s="222" t="s">
        <v>4398</v>
      </c>
      <c r="I257" s="1096" t="s">
        <v>404</v>
      </c>
      <c r="J257" s="404" t="s">
        <v>4128</v>
      </c>
      <c r="K257" s="1097" t="s">
        <v>4390</v>
      </c>
      <c r="L257" s="929">
        <v>74406.710000000006</v>
      </c>
      <c r="M257" s="168">
        <v>22322.01</v>
      </c>
      <c r="N257" s="1075">
        <v>44501</v>
      </c>
      <c r="O257" s="1911"/>
      <c r="P257" s="1073" t="s">
        <v>4131</v>
      </c>
      <c r="Q257" s="103">
        <v>17373170973</v>
      </c>
      <c r="R257" s="103" t="s">
        <v>4132</v>
      </c>
      <c r="S257" s="1060" t="s">
        <v>4043</v>
      </c>
      <c r="T257" s="147"/>
    </row>
    <row r="258" spans="1:20" s="1093" customFormat="1" ht="24.95" customHeight="1">
      <c r="A258" s="327">
        <v>65</v>
      </c>
      <c r="B258" s="1098" t="s">
        <v>514</v>
      </c>
      <c r="C258" s="1098" t="s">
        <v>887</v>
      </c>
      <c r="D258" s="1099" t="s">
        <v>62</v>
      </c>
      <c r="E258" s="168"/>
      <c r="F258" s="242">
        <v>27.648</v>
      </c>
      <c r="G258" s="222" t="s">
        <v>32</v>
      </c>
      <c r="H258" s="222" t="s">
        <v>4398</v>
      </c>
      <c r="I258" s="1096" t="s">
        <v>404</v>
      </c>
      <c r="J258" s="404" t="s">
        <v>4128</v>
      </c>
      <c r="K258" s="1097" t="s">
        <v>4390</v>
      </c>
      <c r="L258" s="929">
        <v>158245.89000000001</v>
      </c>
      <c r="M258" s="168">
        <v>47473.77</v>
      </c>
      <c r="N258" s="1075">
        <v>44501</v>
      </c>
      <c r="O258" s="1911"/>
      <c r="P258" s="1073" t="s">
        <v>4131</v>
      </c>
      <c r="Q258" s="103">
        <v>17373170973</v>
      </c>
      <c r="R258" s="103" t="s">
        <v>4132</v>
      </c>
      <c r="S258" s="1060" t="s">
        <v>4043</v>
      </c>
      <c r="T258" s="147"/>
    </row>
    <row r="259" spans="1:20" s="1093" customFormat="1" ht="24.95" customHeight="1">
      <c r="A259" s="327">
        <v>66</v>
      </c>
      <c r="B259" s="1098" t="s">
        <v>514</v>
      </c>
      <c r="C259" s="1098" t="s">
        <v>2697</v>
      </c>
      <c r="D259" s="1099" t="s">
        <v>62</v>
      </c>
      <c r="E259" s="168"/>
      <c r="F259" s="242">
        <v>38.576999999999998</v>
      </c>
      <c r="G259" s="222" t="s">
        <v>32</v>
      </c>
      <c r="H259" s="222" t="s">
        <v>4398</v>
      </c>
      <c r="I259" s="1096" t="s">
        <v>404</v>
      </c>
      <c r="J259" s="404" t="s">
        <v>4128</v>
      </c>
      <c r="K259" s="1097" t="s">
        <v>4390</v>
      </c>
      <c r="L259" s="929">
        <v>220218.35</v>
      </c>
      <c r="M259" s="168">
        <v>66065.509999999995</v>
      </c>
      <c r="N259" s="1075">
        <v>44501</v>
      </c>
      <c r="O259" s="1911"/>
      <c r="P259" s="1073" t="s">
        <v>4131</v>
      </c>
      <c r="Q259" s="103">
        <v>17373170973</v>
      </c>
      <c r="R259" s="103" t="s">
        <v>4132</v>
      </c>
      <c r="S259" s="1060" t="s">
        <v>4043</v>
      </c>
      <c r="T259" s="147"/>
    </row>
    <row r="260" spans="1:20" s="1093" customFormat="1" ht="24.95" customHeight="1">
      <c r="A260" s="327">
        <v>67</v>
      </c>
      <c r="B260" s="1098" t="s">
        <v>514</v>
      </c>
      <c r="C260" s="1098" t="s">
        <v>1842</v>
      </c>
      <c r="D260" s="1099" t="s">
        <v>62</v>
      </c>
      <c r="E260" s="168"/>
      <c r="F260" s="242">
        <v>17.5</v>
      </c>
      <c r="G260" s="222" t="s">
        <v>32</v>
      </c>
      <c r="H260" s="222" t="s">
        <v>4398</v>
      </c>
      <c r="I260" s="1096" t="s">
        <v>404</v>
      </c>
      <c r="J260" s="404" t="s">
        <v>4128</v>
      </c>
      <c r="K260" s="1097" t="s">
        <v>4390</v>
      </c>
      <c r="L260" s="929">
        <v>92576.71</v>
      </c>
      <c r="M260" s="168">
        <v>27773.01</v>
      </c>
      <c r="N260" s="1075">
        <v>44501</v>
      </c>
      <c r="O260" s="1911"/>
      <c r="P260" s="1073" t="s">
        <v>4131</v>
      </c>
      <c r="Q260" s="103">
        <v>17373170973</v>
      </c>
      <c r="R260" s="103" t="s">
        <v>4132</v>
      </c>
      <c r="S260" s="1060" t="s">
        <v>4043</v>
      </c>
      <c r="T260" s="147"/>
    </row>
    <row r="261" spans="1:20" s="1093" customFormat="1" ht="24.95" customHeight="1">
      <c r="A261" s="327">
        <v>68</v>
      </c>
      <c r="B261" s="1098" t="s">
        <v>514</v>
      </c>
      <c r="C261" s="1098" t="s">
        <v>1860</v>
      </c>
      <c r="D261" s="1099" t="s">
        <v>62</v>
      </c>
      <c r="E261" s="168"/>
      <c r="F261" s="242">
        <v>41.03</v>
      </c>
      <c r="G261" s="222" t="s">
        <v>32</v>
      </c>
      <c r="H261" s="222" t="s">
        <v>4398</v>
      </c>
      <c r="I261" s="1096" t="s">
        <v>404</v>
      </c>
      <c r="J261" s="404" t="s">
        <v>4128</v>
      </c>
      <c r="K261" s="1097" t="s">
        <v>4390</v>
      </c>
      <c r="L261" s="929">
        <v>217052.69</v>
      </c>
      <c r="M261" s="168">
        <v>65115.81</v>
      </c>
      <c r="N261" s="1075">
        <v>44501</v>
      </c>
      <c r="O261" s="1911"/>
      <c r="P261" s="1073" t="s">
        <v>4131</v>
      </c>
      <c r="Q261" s="103">
        <v>17373170973</v>
      </c>
      <c r="R261" s="103" t="s">
        <v>4132</v>
      </c>
      <c r="S261" s="1060" t="s">
        <v>4043</v>
      </c>
      <c r="T261" s="147"/>
    </row>
    <row r="262" spans="1:20" s="1093" customFormat="1" ht="24.95" customHeight="1">
      <c r="A262" s="327">
        <v>69</v>
      </c>
      <c r="B262" s="1098" t="s">
        <v>514</v>
      </c>
      <c r="C262" s="1098" t="s">
        <v>1853</v>
      </c>
      <c r="D262" s="1099" t="s">
        <v>62</v>
      </c>
      <c r="E262" s="168"/>
      <c r="F262" s="242">
        <v>108.09</v>
      </c>
      <c r="G262" s="222" t="s">
        <v>32</v>
      </c>
      <c r="H262" s="222" t="s">
        <v>4398</v>
      </c>
      <c r="I262" s="1096" t="s">
        <v>404</v>
      </c>
      <c r="J262" s="404" t="s">
        <v>4128</v>
      </c>
      <c r="K262" s="1097" t="s">
        <v>4390</v>
      </c>
      <c r="L262" s="929">
        <v>606674.73</v>
      </c>
      <c r="M262" s="168">
        <v>182002.42</v>
      </c>
      <c r="N262" s="1075">
        <v>44501</v>
      </c>
      <c r="O262" s="1911"/>
      <c r="P262" s="1073" t="s">
        <v>4131</v>
      </c>
      <c r="Q262" s="103">
        <v>17373170973</v>
      </c>
      <c r="R262" s="103" t="s">
        <v>4132</v>
      </c>
      <c r="S262" s="1060" t="s">
        <v>4043</v>
      </c>
      <c r="T262" s="147"/>
    </row>
    <row r="263" spans="1:20" s="1093" customFormat="1" ht="24.95" customHeight="1">
      <c r="A263" s="327">
        <v>70</v>
      </c>
      <c r="B263" s="1098" t="s">
        <v>514</v>
      </c>
      <c r="C263" s="1098" t="s">
        <v>4399</v>
      </c>
      <c r="D263" s="1099" t="s">
        <v>62</v>
      </c>
      <c r="E263" s="168"/>
      <c r="F263" s="242">
        <v>11.196999999999999</v>
      </c>
      <c r="G263" s="222" t="s">
        <v>32</v>
      </c>
      <c r="H263" s="222" t="s">
        <v>4398</v>
      </c>
      <c r="I263" s="1096" t="s">
        <v>404</v>
      </c>
      <c r="J263" s="404" t="s">
        <v>4128</v>
      </c>
      <c r="K263" s="1097" t="s">
        <v>4390</v>
      </c>
      <c r="L263" s="929">
        <v>62845.19</v>
      </c>
      <c r="M263" s="168">
        <v>18853.560000000001</v>
      </c>
      <c r="N263" s="1075">
        <v>44501</v>
      </c>
      <c r="O263" s="1911"/>
      <c r="P263" s="1073" t="s">
        <v>4131</v>
      </c>
      <c r="Q263" s="103">
        <v>17373170973</v>
      </c>
      <c r="R263" s="103" t="s">
        <v>4132</v>
      </c>
      <c r="S263" s="1060" t="s">
        <v>4043</v>
      </c>
      <c r="T263" s="147"/>
    </row>
    <row r="264" spans="1:20" s="1093" customFormat="1" ht="24.95" customHeight="1">
      <c r="A264" s="327">
        <v>71</v>
      </c>
      <c r="B264" s="1098" t="s">
        <v>514</v>
      </c>
      <c r="C264" s="1098" t="s">
        <v>2597</v>
      </c>
      <c r="D264" s="1099" t="s">
        <v>62</v>
      </c>
      <c r="E264" s="168"/>
      <c r="F264" s="242">
        <v>19.707000000000001</v>
      </c>
      <c r="G264" s="222" t="s">
        <v>32</v>
      </c>
      <c r="H264" s="222" t="s">
        <v>4398</v>
      </c>
      <c r="I264" s="1096" t="s">
        <v>404</v>
      </c>
      <c r="J264" s="404" t="s">
        <v>4128</v>
      </c>
      <c r="K264" s="1097" t="s">
        <v>4390</v>
      </c>
      <c r="L264" s="929">
        <v>106892.51</v>
      </c>
      <c r="M264" s="168">
        <v>32067.75</v>
      </c>
      <c r="N264" s="1075">
        <v>44501</v>
      </c>
      <c r="O264" s="1911"/>
      <c r="P264" s="1073" t="s">
        <v>4131</v>
      </c>
      <c r="Q264" s="103">
        <v>17373170973</v>
      </c>
      <c r="R264" s="103" t="s">
        <v>4132</v>
      </c>
      <c r="S264" s="1060" t="s">
        <v>4043</v>
      </c>
      <c r="T264" s="147"/>
    </row>
    <row r="265" spans="1:20" s="1091" customFormat="1" ht="24.95" customHeight="1">
      <c r="A265" s="327">
        <v>72</v>
      </c>
      <c r="B265" s="168" t="s">
        <v>514</v>
      </c>
      <c r="C265" s="147" t="s">
        <v>1853</v>
      </c>
      <c r="D265" s="168" t="s">
        <v>62</v>
      </c>
      <c r="E265" s="351"/>
      <c r="F265" s="147">
        <v>108.09</v>
      </c>
      <c r="G265" s="168" t="s">
        <v>32</v>
      </c>
      <c r="H265" s="168" t="s">
        <v>4398</v>
      </c>
      <c r="I265" s="351" t="s">
        <v>404</v>
      </c>
      <c r="J265" s="1834" t="s">
        <v>4128</v>
      </c>
      <c r="K265" s="352" t="s">
        <v>4390</v>
      </c>
      <c r="L265" s="952">
        <v>606674.73</v>
      </c>
      <c r="M265" s="1100">
        <v>182002.42</v>
      </c>
      <c r="N265" s="952">
        <v>44501</v>
      </c>
      <c r="O265" s="227" t="s">
        <v>4196</v>
      </c>
      <c r="P265" s="168" t="s">
        <v>4197</v>
      </c>
      <c r="Q265" s="1077">
        <v>18935151265</v>
      </c>
      <c r="R265" s="168" t="s">
        <v>4198</v>
      </c>
      <c r="S265" s="168" t="s">
        <v>4043</v>
      </c>
      <c r="T265" s="351"/>
    </row>
    <row r="266" spans="1:20" s="1091" customFormat="1" ht="24.95" customHeight="1">
      <c r="A266" s="327">
        <v>73</v>
      </c>
      <c r="B266" s="168" t="s">
        <v>514</v>
      </c>
      <c r="C266" s="147" t="s">
        <v>4399</v>
      </c>
      <c r="D266" s="168" t="s">
        <v>62</v>
      </c>
      <c r="E266" s="351"/>
      <c r="F266" s="147">
        <v>11.196999999999999</v>
      </c>
      <c r="G266" s="168" t="s">
        <v>32</v>
      </c>
      <c r="H266" s="168" t="s">
        <v>4398</v>
      </c>
      <c r="I266" s="351" t="s">
        <v>404</v>
      </c>
      <c r="J266" s="1835"/>
      <c r="K266" s="168" t="s">
        <v>4390</v>
      </c>
      <c r="L266" s="952">
        <v>62845.19</v>
      </c>
      <c r="M266" s="1100">
        <v>18853.560000000001</v>
      </c>
      <c r="N266" s="952">
        <v>44501</v>
      </c>
      <c r="O266" s="1835" t="s">
        <v>4196</v>
      </c>
      <c r="P266" s="168" t="s">
        <v>4197</v>
      </c>
      <c r="Q266" s="1077">
        <v>18935151265</v>
      </c>
      <c r="R266" s="168" t="s">
        <v>4198</v>
      </c>
      <c r="S266" s="168" t="s">
        <v>4043</v>
      </c>
      <c r="T266" s="351"/>
    </row>
    <row r="267" spans="1:20" s="1091" customFormat="1" ht="24.95" customHeight="1">
      <c r="A267" s="327">
        <v>74</v>
      </c>
      <c r="B267" s="168" t="s">
        <v>514</v>
      </c>
      <c r="C267" s="147" t="s">
        <v>2597</v>
      </c>
      <c r="D267" s="168" t="s">
        <v>62</v>
      </c>
      <c r="E267" s="168"/>
      <c r="F267" s="168">
        <v>19.707000000000001</v>
      </c>
      <c r="G267" s="168" t="s">
        <v>32</v>
      </c>
      <c r="H267" s="168" t="s">
        <v>4398</v>
      </c>
      <c r="I267" s="351" t="s">
        <v>404</v>
      </c>
      <c r="J267" s="1836"/>
      <c r="K267" s="168" t="s">
        <v>4390</v>
      </c>
      <c r="L267" s="154">
        <v>106892.51</v>
      </c>
      <c r="M267" s="148">
        <v>32067.75</v>
      </c>
      <c r="N267" s="952">
        <v>44501</v>
      </c>
      <c r="O267" s="1835"/>
      <c r="P267" s="168" t="s">
        <v>4197</v>
      </c>
      <c r="Q267" s="1077">
        <v>18935151265</v>
      </c>
      <c r="R267" s="168" t="s">
        <v>4198</v>
      </c>
      <c r="S267" s="168" t="s">
        <v>4043</v>
      </c>
      <c r="T267" s="351"/>
    </row>
    <row r="268" spans="1:20" s="1091" customFormat="1" ht="24.95" customHeight="1">
      <c r="A268" s="327">
        <v>75</v>
      </c>
      <c r="B268" s="168" t="s">
        <v>514</v>
      </c>
      <c r="C268" s="147" t="s">
        <v>4400</v>
      </c>
      <c r="D268" s="168" t="s">
        <v>31</v>
      </c>
      <c r="E268" s="168"/>
      <c r="F268" s="168">
        <v>70</v>
      </c>
      <c r="G268" s="168" t="s">
        <v>32</v>
      </c>
      <c r="H268" s="168" t="s">
        <v>33</v>
      </c>
      <c r="I268" s="351"/>
      <c r="J268" s="1835" t="s">
        <v>2186</v>
      </c>
      <c r="K268" s="1855" t="s">
        <v>4203</v>
      </c>
      <c r="L268" s="154">
        <v>11200</v>
      </c>
      <c r="M268" s="148">
        <v>10219.99</v>
      </c>
      <c r="N268" s="952" t="s">
        <v>4401</v>
      </c>
      <c r="O268" s="1835"/>
      <c r="P268" s="168" t="s">
        <v>4197</v>
      </c>
      <c r="Q268" s="1077">
        <v>18935151265</v>
      </c>
      <c r="R268" s="168" t="s">
        <v>4198</v>
      </c>
      <c r="S268" s="168" t="s">
        <v>4043</v>
      </c>
      <c r="T268" s="351"/>
    </row>
    <row r="269" spans="1:20" s="1091" customFormat="1" ht="24.95" customHeight="1">
      <c r="A269" s="327">
        <v>76</v>
      </c>
      <c r="B269" s="168" t="s">
        <v>514</v>
      </c>
      <c r="C269" s="147" t="s">
        <v>4402</v>
      </c>
      <c r="D269" s="168" t="s">
        <v>31</v>
      </c>
      <c r="E269" s="168"/>
      <c r="F269" s="168">
        <v>40</v>
      </c>
      <c r="G269" s="168" t="s">
        <v>32</v>
      </c>
      <c r="H269" s="168" t="s">
        <v>33</v>
      </c>
      <c r="I269" s="351"/>
      <c r="J269" s="1835"/>
      <c r="K269" s="1855"/>
      <c r="L269" s="154">
        <v>4400</v>
      </c>
      <c r="M269" s="148">
        <v>4015.01</v>
      </c>
      <c r="N269" s="952" t="s">
        <v>4401</v>
      </c>
      <c r="O269" s="1835"/>
      <c r="P269" s="168" t="s">
        <v>4197</v>
      </c>
      <c r="Q269" s="1077">
        <v>18935151265</v>
      </c>
      <c r="R269" s="168" t="s">
        <v>4198</v>
      </c>
      <c r="S269" s="168" t="s">
        <v>4043</v>
      </c>
      <c r="T269" s="351"/>
    </row>
    <row r="270" spans="1:20" s="1091" customFormat="1" ht="24.95" customHeight="1">
      <c r="A270" s="327">
        <v>77</v>
      </c>
      <c r="B270" s="168" t="s">
        <v>514</v>
      </c>
      <c r="C270" s="147" t="s">
        <v>4403</v>
      </c>
      <c r="D270" s="168" t="s">
        <v>31</v>
      </c>
      <c r="E270" s="168"/>
      <c r="F270" s="168">
        <v>48</v>
      </c>
      <c r="G270" s="168" t="s">
        <v>32</v>
      </c>
      <c r="H270" s="168" t="s">
        <v>33</v>
      </c>
      <c r="I270" s="351"/>
      <c r="J270" s="1835"/>
      <c r="K270" s="1855"/>
      <c r="L270" s="154">
        <v>23040</v>
      </c>
      <c r="M270" s="148">
        <v>21024</v>
      </c>
      <c r="N270" s="952" t="s">
        <v>4401</v>
      </c>
      <c r="O270" s="1835"/>
      <c r="P270" s="168" t="s">
        <v>4197</v>
      </c>
      <c r="Q270" s="1077">
        <v>18935151265</v>
      </c>
      <c r="R270" s="168" t="s">
        <v>4198</v>
      </c>
      <c r="S270" s="168" t="s">
        <v>4043</v>
      </c>
      <c r="T270" s="351"/>
    </row>
    <row r="271" spans="1:20" s="1091" customFormat="1" ht="24.95" customHeight="1">
      <c r="A271" s="327">
        <v>78</v>
      </c>
      <c r="B271" s="168" t="s">
        <v>514</v>
      </c>
      <c r="C271" s="147" t="s">
        <v>4404</v>
      </c>
      <c r="D271" s="168" t="s">
        <v>31</v>
      </c>
      <c r="E271" s="168"/>
      <c r="F271" s="168">
        <v>20</v>
      </c>
      <c r="G271" s="168" t="s">
        <v>32</v>
      </c>
      <c r="H271" s="168" t="s">
        <v>33</v>
      </c>
      <c r="I271" s="351"/>
      <c r="J271" s="1835"/>
      <c r="K271" s="1855"/>
      <c r="L271" s="154">
        <v>500</v>
      </c>
      <c r="M271" s="148">
        <v>456.26</v>
      </c>
      <c r="N271" s="952" t="s">
        <v>4401</v>
      </c>
      <c r="O271" s="1835"/>
      <c r="P271" s="168" t="s">
        <v>4197</v>
      </c>
      <c r="Q271" s="1077">
        <v>18935151265</v>
      </c>
      <c r="R271" s="168" t="s">
        <v>4198</v>
      </c>
      <c r="S271" s="168" t="s">
        <v>4043</v>
      </c>
      <c r="T271" s="351"/>
    </row>
    <row r="272" spans="1:20" s="1091" customFormat="1" ht="24.95" customHeight="1">
      <c r="A272" s="327">
        <v>79</v>
      </c>
      <c r="B272" s="168" t="s">
        <v>514</v>
      </c>
      <c r="C272" s="147" t="s">
        <v>4405</v>
      </c>
      <c r="D272" s="168" t="s">
        <v>31</v>
      </c>
      <c r="E272" s="168"/>
      <c r="F272" s="168">
        <v>12</v>
      </c>
      <c r="G272" s="168" t="s">
        <v>32</v>
      </c>
      <c r="H272" s="168" t="s">
        <v>33</v>
      </c>
      <c r="I272" s="351"/>
      <c r="J272" s="1835"/>
      <c r="K272" s="1855"/>
      <c r="L272" s="154">
        <v>840</v>
      </c>
      <c r="M272" s="148">
        <v>766.5</v>
      </c>
      <c r="N272" s="952" t="s">
        <v>3706</v>
      </c>
      <c r="O272" s="1835"/>
      <c r="P272" s="168" t="s">
        <v>4197</v>
      </c>
      <c r="Q272" s="1077">
        <v>18935151265</v>
      </c>
      <c r="R272" s="168" t="s">
        <v>4198</v>
      </c>
      <c r="S272" s="168" t="s">
        <v>4043</v>
      </c>
      <c r="T272" s="351"/>
    </row>
    <row r="273" spans="1:20" s="1091" customFormat="1" ht="24.95" customHeight="1">
      <c r="A273" s="327">
        <v>80</v>
      </c>
      <c r="B273" s="168" t="s">
        <v>514</v>
      </c>
      <c r="C273" s="147" t="s">
        <v>4406</v>
      </c>
      <c r="D273" s="168" t="s">
        <v>62</v>
      </c>
      <c r="E273" s="168"/>
      <c r="F273" s="168">
        <v>3.536</v>
      </c>
      <c r="G273" s="168" t="s">
        <v>32</v>
      </c>
      <c r="H273" s="168" t="s">
        <v>33</v>
      </c>
      <c r="I273" s="351"/>
      <c r="J273" s="1835"/>
      <c r="K273" s="1855"/>
      <c r="L273" s="154">
        <v>17503.2</v>
      </c>
      <c r="M273" s="148">
        <v>15971.67</v>
      </c>
      <c r="N273" s="952" t="s">
        <v>3706</v>
      </c>
      <c r="O273" s="1835"/>
      <c r="P273" s="168" t="s">
        <v>4197</v>
      </c>
      <c r="Q273" s="1077">
        <v>18935151265</v>
      </c>
      <c r="R273" s="168" t="s">
        <v>4198</v>
      </c>
      <c r="S273" s="168" t="s">
        <v>4043</v>
      </c>
      <c r="T273" s="351"/>
    </row>
    <row r="274" spans="1:20" s="1091" customFormat="1" ht="24.95" customHeight="1">
      <c r="A274" s="327">
        <v>81</v>
      </c>
      <c r="B274" s="168" t="s">
        <v>514</v>
      </c>
      <c r="C274" s="147" t="s">
        <v>4389</v>
      </c>
      <c r="D274" s="168" t="s">
        <v>31</v>
      </c>
      <c r="E274" s="168"/>
      <c r="F274" s="168">
        <v>8</v>
      </c>
      <c r="G274" s="168" t="s">
        <v>32</v>
      </c>
      <c r="H274" s="168" t="s">
        <v>33</v>
      </c>
      <c r="I274" s="351"/>
      <c r="J274" s="1836"/>
      <c r="K274" s="1847"/>
      <c r="L274" s="154">
        <v>3840</v>
      </c>
      <c r="M274" s="148">
        <v>3504</v>
      </c>
      <c r="N274" s="952" t="s">
        <v>3706</v>
      </c>
      <c r="O274" s="1835"/>
      <c r="P274" s="168" t="s">
        <v>4197</v>
      </c>
      <c r="Q274" s="1077">
        <v>18935151265</v>
      </c>
      <c r="R274" s="168" t="s">
        <v>4198</v>
      </c>
      <c r="S274" s="168" t="s">
        <v>4043</v>
      </c>
      <c r="T274" s="351"/>
    </row>
    <row r="275" spans="1:20" s="1091" customFormat="1" ht="24.95" customHeight="1">
      <c r="A275" s="327">
        <v>82</v>
      </c>
      <c r="B275" s="168" t="s">
        <v>514</v>
      </c>
      <c r="C275" s="147" t="s">
        <v>4407</v>
      </c>
      <c r="D275" s="168" t="s">
        <v>62</v>
      </c>
      <c r="E275" s="168"/>
      <c r="F275" s="168">
        <v>1.8839999999999999</v>
      </c>
      <c r="G275" s="168" t="s">
        <v>32</v>
      </c>
      <c r="H275" s="168" t="s">
        <v>33</v>
      </c>
      <c r="I275" s="351"/>
      <c r="J275" s="1834" t="s">
        <v>2186</v>
      </c>
      <c r="K275" s="1846" t="s">
        <v>4408</v>
      </c>
      <c r="L275" s="154">
        <v>8553.36</v>
      </c>
      <c r="M275" s="148">
        <v>3896.54</v>
      </c>
      <c r="N275" s="952">
        <v>2017.11</v>
      </c>
      <c r="O275" s="1835"/>
      <c r="P275" s="168" t="s">
        <v>4197</v>
      </c>
      <c r="Q275" s="1077">
        <v>18935151265</v>
      </c>
      <c r="R275" s="168" t="s">
        <v>4198</v>
      </c>
      <c r="S275" s="168" t="s">
        <v>4043</v>
      </c>
      <c r="T275" s="351"/>
    </row>
    <row r="276" spans="1:20" s="1091" customFormat="1" ht="24.95" customHeight="1">
      <c r="A276" s="327">
        <v>83</v>
      </c>
      <c r="B276" s="168" t="s">
        <v>514</v>
      </c>
      <c r="C276" s="147" t="s">
        <v>4409</v>
      </c>
      <c r="D276" s="168" t="s">
        <v>62</v>
      </c>
      <c r="E276" s="168"/>
      <c r="F276" s="168">
        <v>28.26</v>
      </c>
      <c r="G276" s="168" t="s">
        <v>32</v>
      </c>
      <c r="H276" s="168" t="s">
        <v>33</v>
      </c>
      <c r="I276" s="351"/>
      <c r="J276" s="1835"/>
      <c r="K276" s="1847"/>
      <c r="L276" s="154">
        <v>128300.4</v>
      </c>
      <c r="M276" s="148">
        <v>58447.96</v>
      </c>
      <c r="N276" s="952">
        <v>2017.11</v>
      </c>
      <c r="O276" s="1835"/>
      <c r="P276" s="168" t="s">
        <v>4197</v>
      </c>
      <c r="Q276" s="1077">
        <v>18935151265</v>
      </c>
      <c r="R276" s="168" t="s">
        <v>4198</v>
      </c>
      <c r="S276" s="168" t="s">
        <v>4043</v>
      </c>
      <c r="T276" s="351"/>
    </row>
    <row r="277" spans="1:20" s="1091" customFormat="1" ht="24.95" customHeight="1">
      <c r="A277" s="327">
        <v>84</v>
      </c>
      <c r="B277" s="168" t="s">
        <v>593</v>
      </c>
      <c r="C277" s="147" t="s">
        <v>4410</v>
      </c>
      <c r="D277" s="168" t="s">
        <v>62</v>
      </c>
      <c r="E277" s="168"/>
      <c r="F277" s="168">
        <v>0.6</v>
      </c>
      <c r="G277" s="168" t="s">
        <v>32</v>
      </c>
      <c r="H277" s="168" t="s">
        <v>33</v>
      </c>
      <c r="I277" s="351"/>
      <c r="J277" s="1835"/>
      <c r="K277" s="1846" t="s">
        <v>4203</v>
      </c>
      <c r="L277" s="154">
        <v>3090</v>
      </c>
      <c r="M277" s="148">
        <v>2819.61</v>
      </c>
      <c r="N277" s="952" t="s">
        <v>3706</v>
      </c>
      <c r="O277" s="1835"/>
      <c r="P277" s="168" t="s">
        <v>4197</v>
      </c>
      <c r="Q277" s="1077">
        <v>18935151265</v>
      </c>
      <c r="R277" s="168" t="s">
        <v>4198</v>
      </c>
      <c r="S277" s="168" t="s">
        <v>4043</v>
      </c>
      <c r="T277" s="351"/>
    </row>
    <row r="278" spans="1:20" s="1091" customFormat="1" ht="24.95" customHeight="1">
      <c r="A278" s="327">
        <v>85</v>
      </c>
      <c r="B278" s="168" t="s">
        <v>593</v>
      </c>
      <c r="C278" s="147" t="s">
        <v>4411</v>
      </c>
      <c r="D278" s="168" t="s">
        <v>62</v>
      </c>
      <c r="E278" s="168"/>
      <c r="F278" s="168">
        <v>0.49</v>
      </c>
      <c r="G278" s="168" t="s">
        <v>32</v>
      </c>
      <c r="H278" s="168" t="s">
        <v>33</v>
      </c>
      <c r="I278" s="351"/>
      <c r="J278" s="1835"/>
      <c r="K278" s="1847"/>
      <c r="L278" s="154">
        <v>2233.1858407079599</v>
      </c>
      <c r="M278" s="148">
        <v>2037.79584070796</v>
      </c>
      <c r="N278" s="952" t="s">
        <v>3706</v>
      </c>
      <c r="O278" s="1835"/>
      <c r="P278" s="168" t="s">
        <v>4197</v>
      </c>
      <c r="Q278" s="1077">
        <v>18935151265</v>
      </c>
      <c r="R278" s="168" t="s">
        <v>4198</v>
      </c>
      <c r="S278" s="168" t="s">
        <v>4043</v>
      </c>
      <c r="T278" s="351"/>
    </row>
    <row r="279" spans="1:20" s="1091" customFormat="1" ht="24.95" customHeight="1">
      <c r="A279" s="327">
        <v>86</v>
      </c>
      <c r="B279" s="168" t="s">
        <v>593</v>
      </c>
      <c r="C279" s="147" t="s">
        <v>2665</v>
      </c>
      <c r="D279" s="168" t="s">
        <v>62</v>
      </c>
      <c r="E279" s="168"/>
      <c r="F279" s="168">
        <v>1.2</v>
      </c>
      <c r="G279" s="168" t="s">
        <v>32</v>
      </c>
      <c r="H279" s="168" t="s">
        <v>33</v>
      </c>
      <c r="I279" s="351"/>
      <c r="J279" s="1835"/>
      <c r="K279" s="1846" t="s">
        <v>4408</v>
      </c>
      <c r="L279" s="154">
        <v>3828</v>
      </c>
      <c r="M279" s="148">
        <v>1743.89</v>
      </c>
      <c r="N279" s="952">
        <v>2017.11</v>
      </c>
      <c r="O279" s="1835"/>
      <c r="P279" s="168" t="s">
        <v>4197</v>
      </c>
      <c r="Q279" s="1077">
        <v>18935151265</v>
      </c>
      <c r="R279" s="168" t="s">
        <v>4198</v>
      </c>
      <c r="S279" s="168" t="s">
        <v>4043</v>
      </c>
      <c r="T279" s="351"/>
    </row>
    <row r="280" spans="1:20" s="1091" customFormat="1" ht="24.95" customHeight="1">
      <c r="A280" s="327">
        <v>87</v>
      </c>
      <c r="B280" s="168" t="s">
        <v>593</v>
      </c>
      <c r="C280" s="147" t="s">
        <v>2666</v>
      </c>
      <c r="D280" s="168" t="s">
        <v>62</v>
      </c>
      <c r="E280" s="168"/>
      <c r="F280" s="168">
        <v>3.85</v>
      </c>
      <c r="G280" s="168" t="s">
        <v>32</v>
      </c>
      <c r="H280" s="168" t="s">
        <v>33</v>
      </c>
      <c r="I280" s="351"/>
      <c r="J280" s="1835"/>
      <c r="K280" s="1847"/>
      <c r="L280" s="154">
        <v>18711</v>
      </c>
      <c r="M280" s="148">
        <v>8523.9</v>
      </c>
      <c r="N280" s="952">
        <v>2017.11</v>
      </c>
      <c r="O280" s="1835"/>
      <c r="P280" s="168" t="s">
        <v>4197</v>
      </c>
      <c r="Q280" s="1077">
        <v>18935151265</v>
      </c>
      <c r="R280" s="168" t="s">
        <v>4198</v>
      </c>
      <c r="S280" s="168" t="s">
        <v>4043</v>
      </c>
      <c r="T280" s="351"/>
    </row>
    <row r="281" spans="1:20" s="1091" customFormat="1" ht="24.95" customHeight="1">
      <c r="A281" s="327">
        <v>88</v>
      </c>
      <c r="B281" s="168" t="s">
        <v>616</v>
      </c>
      <c r="C281" s="147" t="s">
        <v>4412</v>
      </c>
      <c r="D281" s="168" t="s">
        <v>161</v>
      </c>
      <c r="E281" s="168"/>
      <c r="F281" s="168">
        <v>6</v>
      </c>
      <c r="G281" s="168" t="s">
        <v>32</v>
      </c>
      <c r="H281" s="168" t="s">
        <v>33</v>
      </c>
      <c r="I281" s="351"/>
      <c r="J281" s="1835"/>
      <c r="K281" s="1846" t="s">
        <v>4203</v>
      </c>
      <c r="L281" s="154">
        <v>300</v>
      </c>
      <c r="M281" s="148">
        <v>276.77999999999997</v>
      </c>
      <c r="N281" s="952" t="s">
        <v>3706</v>
      </c>
      <c r="O281" s="1835"/>
      <c r="P281" s="168" t="s">
        <v>4197</v>
      </c>
      <c r="Q281" s="1077">
        <v>18935151265</v>
      </c>
      <c r="R281" s="168" t="s">
        <v>4198</v>
      </c>
      <c r="S281" s="168" t="s">
        <v>4043</v>
      </c>
      <c r="T281" s="351"/>
    </row>
    <row r="282" spans="1:20" s="1091" customFormat="1" ht="24.95" customHeight="1">
      <c r="A282" s="327">
        <v>89</v>
      </c>
      <c r="B282" s="168" t="s">
        <v>616</v>
      </c>
      <c r="C282" s="147" t="s">
        <v>4413</v>
      </c>
      <c r="D282" s="168" t="s">
        <v>62</v>
      </c>
      <c r="E282" s="168"/>
      <c r="F282" s="168">
        <v>0.53300000000000003</v>
      </c>
      <c r="G282" s="168" t="s">
        <v>32</v>
      </c>
      <c r="H282" s="168" t="s">
        <v>33</v>
      </c>
      <c r="I282" s="351"/>
      <c r="J282" s="1836"/>
      <c r="K282" s="1847"/>
      <c r="L282" s="154">
        <v>2744.95</v>
      </c>
      <c r="M282" s="148">
        <v>2504.77</v>
      </c>
      <c r="N282" s="952" t="s">
        <v>3706</v>
      </c>
      <c r="O282" s="1835"/>
      <c r="P282" s="168" t="s">
        <v>4197</v>
      </c>
      <c r="Q282" s="1077">
        <v>18935151265</v>
      </c>
      <c r="R282" s="168" t="s">
        <v>4198</v>
      </c>
      <c r="S282" s="168" t="s">
        <v>4043</v>
      </c>
      <c r="T282" s="351"/>
    </row>
    <row r="283" spans="1:20" s="507" customFormat="1" ht="24.95" customHeight="1">
      <c r="A283" s="327">
        <v>90</v>
      </c>
      <c r="B283" s="1101" t="s">
        <v>2591</v>
      </c>
      <c r="C283" s="1102" t="s">
        <v>4414</v>
      </c>
      <c r="D283" s="1103" t="s">
        <v>62</v>
      </c>
      <c r="E283" s="168"/>
      <c r="F283" s="168">
        <v>20.706</v>
      </c>
      <c r="G283" s="168" t="s">
        <v>32</v>
      </c>
      <c r="H283" s="168" t="s">
        <v>33</v>
      </c>
      <c r="I283" s="168"/>
      <c r="J283" s="1834" t="s">
        <v>2186</v>
      </c>
      <c r="K283" s="1846" t="s">
        <v>4203</v>
      </c>
      <c r="L283" s="168">
        <v>97318.2</v>
      </c>
      <c r="M283" s="396">
        <v>88802.85</v>
      </c>
      <c r="N283" s="168" t="s">
        <v>4401</v>
      </c>
      <c r="O283" s="1834" t="s">
        <v>4196</v>
      </c>
      <c r="P283" s="168" t="s">
        <v>4197</v>
      </c>
      <c r="Q283" s="1104">
        <v>18935151265</v>
      </c>
      <c r="R283" s="168" t="s">
        <v>4198</v>
      </c>
      <c r="S283" s="168" t="s">
        <v>4043</v>
      </c>
      <c r="T283" s="168"/>
    </row>
    <row r="284" spans="1:20" s="507" customFormat="1" ht="24.95" customHeight="1">
      <c r="A284" s="327">
        <v>91</v>
      </c>
      <c r="B284" s="1101" t="s">
        <v>2591</v>
      </c>
      <c r="C284" s="1102" t="s">
        <v>4415</v>
      </c>
      <c r="D284" s="1103" t="s">
        <v>62</v>
      </c>
      <c r="E284" s="168"/>
      <c r="F284" s="168">
        <v>38.817999999999998</v>
      </c>
      <c r="G284" s="168" t="s">
        <v>32</v>
      </c>
      <c r="H284" s="168" t="s">
        <v>33</v>
      </c>
      <c r="I284" s="168"/>
      <c r="J284" s="1835"/>
      <c r="K284" s="1855"/>
      <c r="L284" s="168">
        <v>174681</v>
      </c>
      <c r="M284" s="396">
        <v>159396.42000000001</v>
      </c>
      <c r="N284" s="168" t="s">
        <v>4401</v>
      </c>
      <c r="O284" s="1835"/>
      <c r="P284" s="168" t="s">
        <v>4197</v>
      </c>
      <c r="Q284" s="1104">
        <v>18935151265</v>
      </c>
      <c r="R284" s="168" t="s">
        <v>4198</v>
      </c>
      <c r="S284" s="168" t="s">
        <v>4043</v>
      </c>
      <c r="T284" s="168"/>
    </row>
    <row r="285" spans="1:20" s="507" customFormat="1" ht="24.95" customHeight="1">
      <c r="A285" s="327">
        <v>92</v>
      </c>
      <c r="B285" s="1101" t="s">
        <v>2591</v>
      </c>
      <c r="C285" s="1105" t="s">
        <v>4416</v>
      </c>
      <c r="D285" s="1103" t="s">
        <v>62</v>
      </c>
      <c r="E285" s="168"/>
      <c r="F285" s="168">
        <v>25.811</v>
      </c>
      <c r="G285" s="168" t="s">
        <v>32</v>
      </c>
      <c r="H285" s="168" t="s">
        <v>33</v>
      </c>
      <c r="I285" s="168"/>
      <c r="J285" s="1836"/>
      <c r="K285" s="1847"/>
      <c r="L285" s="168">
        <v>114858.95</v>
      </c>
      <c r="M285" s="396">
        <v>104808.8</v>
      </c>
      <c r="N285" s="168" t="s">
        <v>4401</v>
      </c>
      <c r="O285" s="1836"/>
      <c r="P285" s="168" t="s">
        <v>4197</v>
      </c>
      <c r="Q285" s="1104">
        <v>18935151265</v>
      </c>
      <c r="R285" s="168" t="s">
        <v>4198</v>
      </c>
      <c r="S285" s="168" t="s">
        <v>4043</v>
      </c>
      <c r="T285" s="168"/>
    </row>
    <row r="286" spans="1:20" s="1076" customFormat="1" ht="24.95" customHeight="1">
      <c r="A286" s="327">
        <v>93</v>
      </c>
      <c r="B286" s="147" t="s">
        <v>2648</v>
      </c>
      <c r="C286" s="140" t="s">
        <v>34</v>
      </c>
      <c r="D286" s="140" t="s">
        <v>131</v>
      </c>
      <c r="E286" s="147"/>
      <c r="F286" s="147">
        <v>50</v>
      </c>
      <c r="G286" s="147" t="s">
        <v>32</v>
      </c>
      <c r="H286" s="147" t="s">
        <v>33</v>
      </c>
      <c r="I286" s="1073"/>
      <c r="J286" s="160" t="s">
        <v>4038</v>
      </c>
      <c r="K286" s="147"/>
      <c r="L286" s="356">
        <v>21560</v>
      </c>
      <c r="M286" s="356">
        <v>6468</v>
      </c>
      <c r="N286" s="572">
        <v>2018.5</v>
      </c>
      <c r="O286" s="153" t="s">
        <v>4417</v>
      </c>
      <c r="P286" s="352" t="s">
        <v>4041</v>
      </c>
      <c r="Q286" s="568">
        <v>18881106155</v>
      </c>
      <c r="R286" s="352" t="s">
        <v>4042</v>
      </c>
      <c r="S286" s="1067" t="s">
        <v>4043</v>
      </c>
      <c r="T286" s="147"/>
    </row>
    <row r="287" spans="1:20" s="250" customFormat="1" ht="24.95" customHeight="1">
      <c r="A287" s="327">
        <v>94</v>
      </c>
      <c r="B287" s="987" t="s">
        <v>526</v>
      </c>
      <c r="C287" s="140" t="s">
        <v>4418</v>
      </c>
      <c r="D287" s="147" t="s">
        <v>62</v>
      </c>
      <c r="E287" s="147"/>
      <c r="F287" s="147">
        <v>14.82</v>
      </c>
      <c r="G287" s="147" t="s">
        <v>32</v>
      </c>
      <c r="H287" s="147" t="s">
        <v>33</v>
      </c>
      <c r="I287" s="140" t="s">
        <v>4148</v>
      </c>
      <c r="J287" s="290" t="s">
        <v>4149</v>
      </c>
      <c r="K287" s="140" t="s">
        <v>404</v>
      </c>
      <c r="L287" s="343">
        <v>94715.94</v>
      </c>
      <c r="M287" s="154">
        <v>65709.2</v>
      </c>
      <c r="N287" s="147">
        <v>2021.9</v>
      </c>
      <c r="O287" s="1106" t="s">
        <v>4140</v>
      </c>
      <c r="P287" s="147" t="s">
        <v>4151</v>
      </c>
      <c r="Q287" s="147">
        <v>18835241171</v>
      </c>
      <c r="R287" s="140" t="s">
        <v>4152</v>
      </c>
      <c r="S287" s="568" t="s">
        <v>4043</v>
      </c>
      <c r="T287" s="147"/>
    </row>
    <row r="288" spans="1:20" s="876" customFormat="1" ht="24.95" customHeight="1">
      <c r="A288" s="327">
        <v>95</v>
      </c>
      <c r="B288" s="168" t="s">
        <v>4419</v>
      </c>
      <c r="C288" s="168" t="s">
        <v>4420</v>
      </c>
      <c r="D288" s="168" t="s">
        <v>31</v>
      </c>
      <c r="E288" s="351"/>
      <c r="F288" s="351">
        <v>3500</v>
      </c>
      <c r="G288" s="168" t="s">
        <v>32</v>
      </c>
      <c r="H288" s="168" t="s">
        <v>33</v>
      </c>
      <c r="I288" s="351"/>
      <c r="J288" s="174" t="s">
        <v>4157</v>
      </c>
      <c r="K288" s="174" t="s">
        <v>4421</v>
      </c>
      <c r="L288" s="446">
        <v>103960.4</v>
      </c>
      <c r="M288" s="446">
        <v>20792.080000000002</v>
      </c>
      <c r="N288" s="351">
        <v>2022.01</v>
      </c>
      <c r="O288" s="227" t="s">
        <v>4158</v>
      </c>
      <c r="P288" s="168" t="s">
        <v>4159</v>
      </c>
      <c r="Q288" s="351">
        <v>18035204008</v>
      </c>
      <c r="R288" s="174" t="s">
        <v>4160</v>
      </c>
      <c r="S288" s="174" t="s">
        <v>4043</v>
      </c>
      <c r="T288" s="351"/>
    </row>
    <row r="289" spans="1:20" s="250" customFormat="1" ht="24.95" customHeight="1">
      <c r="A289" s="328">
        <v>2</v>
      </c>
      <c r="B289" s="1107" t="s">
        <v>890</v>
      </c>
      <c r="C289" s="951"/>
      <c r="D289" s="147"/>
      <c r="E289" s="147"/>
      <c r="F289" s="147"/>
      <c r="G289" s="147"/>
      <c r="H289" s="147"/>
      <c r="I289" s="140"/>
      <c r="J289" s="147"/>
      <c r="K289" s="147"/>
      <c r="L289" s="147"/>
      <c r="M289" s="147"/>
      <c r="N289" s="1095"/>
      <c r="O289" s="147"/>
      <c r="P289" s="147"/>
      <c r="Q289" s="103"/>
      <c r="R289" s="168"/>
      <c r="S289" s="147"/>
      <c r="T289" s="147"/>
    </row>
    <row r="290" spans="1:20" s="594" customFormat="1" ht="24.95" customHeight="1">
      <c r="A290" s="168">
        <v>1</v>
      </c>
      <c r="B290" s="168" t="s">
        <v>899</v>
      </c>
      <c r="C290" s="174" t="s">
        <v>4422</v>
      </c>
      <c r="D290" s="174" t="s">
        <v>62</v>
      </c>
      <c r="E290" s="168"/>
      <c r="F290" s="168">
        <v>97</v>
      </c>
      <c r="G290" s="222" t="s">
        <v>32</v>
      </c>
      <c r="H290" s="222" t="s">
        <v>33</v>
      </c>
      <c r="I290" s="1096" t="s">
        <v>4319</v>
      </c>
      <c r="J290" s="404" t="s">
        <v>4128</v>
      </c>
      <c r="K290" s="488" t="s">
        <v>4423</v>
      </c>
      <c r="L290" s="168">
        <v>252200</v>
      </c>
      <c r="M290" s="168">
        <v>75660</v>
      </c>
      <c r="N290" s="1075">
        <v>43922</v>
      </c>
      <c r="O290" s="1915" t="s">
        <v>4130</v>
      </c>
      <c r="P290" s="1108" t="s">
        <v>4131</v>
      </c>
      <c r="Q290" s="222">
        <v>17373170973</v>
      </c>
      <c r="R290" s="222" t="s">
        <v>4132</v>
      </c>
      <c r="S290" s="1067" t="s">
        <v>4043</v>
      </c>
      <c r="T290" s="168"/>
    </row>
    <row r="291" spans="1:20" s="594" customFormat="1" ht="24.95" customHeight="1">
      <c r="A291" s="168">
        <v>2</v>
      </c>
      <c r="B291" s="168" t="s">
        <v>893</v>
      </c>
      <c r="C291" s="174" t="s">
        <v>4424</v>
      </c>
      <c r="D291" s="174" t="s">
        <v>31</v>
      </c>
      <c r="E291" s="168">
        <v>272</v>
      </c>
      <c r="F291" s="168"/>
      <c r="G291" s="222" t="s">
        <v>32</v>
      </c>
      <c r="H291" s="222" t="s">
        <v>33</v>
      </c>
      <c r="I291" s="1096" t="s">
        <v>4319</v>
      </c>
      <c r="J291" s="404" t="s">
        <v>4128</v>
      </c>
      <c r="K291" s="488" t="s">
        <v>4423</v>
      </c>
      <c r="L291" s="168">
        <v>10880</v>
      </c>
      <c r="M291" s="168">
        <v>3264</v>
      </c>
      <c r="N291" s="1075">
        <v>43922</v>
      </c>
      <c r="O291" s="1916"/>
      <c r="P291" s="1108" t="s">
        <v>4131</v>
      </c>
      <c r="Q291" s="222">
        <v>17373170973</v>
      </c>
      <c r="R291" s="222" t="s">
        <v>4132</v>
      </c>
      <c r="S291" s="1067" t="s">
        <v>4043</v>
      </c>
      <c r="T291" s="168"/>
    </row>
    <row r="292" spans="1:20" s="594" customFormat="1" ht="24.95" customHeight="1">
      <c r="A292" s="168">
        <v>3</v>
      </c>
      <c r="B292" s="168" t="s">
        <v>899</v>
      </c>
      <c r="C292" s="174" t="s">
        <v>2774</v>
      </c>
      <c r="D292" s="174" t="s">
        <v>62</v>
      </c>
      <c r="E292" s="168"/>
      <c r="F292" s="168">
        <v>20.420000000000002</v>
      </c>
      <c r="G292" s="222" t="s">
        <v>32</v>
      </c>
      <c r="H292" s="222" t="s">
        <v>33</v>
      </c>
      <c r="I292" s="1096" t="s">
        <v>4319</v>
      </c>
      <c r="J292" s="404" t="s">
        <v>4128</v>
      </c>
      <c r="K292" s="488" t="s">
        <v>4423</v>
      </c>
      <c r="L292" s="168">
        <v>51050</v>
      </c>
      <c r="M292" s="168">
        <v>15315</v>
      </c>
      <c r="N292" s="1075">
        <v>43922</v>
      </c>
      <c r="O292" s="1916"/>
      <c r="P292" s="1108" t="s">
        <v>4131</v>
      </c>
      <c r="Q292" s="222">
        <v>17373170973</v>
      </c>
      <c r="R292" s="222" t="s">
        <v>4132</v>
      </c>
      <c r="S292" s="1067" t="s">
        <v>4043</v>
      </c>
      <c r="T292" s="168"/>
    </row>
    <row r="293" spans="1:20" s="594" customFormat="1" ht="24.95" customHeight="1">
      <c r="A293" s="168">
        <v>4</v>
      </c>
      <c r="B293" s="168" t="s">
        <v>899</v>
      </c>
      <c r="C293" s="174" t="s">
        <v>4425</v>
      </c>
      <c r="D293" s="174" t="s">
        <v>62</v>
      </c>
      <c r="E293" s="168"/>
      <c r="F293" s="168">
        <v>8.35</v>
      </c>
      <c r="G293" s="222" t="s">
        <v>32</v>
      </c>
      <c r="H293" s="222" t="s">
        <v>33</v>
      </c>
      <c r="I293" s="1096" t="s">
        <v>4319</v>
      </c>
      <c r="J293" s="404" t="s">
        <v>4128</v>
      </c>
      <c r="K293" s="488" t="s">
        <v>4423</v>
      </c>
      <c r="L293" s="168">
        <v>20875</v>
      </c>
      <c r="M293" s="168">
        <v>6262.5</v>
      </c>
      <c r="N293" s="1075">
        <v>43922</v>
      </c>
      <c r="O293" s="1916"/>
      <c r="P293" s="1108" t="s">
        <v>4131</v>
      </c>
      <c r="Q293" s="222">
        <v>17373170973</v>
      </c>
      <c r="R293" s="222" t="s">
        <v>4132</v>
      </c>
      <c r="S293" s="1067" t="s">
        <v>4043</v>
      </c>
      <c r="T293" s="168"/>
    </row>
    <row r="294" spans="1:20" s="507" customFormat="1" ht="24.95" customHeight="1">
      <c r="A294" s="168">
        <v>5</v>
      </c>
      <c r="B294" s="168" t="s">
        <v>899</v>
      </c>
      <c r="C294" s="174" t="s">
        <v>2774</v>
      </c>
      <c r="D294" s="174" t="s">
        <v>62</v>
      </c>
      <c r="E294" s="168"/>
      <c r="F294" s="168">
        <v>61.4</v>
      </c>
      <c r="G294" s="222" t="s">
        <v>32</v>
      </c>
      <c r="H294" s="222" t="s">
        <v>33</v>
      </c>
      <c r="I294" s="1096" t="s">
        <v>4319</v>
      </c>
      <c r="J294" s="404" t="s">
        <v>4128</v>
      </c>
      <c r="K294" s="488" t="s">
        <v>4423</v>
      </c>
      <c r="L294" s="168">
        <v>153500</v>
      </c>
      <c r="M294" s="168">
        <v>46050</v>
      </c>
      <c r="N294" s="1075">
        <v>43983</v>
      </c>
      <c r="O294" s="1917"/>
      <c r="P294" s="1108" t="s">
        <v>4131</v>
      </c>
      <c r="Q294" s="222">
        <v>17373170973</v>
      </c>
      <c r="R294" s="222" t="s">
        <v>4132</v>
      </c>
      <c r="S294" s="1067" t="s">
        <v>4043</v>
      </c>
      <c r="T294" s="168"/>
    </row>
    <row r="295" spans="1:20" s="1093" customFormat="1" ht="24.95" customHeight="1">
      <c r="A295" s="168">
        <v>6</v>
      </c>
      <c r="B295" s="147" t="s">
        <v>899</v>
      </c>
      <c r="C295" s="140" t="s">
        <v>3388</v>
      </c>
      <c r="D295" s="140" t="s">
        <v>62</v>
      </c>
      <c r="E295" s="147"/>
      <c r="F295" s="147">
        <v>14.9</v>
      </c>
      <c r="G295" s="103" t="s">
        <v>32</v>
      </c>
      <c r="H295" s="103" t="s">
        <v>33</v>
      </c>
      <c r="I295" s="1073"/>
      <c r="J295" s="160" t="s">
        <v>4038</v>
      </c>
      <c r="K295" s="340"/>
      <c r="L295" s="140">
        <v>38740</v>
      </c>
      <c r="M295" s="140">
        <v>11622</v>
      </c>
      <c r="N295" s="125">
        <v>2018.1</v>
      </c>
      <c r="O295" s="325" t="s">
        <v>4417</v>
      </c>
      <c r="P295" s="1073" t="s">
        <v>4041</v>
      </c>
      <c r="Q295" s="103">
        <v>18881106155</v>
      </c>
      <c r="R295" s="103" t="s">
        <v>4042</v>
      </c>
      <c r="S295" s="1067" t="s">
        <v>4043</v>
      </c>
      <c r="T295" s="147" t="s">
        <v>4426</v>
      </c>
    </row>
    <row r="296" spans="1:20" s="1091" customFormat="1" ht="24.95" customHeight="1">
      <c r="A296" s="168">
        <v>7</v>
      </c>
      <c r="B296" s="168" t="s">
        <v>890</v>
      </c>
      <c r="C296" s="351" t="s">
        <v>4427</v>
      </c>
      <c r="D296" s="168" t="s">
        <v>62</v>
      </c>
      <c r="E296" s="351"/>
      <c r="F296" s="351">
        <v>10.75</v>
      </c>
      <c r="G296" s="168" t="s">
        <v>32</v>
      </c>
      <c r="H296" s="168" t="s">
        <v>33</v>
      </c>
      <c r="I296" s="351"/>
      <c r="J296" s="351"/>
      <c r="K296" s="168" t="s">
        <v>4347</v>
      </c>
      <c r="L296" s="351">
        <v>27175.3</v>
      </c>
      <c r="M296" s="446">
        <v>8152.59</v>
      </c>
      <c r="N296" s="561">
        <v>44287</v>
      </c>
      <c r="O296" s="1834" t="s">
        <v>4348</v>
      </c>
      <c r="P296" s="168" t="s">
        <v>4349</v>
      </c>
      <c r="Q296" s="351">
        <v>19987808108</v>
      </c>
      <c r="R296" s="168" t="s">
        <v>4350</v>
      </c>
      <c r="S296" s="168" t="s">
        <v>4043</v>
      </c>
      <c r="T296" s="351"/>
    </row>
    <row r="297" spans="1:20" s="1091" customFormat="1" ht="24.95" customHeight="1">
      <c r="A297" s="168">
        <v>8</v>
      </c>
      <c r="B297" s="168" t="s">
        <v>890</v>
      </c>
      <c r="C297" s="351" t="s">
        <v>4427</v>
      </c>
      <c r="D297" s="168" t="s">
        <v>62</v>
      </c>
      <c r="E297" s="351"/>
      <c r="F297" s="351">
        <v>26.875</v>
      </c>
      <c r="G297" s="168" t="s">
        <v>32</v>
      </c>
      <c r="H297" s="168" t="s">
        <v>33</v>
      </c>
      <c r="I297" s="351"/>
      <c r="J297" s="351"/>
      <c r="K297" s="168" t="s">
        <v>4347</v>
      </c>
      <c r="L297" s="351">
        <v>119593.75</v>
      </c>
      <c r="M297" s="446">
        <v>35878.125</v>
      </c>
      <c r="N297" s="561">
        <v>44287</v>
      </c>
      <c r="O297" s="1836"/>
      <c r="P297" s="168" t="s">
        <v>4349</v>
      </c>
      <c r="Q297" s="351">
        <v>19987808108</v>
      </c>
      <c r="R297" s="168" t="s">
        <v>4350</v>
      </c>
      <c r="S297" s="168" t="s">
        <v>4043</v>
      </c>
      <c r="T297" s="351"/>
    </row>
    <row r="298" spans="1:20" s="876" customFormat="1" ht="24.95" customHeight="1">
      <c r="A298" s="168">
        <v>9</v>
      </c>
      <c r="B298" s="168" t="s">
        <v>890</v>
      </c>
      <c r="C298" s="168" t="s">
        <v>4428</v>
      </c>
      <c r="D298" s="168" t="s">
        <v>62</v>
      </c>
      <c r="E298" s="351"/>
      <c r="F298" s="351">
        <v>115.64</v>
      </c>
      <c r="G298" s="168" t="s">
        <v>32</v>
      </c>
      <c r="H298" s="168" t="s">
        <v>33</v>
      </c>
      <c r="I298" s="351"/>
      <c r="J298" s="174" t="s">
        <v>4157</v>
      </c>
      <c r="K298" s="174" t="s">
        <v>4421</v>
      </c>
      <c r="L298" s="446">
        <v>612548.48</v>
      </c>
      <c r="M298" s="446">
        <v>122509.696</v>
      </c>
      <c r="N298" s="351">
        <v>2022.01</v>
      </c>
      <c r="O298" s="227" t="s">
        <v>4158</v>
      </c>
      <c r="P298" s="168" t="s">
        <v>4159</v>
      </c>
      <c r="Q298" s="351">
        <v>18035204008</v>
      </c>
      <c r="R298" s="174" t="s">
        <v>4160</v>
      </c>
      <c r="S298" s="174" t="s">
        <v>4043</v>
      </c>
      <c r="T298" s="351"/>
    </row>
    <row r="299" spans="1:20" s="876" customFormat="1" ht="24.95" customHeight="1">
      <c r="A299" s="168">
        <v>10</v>
      </c>
      <c r="B299" s="168" t="s">
        <v>4429</v>
      </c>
      <c r="C299" s="168" t="s">
        <v>4430</v>
      </c>
      <c r="D299" s="168" t="s">
        <v>79</v>
      </c>
      <c r="E299" s="351"/>
      <c r="F299" s="351">
        <v>1380</v>
      </c>
      <c r="G299" s="168" t="s">
        <v>32</v>
      </c>
      <c r="H299" s="168" t="s">
        <v>33</v>
      </c>
      <c r="I299" s="351"/>
      <c r="J299" s="174" t="s">
        <v>4157</v>
      </c>
      <c r="K299" s="174" t="s">
        <v>4421</v>
      </c>
      <c r="L299" s="446">
        <v>8881.19</v>
      </c>
      <c r="M299" s="446">
        <v>1776.2380000000001</v>
      </c>
      <c r="N299" s="351">
        <v>2022.01</v>
      </c>
      <c r="O299" s="227" t="s">
        <v>4158</v>
      </c>
      <c r="P299" s="168" t="s">
        <v>4159</v>
      </c>
      <c r="Q299" s="351">
        <v>18035204008</v>
      </c>
      <c r="R299" s="174" t="s">
        <v>4160</v>
      </c>
      <c r="S299" s="174" t="s">
        <v>4043</v>
      </c>
      <c r="T299" s="351"/>
    </row>
    <row r="300" spans="1:20" s="876" customFormat="1" ht="24.95" customHeight="1">
      <c r="A300" s="168">
        <v>11</v>
      </c>
      <c r="B300" s="168" t="s">
        <v>893</v>
      </c>
      <c r="C300" s="168" t="s">
        <v>4430</v>
      </c>
      <c r="D300" s="168" t="s">
        <v>31</v>
      </c>
      <c r="E300" s="351"/>
      <c r="F300" s="351">
        <v>460</v>
      </c>
      <c r="G300" s="168" t="s">
        <v>32</v>
      </c>
      <c r="H300" s="168" t="s">
        <v>33</v>
      </c>
      <c r="I300" s="351"/>
      <c r="J300" s="174" t="s">
        <v>4157</v>
      </c>
      <c r="K300" s="174" t="s">
        <v>4421</v>
      </c>
      <c r="L300" s="446">
        <v>21405.94</v>
      </c>
      <c r="M300" s="446">
        <v>4281.1880000000001</v>
      </c>
      <c r="N300" s="351">
        <v>2022.01</v>
      </c>
      <c r="O300" s="227" t="s">
        <v>4158</v>
      </c>
      <c r="P300" s="168" t="s">
        <v>4159</v>
      </c>
      <c r="Q300" s="351">
        <v>18035204008</v>
      </c>
      <c r="R300" s="174" t="s">
        <v>4160</v>
      </c>
      <c r="S300" s="174" t="s">
        <v>4043</v>
      </c>
      <c r="T300" s="351"/>
    </row>
    <row r="301" spans="1:20" s="250" customFormat="1" ht="24.95" customHeight="1">
      <c r="A301" s="168">
        <v>12</v>
      </c>
      <c r="B301" s="987" t="s">
        <v>4431</v>
      </c>
      <c r="C301" s="140" t="s">
        <v>4432</v>
      </c>
      <c r="D301" s="147" t="s">
        <v>62</v>
      </c>
      <c r="E301" s="147"/>
      <c r="F301" s="147">
        <v>5.58</v>
      </c>
      <c r="G301" s="147" t="s">
        <v>32</v>
      </c>
      <c r="H301" s="147" t="s">
        <v>33</v>
      </c>
      <c r="I301" s="140" t="s">
        <v>4148</v>
      </c>
      <c r="J301" s="290" t="s">
        <v>4149</v>
      </c>
      <c r="K301" s="140" t="s">
        <v>404</v>
      </c>
      <c r="L301" s="343">
        <v>14508</v>
      </c>
      <c r="M301" s="154">
        <v>10064.89</v>
      </c>
      <c r="N301" s="147">
        <v>2021.9</v>
      </c>
      <c r="O301" s="1106" t="s">
        <v>4140</v>
      </c>
      <c r="P301" s="147" t="s">
        <v>4151</v>
      </c>
      <c r="Q301" s="147">
        <v>18835241171</v>
      </c>
      <c r="R301" s="140" t="s">
        <v>4152</v>
      </c>
      <c r="S301" s="568" t="s">
        <v>4043</v>
      </c>
      <c r="T301" s="147"/>
    </row>
    <row r="302" spans="1:20" s="250" customFormat="1" ht="24.95" customHeight="1">
      <c r="A302" s="168">
        <v>13</v>
      </c>
      <c r="B302" s="987" t="s">
        <v>893</v>
      </c>
      <c r="C302" s="140" t="s">
        <v>4433</v>
      </c>
      <c r="D302" s="147" t="s">
        <v>79</v>
      </c>
      <c r="E302" s="147"/>
      <c r="F302" s="147">
        <v>8</v>
      </c>
      <c r="G302" s="147" t="s">
        <v>32</v>
      </c>
      <c r="H302" s="147" t="s">
        <v>33</v>
      </c>
      <c r="I302" s="140" t="s">
        <v>4148</v>
      </c>
      <c r="J302" s="290" t="s">
        <v>4149</v>
      </c>
      <c r="K302" s="140" t="s">
        <v>404</v>
      </c>
      <c r="L302" s="343">
        <v>640</v>
      </c>
      <c r="M302" s="154">
        <v>444</v>
      </c>
      <c r="N302" s="147">
        <v>2021.9</v>
      </c>
      <c r="O302" s="1106" t="s">
        <v>4140</v>
      </c>
      <c r="P302" s="147" t="s">
        <v>4151</v>
      </c>
      <c r="Q302" s="147">
        <v>18835241171</v>
      </c>
      <c r="R302" s="140" t="s">
        <v>4152</v>
      </c>
      <c r="S302" s="568" t="s">
        <v>4043</v>
      </c>
      <c r="T302" s="147"/>
    </row>
    <row r="303" spans="1:20" s="250" customFormat="1" ht="24.95" customHeight="1">
      <c r="A303" s="328">
        <v>3</v>
      </c>
      <c r="B303" s="1107" t="s">
        <v>981</v>
      </c>
      <c r="C303" s="951"/>
      <c r="D303" s="147"/>
      <c r="E303" s="147"/>
      <c r="F303" s="147"/>
      <c r="G303" s="147"/>
      <c r="H303" s="147"/>
      <c r="I303" s="140"/>
      <c r="J303" s="147"/>
      <c r="K303" s="147"/>
      <c r="L303" s="147"/>
      <c r="M303" s="147"/>
      <c r="N303" s="1095"/>
      <c r="O303" s="147"/>
      <c r="P303" s="147"/>
      <c r="Q303" s="103"/>
      <c r="R303" s="168"/>
      <c r="S303" s="147"/>
      <c r="T303" s="147"/>
    </row>
    <row r="304" spans="1:20" s="250" customFormat="1" ht="24.95" customHeight="1">
      <c r="A304" s="328">
        <v>4</v>
      </c>
      <c r="B304" s="1107" t="s">
        <v>982</v>
      </c>
      <c r="C304" s="951"/>
      <c r="D304" s="147"/>
      <c r="E304" s="147"/>
      <c r="F304" s="147"/>
      <c r="G304" s="147"/>
      <c r="H304" s="147"/>
      <c r="I304" s="140"/>
      <c r="J304" s="147"/>
      <c r="K304" s="147"/>
      <c r="L304" s="147"/>
      <c r="M304" s="147"/>
      <c r="N304" s="1095"/>
      <c r="O304" s="147"/>
      <c r="P304" s="147"/>
      <c r="Q304" s="103"/>
      <c r="R304" s="168"/>
      <c r="S304" s="147"/>
      <c r="T304" s="147"/>
    </row>
    <row r="305" spans="1:20" s="250" customFormat="1" ht="24.95" customHeight="1">
      <c r="A305" s="328" t="s">
        <v>1006</v>
      </c>
      <c r="B305" s="1107" t="s">
        <v>1007</v>
      </c>
      <c r="C305" s="951"/>
      <c r="D305" s="147"/>
      <c r="E305" s="147"/>
      <c r="F305" s="147"/>
      <c r="G305" s="147"/>
      <c r="H305" s="147"/>
      <c r="I305" s="140"/>
      <c r="J305" s="147"/>
      <c r="K305" s="147"/>
      <c r="L305" s="147"/>
      <c r="M305" s="147"/>
      <c r="N305" s="1095"/>
      <c r="O305" s="147"/>
      <c r="P305" s="147"/>
      <c r="Q305" s="103"/>
      <c r="R305" s="168"/>
      <c r="S305" s="147"/>
      <c r="T305" s="147"/>
    </row>
    <row r="306" spans="1:20" s="250" customFormat="1" ht="24.95" customHeight="1">
      <c r="A306" s="328">
        <v>1</v>
      </c>
      <c r="B306" s="1107" t="s">
        <v>1008</v>
      </c>
      <c r="C306" s="951"/>
      <c r="D306" s="147"/>
      <c r="E306" s="147"/>
      <c r="F306" s="147"/>
      <c r="G306" s="147"/>
      <c r="H306" s="147"/>
      <c r="I306" s="140"/>
      <c r="J306" s="147"/>
      <c r="K306" s="147"/>
      <c r="L306" s="147"/>
      <c r="M306" s="147"/>
      <c r="N306" s="1095"/>
      <c r="O306" s="147"/>
      <c r="P306" s="147"/>
      <c r="Q306" s="103"/>
      <c r="R306" s="168"/>
      <c r="S306" s="147"/>
      <c r="T306" s="147"/>
    </row>
    <row r="307" spans="1:20" s="250" customFormat="1" ht="24.95" customHeight="1">
      <c r="A307" s="328">
        <v>2</v>
      </c>
      <c r="B307" s="1107" t="s">
        <v>1042</v>
      </c>
      <c r="C307" s="951"/>
      <c r="D307" s="147"/>
      <c r="E307" s="147"/>
      <c r="F307" s="147"/>
      <c r="G307" s="147"/>
      <c r="H307" s="147"/>
      <c r="I307" s="140"/>
      <c r="J307" s="147"/>
      <c r="K307" s="147"/>
      <c r="L307" s="147"/>
      <c r="M307" s="147"/>
      <c r="N307" s="1095"/>
      <c r="O307" s="147"/>
      <c r="P307" s="147"/>
      <c r="Q307" s="103"/>
      <c r="R307" s="168"/>
      <c r="S307" s="147"/>
      <c r="T307" s="147"/>
    </row>
    <row r="308" spans="1:20" s="250" customFormat="1" ht="24.95" customHeight="1">
      <c r="A308" s="328">
        <v>3</v>
      </c>
      <c r="B308" s="1107" t="s">
        <v>1043</v>
      </c>
      <c r="C308" s="951"/>
      <c r="D308" s="147"/>
      <c r="E308" s="147"/>
      <c r="F308" s="147"/>
      <c r="G308" s="147"/>
      <c r="H308" s="147"/>
      <c r="I308" s="140"/>
      <c r="J308" s="147"/>
      <c r="K308" s="147"/>
      <c r="L308" s="147"/>
      <c r="M308" s="147"/>
      <c r="N308" s="1095"/>
      <c r="O308" s="147"/>
      <c r="P308" s="147"/>
      <c r="Q308" s="103"/>
      <c r="R308" s="168"/>
      <c r="S308" s="147"/>
      <c r="T308" s="147"/>
    </row>
    <row r="309" spans="1:20" s="1091" customFormat="1" ht="24.95" customHeight="1">
      <c r="A309" s="147">
        <v>1</v>
      </c>
      <c r="B309" s="168" t="s">
        <v>1043</v>
      </c>
      <c r="C309" s="351" t="s">
        <v>4434</v>
      </c>
      <c r="D309" s="168" t="s">
        <v>3821</v>
      </c>
      <c r="E309" s="351">
        <v>113</v>
      </c>
      <c r="F309" s="351"/>
      <c r="G309" s="168" t="s">
        <v>32</v>
      </c>
      <c r="H309" s="168" t="s">
        <v>33</v>
      </c>
      <c r="I309" s="351"/>
      <c r="J309" s="351"/>
      <c r="K309" s="168" t="s">
        <v>4347</v>
      </c>
      <c r="L309" s="351">
        <v>106559</v>
      </c>
      <c r="M309" s="446">
        <v>31967.7</v>
      </c>
      <c r="N309" s="561">
        <v>44287</v>
      </c>
      <c r="O309" s="168" t="s">
        <v>4348</v>
      </c>
      <c r="P309" s="168" t="s">
        <v>4349</v>
      </c>
      <c r="Q309" s="351">
        <v>19987808108</v>
      </c>
      <c r="R309" s="168" t="s">
        <v>4350</v>
      </c>
      <c r="S309" s="168" t="s">
        <v>4043</v>
      </c>
      <c r="T309" s="351"/>
    </row>
    <row r="310" spans="1:20" s="1112" customFormat="1" ht="24.95" customHeight="1">
      <c r="A310" s="147">
        <v>2</v>
      </c>
      <c r="B310" s="147" t="s">
        <v>1043</v>
      </c>
      <c r="C310" s="147" t="s">
        <v>4435</v>
      </c>
      <c r="D310" s="147" t="s">
        <v>3821</v>
      </c>
      <c r="E310" s="1109"/>
      <c r="F310" s="147">
        <v>63</v>
      </c>
      <c r="G310" s="147" t="s">
        <v>32</v>
      </c>
      <c r="H310" s="147" t="s">
        <v>33</v>
      </c>
      <c r="I310" s="1110"/>
      <c r="J310" s="1101" t="s">
        <v>4038</v>
      </c>
      <c r="K310" s="438"/>
      <c r="L310" s="1111">
        <v>97650</v>
      </c>
      <c r="M310" s="1111">
        <v>29295</v>
      </c>
      <c r="N310" s="125">
        <v>2018.5</v>
      </c>
      <c r="O310" s="140" t="s">
        <v>4417</v>
      </c>
      <c r="P310" s="168" t="s">
        <v>4041</v>
      </c>
      <c r="Q310" s="103">
        <v>18881106155</v>
      </c>
      <c r="R310" s="168" t="s">
        <v>4042</v>
      </c>
      <c r="S310" s="1067" t="s">
        <v>4043</v>
      </c>
      <c r="T310" s="168" t="s">
        <v>4338</v>
      </c>
    </row>
    <row r="311" spans="1:20" s="250" customFormat="1" ht="24.95" customHeight="1">
      <c r="A311" s="147">
        <v>3</v>
      </c>
      <c r="B311" s="1113" t="s">
        <v>1043</v>
      </c>
      <c r="C311" s="1113" t="s">
        <v>4435</v>
      </c>
      <c r="D311" s="1114" t="s">
        <v>3821</v>
      </c>
      <c r="E311" s="1114">
        <v>342</v>
      </c>
      <c r="F311" s="1115"/>
      <c r="G311" s="1116" t="s">
        <v>32</v>
      </c>
      <c r="H311" s="1116" t="s">
        <v>41</v>
      </c>
      <c r="I311" s="1115"/>
      <c r="J311" s="1864" t="s">
        <v>2413</v>
      </c>
      <c r="K311" s="1864" t="s">
        <v>4436</v>
      </c>
      <c r="L311" s="183">
        <v>628461.54</v>
      </c>
      <c r="M311" s="1117">
        <v>188538.46</v>
      </c>
      <c r="N311" s="1118">
        <v>2018.6</v>
      </c>
      <c r="O311" s="1905" t="s">
        <v>4047</v>
      </c>
      <c r="P311" s="1119" t="s">
        <v>4048</v>
      </c>
      <c r="Q311" s="1116">
        <v>19902766690</v>
      </c>
      <c r="R311" s="1116" t="s">
        <v>4049</v>
      </c>
      <c r="S311" s="161" t="s">
        <v>4043</v>
      </c>
      <c r="T311" s="1115"/>
    </row>
    <row r="312" spans="1:20" s="250" customFormat="1" ht="24.95" customHeight="1">
      <c r="A312" s="147">
        <v>4</v>
      </c>
      <c r="B312" s="951" t="s">
        <v>4437</v>
      </c>
      <c r="C312" s="951" t="s">
        <v>4438</v>
      </c>
      <c r="D312" s="103" t="s">
        <v>3821</v>
      </c>
      <c r="E312" s="103">
        <v>226</v>
      </c>
      <c r="F312" s="147"/>
      <c r="G312" s="1055" t="s">
        <v>32</v>
      </c>
      <c r="H312" s="1055" t="s">
        <v>41</v>
      </c>
      <c r="I312" s="147"/>
      <c r="J312" s="1833"/>
      <c r="K312" s="1833"/>
      <c r="L312" s="148">
        <v>36700.85</v>
      </c>
      <c r="M312" s="1061">
        <v>11010.26</v>
      </c>
      <c r="N312" s="1120">
        <v>2018.6</v>
      </c>
      <c r="O312" s="1903"/>
      <c r="P312" s="1053" t="s">
        <v>4048</v>
      </c>
      <c r="Q312" s="1055">
        <v>19902766690</v>
      </c>
      <c r="R312" s="1055" t="s">
        <v>4049</v>
      </c>
      <c r="S312" s="125" t="s">
        <v>4043</v>
      </c>
      <c r="T312" s="147"/>
    </row>
    <row r="313" spans="1:20" s="250" customFormat="1" ht="24.95" customHeight="1">
      <c r="A313" s="147">
        <v>5</v>
      </c>
      <c r="B313" s="951" t="s">
        <v>4437</v>
      </c>
      <c r="C313" s="951" t="s">
        <v>4439</v>
      </c>
      <c r="D313" s="103" t="s">
        <v>3821</v>
      </c>
      <c r="E313" s="103">
        <v>113</v>
      </c>
      <c r="F313" s="147"/>
      <c r="G313" s="1055" t="s">
        <v>32</v>
      </c>
      <c r="H313" s="1055" t="s">
        <v>41</v>
      </c>
      <c r="I313" s="147"/>
      <c r="J313" s="1833"/>
      <c r="K313" s="1833"/>
      <c r="L313" s="148">
        <v>24145.3</v>
      </c>
      <c r="M313" s="1061">
        <v>7243.59</v>
      </c>
      <c r="N313" s="1120">
        <v>2018.6</v>
      </c>
      <c r="O313" s="1903"/>
      <c r="P313" s="1053" t="s">
        <v>4048</v>
      </c>
      <c r="Q313" s="1055">
        <v>19902766690</v>
      </c>
      <c r="R313" s="1055" t="s">
        <v>4049</v>
      </c>
      <c r="S313" s="125" t="s">
        <v>4043</v>
      </c>
      <c r="T313" s="147"/>
    </row>
    <row r="314" spans="1:20" s="250" customFormat="1" ht="24.95" customHeight="1">
      <c r="A314" s="147">
        <v>6</v>
      </c>
      <c r="B314" s="951" t="s">
        <v>2862</v>
      </c>
      <c r="C314" s="951" t="s">
        <v>4440</v>
      </c>
      <c r="D314" s="103" t="s">
        <v>131</v>
      </c>
      <c r="E314" s="103">
        <v>690</v>
      </c>
      <c r="F314" s="147"/>
      <c r="G314" s="1055" t="s">
        <v>32</v>
      </c>
      <c r="H314" s="1055" t="s">
        <v>41</v>
      </c>
      <c r="I314" s="147"/>
      <c r="J314" s="1833"/>
      <c r="K314" s="1833"/>
      <c r="L314" s="148">
        <v>20641.02</v>
      </c>
      <c r="M314" s="1061">
        <v>6192.31</v>
      </c>
      <c r="N314" s="1120">
        <v>2018.6</v>
      </c>
      <c r="O314" s="1903"/>
      <c r="P314" s="1053" t="s">
        <v>4048</v>
      </c>
      <c r="Q314" s="1055">
        <v>19902766690</v>
      </c>
      <c r="R314" s="1055" t="s">
        <v>4049</v>
      </c>
      <c r="S314" s="125" t="s">
        <v>4043</v>
      </c>
      <c r="T314" s="147"/>
    </row>
    <row r="315" spans="1:20" s="250" customFormat="1" ht="24.95" customHeight="1">
      <c r="A315" s="147">
        <v>7</v>
      </c>
      <c r="B315" s="951" t="s">
        <v>4441</v>
      </c>
      <c r="C315" s="951" t="s">
        <v>4435</v>
      </c>
      <c r="D315" s="103" t="s">
        <v>131</v>
      </c>
      <c r="E315" s="103">
        <v>700</v>
      </c>
      <c r="F315" s="147"/>
      <c r="G315" s="1055" t="s">
        <v>32</v>
      </c>
      <c r="H315" s="1055" t="s">
        <v>41</v>
      </c>
      <c r="I315" s="147"/>
      <c r="J315" s="1833"/>
      <c r="K315" s="1833"/>
      <c r="L315" s="148">
        <v>717.95</v>
      </c>
      <c r="M315" s="1061">
        <v>215.38</v>
      </c>
      <c r="N315" s="1120">
        <v>2018.6</v>
      </c>
      <c r="O315" s="1903"/>
      <c r="P315" s="1053" t="s">
        <v>4048</v>
      </c>
      <c r="Q315" s="1055">
        <v>19902766690</v>
      </c>
      <c r="R315" s="1055" t="s">
        <v>4049</v>
      </c>
      <c r="S315" s="125" t="s">
        <v>4043</v>
      </c>
      <c r="T315" s="147"/>
    </row>
    <row r="316" spans="1:20" s="250" customFormat="1" ht="24.95" customHeight="1">
      <c r="A316" s="147">
        <v>8</v>
      </c>
      <c r="B316" s="951" t="s">
        <v>4442</v>
      </c>
      <c r="C316" s="951" t="s">
        <v>4443</v>
      </c>
      <c r="D316" s="103" t="s">
        <v>131</v>
      </c>
      <c r="E316" s="103">
        <v>1950</v>
      </c>
      <c r="F316" s="147"/>
      <c r="G316" s="1055" t="s">
        <v>32</v>
      </c>
      <c r="H316" s="1055" t="s">
        <v>41</v>
      </c>
      <c r="I316" s="147"/>
      <c r="J316" s="1833"/>
      <c r="K316" s="1833"/>
      <c r="L316" s="148">
        <v>12500</v>
      </c>
      <c r="M316" s="1061">
        <v>3750</v>
      </c>
      <c r="N316" s="1120">
        <v>2018.6</v>
      </c>
      <c r="O316" s="1903"/>
      <c r="P316" s="1053" t="s">
        <v>4048</v>
      </c>
      <c r="Q316" s="1055">
        <v>19902766690</v>
      </c>
      <c r="R316" s="1055" t="s">
        <v>4049</v>
      </c>
      <c r="S316" s="125" t="s">
        <v>4043</v>
      </c>
      <c r="T316" s="147"/>
    </row>
    <row r="317" spans="1:20" s="1093" customFormat="1" ht="24.95" customHeight="1">
      <c r="A317" s="147">
        <v>9</v>
      </c>
      <c r="B317" s="147" t="s">
        <v>1043</v>
      </c>
      <c r="C317" s="147" t="s">
        <v>4444</v>
      </c>
      <c r="D317" s="103" t="s">
        <v>62</v>
      </c>
      <c r="E317" s="147"/>
      <c r="F317" s="147">
        <v>12.15</v>
      </c>
      <c r="G317" s="1055" t="s">
        <v>32</v>
      </c>
      <c r="H317" s="1116" t="s">
        <v>33</v>
      </c>
      <c r="I317" s="1053"/>
      <c r="J317" s="1912" t="s">
        <v>4088</v>
      </c>
      <c r="K317" s="140" t="s">
        <v>4363</v>
      </c>
      <c r="L317" s="343">
        <v>62519.420295000004</v>
      </c>
      <c r="M317" s="343">
        <v>18755.826088500002</v>
      </c>
      <c r="N317" s="147" t="s">
        <v>4364</v>
      </c>
      <c r="O317" s="1862" t="s">
        <v>4090</v>
      </c>
      <c r="P317" s="1055" t="s">
        <v>4091</v>
      </c>
      <c r="Q317" s="1055">
        <v>19906957772</v>
      </c>
      <c r="R317" s="1055" t="s">
        <v>4092</v>
      </c>
      <c r="S317" s="125" t="s">
        <v>4043</v>
      </c>
      <c r="T317" s="147"/>
    </row>
    <row r="318" spans="1:20" s="1093" customFormat="1" ht="24.95" customHeight="1">
      <c r="A318" s="147">
        <v>10</v>
      </c>
      <c r="B318" s="147" t="s">
        <v>1043</v>
      </c>
      <c r="C318" s="147" t="s">
        <v>4445</v>
      </c>
      <c r="D318" s="1121" t="s">
        <v>3821</v>
      </c>
      <c r="E318" s="147"/>
      <c r="F318" s="147">
        <v>640</v>
      </c>
      <c r="G318" s="1055" t="s">
        <v>32</v>
      </c>
      <c r="H318" s="1116" t="s">
        <v>33</v>
      </c>
      <c r="I318" s="1053"/>
      <c r="J318" s="1913"/>
      <c r="K318" s="140" t="s">
        <v>4365</v>
      </c>
      <c r="L318" s="147">
        <v>1471167.25</v>
      </c>
      <c r="M318" s="343">
        <v>441350.17499999999</v>
      </c>
      <c r="N318" s="147" t="s">
        <v>4089</v>
      </c>
      <c r="O318" s="1863"/>
      <c r="P318" s="1055" t="s">
        <v>4091</v>
      </c>
      <c r="Q318" s="1055">
        <v>19906957772</v>
      </c>
      <c r="R318" s="1055" t="s">
        <v>4092</v>
      </c>
      <c r="S318" s="125" t="s">
        <v>4043</v>
      </c>
      <c r="T318" s="147"/>
    </row>
    <row r="319" spans="1:20" s="1093" customFormat="1" ht="24.95" customHeight="1">
      <c r="A319" s="147">
        <v>11</v>
      </c>
      <c r="B319" s="147" t="s">
        <v>4446</v>
      </c>
      <c r="C319" s="147" t="s">
        <v>4447</v>
      </c>
      <c r="D319" s="103" t="s">
        <v>62</v>
      </c>
      <c r="E319" s="147"/>
      <c r="F319" s="147">
        <v>2.06</v>
      </c>
      <c r="G319" s="1055" t="s">
        <v>32</v>
      </c>
      <c r="H319" s="1116" t="s">
        <v>33</v>
      </c>
      <c r="I319" s="1053"/>
      <c r="J319" s="1914"/>
      <c r="K319" s="140" t="s">
        <v>4363</v>
      </c>
      <c r="L319" s="343">
        <v>10600.000066000001</v>
      </c>
      <c r="M319" s="343">
        <v>3180.0000197999998</v>
      </c>
      <c r="N319" s="147" t="s">
        <v>4364</v>
      </c>
      <c r="O319" s="1864"/>
      <c r="P319" s="1055" t="s">
        <v>4091</v>
      </c>
      <c r="Q319" s="1055">
        <v>19906957772</v>
      </c>
      <c r="R319" s="1055" t="s">
        <v>4092</v>
      </c>
      <c r="S319" s="125" t="s">
        <v>4043</v>
      </c>
      <c r="T319" s="147"/>
    </row>
    <row r="320" spans="1:20" s="507" customFormat="1" ht="24.95" customHeight="1">
      <c r="A320" s="147">
        <v>12</v>
      </c>
      <c r="B320" s="168" t="s">
        <v>2869</v>
      </c>
      <c r="C320" s="168"/>
      <c r="D320" s="168" t="s">
        <v>3821</v>
      </c>
      <c r="E320" s="168">
        <v>904</v>
      </c>
      <c r="F320" s="168"/>
      <c r="G320" s="168" t="s">
        <v>32</v>
      </c>
      <c r="H320" s="168" t="s">
        <v>33</v>
      </c>
      <c r="I320" s="168"/>
      <c r="J320" s="418" t="s">
        <v>2186</v>
      </c>
      <c r="K320" s="168" t="s">
        <v>4195</v>
      </c>
      <c r="L320" s="154">
        <v>47460</v>
      </c>
      <c r="M320" s="1122">
        <v>23902.58</v>
      </c>
      <c r="N320" s="1123">
        <v>2017.11</v>
      </c>
      <c r="O320" s="174" t="s">
        <v>4196</v>
      </c>
      <c r="P320" s="168" t="s">
        <v>4197</v>
      </c>
      <c r="Q320" s="1104">
        <v>18935151265</v>
      </c>
      <c r="R320" s="168" t="s">
        <v>4198</v>
      </c>
      <c r="S320" s="168" t="s">
        <v>4043</v>
      </c>
      <c r="T320" s="168"/>
    </row>
    <row r="321" spans="1:20" s="507" customFormat="1" ht="24.95" customHeight="1">
      <c r="A321" s="147">
        <v>13</v>
      </c>
      <c r="B321" s="168" t="s">
        <v>1043</v>
      </c>
      <c r="C321" s="168"/>
      <c r="D321" s="168" t="s">
        <v>3821</v>
      </c>
      <c r="E321" s="168">
        <v>156</v>
      </c>
      <c r="F321" s="168"/>
      <c r="G321" s="168" t="s">
        <v>32</v>
      </c>
      <c r="H321" s="168" t="s">
        <v>33</v>
      </c>
      <c r="I321" s="168"/>
      <c r="J321" s="418" t="s">
        <v>2186</v>
      </c>
      <c r="K321" s="168" t="s">
        <v>4195</v>
      </c>
      <c r="L321" s="154">
        <v>147108</v>
      </c>
      <c r="M321" s="1122">
        <v>74088.94</v>
      </c>
      <c r="N321" s="1123">
        <v>2017.11</v>
      </c>
      <c r="O321" s="418" t="s">
        <v>4196</v>
      </c>
      <c r="P321" s="168" t="s">
        <v>4197</v>
      </c>
      <c r="Q321" s="1104">
        <v>18935151265</v>
      </c>
      <c r="R321" s="168" t="s">
        <v>4198</v>
      </c>
      <c r="S321" s="168" t="s">
        <v>4043</v>
      </c>
      <c r="T321" s="168"/>
    </row>
    <row r="322" spans="1:20" s="1091" customFormat="1" ht="24.95" customHeight="1">
      <c r="A322" s="147">
        <v>14</v>
      </c>
      <c r="B322" s="168" t="s">
        <v>1043</v>
      </c>
      <c r="C322" s="351" t="s">
        <v>4448</v>
      </c>
      <c r="D322" s="1124" t="s">
        <v>3821</v>
      </c>
      <c r="E322" s="1125">
        <v>517</v>
      </c>
      <c r="F322" s="1125"/>
      <c r="G322" s="1124" t="s">
        <v>32</v>
      </c>
      <c r="H322" s="1124" t="s">
        <v>33</v>
      </c>
      <c r="I322" s="1125"/>
      <c r="J322" s="1126" t="s">
        <v>5774</v>
      </c>
      <c r="K322" s="1126" t="s">
        <v>4449</v>
      </c>
      <c r="L322" s="1125">
        <v>904704.811965812</v>
      </c>
      <c r="M322" s="1127">
        <v>310992.27911324799</v>
      </c>
      <c r="N322" s="1128">
        <v>2018.05</v>
      </c>
      <c r="O322" s="1055" t="s">
        <v>4212</v>
      </c>
      <c r="P322" s="1053" t="s">
        <v>4213</v>
      </c>
      <c r="Q322" s="1055">
        <v>18235424112</v>
      </c>
      <c r="R322" s="1079" t="s">
        <v>1813</v>
      </c>
      <c r="S322" s="125" t="s">
        <v>4043</v>
      </c>
      <c r="T322" s="351"/>
    </row>
    <row r="323" spans="1:20" s="250" customFormat="1" ht="24.95" customHeight="1">
      <c r="A323" s="328">
        <v>4</v>
      </c>
      <c r="B323" s="328" t="s">
        <v>1044</v>
      </c>
      <c r="C323" s="147"/>
      <c r="D323" s="147"/>
      <c r="E323" s="147"/>
      <c r="F323" s="147"/>
      <c r="G323" s="147"/>
      <c r="H323" s="147"/>
      <c r="I323" s="140"/>
      <c r="J323" s="147"/>
      <c r="K323" s="147"/>
      <c r="L323" s="343"/>
      <c r="M323" s="343"/>
      <c r="N323" s="1095"/>
      <c r="O323" s="147"/>
      <c r="P323" s="147"/>
      <c r="Q323" s="147"/>
      <c r="R323" s="147"/>
      <c r="S323" s="147"/>
      <c r="T323" s="147"/>
    </row>
    <row r="324" spans="1:20" s="1093" customFormat="1" ht="24.95" customHeight="1">
      <c r="A324" s="147">
        <v>1</v>
      </c>
      <c r="B324" s="168" t="s">
        <v>4450</v>
      </c>
      <c r="C324" s="174">
        <v>630</v>
      </c>
      <c r="D324" s="174" t="s">
        <v>62</v>
      </c>
      <c r="E324" s="168"/>
      <c r="F324" s="168">
        <v>10.38</v>
      </c>
      <c r="G324" s="222" t="s">
        <v>32</v>
      </c>
      <c r="H324" s="222" t="s">
        <v>33</v>
      </c>
      <c r="I324" s="1096" t="s">
        <v>4183</v>
      </c>
      <c r="J324" s="404" t="s">
        <v>4128</v>
      </c>
      <c r="K324" s="1097" t="s">
        <v>4129</v>
      </c>
      <c r="L324" s="168">
        <v>32385.599999999999</v>
      </c>
      <c r="M324" s="168">
        <v>9715.68</v>
      </c>
      <c r="N324" s="1066">
        <v>43678</v>
      </c>
      <c r="O324" s="1918" t="s">
        <v>4130</v>
      </c>
      <c r="P324" s="1073" t="s">
        <v>4131</v>
      </c>
      <c r="Q324" s="103">
        <v>17373170973</v>
      </c>
      <c r="R324" s="103" t="s">
        <v>4132</v>
      </c>
      <c r="S324" s="1060" t="s">
        <v>4043</v>
      </c>
      <c r="T324" s="147"/>
    </row>
    <row r="325" spans="1:20" s="1093" customFormat="1" ht="24.95" customHeight="1">
      <c r="A325" s="147">
        <v>2</v>
      </c>
      <c r="B325" s="168" t="s">
        <v>4450</v>
      </c>
      <c r="C325" s="174" t="s">
        <v>4451</v>
      </c>
      <c r="D325" s="174" t="s">
        <v>62</v>
      </c>
      <c r="E325" s="168"/>
      <c r="F325" s="168">
        <v>7.6890000000000001</v>
      </c>
      <c r="G325" s="222" t="s">
        <v>32</v>
      </c>
      <c r="H325" s="222" t="s">
        <v>33</v>
      </c>
      <c r="I325" s="1096" t="s">
        <v>4183</v>
      </c>
      <c r="J325" s="404" t="s">
        <v>4128</v>
      </c>
      <c r="K325" s="1097" t="s">
        <v>4184</v>
      </c>
      <c r="L325" s="168">
        <v>9857.69</v>
      </c>
      <c r="M325" s="168">
        <v>2957.31</v>
      </c>
      <c r="N325" s="1075">
        <v>43922</v>
      </c>
      <c r="O325" s="1918"/>
      <c r="P325" s="1073" t="s">
        <v>4131</v>
      </c>
      <c r="Q325" s="103">
        <v>17373170973</v>
      </c>
      <c r="R325" s="103" t="s">
        <v>4132</v>
      </c>
      <c r="S325" s="1060" t="s">
        <v>4043</v>
      </c>
      <c r="T325" s="147"/>
    </row>
    <row r="326" spans="1:20" s="1093" customFormat="1" ht="24.95" customHeight="1">
      <c r="A326" s="147">
        <v>3</v>
      </c>
      <c r="B326" s="168" t="s">
        <v>4450</v>
      </c>
      <c r="C326" s="174" t="s">
        <v>4452</v>
      </c>
      <c r="D326" s="174" t="s">
        <v>62</v>
      </c>
      <c r="E326" s="168"/>
      <c r="F326" s="168">
        <v>1.3460000000000001</v>
      </c>
      <c r="G326" s="222" t="s">
        <v>32</v>
      </c>
      <c r="H326" s="222" t="s">
        <v>33</v>
      </c>
      <c r="I326" s="1096" t="s">
        <v>4183</v>
      </c>
      <c r="J326" s="404" t="s">
        <v>4128</v>
      </c>
      <c r="K326" s="1097" t="s">
        <v>4184</v>
      </c>
      <c r="L326" s="168">
        <v>1725.64</v>
      </c>
      <c r="M326" s="168">
        <v>517.69000000000005</v>
      </c>
      <c r="N326" s="1075">
        <v>43922</v>
      </c>
      <c r="O326" s="1918"/>
      <c r="P326" s="1073" t="s">
        <v>4131</v>
      </c>
      <c r="Q326" s="103">
        <v>17373170973</v>
      </c>
      <c r="R326" s="103" t="s">
        <v>4132</v>
      </c>
      <c r="S326" s="1060" t="s">
        <v>4043</v>
      </c>
      <c r="T326" s="147"/>
    </row>
    <row r="327" spans="1:20" s="1093" customFormat="1" ht="24.95" customHeight="1">
      <c r="A327" s="147">
        <v>4</v>
      </c>
      <c r="B327" s="168" t="s">
        <v>4450</v>
      </c>
      <c r="C327" s="174" t="s">
        <v>4453</v>
      </c>
      <c r="D327" s="174" t="s">
        <v>62</v>
      </c>
      <c r="E327" s="168"/>
      <c r="F327" s="168">
        <v>4.7939999999999996</v>
      </c>
      <c r="G327" s="222" t="s">
        <v>32</v>
      </c>
      <c r="H327" s="222" t="s">
        <v>33</v>
      </c>
      <c r="I327" s="1096" t="s">
        <v>4183</v>
      </c>
      <c r="J327" s="404" t="s">
        <v>4128</v>
      </c>
      <c r="K327" s="1097" t="s">
        <v>4184</v>
      </c>
      <c r="L327" s="168">
        <v>5293.36</v>
      </c>
      <c r="M327" s="168">
        <v>1588.01</v>
      </c>
      <c r="N327" s="1075">
        <v>43922</v>
      </c>
      <c r="O327" s="1918"/>
      <c r="P327" s="1073" t="s">
        <v>4131</v>
      </c>
      <c r="Q327" s="103">
        <v>17373170973</v>
      </c>
      <c r="R327" s="103" t="s">
        <v>4132</v>
      </c>
      <c r="S327" s="1060" t="s">
        <v>4043</v>
      </c>
      <c r="T327" s="147"/>
    </row>
    <row r="328" spans="1:20" s="1093" customFormat="1" ht="24.95" customHeight="1">
      <c r="A328" s="147">
        <v>5</v>
      </c>
      <c r="B328" s="168" t="s">
        <v>4450</v>
      </c>
      <c r="C328" s="174" t="s">
        <v>4454</v>
      </c>
      <c r="D328" s="174" t="s">
        <v>62</v>
      </c>
      <c r="E328" s="168"/>
      <c r="F328" s="168">
        <v>2.1589999999999998</v>
      </c>
      <c r="G328" s="222" t="s">
        <v>32</v>
      </c>
      <c r="H328" s="222" t="s">
        <v>33</v>
      </c>
      <c r="I328" s="1096" t="s">
        <v>4183</v>
      </c>
      <c r="J328" s="404" t="s">
        <v>4128</v>
      </c>
      <c r="K328" s="1097" t="s">
        <v>4184</v>
      </c>
      <c r="L328" s="168">
        <v>2389.34</v>
      </c>
      <c r="M328" s="168">
        <v>716.8</v>
      </c>
      <c r="N328" s="1075">
        <v>43922</v>
      </c>
      <c r="O328" s="1918"/>
      <c r="P328" s="1073" t="s">
        <v>4131</v>
      </c>
      <c r="Q328" s="103">
        <v>17373170973</v>
      </c>
      <c r="R328" s="103" t="s">
        <v>4132</v>
      </c>
      <c r="S328" s="1060" t="s">
        <v>4043</v>
      </c>
      <c r="T328" s="147"/>
    </row>
    <row r="329" spans="1:20" s="250" customFormat="1" ht="24.95" customHeight="1">
      <c r="A329" s="328">
        <v>5</v>
      </c>
      <c r="B329" s="328" t="s">
        <v>1107</v>
      </c>
      <c r="C329" s="147"/>
      <c r="D329" s="147"/>
      <c r="E329" s="147"/>
      <c r="F329" s="147"/>
      <c r="G329" s="147"/>
      <c r="H329" s="147"/>
      <c r="I329" s="140"/>
      <c r="J329" s="147"/>
      <c r="K329" s="147"/>
      <c r="L329" s="343"/>
      <c r="M329" s="343"/>
      <c r="N329" s="1095"/>
      <c r="O329" s="147"/>
      <c r="P329" s="147"/>
      <c r="Q329" s="147"/>
      <c r="R329" s="147"/>
      <c r="S329" s="147"/>
      <c r="T329" s="147"/>
    </row>
    <row r="330" spans="1:20" s="250" customFormat="1" ht="24.95" customHeight="1">
      <c r="A330" s="147">
        <v>1</v>
      </c>
      <c r="B330" s="103" t="s">
        <v>1107</v>
      </c>
      <c r="C330" s="103" t="s">
        <v>4455</v>
      </c>
      <c r="D330" s="103" t="s">
        <v>4456</v>
      </c>
      <c r="E330" s="103">
        <v>2</v>
      </c>
      <c r="F330" s="147"/>
      <c r="G330" s="147" t="s">
        <v>32</v>
      </c>
      <c r="H330" s="147" t="s">
        <v>41</v>
      </c>
      <c r="I330" s="1055" t="s">
        <v>34</v>
      </c>
      <c r="J330" s="1053" t="s">
        <v>34</v>
      </c>
      <c r="K330" s="160" t="s">
        <v>34</v>
      </c>
      <c r="L330" s="1129" t="s">
        <v>34</v>
      </c>
      <c r="M330" s="1130">
        <v>883823</v>
      </c>
      <c r="N330" s="1055">
        <v>2013.3</v>
      </c>
      <c r="O330" s="140" t="s">
        <v>4457</v>
      </c>
      <c r="P330" s="1059" t="s">
        <v>4458</v>
      </c>
      <c r="Q330" s="1059">
        <v>1333333208</v>
      </c>
      <c r="R330" s="147" t="s">
        <v>4459</v>
      </c>
      <c r="S330" s="1055" t="s">
        <v>4043</v>
      </c>
      <c r="T330" s="147"/>
    </row>
    <row r="331" spans="1:20" s="250" customFormat="1" ht="24.95" customHeight="1">
      <c r="A331" s="147">
        <v>2</v>
      </c>
      <c r="B331" s="147" t="s">
        <v>4460</v>
      </c>
      <c r="C331" s="147" t="s">
        <v>4461</v>
      </c>
      <c r="D331" s="147" t="s">
        <v>464</v>
      </c>
      <c r="E331" s="147"/>
      <c r="F331" s="147">
        <v>70</v>
      </c>
      <c r="G331" s="147" t="s">
        <v>32</v>
      </c>
      <c r="H331" s="147" t="s">
        <v>41</v>
      </c>
      <c r="I331" s="160" t="s">
        <v>34</v>
      </c>
      <c r="J331" s="160" t="s">
        <v>34</v>
      </c>
      <c r="K331" s="160" t="s">
        <v>34</v>
      </c>
      <c r="L331" s="160" t="s">
        <v>34</v>
      </c>
      <c r="M331" s="160" t="s">
        <v>34</v>
      </c>
      <c r="N331" s="1095" t="s">
        <v>34</v>
      </c>
      <c r="O331" s="1131" t="s">
        <v>4462</v>
      </c>
      <c r="P331" s="147" t="s">
        <v>4342</v>
      </c>
      <c r="Q331" s="1077">
        <v>18388135681</v>
      </c>
      <c r="R331" s="147" t="s">
        <v>4343</v>
      </c>
      <c r="S331" s="147" t="s">
        <v>4043</v>
      </c>
      <c r="T331" s="147"/>
    </row>
    <row r="332" spans="1:20" s="1091" customFormat="1" ht="24.95" customHeight="1">
      <c r="A332" s="147">
        <v>3</v>
      </c>
      <c r="B332" s="168" t="s">
        <v>4463</v>
      </c>
      <c r="C332" s="1125" t="s">
        <v>4464</v>
      </c>
      <c r="D332" s="1125" t="s">
        <v>2724</v>
      </c>
      <c r="E332" s="1125">
        <v>400</v>
      </c>
      <c r="F332" s="1125"/>
      <c r="G332" s="1124" t="s">
        <v>32</v>
      </c>
      <c r="H332" s="1124" t="s">
        <v>33</v>
      </c>
      <c r="I332" s="1125"/>
      <c r="J332" s="1126" t="s">
        <v>5774</v>
      </c>
      <c r="K332" s="1126" t="s">
        <v>4465</v>
      </c>
      <c r="L332" s="1125">
        <v>878584.07079646003</v>
      </c>
      <c r="M332" s="1125">
        <v>263574.75079646002</v>
      </c>
      <c r="N332" s="1125">
        <v>2019.04</v>
      </c>
      <c r="O332" s="1055" t="s">
        <v>4212</v>
      </c>
      <c r="P332" s="1053" t="s">
        <v>4213</v>
      </c>
      <c r="Q332" s="1055">
        <v>18235424112</v>
      </c>
      <c r="R332" s="1079" t="s">
        <v>1813</v>
      </c>
      <c r="S332" s="125" t="s">
        <v>4043</v>
      </c>
      <c r="T332" s="351"/>
    </row>
    <row r="333" spans="1:20" s="1091" customFormat="1" ht="24.95" customHeight="1">
      <c r="A333" s="147">
        <v>4</v>
      </c>
      <c r="B333" s="168" t="s">
        <v>4463</v>
      </c>
      <c r="C333" s="1125" t="s">
        <v>4466</v>
      </c>
      <c r="D333" s="1125" t="s">
        <v>2724</v>
      </c>
      <c r="E333" s="1125">
        <v>400</v>
      </c>
      <c r="F333" s="1125"/>
      <c r="G333" s="1124" t="s">
        <v>32</v>
      </c>
      <c r="H333" s="1124" t="s">
        <v>33</v>
      </c>
      <c r="I333" s="1125"/>
      <c r="J333" s="1126" t="s">
        <v>5774</v>
      </c>
      <c r="K333" s="1126" t="s">
        <v>4467</v>
      </c>
      <c r="L333" s="1125">
        <v>892038.83495145605</v>
      </c>
      <c r="M333" s="1125">
        <v>267612.154951456</v>
      </c>
      <c r="N333" s="1125">
        <v>2019.11</v>
      </c>
      <c r="O333" s="1055" t="s">
        <v>4212</v>
      </c>
      <c r="P333" s="1053" t="s">
        <v>4213</v>
      </c>
      <c r="Q333" s="1055">
        <v>18235424112</v>
      </c>
      <c r="R333" s="1079" t="s">
        <v>1813</v>
      </c>
      <c r="S333" s="125" t="s">
        <v>4043</v>
      </c>
      <c r="T333" s="351"/>
    </row>
    <row r="334" spans="1:20" s="250" customFormat="1" ht="24.95" customHeight="1">
      <c r="A334" s="328" t="s">
        <v>1108</v>
      </c>
      <c r="B334" s="1132" t="s">
        <v>1109</v>
      </c>
      <c r="C334" s="147"/>
      <c r="D334" s="147"/>
      <c r="E334" s="147"/>
      <c r="F334" s="147"/>
      <c r="G334" s="147"/>
      <c r="H334" s="147"/>
      <c r="I334" s="140"/>
      <c r="J334" s="147"/>
      <c r="K334" s="147"/>
      <c r="L334" s="1130"/>
      <c r="M334" s="1130"/>
      <c r="N334" s="1095"/>
      <c r="O334" s="147"/>
      <c r="P334" s="147"/>
      <c r="Q334" s="147"/>
      <c r="R334" s="147"/>
      <c r="S334" s="147"/>
      <c r="T334" s="147"/>
    </row>
    <row r="335" spans="1:20" s="250" customFormat="1" ht="24.95" customHeight="1">
      <c r="A335" s="328">
        <v>1</v>
      </c>
      <c r="B335" s="1132" t="s">
        <v>1110</v>
      </c>
      <c r="C335" s="147"/>
      <c r="D335" s="147"/>
      <c r="E335" s="147"/>
      <c r="F335" s="147"/>
      <c r="G335" s="147"/>
      <c r="H335" s="147"/>
      <c r="I335" s="140"/>
      <c r="J335" s="147"/>
      <c r="K335" s="147"/>
      <c r="L335" s="1130"/>
      <c r="M335" s="1130"/>
      <c r="N335" s="1095"/>
      <c r="O335" s="1133"/>
      <c r="P335" s="147"/>
      <c r="Q335" s="147"/>
      <c r="R335" s="147"/>
      <c r="S335" s="147"/>
      <c r="T335" s="147"/>
    </row>
    <row r="336" spans="1:20" s="250" customFormat="1" ht="24.95" customHeight="1">
      <c r="A336" s="147">
        <v>1</v>
      </c>
      <c r="B336" s="174" t="s">
        <v>4468</v>
      </c>
      <c r="C336" s="174" t="s">
        <v>4469</v>
      </c>
      <c r="D336" s="174" t="s">
        <v>1477</v>
      </c>
      <c r="E336" s="168">
        <v>1</v>
      </c>
      <c r="F336" s="168">
        <v>115.59</v>
      </c>
      <c r="G336" s="222" t="s">
        <v>32</v>
      </c>
      <c r="H336" s="222" t="s">
        <v>33</v>
      </c>
      <c r="I336" s="1096" t="s">
        <v>4183</v>
      </c>
      <c r="J336" s="404" t="s">
        <v>4128</v>
      </c>
      <c r="K336" s="1098" t="s">
        <v>4470</v>
      </c>
      <c r="L336" s="1098">
        <v>856960.34</v>
      </c>
      <c r="M336" s="168">
        <v>257088.02</v>
      </c>
      <c r="N336" s="1134">
        <v>43617</v>
      </c>
      <c r="O336" s="1919" t="s">
        <v>4130</v>
      </c>
      <c r="P336" s="1073" t="s">
        <v>4131</v>
      </c>
      <c r="Q336" s="103">
        <v>17373170973</v>
      </c>
      <c r="R336" s="103" t="s">
        <v>4132</v>
      </c>
      <c r="S336" s="1060" t="s">
        <v>4043</v>
      </c>
      <c r="T336" s="147"/>
    </row>
    <row r="337" spans="1:20" s="250" customFormat="1" ht="24.95" customHeight="1">
      <c r="A337" s="147">
        <v>2</v>
      </c>
      <c r="B337" s="174" t="s">
        <v>4471</v>
      </c>
      <c r="C337" s="174" t="s">
        <v>4472</v>
      </c>
      <c r="D337" s="174" t="s">
        <v>79</v>
      </c>
      <c r="E337" s="222">
        <v>1</v>
      </c>
      <c r="F337" s="168"/>
      <c r="G337" s="222" t="s">
        <v>32</v>
      </c>
      <c r="H337" s="222" t="s">
        <v>33</v>
      </c>
      <c r="I337" s="1096" t="s">
        <v>4183</v>
      </c>
      <c r="J337" s="404" t="s">
        <v>4128</v>
      </c>
      <c r="K337" s="1098" t="s">
        <v>4470</v>
      </c>
      <c r="L337" s="1098">
        <v>21551.72</v>
      </c>
      <c r="M337" s="168">
        <v>6465.56</v>
      </c>
      <c r="N337" s="1134">
        <v>43617</v>
      </c>
      <c r="O337" s="1919"/>
      <c r="P337" s="1073" t="s">
        <v>4131</v>
      </c>
      <c r="Q337" s="103">
        <v>17373170973</v>
      </c>
      <c r="R337" s="103" t="s">
        <v>4132</v>
      </c>
      <c r="S337" s="1060" t="s">
        <v>4043</v>
      </c>
      <c r="T337" s="147"/>
    </row>
    <row r="338" spans="1:20" s="250" customFormat="1" ht="24.95" customHeight="1">
      <c r="A338" s="147">
        <v>3</v>
      </c>
      <c r="B338" s="174" t="s">
        <v>2975</v>
      </c>
      <c r="C338" s="174" t="s">
        <v>4473</v>
      </c>
      <c r="D338" s="174" t="s">
        <v>79</v>
      </c>
      <c r="E338" s="222">
        <v>1</v>
      </c>
      <c r="F338" s="168"/>
      <c r="G338" s="222" t="s">
        <v>32</v>
      </c>
      <c r="H338" s="222" t="s">
        <v>33</v>
      </c>
      <c r="I338" s="1096" t="s">
        <v>4183</v>
      </c>
      <c r="J338" s="404" t="s">
        <v>4128</v>
      </c>
      <c r="K338" s="1098" t="s">
        <v>4470</v>
      </c>
      <c r="L338" s="1098">
        <v>198275.86</v>
      </c>
      <c r="M338" s="168">
        <v>59482.660000000797</v>
      </c>
      <c r="N338" s="1134">
        <v>43617</v>
      </c>
      <c r="O338" s="1919"/>
      <c r="P338" s="1073" t="s">
        <v>4131</v>
      </c>
      <c r="Q338" s="103">
        <v>17373170973</v>
      </c>
      <c r="R338" s="103" t="s">
        <v>4132</v>
      </c>
      <c r="S338" s="1060" t="s">
        <v>4043</v>
      </c>
      <c r="T338" s="147"/>
    </row>
    <row r="339" spans="1:20" s="250" customFormat="1" ht="24.95" customHeight="1">
      <c r="A339" s="147">
        <v>4</v>
      </c>
      <c r="B339" s="174" t="s">
        <v>4468</v>
      </c>
      <c r="C339" s="174" t="s">
        <v>4469</v>
      </c>
      <c r="D339" s="174" t="s">
        <v>1477</v>
      </c>
      <c r="E339" s="168">
        <v>2</v>
      </c>
      <c r="F339" s="168">
        <v>219.83</v>
      </c>
      <c r="G339" s="222" t="s">
        <v>32</v>
      </c>
      <c r="H339" s="222" t="s">
        <v>33</v>
      </c>
      <c r="I339" s="1096" t="s">
        <v>4183</v>
      </c>
      <c r="J339" s="404" t="s">
        <v>4128</v>
      </c>
      <c r="K339" s="1097" t="s">
        <v>4133</v>
      </c>
      <c r="L339" s="1097">
        <v>1789766.36</v>
      </c>
      <c r="M339" s="168">
        <v>442048.27</v>
      </c>
      <c r="N339" s="1134">
        <v>43617</v>
      </c>
      <c r="O339" s="1919"/>
      <c r="P339" s="1073" t="s">
        <v>4131</v>
      </c>
      <c r="Q339" s="103">
        <v>17373170973</v>
      </c>
      <c r="R339" s="103" t="s">
        <v>4132</v>
      </c>
      <c r="S339" s="1060" t="s">
        <v>4043</v>
      </c>
      <c r="T339" s="147"/>
    </row>
    <row r="340" spans="1:20" s="250" customFormat="1" ht="24.95" customHeight="1">
      <c r="A340" s="147">
        <v>5</v>
      </c>
      <c r="B340" s="174" t="s">
        <v>4474</v>
      </c>
      <c r="C340" s="174" t="s">
        <v>4469</v>
      </c>
      <c r="D340" s="174" t="s">
        <v>1477</v>
      </c>
      <c r="E340" s="168">
        <v>3</v>
      </c>
      <c r="F340" s="168">
        <v>357.21</v>
      </c>
      <c r="G340" s="222" t="s">
        <v>32</v>
      </c>
      <c r="H340" s="222" t="s">
        <v>33</v>
      </c>
      <c r="I340" s="1096" t="s">
        <v>4183</v>
      </c>
      <c r="J340" s="404" t="s">
        <v>4128</v>
      </c>
      <c r="K340" s="1097" t="s">
        <v>4133</v>
      </c>
      <c r="L340" s="1097">
        <v>3350819.58</v>
      </c>
      <c r="M340" s="168">
        <v>912706.22</v>
      </c>
      <c r="N340" s="1134">
        <v>43678</v>
      </c>
      <c r="O340" s="1919"/>
      <c r="P340" s="1073" t="s">
        <v>4131</v>
      </c>
      <c r="Q340" s="103">
        <v>17373170973</v>
      </c>
      <c r="R340" s="103" t="s">
        <v>4132</v>
      </c>
      <c r="S340" s="1060" t="s">
        <v>4043</v>
      </c>
      <c r="T340" s="147"/>
    </row>
    <row r="341" spans="1:20" s="250" customFormat="1" ht="24.95" customHeight="1">
      <c r="A341" s="147">
        <v>6</v>
      </c>
      <c r="B341" s="174" t="s">
        <v>2975</v>
      </c>
      <c r="C341" s="174" t="s">
        <v>4473</v>
      </c>
      <c r="D341" s="174" t="s">
        <v>79</v>
      </c>
      <c r="E341" s="222">
        <v>1</v>
      </c>
      <c r="F341" s="168"/>
      <c r="G341" s="222" t="s">
        <v>32</v>
      </c>
      <c r="H341" s="222" t="s">
        <v>33</v>
      </c>
      <c r="I341" s="1096" t="s">
        <v>4183</v>
      </c>
      <c r="J341" s="404" t="s">
        <v>4128</v>
      </c>
      <c r="K341" s="1097" t="s">
        <v>4133</v>
      </c>
      <c r="L341" s="1097">
        <v>203539.82</v>
      </c>
      <c r="M341" s="168">
        <v>61515.02</v>
      </c>
      <c r="N341" s="1134">
        <v>43678</v>
      </c>
      <c r="O341" s="1919"/>
      <c r="P341" s="1073" t="s">
        <v>4131</v>
      </c>
      <c r="Q341" s="103">
        <v>17373170973</v>
      </c>
      <c r="R341" s="103" t="s">
        <v>4132</v>
      </c>
      <c r="S341" s="1060" t="s">
        <v>4043</v>
      </c>
      <c r="T341" s="147"/>
    </row>
    <row r="342" spans="1:20" s="250" customFormat="1" ht="24.95" customHeight="1">
      <c r="A342" s="147">
        <v>7</v>
      </c>
      <c r="B342" s="174" t="s">
        <v>4468</v>
      </c>
      <c r="C342" s="174" t="s">
        <v>1141</v>
      </c>
      <c r="D342" s="174" t="s">
        <v>1477</v>
      </c>
      <c r="E342" s="1135">
        <v>2</v>
      </c>
      <c r="F342" s="1135" t="s">
        <v>4475</v>
      </c>
      <c r="G342" s="222" t="s">
        <v>32</v>
      </c>
      <c r="H342" s="222" t="s">
        <v>33</v>
      </c>
      <c r="I342" s="1096" t="s">
        <v>4183</v>
      </c>
      <c r="J342" s="404" t="s">
        <v>4128</v>
      </c>
      <c r="K342" s="1097" t="s">
        <v>4133</v>
      </c>
      <c r="L342" s="1097">
        <v>2367385.39</v>
      </c>
      <c r="M342" s="168"/>
      <c r="N342" s="1066">
        <v>43770</v>
      </c>
      <c r="O342" s="1919"/>
      <c r="P342" s="1073" t="s">
        <v>4131</v>
      </c>
      <c r="Q342" s="103">
        <v>17373170973</v>
      </c>
      <c r="R342" s="103" t="s">
        <v>4132</v>
      </c>
      <c r="S342" s="1060" t="s">
        <v>4043</v>
      </c>
      <c r="T342" s="147"/>
    </row>
    <row r="343" spans="1:20" s="250" customFormat="1" ht="24.95" customHeight="1">
      <c r="A343" s="147">
        <v>8</v>
      </c>
      <c r="B343" s="174" t="s">
        <v>4474</v>
      </c>
      <c r="C343" s="174" t="s">
        <v>1141</v>
      </c>
      <c r="D343" s="174" t="s">
        <v>1477</v>
      </c>
      <c r="E343" s="1099">
        <v>4</v>
      </c>
      <c r="F343" s="1135" t="s">
        <v>4476</v>
      </c>
      <c r="G343" s="222" t="s">
        <v>32</v>
      </c>
      <c r="H343" s="222" t="s">
        <v>33</v>
      </c>
      <c r="I343" s="1096" t="s">
        <v>4183</v>
      </c>
      <c r="J343" s="404" t="s">
        <v>4128</v>
      </c>
      <c r="K343" s="1097" t="s">
        <v>4133</v>
      </c>
      <c r="L343" s="1097">
        <v>4961736.92</v>
      </c>
      <c r="M343" s="168"/>
      <c r="N343" s="1066">
        <v>43770</v>
      </c>
      <c r="O343" s="1919"/>
      <c r="P343" s="1073" t="s">
        <v>4131</v>
      </c>
      <c r="Q343" s="103">
        <v>17373170973</v>
      </c>
      <c r="R343" s="103" t="s">
        <v>4132</v>
      </c>
      <c r="S343" s="1060" t="s">
        <v>4043</v>
      </c>
      <c r="T343" s="147"/>
    </row>
    <row r="344" spans="1:20" s="250" customFormat="1" ht="24.95" customHeight="1">
      <c r="A344" s="147">
        <v>9</v>
      </c>
      <c r="B344" s="174" t="s">
        <v>4477</v>
      </c>
      <c r="C344" s="174" t="s">
        <v>1141</v>
      </c>
      <c r="D344" s="1834" t="s">
        <v>1477</v>
      </c>
      <c r="E344" s="1920">
        <v>2</v>
      </c>
      <c r="F344" s="1136" t="s">
        <v>4478</v>
      </c>
      <c r="G344" s="222" t="s">
        <v>32</v>
      </c>
      <c r="H344" s="222" t="s">
        <v>33</v>
      </c>
      <c r="I344" s="1096" t="s">
        <v>4183</v>
      </c>
      <c r="J344" s="404" t="s">
        <v>4128</v>
      </c>
      <c r="K344" s="1097" t="s">
        <v>4133</v>
      </c>
      <c r="L344" s="1097">
        <v>1310621.98</v>
      </c>
      <c r="M344" s="168">
        <v>106081.93</v>
      </c>
      <c r="N344" s="1066">
        <v>43770</v>
      </c>
      <c r="O344" s="1919"/>
      <c r="P344" s="1073" t="s">
        <v>4131</v>
      </c>
      <c r="Q344" s="103">
        <v>17373170973</v>
      </c>
      <c r="R344" s="103" t="s">
        <v>4132</v>
      </c>
      <c r="S344" s="1060" t="s">
        <v>4043</v>
      </c>
      <c r="T344" s="147"/>
    </row>
    <row r="345" spans="1:20" s="250" customFormat="1" ht="24.95" customHeight="1">
      <c r="A345" s="147">
        <v>10</v>
      </c>
      <c r="B345" s="174" t="s">
        <v>4479</v>
      </c>
      <c r="C345" s="174" t="s">
        <v>1141</v>
      </c>
      <c r="D345" s="1836"/>
      <c r="E345" s="1920"/>
      <c r="F345" s="1136">
        <v>205.16</v>
      </c>
      <c r="G345" s="222" t="s">
        <v>32</v>
      </c>
      <c r="H345" s="222" t="s">
        <v>33</v>
      </c>
      <c r="I345" s="1096" t="s">
        <v>4183</v>
      </c>
      <c r="J345" s="404" t="s">
        <v>4128</v>
      </c>
      <c r="K345" s="1097" t="s">
        <v>4184</v>
      </c>
      <c r="L345" s="1097">
        <v>508774.85</v>
      </c>
      <c r="M345" s="168">
        <f>459750.66-44806.94</f>
        <v>414943.72</v>
      </c>
      <c r="N345" s="1075">
        <v>43922</v>
      </c>
      <c r="O345" s="1919"/>
      <c r="P345" s="1073" t="s">
        <v>4131</v>
      </c>
      <c r="Q345" s="103">
        <v>17373170973</v>
      </c>
      <c r="R345" s="103" t="s">
        <v>4132</v>
      </c>
      <c r="S345" s="1060" t="s">
        <v>4043</v>
      </c>
      <c r="T345" s="147"/>
    </row>
    <row r="346" spans="1:20" s="250" customFormat="1" ht="24.95" customHeight="1">
      <c r="A346" s="147">
        <v>11</v>
      </c>
      <c r="B346" s="174" t="s">
        <v>4480</v>
      </c>
      <c r="C346" s="174" t="s">
        <v>1141</v>
      </c>
      <c r="D346" s="279"/>
      <c r="E346" s="1136"/>
      <c r="F346" s="1136">
        <v>1.59</v>
      </c>
      <c r="G346" s="222" t="s">
        <v>32</v>
      </c>
      <c r="H346" s="222" t="s">
        <v>33</v>
      </c>
      <c r="I346" s="1096" t="s">
        <v>4183</v>
      </c>
      <c r="J346" s="404" t="s">
        <v>4128</v>
      </c>
      <c r="K346" s="1097" t="s">
        <v>4133</v>
      </c>
      <c r="L346" s="1097">
        <v>15911.06</v>
      </c>
      <c r="M346" s="168">
        <v>3211.5600000000099</v>
      </c>
      <c r="N346" s="1066">
        <v>44105</v>
      </c>
      <c r="O346" s="1919"/>
      <c r="P346" s="1073" t="s">
        <v>4131</v>
      </c>
      <c r="Q346" s="103">
        <v>17373170973</v>
      </c>
      <c r="R346" s="103" t="s">
        <v>4132</v>
      </c>
      <c r="S346" s="1060" t="s">
        <v>4043</v>
      </c>
      <c r="T346" s="147"/>
    </row>
    <row r="347" spans="1:20" s="250" customFormat="1" ht="24.95" customHeight="1">
      <c r="A347" s="147">
        <v>12</v>
      </c>
      <c r="B347" s="242" t="s">
        <v>2928</v>
      </c>
      <c r="C347" s="242" t="s">
        <v>4481</v>
      </c>
      <c r="D347" s="1137" t="s">
        <v>62</v>
      </c>
      <c r="E347" s="1136">
        <v>1</v>
      </c>
      <c r="F347" s="1136">
        <v>141.13499999999999</v>
      </c>
      <c r="G347" s="222"/>
      <c r="H347" s="222"/>
      <c r="I347" s="1096"/>
      <c r="J347" s="404"/>
      <c r="K347" s="1097"/>
      <c r="L347" s="1097">
        <v>618917.02</v>
      </c>
      <c r="M347" s="168">
        <v>125311</v>
      </c>
      <c r="N347" s="1066">
        <v>44166</v>
      </c>
      <c r="O347" s="1919"/>
      <c r="P347" s="1073" t="s">
        <v>4131</v>
      </c>
      <c r="Q347" s="103">
        <v>17373170973</v>
      </c>
      <c r="R347" s="103" t="s">
        <v>4132</v>
      </c>
      <c r="S347" s="1060" t="s">
        <v>4043</v>
      </c>
      <c r="T347" s="147"/>
    </row>
    <row r="348" spans="1:20" s="250" customFormat="1" ht="24.95" customHeight="1">
      <c r="A348" s="147">
        <v>13</v>
      </c>
      <c r="B348" s="140" t="s">
        <v>4482</v>
      </c>
      <c r="C348" s="140" t="s">
        <v>34</v>
      </c>
      <c r="D348" s="140" t="s">
        <v>79</v>
      </c>
      <c r="E348" s="1138">
        <v>4</v>
      </c>
      <c r="F348" s="1138" t="s">
        <v>34</v>
      </c>
      <c r="G348" s="103" t="s">
        <v>32</v>
      </c>
      <c r="H348" s="103" t="s">
        <v>33</v>
      </c>
      <c r="I348" s="1073" t="s">
        <v>4483</v>
      </c>
      <c r="J348" s="160" t="s">
        <v>4038</v>
      </c>
      <c r="K348" s="1139" t="s">
        <v>4039</v>
      </c>
      <c r="L348" s="1139">
        <v>600000</v>
      </c>
      <c r="M348" s="147">
        <v>180000</v>
      </c>
      <c r="N348" s="1075">
        <v>43922</v>
      </c>
      <c r="O348" s="1910" t="s">
        <v>4040</v>
      </c>
      <c r="P348" s="1073" t="s">
        <v>4041</v>
      </c>
      <c r="Q348" s="103">
        <v>18881106155</v>
      </c>
      <c r="R348" s="103" t="s">
        <v>4042</v>
      </c>
      <c r="S348" s="1060" t="s">
        <v>4043</v>
      </c>
      <c r="T348" s="147"/>
    </row>
    <row r="349" spans="1:20" s="1087" customFormat="1" ht="24.95" customHeight="1">
      <c r="A349" s="147">
        <v>14</v>
      </c>
      <c r="B349" s="340" t="s">
        <v>4484</v>
      </c>
      <c r="C349" s="340" t="s">
        <v>1141</v>
      </c>
      <c r="D349" s="1140" t="s">
        <v>62</v>
      </c>
      <c r="E349" s="103">
        <v>2</v>
      </c>
      <c r="F349" s="103">
        <v>174.98</v>
      </c>
      <c r="G349" s="103" t="s">
        <v>32</v>
      </c>
      <c r="H349" s="103" t="s">
        <v>33</v>
      </c>
      <c r="I349" s="160" t="s">
        <v>4483</v>
      </c>
      <c r="J349" s="1922" t="s">
        <v>4038</v>
      </c>
      <c r="K349" s="1141" t="s">
        <v>4039</v>
      </c>
      <c r="L349" s="344">
        <v>529127.27139999997</v>
      </c>
      <c r="M349" s="344">
        <v>158738.18142000001</v>
      </c>
      <c r="N349" s="344">
        <v>2018.11</v>
      </c>
      <c r="O349" s="1911"/>
      <c r="P349" s="1073" t="s">
        <v>4041</v>
      </c>
      <c r="Q349" s="103">
        <v>18881106155</v>
      </c>
      <c r="R349" s="103" t="s">
        <v>4042</v>
      </c>
      <c r="S349" s="1060" t="s">
        <v>4043</v>
      </c>
      <c r="T349" s="147"/>
    </row>
    <row r="350" spans="1:20" s="1087" customFormat="1" ht="24.95" customHeight="1">
      <c r="A350" s="147">
        <v>15</v>
      </c>
      <c r="B350" s="340" t="s">
        <v>4484</v>
      </c>
      <c r="C350" s="340" t="s">
        <v>1141</v>
      </c>
      <c r="D350" s="1140" t="s">
        <v>62</v>
      </c>
      <c r="E350" s="103">
        <v>1</v>
      </c>
      <c r="F350" s="103">
        <v>88.12</v>
      </c>
      <c r="G350" s="103" t="s">
        <v>32</v>
      </c>
      <c r="H350" s="103" t="s">
        <v>33</v>
      </c>
      <c r="I350" s="160" t="s">
        <v>4483</v>
      </c>
      <c r="J350" s="1922"/>
      <c r="K350" s="1141" t="s">
        <v>4039</v>
      </c>
      <c r="L350" s="344">
        <v>266468.71159999998</v>
      </c>
      <c r="M350" s="344">
        <v>79940.611600000004</v>
      </c>
      <c r="N350" s="125">
        <v>2019.1</v>
      </c>
      <c r="O350" s="1911"/>
      <c r="P350" s="1073" t="s">
        <v>4041</v>
      </c>
      <c r="Q350" s="103">
        <v>18881106155</v>
      </c>
      <c r="R350" s="103" t="s">
        <v>4042</v>
      </c>
      <c r="S350" s="1060" t="s">
        <v>4043</v>
      </c>
      <c r="T350" s="147"/>
    </row>
    <row r="351" spans="1:20" s="1087" customFormat="1" ht="24.95" customHeight="1">
      <c r="A351" s="147">
        <v>16</v>
      </c>
      <c r="B351" s="340" t="s">
        <v>4484</v>
      </c>
      <c r="C351" s="340" t="s">
        <v>1141</v>
      </c>
      <c r="D351" s="1140" t="s">
        <v>62</v>
      </c>
      <c r="E351" s="103">
        <v>1</v>
      </c>
      <c r="F351" s="103">
        <v>88.12</v>
      </c>
      <c r="G351" s="103" t="s">
        <v>32</v>
      </c>
      <c r="H351" s="103" t="s">
        <v>33</v>
      </c>
      <c r="I351" s="160" t="s">
        <v>4483</v>
      </c>
      <c r="J351" s="1922"/>
      <c r="K351" s="1141" t="s">
        <v>4039</v>
      </c>
      <c r="L351" s="344">
        <v>259577.72760000001</v>
      </c>
      <c r="M351" s="344">
        <v>77873.319600000003</v>
      </c>
      <c r="N351" s="125">
        <v>2019.7</v>
      </c>
      <c r="O351" s="1921"/>
      <c r="P351" s="1073" t="s">
        <v>4041</v>
      </c>
      <c r="Q351" s="103">
        <v>18881106155</v>
      </c>
      <c r="R351" s="103" t="s">
        <v>4042</v>
      </c>
      <c r="S351" s="1060" t="s">
        <v>4043</v>
      </c>
      <c r="T351" s="147"/>
    </row>
    <row r="352" spans="1:20" s="507" customFormat="1" ht="24.95" customHeight="1">
      <c r="A352" s="147">
        <v>17</v>
      </c>
      <c r="B352" s="168" t="s">
        <v>4485</v>
      </c>
      <c r="C352" s="168" t="s">
        <v>1141</v>
      </c>
      <c r="D352" s="168" t="s">
        <v>62</v>
      </c>
      <c r="E352" s="168"/>
      <c r="F352" s="168">
        <v>186.46799999999999</v>
      </c>
      <c r="G352" s="168" t="s">
        <v>32</v>
      </c>
      <c r="H352" s="168" t="s">
        <v>33</v>
      </c>
      <c r="I352" s="168"/>
      <c r="J352" s="1834" t="s">
        <v>2186</v>
      </c>
      <c r="K352" s="1846" t="s">
        <v>4195</v>
      </c>
      <c r="L352" s="1123">
        <v>715330.40628</v>
      </c>
      <c r="M352" s="1122">
        <v>414891.59628</v>
      </c>
      <c r="N352" s="1123">
        <v>2017.11</v>
      </c>
      <c r="O352" s="1834" t="s">
        <v>4196</v>
      </c>
      <c r="P352" s="168" t="s">
        <v>4197</v>
      </c>
      <c r="Q352" s="1104">
        <v>18935151265</v>
      </c>
      <c r="R352" s="168" t="s">
        <v>4198</v>
      </c>
      <c r="S352" s="168" t="s">
        <v>4043</v>
      </c>
      <c r="T352" s="168"/>
    </row>
    <row r="353" spans="1:21" s="507" customFormat="1" ht="24.95" customHeight="1">
      <c r="A353" s="147">
        <v>18</v>
      </c>
      <c r="B353" s="168" t="s">
        <v>4486</v>
      </c>
      <c r="C353" s="168"/>
      <c r="D353" s="1103" t="s">
        <v>131</v>
      </c>
      <c r="E353" s="168">
        <v>37</v>
      </c>
      <c r="F353" s="1142"/>
      <c r="G353" s="168" t="s">
        <v>32</v>
      </c>
      <c r="H353" s="168" t="s">
        <v>33</v>
      </c>
      <c r="I353" s="168"/>
      <c r="J353" s="1836"/>
      <c r="K353" s="1847"/>
      <c r="L353" s="1142">
        <v>26640</v>
      </c>
      <c r="M353" s="1122">
        <v>15451.2</v>
      </c>
      <c r="N353" s="1123">
        <v>2017.11</v>
      </c>
      <c r="O353" s="1836"/>
      <c r="P353" s="168" t="s">
        <v>4197</v>
      </c>
      <c r="Q353" s="1104">
        <v>18935151265</v>
      </c>
      <c r="R353" s="168" t="s">
        <v>4198</v>
      </c>
      <c r="S353" s="168" t="s">
        <v>4043</v>
      </c>
      <c r="T353" s="168"/>
    </row>
    <row r="354" spans="1:21" s="1078" customFormat="1" ht="24.95" customHeight="1">
      <c r="A354" s="147">
        <v>19</v>
      </c>
      <c r="B354" s="1055" t="s">
        <v>4482</v>
      </c>
      <c r="C354" s="340" t="s">
        <v>1036</v>
      </c>
      <c r="D354" s="488" t="s">
        <v>4487</v>
      </c>
      <c r="E354" s="1055">
        <v>12</v>
      </c>
      <c r="F354" s="1143"/>
      <c r="G354" s="1055" t="s">
        <v>32</v>
      </c>
      <c r="H354" s="792" t="s">
        <v>33</v>
      </c>
      <c r="I354" s="893"/>
      <c r="J354" s="222" t="s">
        <v>4329</v>
      </c>
      <c r="K354" s="1055" t="s">
        <v>4488</v>
      </c>
      <c r="L354" s="951">
        <v>92673.3</v>
      </c>
      <c r="M354" s="103">
        <v>56183.16</v>
      </c>
      <c r="N354" s="1114">
        <v>2021.6</v>
      </c>
      <c r="O354" s="1923" t="s">
        <v>4489</v>
      </c>
      <c r="P354" s="893" t="s">
        <v>4332</v>
      </c>
      <c r="Q354" s="934">
        <v>17335084560</v>
      </c>
      <c r="R354" s="1079" t="s">
        <v>4333</v>
      </c>
      <c r="S354" s="792" t="s">
        <v>4043</v>
      </c>
      <c r="T354" s="125"/>
    </row>
    <row r="355" spans="1:21" s="1078" customFormat="1" ht="24.95" customHeight="1">
      <c r="A355" s="147">
        <v>20</v>
      </c>
      <c r="B355" s="1055" t="s">
        <v>4490</v>
      </c>
      <c r="C355" s="340" t="s">
        <v>4491</v>
      </c>
      <c r="D355" s="488" t="s">
        <v>4487</v>
      </c>
      <c r="E355" s="1055">
        <v>4</v>
      </c>
      <c r="F355" s="1143"/>
      <c r="G355" s="1055" t="s">
        <v>32</v>
      </c>
      <c r="H355" s="792" t="s">
        <v>33</v>
      </c>
      <c r="I355" s="893"/>
      <c r="J355" s="222" t="s">
        <v>4329</v>
      </c>
      <c r="K355" s="1055" t="s">
        <v>4488</v>
      </c>
      <c r="L355" s="951">
        <v>30891.08</v>
      </c>
      <c r="M355" s="103">
        <v>18727.669999999998</v>
      </c>
      <c r="N355" s="1114">
        <v>2021.6</v>
      </c>
      <c r="O355" s="1924"/>
      <c r="P355" s="893" t="s">
        <v>4332</v>
      </c>
      <c r="Q355" s="934">
        <v>17335084560</v>
      </c>
      <c r="R355" s="1079" t="s">
        <v>4333</v>
      </c>
      <c r="S355" s="792" t="s">
        <v>4043</v>
      </c>
      <c r="T355" s="125"/>
    </row>
    <row r="356" spans="1:21" s="1087" customFormat="1" ht="24.95" customHeight="1">
      <c r="A356" s="147">
        <v>21</v>
      </c>
      <c r="B356" s="340" t="s">
        <v>1110</v>
      </c>
      <c r="C356" s="340" t="s">
        <v>1141</v>
      </c>
      <c r="D356" s="1140" t="s">
        <v>62</v>
      </c>
      <c r="E356" s="103"/>
      <c r="F356" s="103">
        <v>180</v>
      </c>
      <c r="G356" s="103" t="s">
        <v>32</v>
      </c>
      <c r="H356" s="103" t="s">
        <v>33</v>
      </c>
      <c r="I356" s="160"/>
      <c r="J356" s="160"/>
      <c r="K356" s="1141" t="s">
        <v>4133</v>
      </c>
      <c r="L356" s="344">
        <v>1300619.49</v>
      </c>
      <c r="M356" s="344">
        <v>1023695.92</v>
      </c>
      <c r="N356" s="561">
        <v>44531</v>
      </c>
      <c r="O356" s="1059" t="s">
        <v>4348</v>
      </c>
      <c r="P356" s="168" t="s">
        <v>4349</v>
      </c>
      <c r="Q356" s="1077">
        <v>19987808108</v>
      </c>
      <c r="R356" s="168" t="s">
        <v>4350</v>
      </c>
      <c r="S356" s="1060" t="s">
        <v>4043</v>
      </c>
      <c r="T356" s="147"/>
    </row>
    <row r="357" spans="1:21" s="250" customFormat="1" ht="24.95" customHeight="1">
      <c r="A357" s="328">
        <v>2</v>
      </c>
      <c r="B357" s="328" t="s">
        <v>1147</v>
      </c>
      <c r="C357" s="147"/>
      <c r="D357" s="147"/>
      <c r="E357" s="147"/>
      <c r="F357" s="147"/>
      <c r="G357" s="147"/>
      <c r="H357" s="147"/>
      <c r="I357" s="1055"/>
      <c r="J357" s="160"/>
      <c r="K357" s="147"/>
      <c r="L357" s="1144"/>
      <c r="M357" s="1144"/>
      <c r="N357" s="1095"/>
      <c r="O357" s="147"/>
      <c r="P357" s="147"/>
      <c r="Q357" s="147"/>
      <c r="R357" s="147"/>
      <c r="S357" s="147"/>
      <c r="T357" s="147"/>
    </row>
    <row r="358" spans="1:21" s="1056" customFormat="1" ht="24.95" customHeight="1">
      <c r="A358" s="147">
        <v>1</v>
      </c>
      <c r="B358" s="140" t="s">
        <v>4492</v>
      </c>
      <c r="C358" s="1060" t="s">
        <v>2951</v>
      </c>
      <c r="D358" s="222" t="s">
        <v>79</v>
      </c>
      <c r="E358" s="400">
        <v>10</v>
      </c>
      <c r="F358" s="147"/>
      <c r="G358" s="147" t="s">
        <v>32</v>
      </c>
      <c r="H358" s="1116" t="s">
        <v>41</v>
      </c>
      <c r="I358" s="147"/>
      <c r="J358" s="140" t="s">
        <v>2413</v>
      </c>
      <c r="K358" s="140" t="s">
        <v>4052</v>
      </c>
      <c r="L358" s="1145">
        <v>358772.05</v>
      </c>
      <c r="M358" s="1146">
        <v>107631.61500000001</v>
      </c>
      <c r="N358" s="264">
        <v>2020.07</v>
      </c>
      <c r="O358" s="153" t="s">
        <v>4047</v>
      </c>
      <c r="P358" s="1053" t="s">
        <v>4048</v>
      </c>
      <c r="Q358" s="1055">
        <v>19902766690</v>
      </c>
      <c r="R358" s="147" t="s">
        <v>4049</v>
      </c>
      <c r="S358" s="147" t="s">
        <v>4043</v>
      </c>
      <c r="T358" s="125"/>
    </row>
    <row r="359" spans="1:21" s="1056" customFormat="1" ht="24.95" customHeight="1">
      <c r="A359" s="147">
        <v>2</v>
      </c>
      <c r="B359" s="168" t="s">
        <v>2937</v>
      </c>
      <c r="C359" s="174" t="s">
        <v>1141</v>
      </c>
      <c r="D359" s="174" t="s">
        <v>79</v>
      </c>
      <c r="E359" s="1136">
        <v>4</v>
      </c>
      <c r="F359" s="1136"/>
      <c r="G359" s="222" t="s">
        <v>32</v>
      </c>
      <c r="H359" s="222" t="s">
        <v>33</v>
      </c>
      <c r="I359" s="1096" t="s">
        <v>4183</v>
      </c>
      <c r="J359" s="404" t="s">
        <v>4128</v>
      </c>
      <c r="K359" s="1097" t="s">
        <v>4133</v>
      </c>
      <c r="L359" s="1097">
        <v>1416625.06</v>
      </c>
      <c r="M359" s="168">
        <v>201979.400000002</v>
      </c>
      <c r="N359" s="1066">
        <v>44105</v>
      </c>
      <c r="O359" s="1862" t="s">
        <v>4130</v>
      </c>
      <c r="P359" s="1053" t="s">
        <v>4131</v>
      </c>
      <c r="Q359" s="1055">
        <v>17373170973</v>
      </c>
      <c r="R359" s="147" t="s">
        <v>4132</v>
      </c>
      <c r="S359" s="147" t="s">
        <v>4043</v>
      </c>
      <c r="T359" s="125"/>
    </row>
    <row r="360" spans="1:21" s="1056" customFormat="1" ht="24.95" customHeight="1">
      <c r="A360" s="147">
        <v>3</v>
      </c>
      <c r="B360" s="168" t="s">
        <v>2937</v>
      </c>
      <c r="C360" s="174" t="s">
        <v>1141</v>
      </c>
      <c r="D360" s="174" t="s">
        <v>79</v>
      </c>
      <c r="E360" s="1136">
        <v>2</v>
      </c>
      <c r="F360" s="1136"/>
      <c r="G360" s="222" t="s">
        <v>32</v>
      </c>
      <c r="H360" s="222" t="s">
        <v>33</v>
      </c>
      <c r="I360" s="1096"/>
      <c r="J360" s="404"/>
      <c r="K360" s="1097"/>
      <c r="L360" s="1097">
        <v>427228.79</v>
      </c>
      <c r="M360" s="168">
        <v>116950.74</v>
      </c>
      <c r="N360" s="1066">
        <v>43983</v>
      </c>
      <c r="O360" s="1864"/>
      <c r="P360" s="1053" t="s">
        <v>4131</v>
      </c>
      <c r="Q360" s="1055">
        <v>17373170973</v>
      </c>
      <c r="R360" s="147" t="s">
        <v>4132</v>
      </c>
      <c r="S360" s="147" t="s">
        <v>4043</v>
      </c>
      <c r="T360" s="125"/>
    </row>
    <row r="361" spans="1:21" s="250" customFormat="1" ht="24.95" customHeight="1">
      <c r="A361" s="328" t="s">
        <v>1159</v>
      </c>
      <c r="B361" s="1132" t="s">
        <v>1160</v>
      </c>
      <c r="C361" s="1140"/>
      <c r="D361" s="147"/>
      <c r="E361" s="147"/>
      <c r="F361" s="147"/>
      <c r="G361" s="147"/>
      <c r="H361" s="147"/>
      <c r="I361" s="1055"/>
      <c r="J361" s="1053"/>
      <c r="K361" s="140"/>
      <c r="L361" s="1130"/>
      <c r="M361" s="1130"/>
      <c r="N361" s="1095"/>
      <c r="O361" s="147"/>
      <c r="P361" s="147"/>
      <c r="Q361" s="147"/>
      <c r="R361" s="147"/>
      <c r="S361" s="147"/>
      <c r="T361" s="147"/>
    </row>
    <row r="362" spans="1:21" s="250" customFormat="1" ht="24.95" customHeight="1">
      <c r="A362" s="328">
        <v>1</v>
      </c>
      <c r="B362" s="1132" t="s">
        <v>1362</v>
      </c>
      <c r="C362" s="1140"/>
      <c r="D362" s="147"/>
      <c r="E362" s="147"/>
      <c r="F362" s="147"/>
      <c r="G362" s="147"/>
      <c r="H362" s="147"/>
      <c r="I362" s="1055"/>
      <c r="J362" s="1053"/>
      <c r="K362" s="140"/>
      <c r="L362" s="1130"/>
      <c r="M362" s="1130"/>
      <c r="N362" s="1095"/>
      <c r="O362" s="147"/>
      <c r="P362" s="147"/>
      <c r="Q362" s="147"/>
      <c r="R362" s="147"/>
      <c r="S362" s="147"/>
      <c r="T362" s="147"/>
    </row>
    <row r="363" spans="1:21" s="1091" customFormat="1" ht="24.95" customHeight="1">
      <c r="A363" s="351">
        <v>1</v>
      </c>
      <c r="B363" s="168" t="s">
        <v>1362</v>
      </c>
      <c r="C363" s="1124" t="s">
        <v>4493</v>
      </c>
      <c r="D363" s="1124" t="s">
        <v>888</v>
      </c>
      <c r="E363" s="1125">
        <v>23550</v>
      </c>
      <c r="F363" s="1125"/>
      <c r="G363" s="1124" t="s">
        <v>32</v>
      </c>
      <c r="H363" s="1124" t="s">
        <v>33</v>
      </c>
      <c r="I363" s="1125"/>
      <c r="J363" s="1126" t="s">
        <v>5774</v>
      </c>
      <c r="K363" s="1126" t="s">
        <v>3062</v>
      </c>
      <c r="L363" s="1125">
        <v>2155443.77</v>
      </c>
      <c r="M363" s="1125">
        <v>709500.24095833197</v>
      </c>
      <c r="N363" s="1125">
        <v>2018.04</v>
      </c>
      <c r="O363" s="1055" t="s">
        <v>4212</v>
      </c>
      <c r="P363" s="1053" t="s">
        <v>4213</v>
      </c>
      <c r="Q363" s="1055">
        <v>18235424112</v>
      </c>
      <c r="R363" s="1079" t="s">
        <v>1813</v>
      </c>
      <c r="S363" s="125" t="s">
        <v>4043</v>
      </c>
      <c r="T363" s="351"/>
    </row>
    <row r="364" spans="1:21" s="1147" customFormat="1" ht="24.95" customHeight="1">
      <c r="A364" s="351">
        <v>2</v>
      </c>
      <c r="B364" s="168" t="s">
        <v>1412</v>
      </c>
      <c r="C364" s="1109" t="s">
        <v>1036</v>
      </c>
      <c r="D364" s="1124" t="s">
        <v>888</v>
      </c>
      <c r="E364" s="1125">
        <v>16014.3</v>
      </c>
      <c r="F364" s="1110"/>
      <c r="G364" s="1124" t="s">
        <v>32</v>
      </c>
      <c r="H364" s="1124" t="s">
        <v>33</v>
      </c>
      <c r="I364" s="1110"/>
      <c r="J364" s="1126" t="s">
        <v>5774</v>
      </c>
      <c r="K364" s="1126" t="s">
        <v>4494</v>
      </c>
      <c r="L364" s="1125">
        <v>1034814.69026549</v>
      </c>
      <c r="M364" s="1125">
        <v>310444.69026548701</v>
      </c>
      <c r="N364" s="1125">
        <v>2019.12</v>
      </c>
      <c r="O364" s="1055" t="s">
        <v>4212</v>
      </c>
      <c r="P364" s="1053" t="s">
        <v>4213</v>
      </c>
      <c r="Q364" s="1055">
        <v>18235424112</v>
      </c>
      <c r="R364" s="1079" t="s">
        <v>1813</v>
      </c>
      <c r="S364" s="125" t="s">
        <v>4043</v>
      </c>
      <c r="T364" s="1110"/>
    </row>
    <row r="365" spans="1:21" s="250" customFormat="1" ht="24.95" customHeight="1">
      <c r="A365" s="351">
        <v>3</v>
      </c>
      <c r="B365" s="1140" t="s">
        <v>1391</v>
      </c>
      <c r="C365" s="1140" t="s">
        <v>4495</v>
      </c>
      <c r="D365" s="103" t="s">
        <v>888</v>
      </c>
      <c r="E365" s="103"/>
      <c r="F365" s="103">
        <v>3043.51</v>
      </c>
      <c r="G365" s="103" t="s">
        <v>32</v>
      </c>
      <c r="H365" s="103" t="s">
        <v>33</v>
      </c>
      <c r="I365" s="1055" t="s">
        <v>34</v>
      </c>
      <c r="J365" s="1058" t="s">
        <v>4138</v>
      </c>
      <c r="K365" s="1833" t="s">
        <v>3062</v>
      </c>
      <c r="L365" s="1130">
        <v>915746.4</v>
      </c>
      <c r="M365" s="1130">
        <v>274723.92</v>
      </c>
      <c r="N365" s="1095">
        <v>43636</v>
      </c>
      <c r="O365" s="1092" t="s">
        <v>4140</v>
      </c>
      <c r="P365" s="147" t="s">
        <v>4141</v>
      </c>
      <c r="Q365" s="147">
        <v>18535240344</v>
      </c>
      <c r="R365" s="147" t="s">
        <v>4142</v>
      </c>
      <c r="S365" s="125" t="s">
        <v>4043</v>
      </c>
      <c r="T365" s="147"/>
      <c r="U365" s="1056"/>
    </row>
    <row r="366" spans="1:21" s="250" customFormat="1" ht="24.95" customHeight="1">
      <c r="A366" s="351">
        <v>4</v>
      </c>
      <c r="B366" s="1140" t="s">
        <v>4496</v>
      </c>
      <c r="C366" s="1140" t="s">
        <v>4495</v>
      </c>
      <c r="D366" s="103" t="s">
        <v>888</v>
      </c>
      <c r="E366" s="103"/>
      <c r="F366" s="103">
        <v>344.596</v>
      </c>
      <c r="G366" s="103" t="s">
        <v>32</v>
      </c>
      <c r="H366" s="103" t="s">
        <v>33</v>
      </c>
      <c r="I366" s="1055" t="s">
        <v>34</v>
      </c>
      <c r="J366" s="1058"/>
      <c r="K366" s="1833"/>
      <c r="L366" s="1130">
        <v>51841.88</v>
      </c>
      <c r="M366" s="1130">
        <v>15552.56</v>
      </c>
      <c r="N366" s="1095">
        <v>43636</v>
      </c>
      <c r="O366" s="1092" t="s">
        <v>4140</v>
      </c>
      <c r="P366" s="147" t="s">
        <v>4141</v>
      </c>
      <c r="Q366" s="147">
        <v>18535240344</v>
      </c>
      <c r="R366" s="147" t="s">
        <v>4142</v>
      </c>
      <c r="S366" s="125" t="s">
        <v>4043</v>
      </c>
      <c r="T366" s="147"/>
      <c r="U366" s="1056"/>
    </row>
    <row r="367" spans="1:21" s="250" customFormat="1" ht="24.95" customHeight="1">
      <c r="A367" s="351">
        <v>5</v>
      </c>
      <c r="B367" s="1140" t="s">
        <v>4497</v>
      </c>
      <c r="C367" s="1140" t="s">
        <v>4498</v>
      </c>
      <c r="D367" s="103" t="s">
        <v>131</v>
      </c>
      <c r="E367" s="103"/>
      <c r="F367" s="103">
        <v>1</v>
      </c>
      <c r="G367" s="103" t="s">
        <v>32</v>
      </c>
      <c r="H367" s="103" t="s">
        <v>33</v>
      </c>
      <c r="I367" s="1055" t="s">
        <v>34</v>
      </c>
      <c r="J367" s="1058"/>
      <c r="K367" s="1833"/>
      <c r="L367" s="1130">
        <v>2654.87</v>
      </c>
      <c r="M367" s="1130">
        <v>796.46100000000001</v>
      </c>
      <c r="N367" s="1095">
        <v>43636</v>
      </c>
      <c r="O367" s="1092" t="s">
        <v>4140</v>
      </c>
      <c r="P367" s="147" t="s">
        <v>4141</v>
      </c>
      <c r="Q367" s="147">
        <v>18535240344</v>
      </c>
      <c r="R367" s="147" t="s">
        <v>4142</v>
      </c>
      <c r="S367" s="125" t="s">
        <v>4043</v>
      </c>
      <c r="T367" s="147"/>
      <c r="U367" s="1056"/>
    </row>
    <row r="368" spans="1:21" s="1147" customFormat="1" ht="24.95" customHeight="1">
      <c r="A368" s="351">
        <v>6</v>
      </c>
      <c r="B368" s="147" t="s">
        <v>1391</v>
      </c>
      <c r="C368" s="147" t="s">
        <v>4499</v>
      </c>
      <c r="D368" s="147" t="s">
        <v>1193</v>
      </c>
      <c r="E368" s="351"/>
      <c r="F368" s="147">
        <v>3528</v>
      </c>
      <c r="G368" s="147" t="s">
        <v>32</v>
      </c>
      <c r="H368" s="147" t="s">
        <v>33</v>
      </c>
      <c r="I368" s="351"/>
      <c r="J368" s="1101" t="s">
        <v>4038</v>
      </c>
      <c r="K368" s="438" t="s">
        <v>4500</v>
      </c>
      <c r="L368" s="1111">
        <v>1119293.28</v>
      </c>
      <c r="M368" s="1111">
        <v>335787.984</v>
      </c>
      <c r="N368" s="125">
        <v>2018.5</v>
      </c>
      <c r="O368" s="1925" t="s">
        <v>4501</v>
      </c>
      <c r="P368" s="168" t="s">
        <v>4041</v>
      </c>
      <c r="Q368" s="147">
        <v>18881106155</v>
      </c>
      <c r="R368" s="168" t="s">
        <v>4042</v>
      </c>
      <c r="S368" s="1067" t="s">
        <v>4043</v>
      </c>
      <c r="T368" s="351"/>
    </row>
    <row r="369" spans="1:20" s="1147" customFormat="1" ht="24.95" customHeight="1">
      <c r="A369" s="351">
        <v>7</v>
      </c>
      <c r="B369" s="147" t="s">
        <v>1391</v>
      </c>
      <c r="C369" s="147" t="s">
        <v>4499</v>
      </c>
      <c r="D369" s="147" t="s">
        <v>1193</v>
      </c>
      <c r="E369" s="351"/>
      <c r="F369" s="147">
        <v>1311</v>
      </c>
      <c r="G369" s="147" t="s">
        <v>32</v>
      </c>
      <c r="H369" s="147" t="s">
        <v>33</v>
      </c>
      <c r="I369" s="351"/>
      <c r="J369" s="1101" t="s">
        <v>4038</v>
      </c>
      <c r="K369" s="438" t="s">
        <v>4502</v>
      </c>
      <c r="L369" s="1111">
        <v>340860</v>
      </c>
      <c r="M369" s="1111">
        <v>102258</v>
      </c>
      <c r="N369" s="125">
        <v>2018.5</v>
      </c>
      <c r="O369" s="1925"/>
      <c r="P369" s="168" t="s">
        <v>4041</v>
      </c>
      <c r="Q369" s="147">
        <v>18881106155</v>
      </c>
      <c r="R369" s="168" t="s">
        <v>4042</v>
      </c>
      <c r="S369" s="1067" t="s">
        <v>4043</v>
      </c>
      <c r="T369" s="351"/>
    </row>
    <row r="370" spans="1:20" s="1147" customFormat="1" ht="24.95" customHeight="1">
      <c r="A370" s="351">
        <v>8</v>
      </c>
      <c r="B370" s="147" t="s">
        <v>1391</v>
      </c>
      <c r="C370" s="147" t="s">
        <v>4499</v>
      </c>
      <c r="D370" s="147" t="s">
        <v>1193</v>
      </c>
      <c r="E370" s="351"/>
      <c r="F370" s="147">
        <v>1399</v>
      </c>
      <c r="G370" s="147" t="s">
        <v>32</v>
      </c>
      <c r="H370" s="147" t="s">
        <v>33</v>
      </c>
      <c r="I370" s="351"/>
      <c r="J370" s="1101" t="s">
        <v>4038</v>
      </c>
      <c r="K370" s="438" t="s">
        <v>4502</v>
      </c>
      <c r="L370" s="1111">
        <v>363740</v>
      </c>
      <c r="M370" s="1111">
        <v>109122</v>
      </c>
      <c r="N370" s="344">
        <v>2018.1</v>
      </c>
      <c r="O370" s="1925"/>
      <c r="P370" s="168" t="s">
        <v>4041</v>
      </c>
      <c r="Q370" s="147">
        <v>18881106155</v>
      </c>
      <c r="R370" s="168" t="s">
        <v>4042</v>
      </c>
      <c r="S370" s="1067" t="s">
        <v>4043</v>
      </c>
      <c r="T370" s="351"/>
    </row>
    <row r="371" spans="1:20" s="1147" customFormat="1" ht="24.95" customHeight="1">
      <c r="A371" s="351">
        <v>9</v>
      </c>
      <c r="B371" s="147" t="s">
        <v>1391</v>
      </c>
      <c r="C371" s="147" t="s">
        <v>4499</v>
      </c>
      <c r="D371" s="147" t="s">
        <v>1193</v>
      </c>
      <c r="E371" s="1110"/>
      <c r="F371" s="147">
        <v>330.82</v>
      </c>
      <c r="G371" s="147" t="s">
        <v>32</v>
      </c>
      <c r="H371" s="147" t="s">
        <v>33</v>
      </c>
      <c r="I371" s="1110"/>
      <c r="J371" s="1101" t="s">
        <v>4038</v>
      </c>
      <c r="K371" s="438" t="s">
        <v>4503</v>
      </c>
      <c r="L371" s="1111">
        <v>89321.4</v>
      </c>
      <c r="M371" s="1111">
        <v>26796.42</v>
      </c>
      <c r="N371" s="344">
        <v>2018.1</v>
      </c>
      <c r="O371" s="1925"/>
      <c r="P371" s="168" t="s">
        <v>4041</v>
      </c>
      <c r="Q371" s="147">
        <v>18881106155</v>
      </c>
      <c r="R371" s="168" t="s">
        <v>4042</v>
      </c>
      <c r="S371" s="1067" t="s">
        <v>4043</v>
      </c>
      <c r="T371" s="1110"/>
    </row>
    <row r="372" spans="1:20" s="1147" customFormat="1" ht="24.95" customHeight="1">
      <c r="A372" s="351">
        <v>10</v>
      </c>
      <c r="B372" s="147" t="s">
        <v>1391</v>
      </c>
      <c r="C372" s="147" t="s">
        <v>34</v>
      </c>
      <c r="D372" s="147" t="s">
        <v>1193</v>
      </c>
      <c r="E372" s="1109"/>
      <c r="F372" s="147">
        <v>966</v>
      </c>
      <c r="G372" s="147" t="s">
        <v>32</v>
      </c>
      <c r="H372" s="147" t="s">
        <v>33</v>
      </c>
      <c r="I372" s="1110"/>
      <c r="J372" s="1101" t="s">
        <v>4038</v>
      </c>
      <c r="K372" s="438"/>
      <c r="L372" s="1111">
        <v>251160</v>
      </c>
      <c r="M372" s="1111">
        <v>75348</v>
      </c>
      <c r="N372" s="125">
        <v>2018.5</v>
      </c>
      <c r="O372" s="1833"/>
      <c r="P372" s="168" t="s">
        <v>4041</v>
      </c>
      <c r="Q372" s="147">
        <v>18881106155</v>
      </c>
      <c r="R372" s="168" t="s">
        <v>4042</v>
      </c>
      <c r="S372" s="1067" t="s">
        <v>4043</v>
      </c>
      <c r="T372" s="168" t="s">
        <v>4338</v>
      </c>
    </row>
    <row r="373" spans="1:20" s="1147" customFormat="1" ht="24.95" customHeight="1">
      <c r="A373" s="351">
        <v>11</v>
      </c>
      <c r="B373" s="1148" t="s">
        <v>1391</v>
      </c>
      <c r="C373" s="140" t="s">
        <v>4499</v>
      </c>
      <c r="D373" s="147" t="s">
        <v>1193</v>
      </c>
      <c r="E373" s="1109"/>
      <c r="F373" s="147">
        <v>355.4</v>
      </c>
      <c r="G373" s="147" t="s">
        <v>32</v>
      </c>
      <c r="H373" s="147" t="s">
        <v>33</v>
      </c>
      <c r="I373" s="1110"/>
      <c r="J373" s="1101" t="s">
        <v>4038</v>
      </c>
      <c r="K373" s="438" t="s">
        <v>4504</v>
      </c>
      <c r="L373" s="1111">
        <v>90609.23</v>
      </c>
      <c r="M373" s="1111">
        <v>54365.538</v>
      </c>
      <c r="N373" s="125">
        <v>2021.04</v>
      </c>
      <c r="O373" s="1833"/>
      <c r="P373" s="168" t="s">
        <v>4041</v>
      </c>
      <c r="Q373" s="147">
        <v>18881106155</v>
      </c>
      <c r="R373" s="168" t="s">
        <v>4042</v>
      </c>
      <c r="S373" s="1067" t="s">
        <v>4043</v>
      </c>
      <c r="T373" s="351"/>
    </row>
    <row r="374" spans="1:20" s="1076" customFormat="1" ht="24.95" customHeight="1">
      <c r="A374" s="351">
        <v>12</v>
      </c>
      <c r="B374" s="1140" t="s">
        <v>4505</v>
      </c>
      <c r="C374" s="1140" t="s">
        <v>4506</v>
      </c>
      <c r="D374" s="103" t="s">
        <v>1193</v>
      </c>
      <c r="E374" s="103"/>
      <c r="F374" s="103">
        <v>1998.38</v>
      </c>
      <c r="G374" s="103" t="s">
        <v>32</v>
      </c>
      <c r="H374" s="103" t="s">
        <v>33</v>
      </c>
      <c r="I374" s="1055"/>
      <c r="J374" s="1058" t="s">
        <v>4038</v>
      </c>
      <c r="K374" s="1149" t="s">
        <v>4507</v>
      </c>
      <c r="L374" s="1130">
        <v>1354901.64</v>
      </c>
      <c r="M374" s="1130">
        <v>406470.49200000003</v>
      </c>
      <c r="N374" s="1130">
        <v>2018.5</v>
      </c>
      <c r="O374" s="1926"/>
      <c r="P374" s="168" t="s">
        <v>4041</v>
      </c>
      <c r="Q374" s="147">
        <v>18881106155</v>
      </c>
      <c r="R374" s="168" t="s">
        <v>4042</v>
      </c>
      <c r="S374" s="1067" t="s">
        <v>4043</v>
      </c>
      <c r="T374" s="1150"/>
    </row>
    <row r="375" spans="1:20" s="1147" customFormat="1" ht="24.95" customHeight="1">
      <c r="A375" s="351">
        <v>13</v>
      </c>
      <c r="B375" s="147" t="s">
        <v>4505</v>
      </c>
      <c r="C375" s="147" t="s">
        <v>4506</v>
      </c>
      <c r="D375" s="147" t="s">
        <v>1193</v>
      </c>
      <c r="E375" s="1110"/>
      <c r="F375" s="147">
        <v>1998.38</v>
      </c>
      <c r="G375" s="147" t="s">
        <v>32</v>
      </c>
      <c r="H375" s="147" t="s">
        <v>33</v>
      </c>
      <c r="I375" s="1110"/>
      <c r="J375" s="1101" t="s">
        <v>4038</v>
      </c>
      <c r="K375" s="438" t="s">
        <v>4507</v>
      </c>
      <c r="L375" s="1111">
        <v>1354901.64</v>
      </c>
      <c r="M375" s="1111">
        <v>406470.49200000003</v>
      </c>
      <c r="N375" s="125">
        <v>2018.5</v>
      </c>
      <c r="O375" s="1833"/>
      <c r="P375" s="168" t="s">
        <v>4041</v>
      </c>
      <c r="Q375" s="147">
        <v>18881106155</v>
      </c>
      <c r="R375" s="168" t="s">
        <v>4042</v>
      </c>
      <c r="S375" s="1067" t="s">
        <v>4043</v>
      </c>
      <c r="T375" s="1110"/>
    </row>
    <row r="376" spans="1:20" s="1147" customFormat="1" ht="24.95" customHeight="1">
      <c r="A376" s="351">
        <v>14</v>
      </c>
      <c r="B376" s="1148" t="s">
        <v>3124</v>
      </c>
      <c r="C376" s="140" t="s">
        <v>34</v>
      </c>
      <c r="D376" s="147" t="s">
        <v>1193</v>
      </c>
      <c r="E376" s="1110"/>
      <c r="F376" s="147">
        <v>353.77</v>
      </c>
      <c r="G376" s="147" t="s">
        <v>32</v>
      </c>
      <c r="H376" s="147" t="s">
        <v>33</v>
      </c>
      <c r="I376" s="1110"/>
      <c r="J376" s="1101" t="s">
        <v>4038</v>
      </c>
      <c r="K376" s="438" t="s">
        <v>4504</v>
      </c>
      <c r="L376" s="1111">
        <v>32957.213199999998</v>
      </c>
      <c r="M376" s="1111">
        <v>19774.32792</v>
      </c>
      <c r="N376" s="125">
        <v>2021.04</v>
      </c>
      <c r="O376" s="1833"/>
      <c r="P376" s="168" t="s">
        <v>4041</v>
      </c>
      <c r="Q376" s="147">
        <v>18881106155</v>
      </c>
      <c r="R376" s="168" t="s">
        <v>4042</v>
      </c>
      <c r="S376" s="1067" t="s">
        <v>4043</v>
      </c>
      <c r="T376" s="1110"/>
    </row>
    <row r="377" spans="1:20" s="1147" customFormat="1" ht="24.95" customHeight="1">
      <c r="A377" s="351">
        <v>15</v>
      </c>
      <c r="B377" s="147" t="s">
        <v>3124</v>
      </c>
      <c r="C377" s="147"/>
      <c r="D377" s="147" t="s">
        <v>1193</v>
      </c>
      <c r="E377" s="1110"/>
      <c r="F377" s="147">
        <v>645.4</v>
      </c>
      <c r="G377" s="147" t="s">
        <v>32</v>
      </c>
      <c r="H377" s="147" t="s">
        <v>33</v>
      </c>
      <c r="I377" s="1110"/>
      <c r="J377" s="1101" t="s">
        <v>4038</v>
      </c>
      <c r="K377" s="438" t="s">
        <v>4503</v>
      </c>
      <c r="L377" s="1111">
        <v>103264</v>
      </c>
      <c r="M377" s="1111">
        <v>30979.200000000001</v>
      </c>
      <c r="N377" s="344">
        <v>2018.1</v>
      </c>
      <c r="O377" s="1833"/>
      <c r="P377" s="168" t="s">
        <v>4041</v>
      </c>
      <c r="Q377" s="147">
        <v>18881106155</v>
      </c>
      <c r="R377" s="168" t="s">
        <v>4042</v>
      </c>
      <c r="S377" s="1067" t="s">
        <v>4043</v>
      </c>
      <c r="T377" s="1110"/>
    </row>
    <row r="378" spans="1:20" s="1147" customFormat="1" ht="24.95" customHeight="1">
      <c r="A378" s="351">
        <v>16</v>
      </c>
      <c r="B378" s="147" t="s">
        <v>3124</v>
      </c>
      <c r="C378" s="147" t="s">
        <v>4508</v>
      </c>
      <c r="D378" s="147" t="s">
        <v>1193</v>
      </c>
      <c r="E378" s="1110"/>
      <c r="F378" s="147">
        <v>485.5</v>
      </c>
      <c r="G378" s="147" t="s">
        <v>32</v>
      </c>
      <c r="H378" s="147" t="s">
        <v>33</v>
      </c>
      <c r="I378" s="1110"/>
      <c r="J378" s="1101" t="s">
        <v>4038</v>
      </c>
      <c r="K378" s="438" t="s">
        <v>4502</v>
      </c>
      <c r="L378" s="1111">
        <v>67970</v>
      </c>
      <c r="M378" s="1111">
        <v>20391</v>
      </c>
      <c r="N378" s="125">
        <v>2019.1</v>
      </c>
      <c r="O378" s="140" t="s">
        <v>4417</v>
      </c>
      <c r="P378" s="168" t="s">
        <v>4041</v>
      </c>
      <c r="Q378" s="147">
        <v>18881106155</v>
      </c>
      <c r="R378" s="168" t="s">
        <v>4042</v>
      </c>
      <c r="S378" s="1067" t="s">
        <v>4043</v>
      </c>
      <c r="T378" s="1110"/>
    </row>
    <row r="379" spans="1:20" s="1076" customFormat="1" ht="24.95" customHeight="1">
      <c r="A379" s="351">
        <v>17</v>
      </c>
      <c r="B379" s="1140" t="s">
        <v>3124</v>
      </c>
      <c r="C379" s="1140" t="s">
        <v>4508</v>
      </c>
      <c r="D379" s="103" t="s">
        <v>1193</v>
      </c>
      <c r="E379" s="103"/>
      <c r="F379" s="103">
        <v>485.5</v>
      </c>
      <c r="G379" s="103" t="s">
        <v>32</v>
      </c>
      <c r="H379" s="103" t="s">
        <v>33</v>
      </c>
      <c r="I379" s="1055"/>
      <c r="J379" s="1058" t="s">
        <v>4038</v>
      </c>
      <c r="K379" s="1149" t="s">
        <v>4502</v>
      </c>
      <c r="L379" s="1130">
        <v>67970</v>
      </c>
      <c r="M379" s="1130">
        <v>20391</v>
      </c>
      <c r="N379" s="1130">
        <v>2019.1</v>
      </c>
      <c r="O379" s="325" t="s">
        <v>4417</v>
      </c>
      <c r="P379" s="168" t="s">
        <v>4041</v>
      </c>
      <c r="Q379" s="147">
        <v>18881106155</v>
      </c>
      <c r="R379" s="168" t="s">
        <v>4042</v>
      </c>
      <c r="S379" s="1067" t="s">
        <v>4043</v>
      </c>
      <c r="T379" s="1150"/>
    </row>
    <row r="380" spans="1:20" s="250" customFormat="1" ht="24.95" customHeight="1">
      <c r="A380" s="351">
        <v>18</v>
      </c>
      <c r="B380" s="1151" t="s">
        <v>4509</v>
      </c>
      <c r="C380" s="1115"/>
      <c r="D380" s="1114" t="s">
        <v>888</v>
      </c>
      <c r="E380" s="1114">
        <v>1369.52</v>
      </c>
      <c r="F380" s="103"/>
      <c r="G380" s="1116" t="s">
        <v>32</v>
      </c>
      <c r="H380" s="1116" t="s">
        <v>41</v>
      </c>
      <c r="I380" s="1115"/>
      <c r="J380" s="1152" t="s">
        <v>2413</v>
      </c>
      <c r="K380" s="1153" t="s">
        <v>3062</v>
      </c>
      <c r="L380" s="1154">
        <v>203668.88</v>
      </c>
      <c r="M380" s="1117">
        <v>61100.666333333997</v>
      </c>
      <c r="N380" s="1155" t="s">
        <v>3954</v>
      </c>
      <c r="O380" s="1156" t="s">
        <v>4047</v>
      </c>
      <c r="P380" s="1119" t="s">
        <v>4048</v>
      </c>
      <c r="Q380" s="1116">
        <v>19902766690</v>
      </c>
      <c r="R380" s="1116" t="s">
        <v>4049</v>
      </c>
      <c r="S380" s="161" t="s">
        <v>4043</v>
      </c>
      <c r="T380" s="1115"/>
    </row>
    <row r="381" spans="1:20" s="250" customFormat="1" ht="24.95" customHeight="1">
      <c r="A381" s="351">
        <v>19</v>
      </c>
      <c r="B381" s="1140" t="s">
        <v>4510</v>
      </c>
      <c r="C381" s="147" t="s">
        <v>4511</v>
      </c>
      <c r="D381" s="103" t="s">
        <v>888</v>
      </c>
      <c r="E381" s="103">
        <v>174.39</v>
      </c>
      <c r="F381" s="103"/>
      <c r="G381" s="1055" t="s">
        <v>32</v>
      </c>
      <c r="H381" s="1055" t="s">
        <v>41</v>
      </c>
      <c r="I381" s="147"/>
      <c r="J381" s="1152" t="s">
        <v>2413</v>
      </c>
      <c r="K381" s="1153" t="s">
        <v>3062</v>
      </c>
      <c r="L381" s="1157">
        <v>50676.84</v>
      </c>
      <c r="M381" s="1061">
        <v>15203.056500000001</v>
      </c>
      <c r="N381" s="1158" t="s">
        <v>3954</v>
      </c>
      <c r="O381" s="1058" t="s">
        <v>4047</v>
      </c>
      <c r="P381" s="1053" t="s">
        <v>4048</v>
      </c>
      <c r="Q381" s="1055">
        <v>19902766690</v>
      </c>
      <c r="R381" s="1055" t="s">
        <v>4049</v>
      </c>
      <c r="S381" s="125" t="s">
        <v>4043</v>
      </c>
      <c r="T381" s="147"/>
    </row>
    <row r="382" spans="1:20" s="250" customFormat="1" ht="24.95" customHeight="1">
      <c r="A382" s="351">
        <v>20</v>
      </c>
      <c r="B382" s="1140" t="s">
        <v>4512</v>
      </c>
      <c r="C382" s="147"/>
      <c r="D382" s="103" t="s">
        <v>888</v>
      </c>
      <c r="E382" s="103">
        <v>308.83</v>
      </c>
      <c r="F382" s="103"/>
      <c r="G382" s="1055" t="s">
        <v>32</v>
      </c>
      <c r="H382" s="1055" t="s">
        <v>41</v>
      </c>
      <c r="I382" s="147"/>
      <c r="J382" s="1152" t="s">
        <v>2413</v>
      </c>
      <c r="K382" s="1153" t="s">
        <v>3062</v>
      </c>
      <c r="L382" s="1157">
        <v>49095.98</v>
      </c>
      <c r="M382" s="1061">
        <v>14728.79</v>
      </c>
      <c r="N382" s="1158" t="s">
        <v>3954</v>
      </c>
      <c r="O382" s="1058" t="s">
        <v>4047</v>
      </c>
      <c r="P382" s="1053" t="s">
        <v>4048</v>
      </c>
      <c r="Q382" s="1055">
        <v>19902766690</v>
      </c>
      <c r="R382" s="1055" t="s">
        <v>4049</v>
      </c>
      <c r="S382" s="125" t="s">
        <v>4043</v>
      </c>
      <c r="T382" s="147"/>
    </row>
    <row r="383" spans="1:20" s="250" customFormat="1" ht="24.95" customHeight="1">
      <c r="A383" s="351">
        <v>21</v>
      </c>
      <c r="B383" s="1140" t="s">
        <v>3147</v>
      </c>
      <c r="C383" s="147"/>
      <c r="D383" s="103" t="s">
        <v>131</v>
      </c>
      <c r="E383" s="103">
        <v>1</v>
      </c>
      <c r="F383" s="103"/>
      <c r="G383" s="1055" t="s">
        <v>32</v>
      </c>
      <c r="H383" s="1055" t="s">
        <v>41</v>
      </c>
      <c r="I383" s="147"/>
      <c r="J383" s="1152" t="s">
        <v>2413</v>
      </c>
      <c r="K383" s="1153" t="s">
        <v>3062</v>
      </c>
      <c r="L383" s="1157">
        <v>6837.6</v>
      </c>
      <c r="M383" s="1061">
        <v>2051.2776867816101</v>
      </c>
      <c r="N383" s="1158" t="s">
        <v>3954</v>
      </c>
      <c r="O383" s="1058" t="s">
        <v>4047</v>
      </c>
      <c r="P383" s="1053" t="s">
        <v>4048</v>
      </c>
      <c r="Q383" s="1055">
        <v>19902766690</v>
      </c>
      <c r="R383" s="1055" t="s">
        <v>4049</v>
      </c>
      <c r="S383" s="125" t="s">
        <v>4043</v>
      </c>
      <c r="T383" s="147"/>
    </row>
    <row r="384" spans="1:20" s="250" customFormat="1" ht="24.95" customHeight="1">
      <c r="A384" s="351">
        <v>22</v>
      </c>
      <c r="B384" s="1140" t="s">
        <v>3063</v>
      </c>
      <c r="C384" s="147"/>
      <c r="D384" s="103" t="s">
        <v>131</v>
      </c>
      <c r="E384" s="103">
        <v>5</v>
      </c>
      <c r="F384" s="103"/>
      <c r="G384" s="1055" t="s">
        <v>32</v>
      </c>
      <c r="H384" s="1055" t="s">
        <v>41</v>
      </c>
      <c r="I384" s="147"/>
      <c r="J384" s="1152" t="s">
        <v>2413</v>
      </c>
      <c r="K384" s="1153" t="s">
        <v>3062</v>
      </c>
      <c r="L384" s="1157">
        <v>2136.7800000000002</v>
      </c>
      <c r="M384" s="1061">
        <v>641.03674999999998</v>
      </c>
      <c r="N384" s="1158" t="s">
        <v>3954</v>
      </c>
      <c r="O384" s="1058" t="s">
        <v>4047</v>
      </c>
      <c r="P384" s="1053" t="s">
        <v>4048</v>
      </c>
      <c r="Q384" s="1055">
        <v>19902766690</v>
      </c>
      <c r="R384" s="1055" t="s">
        <v>4049</v>
      </c>
      <c r="S384" s="125" t="s">
        <v>4043</v>
      </c>
      <c r="T384" s="147"/>
    </row>
    <row r="385" spans="1:20" s="250" customFormat="1" ht="24.95" customHeight="1">
      <c r="A385" s="351">
        <v>23</v>
      </c>
      <c r="B385" s="1140" t="s">
        <v>4513</v>
      </c>
      <c r="C385" s="147"/>
      <c r="D385" s="103" t="s">
        <v>888</v>
      </c>
      <c r="E385" s="305">
        <v>8597.41</v>
      </c>
      <c r="F385" s="103"/>
      <c r="G385" s="1055" t="s">
        <v>32</v>
      </c>
      <c r="H385" s="1055" t="s">
        <v>41</v>
      </c>
      <c r="I385" s="147"/>
      <c r="J385" s="1152" t="s">
        <v>2413</v>
      </c>
      <c r="K385" s="1153" t="s">
        <v>3062</v>
      </c>
      <c r="L385" s="1157">
        <v>587884.97</v>
      </c>
      <c r="M385" s="1061">
        <v>176365.495958335</v>
      </c>
      <c r="N385" s="1158" t="s">
        <v>3954</v>
      </c>
      <c r="O385" s="1058" t="s">
        <v>4047</v>
      </c>
      <c r="P385" s="1053" t="s">
        <v>4048</v>
      </c>
      <c r="Q385" s="1055">
        <v>19902766690</v>
      </c>
      <c r="R385" s="1055" t="s">
        <v>4049</v>
      </c>
      <c r="S385" s="125" t="s">
        <v>4043</v>
      </c>
      <c r="T385" s="147"/>
    </row>
    <row r="386" spans="1:20" s="250" customFormat="1" ht="24.95" customHeight="1">
      <c r="A386" s="351">
        <v>24</v>
      </c>
      <c r="B386" s="1140" t="s">
        <v>3124</v>
      </c>
      <c r="C386" s="1060" t="s">
        <v>4514</v>
      </c>
      <c r="D386" s="103" t="s">
        <v>888</v>
      </c>
      <c r="E386" s="125">
        <v>1679.02</v>
      </c>
      <c r="F386" s="147"/>
      <c r="G386" s="1055" t="s">
        <v>32</v>
      </c>
      <c r="H386" s="1055" t="s">
        <v>41</v>
      </c>
      <c r="I386" s="147"/>
      <c r="J386" s="1152" t="s">
        <v>2413</v>
      </c>
      <c r="K386" s="1153" t="s">
        <v>3062</v>
      </c>
      <c r="L386" s="344">
        <v>276369.65999999997</v>
      </c>
      <c r="M386" s="1061">
        <v>82910.898000000001</v>
      </c>
      <c r="N386" s="264">
        <v>2019.8</v>
      </c>
      <c r="O386" s="1058" t="s">
        <v>4047</v>
      </c>
      <c r="P386" s="1053" t="s">
        <v>4048</v>
      </c>
      <c r="Q386" s="1055">
        <v>19902766690</v>
      </c>
      <c r="R386" s="1055" t="s">
        <v>4049</v>
      </c>
      <c r="S386" s="125" t="s">
        <v>4043</v>
      </c>
      <c r="T386" s="147"/>
    </row>
    <row r="387" spans="1:20" s="250" customFormat="1" ht="24.95" customHeight="1">
      <c r="A387" s="351">
        <v>25</v>
      </c>
      <c r="B387" s="1140" t="s">
        <v>4004</v>
      </c>
      <c r="C387" s="1060" t="s">
        <v>4514</v>
      </c>
      <c r="D387" s="103" t="s">
        <v>888</v>
      </c>
      <c r="E387" s="125">
        <v>888.15</v>
      </c>
      <c r="F387" s="147"/>
      <c r="G387" s="1055" t="s">
        <v>32</v>
      </c>
      <c r="H387" s="1055" t="s">
        <v>41</v>
      </c>
      <c r="I387" s="147"/>
      <c r="J387" s="1152" t="s">
        <v>2413</v>
      </c>
      <c r="K387" s="1153" t="s">
        <v>3062</v>
      </c>
      <c r="L387" s="344">
        <v>62877.87</v>
      </c>
      <c r="M387" s="1061">
        <v>18863.36</v>
      </c>
      <c r="N387" s="264">
        <v>2019.8</v>
      </c>
      <c r="O387" s="1058" t="s">
        <v>4047</v>
      </c>
      <c r="P387" s="1053" t="s">
        <v>4048</v>
      </c>
      <c r="Q387" s="1055">
        <v>19902766690</v>
      </c>
      <c r="R387" s="1055" t="s">
        <v>4049</v>
      </c>
      <c r="S387" s="125" t="s">
        <v>4043</v>
      </c>
      <c r="T387" s="147"/>
    </row>
    <row r="388" spans="1:20" s="250" customFormat="1" ht="24.95" customHeight="1">
      <c r="A388" s="351">
        <v>26</v>
      </c>
      <c r="B388" s="1140" t="s">
        <v>4515</v>
      </c>
      <c r="C388" s="147"/>
      <c r="D388" s="103" t="s">
        <v>888</v>
      </c>
      <c r="E388" s="103">
        <v>4920</v>
      </c>
      <c r="F388" s="147"/>
      <c r="G388" s="1055" t="s">
        <v>32</v>
      </c>
      <c r="H388" s="1055" t="s">
        <v>41</v>
      </c>
      <c r="I388" s="147"/>
      <c r="J388" s="1152" t="s">
        <v>2413</v>
      </c>
      <c r="K388" s="1153" t="s">
        <v>3062</v>
      </c>
      <c r="L388" s="148">
        <v>731692.31</v>
      </c>
      <c r="M388" s="1061">
        <v>219507.69300000099</v>
      </c>
      <c r="N388" s="1158" t="s">
        <v>4516</v>
      </c>
      <c r="O388" s="1058" t="s">
        <v>4047</v>
      </c>
      <c r="P388" s="1053" t="s">
        <v>4048</v>
      </c>
      <c r="Q388" s="1055">
        <v>19902766690</v>
      </c>
      <c r="R388" s="1055" t="s">
        <v>4049</v>
      </c>
      <c r="S388" s="125" t="s">
        <v>4043</v>
      </c>
      <c r="T388" s="147"/>
    </row>
    <row r="389" spans="1:20" s="250" customFormat="1" ht="24.95" customHeight="1">
      <c r="A389" s="351">
        <v>27</v>
      </c>
      <c r="B389" s="1140" t="s">
        <v>1363</v>
      </c>
      <c r="C389" s="147"/>
      <c r="D389" s="103" t="s">
        <v>888</v>
      </c>
      <c r="E389" s="103">
        <v>2900</v>
      </c>
      <c r="F389" s="147"/>
      <c r="G389" s="1055" t="s">
        <v>32</v>
      </c>
      <c r="H389" s="1055" t="s">
        <v>41</v>
      </c>
      <c r="I389" s="147"/>
      <c r="J389" s="1152" t="s">
        <v>2413</v>
      </c>
      <c r="K389" s="1153" t="s">
        <v>3062</v>
      </c>
      <c r="L389" s="148">
        <v>842735.04</v>
      </c>
      <c r="M389" s="1061">
        <v>252820.51</v>
      </c>
      <c r="N389" s="1158" t="s">
        <v>4516</v>
      </c>
      <c r="O389" s="1058" t="s">
        <v>4047</v>
      </c>
      <c r="P389" s="1053" t="s">
        <v>4048</v>
      </c>
      <c r="Q389" s="1055">
        <v>19902766690</v>
      </c>
      <c r="R389" s="1055" t="s">
        <v>4049</v>
      </c>
      <c r="S389" s="125" t="s">
        <v>4043</v>
      </c>
      <c r="T389" s="147"/>
    </row>
    <row r="390" spans="1:20" s="250" customFormat="1" ht="24.95" customHeight="1">
      <c r="A390" s="351">
        <v>28</v>
      </c>
      <c r="B390" s="1140" t="s">
        <v>4517</v>
      </c>
      <c r="C390" s="147"/>
      <c r="D390" s="103" t="s">
        <v>888</v>
      </c>
      <c r="E390" s="103">
        <v>6000</v>
      </c>
      <c r="F390" s="147"/>
      <c r="G390" s="1055" t="s">
        <v>32</v>
      </c>
      <c r="H390" s="1055" t="s">
        <v>41</v>
      </c>
      <c r="I390" s="147"/>
      <c r="J390" s="1152" t="s">
        <v>2413</v>
      </c>
      <c r="K390" s="1153" t="s">
        <v>3062</v>
      </c>
      <c r="L390" s="148">
        <v>953846.15</v>
      </c>
      <c r="M390" s="1061">
        <v>286153.84500000102</v>
      </c>
      <c r="N390" s="1158" t="s">
        <v>4516</v>
      </c>
      <c r="O390" s="1058" t="s">
        <v>4047</v>
      </c>
      <c r="P390" s="1053" t="s">
        <v>4048</v>
      </c>
      <c r="Q390" s="1055">
        <v>19902766690</v>
      </c>
      <c r="R390" s="1055" t="s">
        <v>4049</v>
      </c>
      <c r="S390" s="125" t="s">
        <v>4043</v>
      </c>
      <c r="T390" s="147"/>
    </row>
    <row r="391" spans="1:20" s="250" customFormat="1" ht="24.95" customHeight="1">
      <c r="A391" s="351">
        <v>29</v>
      </c>
      <c r="B391" s="1140" t="s">
        <v>4518</v>
      </c>
      <c r="C391" s="103" t="s">
        <v>4519</v>
      </c>
      <c r="D391" s="103" t="s">
        <v>888</v>
      </c>
      <c r="E391" s="103">
        <v>273</v>
      </c>
      <c r="F391" s="147"/>
      <c r="G391" s="1055" t="s">
        <v>32</v>
      </c>
      <c r="H391" s="1055" t="s">
        <v>41</v>
      </c>
      <c r="I391" s="147"/>
      <c r="J391" s="1152" t="s">
        <v>2413</v>
      </c>
      <c r="K391" s="1153" t="s">
        <v>3062</v>
      </c>
      <c r="L391" s="148">
        <v>81666.67</v>
      </c>
      <c r="M391" s="1061">
        <v>24500</v>
      </c>
      <c r="N391" s="1158" t="s">
        <v>4516</v>
      </c>
      <c r="O391" s="1058" t="s">
        <v>4047</v>
      </c>
      <c r="P391" s="1053" t="s">
        <v>4048</v>
      </c>
      <c r="Q391" s="1055">
        <v>19902766690</v>
      </c>
      <c r="R391" s="1055" t="s">
        <v>4049</v>
      </c>
      <c r="S391" s="125" t="s">
        <v>4043</v>
      </c>
      <c r="T391" s="147"/>
    </row>
    <row r="392" spans="1:20" s="1093" customFormat="1" ht="24.95" customHeight="1">
      <c r="A392" s="351">
        <v>30</v>
      </c>
      <c r="B392" s="168" t="s">
        <v>1391</v>
      </c>
      <c r="C392" s="174" t="s">
        <v>3076</v>
      </c>
      <c r="D392" s="174" t="s">
        <v>1193</v>
      </c>
      <c r="E392" s="168">
        <v>2467.0500000000002</v>
      </c>
      <c r="F392" s="168"/>
      <c r="G392" s="222" t="s">
        <v>32</v>
      </c>
      <c r="H392" s="222" t="s">
        <v>33</v>
      </c>
      <c r="I392" s="1096" t="s">
        <v>404</v>
      </c>
      <c r="J392" s="404" t="s">
        <v>4128</v>
      </c>
      <c r="K392" s="1097" t="s">
        <v>4184</v>
      </c>
      <c r="L392" s="1159">
        <v>68056.55</v>
      </c>
      <c r="M392" s="168">
        <v>20416.97</v>
      </c>
      <c r="N392" s="1160">
        <v>43617</v>
      </c>
      <c r="O392" s="1161" t="s">
        <v>4130</v>
      </c>
      <c r="P392" s="1073" t="s">
        <v>4131</v>
      </c>
      <c r="Q392" s="103">
        <v>17373170973</v>
      </c>
      <c r="R392" s="103" t="s">
        <v>4132</v>
      </c>
      <c r="S392" s="1060" t="s">
        <v>4043</v>
      </c>
      <c r="T392" s="147"/>
    </row>
    <row r="393" spans="1:20" s="1093" customFormat="1" ht="24.95" customHeight="1">
      <c r="A393" s="351">
        <v>31</v>
      </c>
      <c r="B393" s="168" t="s">
        <v>1412</v>
      </c>
      <c r="C393" s="174"/>
      <c r="D393" s="174" t="s">
        <v>1193</v>
      </c>
      <c r="E393" s="168">
        <v>2634.03</v>
      </c>
      <c r="F393" s="168"/>
      <c r="G393" s="222" t="s">
        <v>32</v>
      </c>
      <c r="H393" s="222" t="s">
        <v>33</v>
      </c>
      <c r="I393" s="1096" t="s">
        <v>404</v>
      </c>
      <c r="J393" s="404" t="s">
        <v>4128</v>
      </c>
      <c r="K393" s="1097" t="s">
        <v>4184</v>
      </c>
      <c r="L393" s="1162">
        <v>120670.1</v>
      </c>
      <c r="M393" s="168">
        <v>36201.03</v>
      </c>
      <c r="N393" s="1075">
        <v>43922</v>
      </c>
      <c r="O393" s="1161" t="s">
        <v>4130</v>
      </c>
      <c r="P393" s="1073" t="s">
        <v>4131</v>
      </c>
      <c r="Q393" s="103">
        <v>17373170973</v>
      </c>
      <c r="R393" s="103" t="s">
        <v>4132</v>
      </c>
      <c r="S393" s="1060" t="s">
        <v>4043</v>
      </c>
      <c r="T393" s="147"/>
    </row>
    <row r="394" spans="1:20" s="1093" customFormat="1" ht="24.95" customHeight="1">
      <c r="A394" s="351">
        <v>32</v>
      </c>
      <c r="B394" s="168" t="s">
        <v>1391</v>
      </c>
      <c r="C394" s="174" t="s">
        <v>506</v>
      </c>
      <c r="D394" s="174" t="s">
        <v>1193</v>
      </c>
      <c r="E394" s="168">
        <v>3221.46</v>
      </c>
      <c r="F394" s="168"/>
      <c r="G394" s="222" t="s">
        <v>32</v>
      </c>
      <c r="H394" s="222" t="s">
        <v>33</v>
      </c>
      <c r="I394" s="1096" t="s">
        <v>404</v>
      </c>
      <c r="J394" s="404" t="s">
        <v>4128</v>
      </c>
      <c r="K394" s="1097" t="s">
        <v>4184</v>
      </c>
      <c r="L394" s="1162">
        <v>295162.84000000003</v>
      </c>
      <c r="M394" s="168">
        <v>88548.85</v>
      </c>
      <c r="N394" s="1075">
        <v>43922</v>
      </c>
      <c r="O394" s="1161" t="s">
        <v>4130</v>
      </c>
      <c r="P394" s="1073" t="s">
        <v>4131</v>
      </c>
      <c r="Q394" s="103">
        <v>17373170973</v>
      </c>
      <c r="R394" s="103" t="s">
        <v>4132</v>
      </c>
      <c r="S394" s="1060" t="s">
        <v>4043</v>
      </c>
      <c r="T394" s="147"/>
    </row>
    <row r="395" spans="1:20" s="1093" customFormat="1" ht="24.95" customHeight="1">
      <c r="A395" s="351">
        <v>33</v>
      </c>
      <c r="B395" s="168" t="s">
        <v>3354</v>
      </c>
      <c r="C395" s="174"/>
      <c r="D395" s="174" t="s">
        <v>1193</v>
      </c>
      <c r="E395" s="168">
        <v>2342.5</v>
      </c>
      <c r="F395" s="168"/>
      <c r="G395" s="222" t="s">
        <v>32</v>
      </c>
      <c r="H395" s="222" t="s">
        <v>33</v>
      </c>
      <c r="I395" s="1096" t="s">
        <v>404</v>
      </c>
      <c r="J395" s="404" t="s">
        <v>4128</v>
      </c>
      <c r="K395" s="1097" t="s">
        <v>4184</v>
      </c>
      <c r="L395" s="1162">
        <v>14415.38</v>
      </c>
      <c r="M395" s="168">
        <v>4324.6099999999997</v>
      </c>
      <c r="N395" s="1075">
        <v>43922</v>
      </c>
      <c r="O395" s="1161" t="s">
        <v>4130</v>
      </c>
      <c r="P395" s="1073" t="s">
        <v>4131</v>
      </c>
      <c r="Q395" s="103">
        <v>17373170973</v>
      </c>
      <c r="R395" s="103" t="s">
        <v>4132</v>
      </c>
      <c r="S395" s="1060" t="s">
        <v>4043</v>
      </c>
      <c r="T395" s="147"/>
    </row>
    <row r="396" spans="1:20" s="1093" customFormat="1" ht="24.95" customHeight="1">
      <c r="A396" s="351">
        <v>34</v>
      </c>
      <c r="B396" s="168" t="s">
        <v>4520</v>
      </c>
      <c r="C396" s="174" t="s">
        <v>179</v>
      </c>
      <c r="D396" s="174" t="s">
        <v>1193</v>
      </c>
      <c r="E396" s="168">
        <v>1985.2249999999999</v>
      </c>
      <c r="F396" s="168"/>
      <c r="G396" s="222" t="s">
        <v>32</v>
      </c>
      <c r="H396" s="222" t="s">
        <v>33</v>
      </c>
      <c r="I396" s="1096" t="s">
        <v>404</v>
      </c>
      <c r="J396" s="404" t="s">
        <v>4128</v>
      </c>
      <c r="K396" s="1097" t="s">
        <v>4184</v>
      </c>
      <c r="L396" s="1162">
        <v>81445.13</v>
      </c>
      <c r="M396" s="168">
        <v>24433.54</v>
      </c>
      <c r="N396" s="1075">
        <v>43922</v>
      </c>
      <c r="O396" s="1161" t="s">
        <v>4130</v>
      </c>
      <c r="P396" s="1073" t="s">
        <v>4131</v>
      </c>
      <c r="Q396" s="103">
        <v>17373170973</v>
      </c>
      <c r="R396" s="103" t="s">
        <v>4132</v>
      </c>
      <c r="S396" s="1060" t="s">
        <v>4043</v>
      </c>
      <c r="T396" s="147"/>
    </row>
    <row r="397" spans="1:20" s="1093" customFormat="1" ht="24.95" customHeight="1">
      <c r="A397" s="351">
        <v>35</v>
      </c>
      <c r="B397" s="168" t="s">
        <v>1391</v>
      </c>
      <c r="C397" s="174" t="s">
        <v>506</v>
      </c>
      <c r="D397" s="174" t="s">
        <v>1193</v>
      </c>
      <c r="E397" s="168">
        <v>636.09</v>
      </c>
      <c r="F397" s="168"/>
      <c r="G397" s="222" t="s">
        <v>32</v>
      </c>
      <c r="H397" s="222" t="s">
        <v>33</v>
      </c>
      <c r="I397" s="1096" t="s">
        <v>404</v>
      </c>
      <c r="J397" s="404" t="s">
        <v>4128</v>
      </c>
      <c r="K397" s="1097" t="s">
        <v>4184</v>
      </c>
      <c r="L397" s="1162">
        <v>58281.17</v>
      </c>
      <c r="M397" s="168">
        <v>17484.349999999999</v>
      </c>
      <c r="N397" s="1075">
        <v>43922</v>
      </c>
      <c r="O397" s="1161" t="s">
        <v>4130</v>
      </c>
      <c r="P397" s="1073" t="s">
        <v>4131</v>
      </c>
      <c r="Q397" s="103">
        <v>17373170973</v>
      </c>
      <c r="R397" s="103" t="s">
        <v>4132</v>
      </c>
      <c r="S397" s="1060" t="s">
        <v>4043</v>
      </c>
      <c r="T397" s="147"/>
    </row>
    <row r="398" spans="1:20" s="1093" customFormat="1" ht="24.95" customHeight="1">
      <c r="A398" s="351">
        <v>36</v>
      </c>
      <c r="B398" s="168" t="s">
        <v>1391</v>
      </c>
      <c r="C398" s="174" t="s">
        <v>4521</v>
      </c>
      <c r="D398" s="174" t="s">
        <v>1193</v>
      </c>
      <c r="E398" s="168">
        <v>1233</v>
      </c>
      <c r="F398" s="168"/>
      <c r="G398" s="222" t="s">
        <v>32</v>
      </c>
      <c r="H398" s="222" t="s">
        <v>33</v>
      </c>
      <c r="I398" s="1096" t="s">
        <v>404</v>
      </c>
      <c r="J398" s="404" t="s">
        <v>4128</v>
      </c>
      <c r="K398" s="1097" t="s">
        <v>4184</v>
      </c>
      <c r="L398" s="1162">
        <v>290466.46999999997</v>
      </c>
      <c r="M398" s="168">
        <v>87139.94</v>
      </c>
      <c r="N398" s="1075">
        <v>43922</v>
      </c>
      <c r="O398" s="1161" t="s">
        <v>4130</v>
      </c>
      <c r="P398" s="1073" t="s">
        <v>4131</v>
      </c>
      <c r="Q398" s="103">
        <v>17373170973</v>
      </c>
      <c r="R398" s="103" t="s">
        <v>4132</v>
      </c>
      <c r="S398" s="1060" t="s">
        <v>4043</v>
      </c>
      <c r="T398" s="147"/>
    </row>
    <row r="399" spans="1:20" s="1093" customFormat="1" ht="24.95" customHeight="1">
      <c r="A399" s="351">
        <v>37</v>
      </c>
      <c r="B399" s="168" t="s">
        <v>1391</v>
      </c>
      <c r="C399" s="174" t="s">
        <v>4521</v>
      </c>
      <c r="D399" s="174" t="s">
        <v>1193</v>
      </c>
      <c r="E399" s="168">
        <v>1665</v>
      </c>
      <c r="F399" s="168"/>
      <c r="G399" s="222" t="s">
        <v>32</v>
      </c>
      <c r="H399" s="222" t="s">
        <v>33</v>
      </c>
      <c r="I399" s="1096" t="s">
        <v>404</v>
      </c>
      <c r="J399" s="404" t="s">
        <v>4128</v>
      </c>
      <c r="K399" s="1097" t="s">
        <v>4184</v>
      </c>
      <c r="L399" s="1162">
        <v>392235.69</v>
      </c>
      <c r="M399" s="168">
        <v>117670.71</v>
      </c>
      <c r="N399" s="1075">
        <v>43922</v>
      </c>
      <c r="O399" s="1161" t="s">
        <v>4130</v>
      </c>
      <c r="P399" s="1073" t="s">
        <v>4131</v>
      </c>
      <c r="Q399" s="103">
        <v>17373170973</v>
      </c>
      <c r="R399" s="103" t="s">
        <v>4132</v>
      </c>
      <c r="S399" s="1060" t="s">
        <v>4043</v>
      </c>
      <c r="T399" s="147"/>
    </row>
    <row r="400" spans="1:20" s="1093" customFormat="1" ht="24.95" customHeight="1">
      <c r="A400" s="351">
        <v>38</v>
      </c>
      <c r="B400" s="168" t="s">
        <v>1391</v>
      </c>
      <c r="C400" s="174" t="s">
        <v>4521</v>
      </c>
      <c r="D400" s="174" t="s">
        <v>1193</v>
      </c>
      <c r="E400" s="168">
        <v>856</v>
      </c>
      <c r="F400" s="168"/>
      <c r="G400" s="222" t="s">
        <v>32</v>
      </c>
      <c r="H400" s="222" t="s">
        <v>33</v>
      </c>
      <c r="I400" s="1096" t="s">
        <v>404</v>
      </c>
      <c r="J400" s="404" t="s">
        <v>4128</v>
      </c>
      <c r="K400" s="1097" t="s">
        <v>4184</v>
      </c>
      <c r="L400" s="1162">
        <v>201653.85</v>
      </c>
      <c r="M400" s="168">
        <v>60496.160000000003</v>
      </c>
      <c r="N400" s="1075">
        <v>43922</v>
      </c>
      <c r="O400" s="1161" t="s">
        <v>4130</v>
      </c>
      <c r="P400" s="1073" t="s">
        <v>4131</v>
      </c>
      <c r="Q400" s="103">
        <v>17373170973</v>
      </c>
      <c r="R400" s="103" t="s">
        <v>4132</v>
      </c>
      <c r="S400" s="1060" t="s">
        <v>4043</v>
      </c>
      <c r="T400" s="147"/>
    </row>
    <row r="401" spans="1:20" s="1093" customFormat="1" ht="24.95" customHeight="1">
      <c r="A401" s="351">
        <v>39</v>
      </c>
      <c r="B401" s="168" t="s">
        <v>3354</v>
      </c>
      <c r="C401" s="174"/>
      <c r="D401" s="174" t="s">
        <v>1193</v>
      </c>
      <c r="E401" s="168">
        <v>2984.7359999999999</v>
      </c>
      <c r="F401" s="168"/>
      <c r="G401" s="222" t="s">
        <v>32</v>
      </c>
      <c r="H401" s="222" t="s">
        <v>33</v>
      </c>
      <c r="I401" s="1096" t="s">
        <v>404</v>
      </c>
      <c r="J401" s="404" t="s">
        <v>4128</v>
      </c>
      <c r="K401" s="1097" t="s">
        <v>4184</v>
      </c>
      <c r="L401" s="1162">
        <v>50880.37</v>
      </c>
      <c r="M401" s="168">
        <v>15264.11</v>
      </c>
      <c r="N401" s="1075">
        <v>43922</v>
      </c>
      <c r="O401" s="1161" t="s">
        <v>4130</v>
      </c>
      <c r="P401" s="1073" t="s">
        <v>4131</v>
      </c>
      <c r="Q401" s="103">
        <v>17373170973</v>
      </c>
      <c r="R401" s="103" t="s">
        <v>4132</v>
      </c>
      <c r="S401" s="1060" t="s">
        <v>4043</v>
      </c>
      <c r="T401" s="147"/>
    </row>
    <row r="402" spans="1:20" s="1093" customFormat="1" ht="24.95" customHeight="1">
      <c r="A402" s="351">
        <v>40</v>
      </c>
      <c r="B402" s="168" t="s">
        <v>1412</v>
      </c>
      <c r="C402" s="174"/>
      <c r="D402" s="174" t="s">
        <v>1193</v>
      </c>
      <c r="E402" s="168">
        <v>1447.33</v>
      </c>
      <c r="F402" s="168"/>
      <c r="G402" s="222" t="s">
        <v>32</v>
      </c>
      <c r="H402" s="222" t="s">
        <v>33</v>
      </c>
      <c r="I402" s="1096" t="s">
        <v>404</v>
      </c>
      <c r="J402" s="404" t="s">
        <v>4128</v>
      </c>
      <c r="K402" s="1097" t="s">
        <v>4184</v>
      </c>
      <c r="L402" s="1162">
        <v>170478.76</v>
      </c>
      <c r="M402" s="168">
        <v>51143.63</v>
      </c>
      <c r="N402" s="1075">
        <v>43922</v>
      </c>
      <c r="O402" s="1161" t="s">
        <v>4130</v>
      </c>
      <c r="P402" s="1073" t="s">
        <v>4131</v>
      </c>
      <c r="Q402" s="103">
        <v>17373170973</v>
      </c>
      <c r="R402" s="103" t="s">
        <v>4132</v>
      </c>
      <c r="S402" s="1060" t="s">
        <v>4043</v>
      </c>
      <c r="T402" s="147"/>
    </row>
    <row r="403" spans="1:20" s="1093" customFormat="1" ht="24.95" customHeight="1">
      <c r="A403" s="351">
        <v>41</v>
      </c>
      <c r="B403" s="168" t="s">
        <v>1391</v>
      </c>
      <c r="C403" s="174" t="s">
        <v>4522</v>
      </c>
      <c r="D403" s="174" t="s">
        <v>1193</v>
      </c>
      <c r="E403" s="168">
        <v>2541</v>
      </c>
      <c r="F403" s="168"/>
      <c r="G403" s="222" t="s">
        <v>32</v>
      </c>
      <c r="H403" s="222" t="s">
        <v>33</v>
      </c>
      <c r="I403" s="1096" t="s">
        <v>404</v>
      </c>
      <c r="J403" s="404" t="s">
        <v>4128</v>
      </c>
      <c r="K403" s="1097" t="s">
        <v>4184</v>
      </c>
      <c r="L403" s="1162">
        <v>598604.41</v>
      </c>
      <c r="M403" s="168">
        <v>179581.32</v>
      </c>
      <c r="N403" s="1075">
        <v>43922</v>
      </c>
      <c r="O403" s="1161" t="s">
        <v>4130</v>
      </c>
      <c r="P403" s="1073" t="s">
        <v>4131</v>
      </c>
      <c r="Q403" s="103">
        <v>17373170973</v>
      </c>
      <c r="R403" s="103" t="s">
        <v>4132</v>
      </c>
      <c r="S403" s="1060" t="s">
        <v>4043</v>
      </c>
      <c r="T403" s="147"/>
    </row>
    <row r="404" spans="1:20" s="1093" customFormat="1" ht="24.95" customHeight="1">
      <c r="A404" s="351">
        <v>42</v>
      </c>
      <c r="B404" s="168" t="s">
        <v>1391</v>
      </c>
      <c r="C404" s="174" t="s">
        <v>4523</v>
      </c>
      <c r="D404" s="174" t="s">
        <v>1193</v>
      </c>
      <c r="E404" s="168">
        <v>575</v>
      </c>
      <c r="F404" s="168"/>
      <c r="G404" s="222" t="s">
        <v>32</v>
      </c>
      <c r="H404" s="222" t="s">
        <v>33</v>
      </c>
      <c r="I404" s="1096" t="s">
        <v>404</v>
      </c>
      <c r="J404" s="404" t="s">
        <v>4128</v>
      </c>
      <c r="K404" s="1097" t="s">
        <v>4184</v>
      </c>
      <c r="L404" s="1162">
        <v>135457.54</v>
      </c>
      <c r="M404" s="168">
        <v>40637.26</v>
      </c>
      <c r="N404" s="1075">
        <v>43922</v>
      </c>
      <c r="O404" s="1161" t="s">
        <v>4130</v>
      </c>
      <c r="P404" s="1073" t="s">
        <v>4131</v>
      </c>
      <c r="Q404" s="103">
        <v>17373170973</v>
      </c>
      <c r="R404" s="103" t="s">
        <v>4132</v>
      </c>
      <c r="S404" s="1060" t="s">
        <v>4043</v>
      </c>
      <c r="T404" s="147"/>
    </row>
    <row r="405" spans="1:20" s="1093" customFormat="1" ht="24.95" customHeight="1">
      <c r="A405" s="351">
        <v>43</v>
      </c>
      <c r="B405" s="168" t="s">
        <v>1391</v>
      </c>
      <c r="C405" s="174" t="s">
        <v>4524</v>
      </c>
      <c r="D405" s="174" t="s">
        <v>1193</v>
      </c>
      <c r="E405" s="168">
        <v>1762</v>
      </c>
      <c r="F405" s="168"/>
      <c r="G405" s="222" t="s">
        <v>32</v>
      </c>
      <c r="H405" s="222" t="s">
        <v>33</v>
      </c>
      <c r="I405" s="1096" t="s">
        <v>404</v>
      </c>
      <c r="J405" s="404" t="s">
        <v>4128</v>
      </c>
      <c r="K405" s="1097" t="s">
        <v>4184</v>
      </c>
      <c r="L405" s="1162">
        <v>415089.05</v>
      </c>
      <c r="M405" s="168">
        <v>124526.72</v>
      </c>
      <c r="N405" s="1075">
        <v>43922</v>
      </c>
      <c r="O405" s="1161" t="s">
        <v>4130</v>
      </c>
      <c r="P405" s="1073" t="s">
        <v>4131</v>
      </c>
      <c r="Q405" s="103">
        <v>17373170973</v>
      </c>
      <c r="R405" s="103" t="s">
        <v>4132</v>
      </c>
      <c r="S405" s="1060" t="s">
        <v>4043</v>
      </c>
      <c r="T405" s="147"/>
    </row>
    <row r="406" spans="1:20" s="1093" customFormat="1" ht="24.95" customHeight="1">
      <c r="A406" s="351">
        <v>44</v>
      </c>
      <c r="B406" s="168" t="s">
        <v>1391</v>
      </c>
      <c r="C406" s="174" t="s">
        <v>4525</v>
      </c>
      <c r="D406" s="174" t="s">
        <v>1193</v>
      </c>
      <c r="E406" s="168">
        <v>184</v>
      </c>
      <c r="F406" s="168"/>
      <c r="G406" s="222" t="s">
        <v>32</v>
      </c>
      <c r="H406" s="222" t="s">
        <v>33</v>
      </c>
      <c r="I406" s="1096" t="s">
        <v>404</v>
      </c>
      <c r="J406" s="404" t="s">
        <v>4128</v>
      </c>
      <c r="K406" s="1097" t="s">
        <v>4184</v>
      </c>
      <c r="L406" s="1162">
        <v>43346.34</v>
      </c>
      <c r="M406" s="168">
        <v>13003.9</v>
      </c>
      <c r="N406" s="1075">
        <v>43922</v>
      </c>
      <c r="O406" s="1161" t="s">
        <v>4130</v>
      </c>
      <c r="P406" s="1073" t="s">
        <v>4131</v>
      </c>
      <c r="Q406" s="103">
        <v>17373170973</v>
      </c>
      <c r="R406" s="103" t="s">
        <v>4132</v>
      </c>
      <c r="S406" s="1060" t="s">
        <v>4043</v>
      </c>
      <c r="T406" s="147"/>
    </row>
    <row r="407" spans="1:20" s="1093" customFormat="1" ht="24.95" customHeight="1">
      <c r="A407" s="351">
        <v>45</v>
      </c>
      <c r="B407" s="168" t="s">
        <v>1391</v>
      </c>
      <c r="C407" s="174" t="s">
        <v>4525</v>
      </c>
      <c r="D407" s="174" t="s">
        <v>1193</v>
      </c>
      <c r="E407" s="168">
        <v>1740</v>
      </c>
      <c r="F407" s="168"/>
      <c r="G407" s="222" t="s">
        <v>32</v>
      </c>
      <c r="H407" s="222" t="s">
        <v>33</v>
      </c>
      <c r="I407" s="1096" t="s">
        <v>404</v>
      </c>
      <c r="J407" s="404" t="s">
        <v>4128</v>
      </c>
      <c r="K407" s="1097" t="s">
        <v>4184</v>
      </c>
      <c r="L407" s="1162">
        <v>423390.14</v>
      </c>
      <c r="M407" s="168">
        <v>127017.04</v>
      </c>
      <c r="N407" s="1075">
        <v>43922</v>
      </c>
      <c r="O407" s="1161" t="s">
        <v>4130</v>
      </c>
      <c r="P407" s="1073" t="s">
        <v>4131</v>
      </c>
      <c r="Q407" s="103">
        <v>17373170973</v>
      </c>
      <c r="R407" s="103" t="s">
        <v>4132</v>
      </c>
      <c r="S407" s="1060" t="s">
        <v>4043</v>
      </c>
      <c r="T407" s="147"/>
    </row>
    <row r="408" spans="1:20" s="1093" customFormat="1" ht="24.95" customHeight="1">
      <c r="A408" s="351">
        <v>46</v>
      </c>
      <c r="B408" s="168" t="s">
        <v>1391</v>
      </c>
      <c r="C408" s="174" t="s">
        <v>4526</v>
      </c>
      <c r="D408" s="174" t="s">
        <v>1193</v>
      </c>
      <c r="E408" s="168">
        <v>288</v>
      </c>
      <c r="F408" s="168"/>
      <c r="G408" s="222" t="s">
        <v>32</v>
      </c>
      <c r="H408" s="222" t="s">
        <v>33</v>
      </c>
      <c r="I408" s="1096" t="s">
        <v>404</v>
      </c>
      <c r="J408" s="404" t="s">
        <v>4128</v>
      </c>
      <c r="K408" s="1097" t="s">
        <v>4184</v>
      </c>
      <c r="L408" s="1162">
        <v>70078.44</v>
      </c>
      <c r="M408" s="168">
        <v>21023.53</v>
      </c>
      <c r="N408" s="1075">
        <v>43922</v>
      </c>
      <c r="O408" s="1161" t="s">
        <v>4130</v>
      </c>
      <c r="P408" s="1073" t="s">
        <v>4131</v>
      </c>
      <c r="Q408" s="103">
        <v>17373170973</v>
      </c>
      <c r="R408" s="103" t="s">
        <v>4132</v>
      </c>
      <c r="S408" s="1060" t="s">
        <v>4043</v>
      </c>
      <c r="T408" s="147"/>
    </row>
    <row r="409" spans="1:20" s="1093" customFormat="1" ht="24.95" customHeight="1">
      <c r="A409" s="351">
        <v>47</v>
      </c>
      <c r="B409" s="168" t="s">
        <v>3354</v>
      </c>
      <c r="C409" s="174" t="s">
        <v>4527</v>
      </c>
      <c r="D409" s="174" t="s">
        <v>1193</v>
      </c>
      <c r="E409" s="168">
        <v>7618</v>
      </c>
      <c r="F409" s="168"/>
      <c r="G409" s="222" t="s">
        <v>32</v>
      </c>
      <c r="H409" s="222" t="s">
        <v>33</v>
      </c>
      <c r="I409" s="1096" t="s">
        <v>404</v>
      </c>
      <c r="J409" s="404" t="s">
        <v>4128</v>
      </c>
      <c r="K409" s="1097" t="s">
        <v>4184</v>
      </c>
      <c r="L409" s="1162">
        <v>129875.4</v>
      </c>
      <c r="M409" s="168">
        <v>38962.620000000003</v>
      </c>
      <c r="N409" s="1075">
        <v>43922</v>
      </c>
      <c r="O409" s="1161" t="s">
        <v>4130</v>
      </c>
      <c r="P409" s="1073" t="s">
        <v>4131</v>
      </c>
      <c r="Q409" s="103">
        <v>17373170973</v>
      </c>
      <c r="R409" s="103" t="s">
        <v>4132</v>
      </c>
      <c r="S409" s="1060" t="s">
        <v>4043</v>
      </c>
      <c r="T409" s="147"/>
    </row>
    <row r="410" spans="1:20" s="1093" customFormat="1" ht="24.95" customHeight="1">
      <c r="A410" s="351">
        <v>48</v>
      </c>
      <c r="B410" s="168" t="s">
        <v>1412</v>
      </c>
      <c r="C410" s="174"/>
      <c r="D410" s="174" t="s">
        <v>1193</v>
      </c>
      <c r="E410" s="168">
        <v>10560</v>
      </c>
      <c r="F410" s="168"/>
      <c r="G410" s="222" t="s">
        <v>32</v>
      </c>
      <c r="H410" s="222" t="s">
        <v>33</v>
      </c>
      <c r="I410" s="1096" t="s">
        <v>404</v>
      </c>
      <c r="J410" s="404" t="s">
        <v>4128</v>
      </c>
      <c r="K410" s="1097" t="s">
        <v>4184</v>
      </c>
      <c r="L410" s="1162">
        <v>1186565.3899999999</v>
      </c>
      <c r="M410" s="168">
        <v>355969.62</v>
      </c>
      <c r="N410" s="1075">
        <v>43922</v>
      </c>
      <c r="O410" s="1161" t="s">
        <v>4130</v>
      </c>
      <c r="P410" s="1073" t="s">
        <v>4131</v>
      </c>
      <c r="Q410" s="103">
        <v>17373170973</v>
      </c>
      <c r="R410" s="103" t="s">
        <v>4132</v>
      </c>
      <c r="S410" s="1060" t="s">
        <v>4043</v>
      </c>
      <c r="T410" s="147"/>
    </row>
    <row r="411" spans="1:20" s="1093" customFormat="1" ht="24.95" customHeight="1">
      <c r="A411" s="351">
        <v>49</v>
      </c>
      <c r="B411" s="168" t="s">
        <v>4520</v>
      </c>
      <c r="C411" s="174"/>
      <c r="D411" s="174" t="s">
        <v>1193</v>
      </c>
      <c r="E411" s="168">
        <v>7408.25</v>
      </c>
      <c r="F411" s="168"/>
      <c r="G411" s="222" t="s">
        <v>32</v>
      </c>
      <c r="H411" s="222" t="s">
        <v>33</v>
      </c>
      <c r="I411" s="1096" t="s">
        <v>404</v>
      </c>
      <c r="J411" s="404" t="s">
        <v>4128</v>
      </c>
      <c r="K411" s="1097" t="s">
        <v>4184</v>
      </c>
      <c r="L411" s="1162">
        <v>832421.75</v>
      </c>
      <c r="M411" s="168">
        <v>249726.53</v>
      </c>
      <c r="N411" s="1075">
        <v>43922</v>
      </c>
      <c r="O411" s="1161" t="s">
        <v>4130</v>
      </c>
      <c r="P411" s="1073" t="s">
        <v>4131</v>
      </c>
      <c r="Q411" s="103">
        <v>17373170973</v>
      </c>
      <c r="R411" s="103" t="s">
        <v>4132</v>
      </c>
      <c r="S411" s="1060" t="s">
        <v>4043</v>
      </c>
      <c r="T411" s="147"/>
    </row>
    <row r="412" spans="1:20" s="250" customFormat="1" ht="24.95" customHeight="1">
      <c r="A412" s="351">
        <v>50</v>
      </c>
      <c r="B412" s="168" t="s">
        <v>1391</v>
      </c>
      <c r="C412" s="174" t="s">
        <v>4528</v>
      </c>
      <c r="D412" s="174" t="s">
        <v>1193</v>
      </c>
      <c r="E412" s="168">
        <v>500.77679999999998</v>
      </c>
      <c r="F412" s="168"/>
      <c r="G412" s="222" t="s">
        <v>32</v>
      </c>
      <c r="H412" s="222" t="s">
        <v>33</v>
      </c>
      <c r="I412" s="1096" t="s">
        <v>404</v>
      </c>
      <c r="J412" s="404" t="s">
        <v>4128</v>
      </c>
      <c r="K412" s="1097" t="s">
        <v>4184</v>
      </c>
      <c r="L412" s="1162">
        <v>117972.2</v>
      </c>
      <c r="M412" s="168">
        <v>35391.660000000003</v>
      </c>
      <c r="N412" s="1075">
        <v>43922</v>
      </c>
      <c r="O412" s="1161" t="s">
        <v>4130</v>
      </c>
      <c r="P412" s="1073" t="s">
        <v>4131</v>
      </c>
      <c r="Q412" s="103">
        <v>17373170973</v>
      </c>
      <c r="R412" s="103" t="s">
        <v>4132</v>
      </c>
      <c r="S412" s="1060" t="s">
        <v>4043</v>
      </c>
      <c r="T412" s="147"/>
    </row>
    <row r="413" spans="1:20" s="250" customFormat="1" ht="24.95" customHeight="1">
      <c r="A413" s="351">
        <v>51</v>
      </c>
      <c r="B413" s="168" t="s">
        <v>3354</v>
      </c>
      <c r="C413" s="174" t="s">
        <v>4527</v>
      </c>
      <c r="D413" s="174" t="s">
        <v>1193</v>
      </c>
      <c r="E413" s="168">
        <v>733.2</v>
      </c>
      <c r="F413" s="168"/>
      <c r="G413" s="222" t="s">
        <v>32</v>
      </c>
      <c r="H413" s="222" t="s">
        <v>33</v>
      </c>
      <c r="I413" s="1096" t="s">
        <v>404</v>
      </c>
      <c r="J413" s="404" t="s">
        <v>4128</v>
      </c>
      <c r="K413" s="1097" t="s">
        <v>4184</v>
      </c>
      <c r="L413" s="1162">
        <v>12499.96</v>
      </c>
      <c r="M413" s="168">
        <v>3749.99</v>
      </c>
      <c r="N413" s="1075">
        <v>43922</v>
      </c>
      <c r="O413" s="1161" t="s">
        <v>4130</v>
      </c>
      <c r="P413" s="1073" t="s">
        <v>4131</v>
      </c>
      <c r="Q413" s="103">
        <v>17373170973</v>
      </c>
      <c r="R413" s="103" t="s">
        <v>4132</v>
      </c>
      <c r="S413" s="1060" t="s">
        <v>4043</v>
      </c>
      <c r="T413" s="147"/>
    </row>
    <row r="414" spans="1:20" s="250" customFormat="1" ht="24.95" customHeight="1">
      <c r="A414" s="351">
        <v>52</v>
      </c>
      <c r="B414" s="168" t="s">
        <v>4520</v>
      </c>
      <c r="C414" s="174" t="s">
        <v>4529</v>
      </c>
      <c r="D414" s="174" t="s">
        <v>1193</v>
      </c>
      <c r="E414" s="168">
        <v>2535.33</v>
      </c>
      <c r="F414" s="168"/>
      <c r="G414" s="222" t="s">
        <v>32</v>
      </c>
      <c r="H414" s="222" t="s">
        <v>33</v>
      </c>
      <c r="I414" s="1096" t="s">
        <v>404</v>
      </c>
      <c r="J414" s="404" t="s">
        <v>4128</v>
      </c>
      <c r="K414" s="1097" t="s">
        <v>4184</v>
      </c>
      <c r="L414" s="1162">
        <v>298634.28000000003</v>
      </c>
      <c r="M414" s="168">
        <v>89590.28</v>
      </c>
      <c r="N414" s="1075">
        <v>43922</v>
      </c>
      <c r="O414" s="1161" t="s">
        <v>4130</v>
      </c>
      <c r="P414" s="1073" t="s">
        <v>4131</v>
      </c>
      <c r="Q414" s="103">
        <v>17373170973</v>
      </c>
      <c r="R414" s="103" t="s">
        <v>4132</v>
      </c>
      <c r="S414" s="1060" t="s">
        <v>4043</v>
      </c>
      <c r="T414" s="147"/>
    </row>
    <row r="415" spans="1:20" s="250" customFormat="1" ht="24.95" customHeight="1">
      <c r="A415" s="351">
        <v>53</v>
      </c>
      <c r="B415" s="168" t="s">
        <v>1391</v>
      </c>
      <c r="C415" s="174" t="s">
        <v>4522</v>
      </c>
      <c r="D415" s="174" t="s">
        <v>1193</v>
      </c>
      <c r="E415" s="168">
        <v>2780.73</v>
      </c>
      <c r="F415" s="168"/>
      <c r="G415" s="222" t="s">
        <v>32</v>
      </c>
      <c r="H415" s="222" t="s">
        <v>33</v>
      </c>
      <c r="I415" s="1096" t="s">
        <v>404</v>
      </c>
      <c r="J415" s="404" t="s">
        <v>4128</v>
      </c>
      <c r="K415" s="1097" t="s">
        <v>4184</v>
      </c>
      <c r="L415" s="1162">
        <v>705655.72</v>
      </c>
      <c r="M415" s="168">
        <v>211696.72</v>
      </c>
      <c r="N415" s="1075">
        <v>43922</v>
      </c>
      <c r="O415" s="1161" t="s">
        <v>4130</v>
      </c>
      <c r="P415" s="1073" t="s">
        <v>4131</v>
      </c>
      <c r="Q415" s="103">
        <v>17373170973</v>
      </c>
      <c r="R415" s="103" t="s">
        <v>4132</v>
      </c>
      <c r="S415" s="1060" t="s">
        <v>4043</v>
      </c>
      <c r="T415" s="147"/>
    </row>
    <row r="416" spans="1:20" s="250" customFormat="1" ht="24.95" customHeight="1">
      <c r="A416" s="351">
        <v>54</v>
      </c>
      <c r="B416" s="168" t="s">
        <v>1391</v>
      </c>
      <c r="C416" s="174" t="s">
        <v>4523</v>
      </c>
      <c r="D416" s="174" t="s">
        <v>1193</v>
      </c>
      <c r="E416" s="168">
        <v>779.66</v>
      </c>
      <c r="F416" s="168"/>
      <c r="G416" s="222" t="s">
        <v>32</v>
      </c>
      <c r="H416" s="222" t="s">
        <v>33</v>
      </c>
      <c r="I416" s="1096" t="s">
        <v>404</v>
      </c>
      <c r="J416" s="404" t="s">
        <v>4128</v>
      </c>
      <c r="K416" s="1097" t="s">
        <v>4184</v>
      </c>
      <c r="L416" s="1162">
        <v>197851.56</v>
      </c>
      <c r="M416" s="168">
        <v>59355.47</v>
      </c>
      <c r="N416" s="1075">
        <v>43922</v>
      </c>
      <c r="O416" s="1161" t="s">
        <v>4130</v>
      </c>
      <c r="P416" s="1073" t="s">
        <v>4131</v>
      </c>
      <c r="Q416" s="103">
        <v>17373170973</v>
      </c>
      <c r="R416" s="103" t="s">
        <v>4132</v>
      </c>
      <c r="S416" s="1060" t="s">
        <v>4043</v>
      </c>
      <c r="T416" s="147"/>
    </row>
    <row r="417" spans="1:20" s="250" customFormat="1" ht="24.95" customHeight="1">
      <c r="A417" s="351">
        <v>55</v>
      </c>
      <c r="B417" s="168" t="s">
        <v>1391</v>
      </c>
      <c r="C417" s="174" t="s">
        <v>4524</v>
      </c>
      <c r="D417" s="174" t="s">
        <v>1193</v>
      </c>
      <c r="E417" s="168">
        <v>1798.19</v>
      </c>
      <c r="F417" s="168"/>
      <c r="G417" s="222" t="s">
        <v>32</v>
      </c>
      <c r="H417" s="222" t="s">
        <v>33</v>
      </c>
      <c r="I417" s="1096" t="s">
        <v>404</v>
      </c>
      <c r="J417" s="404" t="s">
        <v>4128</v>
      </c>
      <c r="K417" s="1097" t="s">
        <v>4184</v>
      </c>
      <c r="L417" s="1162">
        <v>456319.94</v>
      </c>
      <c r="M417" s="168">
        <v>136895.98000000001</v>
      </c>
      <c r="N417" s="1075">
        <v>43922</v>
      </c>
      <c r="O417" s="1161" t="s">
        <v>4130</v>
      </c>
      <c r="P417" s="1073" t="s">
        <v>4131</v>
      </c>
      <c r="Q417" s="103">
        <v>17373170973</v>
      </c>
      <c r="R417" s="103" t="s">
        <v>4132</v>
      </c>
      <c r="S417" s="1060" t="s">
        <v>4043</v>
      </c>
      <c r="T417" s="147"/>
    </row>
    <row r="418" spans="1:20" s="250" customFormat="1" ht="24.95" customHeight="1">
      <c r="A418" s="351">
        <v>56</v>
      </c>
      <c r="B418" s="168" t="s">
        <v>1391</v>
      </c>
      <c r="C418" s="174" t="s">
        <v>4530</v>
      </c>
      <c r="D418" s="174" t="s">
        <v>1193</v>
      </c>
      <c r="E418" s="168">
        <v>3497.99</v>
      </c>
      <c r="F418" s="168"/>
      <c r="G418" s="222" t="s">
        <v>32</v>
      </c>
      <c r="H418" s="222" t="s">
        <v>33</v>
      </c>
      <c r="I418" s="1096" t="s">
        <v>404</v>
      </c>
      <c r="J418" s="404" t="s">
        <v>4128</v>
      </c>
      <c r="K418" s="1097" t="s">
        <v>4184</v>
      </c>
      <c r="L418" s="1162">
        <v>916872.28</v>
      </c>
      <c r="M418" s="168">
        <v>275061.68</v>
      </c>
      <c r="N418" s="1075">
        <v>43922</v>
      </c>
      <c r="O418" s="1161" t="s">
        <v>4130</v>
      </c>
      <c r="P418" s="1073" t="s">
        <v>4131</v>
      </c>
      <c r="Q418" s="103">
        <v>17373170973</v>
      </c>
      <c r="R418" s="103" t="s">
        <v>4132</v>
      </c>
      <c r="S418" s="1060" t="s">
        <v>4043</v>
      </c>
      <c r="T418" s="147"/>
    </row>
    <row r="419" spans="1:20" s="250" customFormat="1" ht="24.95" customHeight="1">
      <c r="A419" s="351">
        <v>57</v>
      </c>
      <c r="B419" s="168" t="s">
        <v>1391</v>
      </c>
      <c r="C419" s="174" t="s">
        <v>4526</v>
      </c>
      <c r="D419" s="174" t="s">
        <v>1193</v>
      </c>
      <c r="E419" s="168">
        <v>649.12</v>
      </c>
      <c r="F419" s="168"/>
      <c r="G419" s="222" t="s">
        <v>32</v>
      </c>
      <c r="H419" s="222" t="s">
        <v>33</v>
      </c>
      <c r="I419" s="1096" t="s">
        <v>404</v>
      </c>
      <c r="J419" s="404" t="s">
        <v>4128</v>
      </c>
      <c r="K419" s="1097" t="s">
        <v>4184</v>
      </c>
      <c r="L419" s="1162">
        <v>170143.43</v>
      </c>
      <c r="M419" s="168">
        <v>51043.03</v>
      </c>
      <c r="N419" s="1075">
        <v>43922</v>
      </c>
      <c r="O419" s="1161" t="s">
        <v>4130</v>
      </c>
      <c r="P419" s="1073" t="s">
        <v>4131</v>
      </c>
      <c r="Q419" s="103">
        <v>17373170973</v>
      </c>
      <c r="R419" s="103" t="s">
        <v>4132</v>
      </c>
      <c r="S419" s="1060" t="s">
        <v>4043</v>
      </c>
      <c r="T419" s="147"/>
    </row>
    <row r="420" spans="1:20" s="250" customFormat="1" ht="24.95" customHeight="1">
      <c r="A420" s="351">
        <v>58</v>
      </c>
      <c r="B420" s="168" t="s">
        <v>3354</v>
      </c>
      <c r="C420" s="174" t="s">
        <v>4527</v>
      </c>
      <c r="D420" s="174" t="s">
        <v>1193</v>
      </c>
      <c r="E420" s="168">
        <v>1086.7</v>
      </c>
      <c r="F420" s="168"/>
      <c r="G420" s="222" t="s">
        <v>32</v>
      </c>
      <c r="H420" s="222" t="s">
        <v>33</v>
      </c>
      <c r="I420" s="1096" t="s">
        <v>404</v>
      </c>
      <c r="J420" s="404" t="s">
        <v>4128</v>
      </c>
      <c r="K420" s="1097" t="s">
        <v>4184</v>
      </c>
      <c r="L420" s="1162">
        <v>19957.04</v>
      </c>
      <c r="M420" s="168">
        <v>5987.11</v>
      </c>
      <c r="N420" s="1075">
        <v>43922</v>
      </c>
      <c r="O420" s="1161" t="s">
        <v>4130</v>
      </c>
      <c r="P420" s="1073" t="s">
        <v>4131</v>
      </c>
      <c r="Q420" s="103">
        <v>17373170973</v>
      </c>
      <c r="R420" s="103" t="s">
        <v>4132</v>
      </c>
      <c r="S420" s="1060" t="s">
        <v>4043</v>
      </c>
      <c r="T420" s="147"/>
    </row>
    <row r="421" spans="1:20" s="250" customFormat="1" ht="24.95" customHeight="1">
      <c r="A421" s="351">
        <v>59</v>
      </c>
      <c r="B421" s="168" t="s">
        <v>3354</v>
      </c>
      <c r="C421" s="174"/>
      <c r="D421" s="174" t="s">
        <v>1193</v>
      </c>
      <c r="E421" s="168">
        <v>944.25</v>
      </c>
      <c r="F421" s="168"/>
      <c r="G421" s="222" t="s">
        <v>32</v>
      </c>
      <c r="H421" s="222" t="s">
        <v>33</v>
      </c>
      <c r="I421" s="1096" t="s">
        <v>404</v>
      </c>
      <c r="J421" s="404" t="s">
        <v>4128</v>
      </c>
      <c r="K421" s="1097" t="s">
        <v>4184</v>
      </c>
      <c r="L421" s="1162">
        <v>17755.11</v>
      </c>
      <c r="M421" s="168">
        <v>5326.53</v>
      </c>
      <c r="N421" s="1075">
        <v>43922</v>
      </c>
      <c r="O421" s="1161" t="s">
        <v>4130</v>
      </c>
      <c r="P421" s="1073" t="s">
        <v>4131</v>
      </c>
      <c r="Q421" s="103">
        <v>17373170973</v>
      </c>
      <c r="R421" s="103" t="s">
        <v>4132</v>
      </c>
      <c r="S421" s="1060" t="s">
        <v>4043</v>
      </c>
      <c r="T421" s="147"/>
    </row>
    <row r="422" spans="1:20" s="1076" customFormat="1" ht="24.95" customHeight="1">
      <c r="A422" s="351">
        <v>60</v>
      </c>
      <c r="B422" s="1163" t="s">
        <v>1412</v>
      </c>
      <c r="C422" s="1164"/>
      <c r="D422" s="174" t="s">
        <v>1193</v>
      </c>
      <c r="E422" s="1163">
        <v>802.67</v>
      </c>
      <c r="F422" s="1163"/>
      <c r="G422" s="222" t="s">
        <v>32</v>
      </c>
      <c r="H422" s="222" t="s">
        <v>33</v>
      </c>
      <c r="I422" s="1096" t="s">
        <v>404</v>
      </c>
      <c r="J422" s="404" t="s">
        <v>4128</v>
      </c>
      <c r="K422" s="1097" t="s">
        <v>4184</v>
      </c>
      <c r="L422" s="1162">
        <v>104278.47</v>
      </c>
      <c r="M422" s="168">
        <v>31283.54</v>
      </c>
      <c r="N422" s="1075">
        <v>43922</v>
      </c>
      <c r="O422" s="1161" t="s">
        <v>4130</v>
      </c>
      <c r="P422" s="1073" t="s">
        <v>4131</v>
      </c>
      <c r="Q422" s="103">
        <v>17373170973</v>
      </c>
      <c r="R422" s="103" t="s">
        <v>4132</v>
      </c>
      <c r="S422" s="1060" t="s">
        <v>4043</v>
      </c>
      <c r="T422" s="147"/>
    </row>
    <row r="423" spans="1:20" s="1076" customFormat="1" ht="24.95" customHeight="1">
      <c r="A423" s="351">
        <v>61</v>
      </c>
      <c r="B423" s="1163" t="s">
        <v>4531</v>
      </c>
      <c r="C423" s="1164"/>
      <c r="D423" s="174" t="s">
        <v>1193</v>
      </c>
      <c r="E423" s="1163">
        <v>3827.2820999999999</v>
      </c>
      <c r="F423" s="1163"/>
      <c r="G423" s="222" t="s">
        <v>32</v>
      </c>
      <c r="H423" s="222" t="s">
        <v>33</v>
      </c>
      <c r="I423" s="1096" t="s">
        <v>404</v>
      </c>
      <c r="J423" s="404" t="s">
        <v>4128</v>
      </c>
      <c r="K423" s="1097" t="s">
        <v>4184</v>
      </c>
      <c r="L423" s="1162">
        <v>497219.43</v>
      </c>
      <c r="M423" s="168">
        <v>149165.82999999999</v>
      </c>
      <c r="N423" s="1075">
        <v>43922</v>
      </c>
      <c r="O423" s="1161" t="s">
        <v>4130</v>
      </c>
      <c r="P423" s="1073" t="s">
        <v>4131</v>
      </c>
      <c r="Q423" s="103">
        <v>17373170973</v>
      </c>
      <c r="R423" s="103" t="s">
        <v>4132</v>
      </c>
      <c r="S423" s="1060" t="s">
        <v>4043</v>
      </c>
      <c r="T423" s="147"/>
    </row>
    <row r="424" spans="1:20" s="1076" customFormat="1" ht="24.95" customHeight="1">
      <c r="A424" s="351">
        <v>62</v>
      </c>
      <c r="B424" s="1163" t="s">
        <v>4532</v>
      </c>
      <c r="C424" s="1164"/>
      <c r="D424" s="174" t="s">
        <v>1193</v>
      </c>
      <c r="E424" s="1163">
        <v>98.72</v>
      </c>
      <c r="F424" s="1163"/>
      <c r="G424" s="222" t="s">
        <v>32</v>
      </c>
      <c r="H424" s="222" t="s">
        <v>33</v>
      </c>
      <c r="I424" s="1096" t="s">
        <v>404</v>
      </c>
      <c r="J424" s="404" t="s">
        <v>4128</v>
      </c>
      <c r="K424" s="1097" t="s">
        <v>4184</v>
      </c>
      <c r="L424" s="1162">
        <v>12824.87</v>
      </c>
      <c r="M424" s="168">
        <v>3847.46</v>
      </c>
      <c r="N424" s="1075">
        <v>43922</v>
      </c>
      <c r="O424" s="1161" t="s">
        <v>4130</v>
      </c>
      <c r="P424" s="1073" t="s">
        <v>4131</v>
      </c>
      <c r="Q424" s="103">
        <v>17373170973</v>
      </c>
      <c r="R424" s="103" t="s">
        <v>4132</v>
      </c>
      <c r="S424" s="1060" t="s">
        <v>4043</v>
      </c>
      <c r="T424" s="147"/>
    </row>
    <row r="425" spans="1:20" s="1076" customFormat="1" ht="24.95" customHeight="1">
      <c r="A425" s="351">
        <v>63</v>
      </c>
      <c r="B425" s="1163" t="s">
        <v>1391</v>
      </c>
      <c r="C425" s="1164" t="s">
        <v>4533</v>
      </c>
      <c r="D425" s="174" t="s">
        <v>1193</v>
      </c>
      <c r="E425" s="1163">
        <v>2100.5100000000002</v>
      </c>
      <c r="F425" s="1163"/>
      <c r="G425" s="222" t="s">
        <v>32</v>
      </c>
      <c r="H425" s="222" t="s">
        <v>33</v>
      </c>
      <c r="I425" s="1096" t="s">
        <v>404</v>
      </c>
      <c r="J425" s="404" t="s">
        <v>4128</v>
      </c>
      <c r="K425" s="1097" t="s">
        <v>4184</v>
      </c>
      <c r="L425" s="1162">
        <v>545773.27</v>
      </c>
      <c r="M425" s="168">
        <v>163731.98000000001</v>
      </c>
      <c r="N425" s="1075">
        <v>43922</v>
      </c>
      <c r="O425" s="1161" t="s">
        <v>4130</v>
      </c>
      <c r="P425" s="1073" t="s">
        <v>4131</v>
      </c>
      <c r="Q425" s="103">
        <v>17373170973</v>
      </c>
      <c r="R425" s="103" t="s">
        <v>4132</v>
      </c>
      <c r="S425" s="1060" t="s">
        <v>4043</v>
      </c>
      <c r="T425" s="147"/>
    </row>
    <row r="426" spans="1:20" s="1076" customFormat="1" ht="24.95" customHeight="1">
      <c r="A426" s="351">
        <v>64</v>
      </c>
      <c r="B426" s="1163" t="s">
        <v>3354</v>
      </c>
      <c r="C426" s="1164" t="s">
        <v>4527</v>
      </c>
      <c r="D426" s="174" t="s">
        <v>1193</v>
      </c>
      <c r="E426" s="1163">
        <v>200</v>
      </c>
      <c r="F426" s="1163"/>
      <c r="G426" s="222" t="s">
        <v>32</v>
      </c>
      <c r="H426" s="222" t="s">
        <v>33</v>
      </c>
      <c r="I426" s="1096" t="s">
        <v>404</v>
      </c>
      <c r="J426" s="404" t="s">
        <v>4128</v>
      </c>
      <c r="K426" s="1097" t="s">
        <v>4184</v>
      </c>
      <c r="L426" s="1162">
        <v>3760.67</v>
      </c>
      <c r="M426" s="168">
        <v>1128.2</v>
      </c>
      <c r="N426" s="1075">
        <v>43922</v>
      </c>
      <c r="O426" s="1161" t="s">
        <v>4130</v>
      </c>
      <c r="P426" s="1073" t="s">
        <v>4131</v>
      </c>
      <c r="Q426" s="103">
        <v>17373170973</v>
      </c>
      <c r="R426" s="103" t="s">
        <v>4132</v>
      </c>
      <c r="S426" s="1060" t="s">
        <v>4043</v>
      </c>
      <c r="T426" s="147"/>
    </row>
    <row r="427" spans="1:20" s="1076" customFormat="1" ht="24.95" customHeight="1">
      <c r="A427" s="351">
        <v>65</v>
      </c>
      <c r="B427" s="1163" t="s">
        <v>4531</v>
      </c>
      <c r="C427" s="1164"/>
      <c r="D427" s="174" t="s">
        <v>1193</v>
      </c>
      <c r="E427" s="1163">
        <v>2174.58</v>
      </c>
      <c r="F427" s="1163"/>
      <c r="G427" s="222" t="s">
        <v>32</v>
      </c>
      <c r="H427" s="222" t="s">
        <v>33</v>
      </c>
      <c r="I427" s="1096" t="s">
        <v>404</v>
      </c>
      <c r="J427" s="404" t="s">
        <v>4128</v>
      </c>
      <c r="K427" s="1097" t="s">
        <v>4184</v>
      </c>
      <c r="L427" s="1162">
        <v>282502.95</v>
      </c>
      <c r="M427" s="168">
        <v>84750.89</v>
      </c>
      <c r="N427" s="1075">
        <v>43922</v>
      </c>
      <c r="O427" s="1161" t="s">
        <v>4130</v>
      </c>
      <c r="P427" s="1073" t="s">
        <v>4131</v>
      </c>
      <c r="Q427" s="103">
        <v>17373170973</v>
      </c>
      <c r="R427" s="103" t="s">
        <v>4132</v>
      </c>
      <c r="S427" s="1060" t="s">
        <v>4043</v>
      </c>
      <c r="T427" s="147"/>
    </row>
    <row r="428" spans="1:20" s="1076" customFormat="1" ht="24.95" customHeight="1">
      <c r="A428" s="351">
        <v>66</v>
      </c>
      <c r="B428" s="1163" t="s">
        <v>1391</v>
      </c>
      <c r="C428" s="1164" t="s">
        <v>4533</v>
      </c>
      <c r="D428" s="174" t="s">
        <v>1193</v>
      </c>
      <c r="E428" s="1163">
        <v>861.55600000000004</v>
      </c>
      <c r="F428" s="1163"/>
      <c r="G428" s="222" t="s">
        <v>32</v>
      </c>
      <c r="H428" s="222" t="s">
        <v>33</v>
      </c>
      <c r="I428" s="1096" t="s">
        <v>404</v>
      </c>
      <c r="J428" s="404" t="s">
        <v>4128</v>
      </c>
      <c r="K428" s="1097" t="s">
        <v>4184</v>
      </c>
      <c r="L428" s="1162">
        <v>223857.16</v>
      </c>
      <c r="M428" s="168">
        <v>67157.149999999994</v>
      </c>
      <c r="N428" s="1075">
        <v>43922</v>
      </c>
      <c r="O428" s="1161" t="s">
        <v>4130</v>
      </c>
      <c r="P428" s="1073" t="s">
        <v>4131</v>
      </c>
      <c r="Q428" s="103">
        <v>17373170973</v>
      </c>
      <c r="R428" s="103" t="s">
        <v>4132</v>
      </c>
      <c r="S428" s="1060" t="s">
        <v>4043</v>
      </c>
      <c r="T428" s="147"/>
    </row>
    <row r="429" spans="1:20" s="1076" customFormat="1" ht="24.95" customHeight="1">
      <c r="A429" s="351">
        <v>67</v>
      </c>
      <c r="B429" s="1163" t="s">
        <v>4531</v>
      </c>
      <c r="C429" s="1164"/>
      <c r="D429" s="174" t="s">
        <v>1193</v>
      </c>
      <c r="E429" s="1163">
        <v>120.75</v>
      </c>
      <c r="F429" s="1163"/>
      <c r="G429" s="222" t="s">
        <v>32</v>
      </c>
      <c r="H429" s="222" t="s">
        <v>33</v>
      </c>
      <c r="I429" s="1096" t="s">
        <v>404</v>
      </c>
      <c r="J429" s="404" t="s">
        <v>4128</v>
      </c>
      <c r="K429" s="1097" t="s">
        <v>4184</v>
      </c>
      <c r="L429" s="1162">
        <v>15686.81</v>
      </c>
      <c r="M429" s="168">
        <v>4706.04</v>
      </c>
      <c r="N429" s="1075">
        <v>43922</v>
      </c>
      <c r="O429" s="1161" t="s">
        <v>4130</v>
      </c>
      <c r="P429" s="1073" t="s">
        <v>4131</v>
      </c>
      <c r="Q429" s="103">
        <v>17373170973</v>
      </c>
      <c r="R429" s="103" t="s">
        <v>4132</v>
      </c>
      <c r="S429" s="1060" t="s">
        <v>4043</v>
      </c>
      <c r="T429" s="147"/>
    </row>
    <row r="430" spans="1:20" s="1076" customFormat="1" ht="24.95" customHeight="1">
      <c r="A430" s="351">
        <v>68</v>
      </c>
      <c r="B430" s="1163" t="s">
        <v>1391</v>
      </c>
      <c r="C430" s="1164" t="s">
        <v>4522</v>
      </c>
      <c r="D430" s="174" t="s">
        <v>1193</v>
      </c>
      <c r="E430" s="1163">
        <v>217.58</v>
      </c>
      <c r="F430" s="1163"/>
      <c r="G430" s="222" t="s">
        <v>32</v>
      </c>
      <c r="H430" s="222" t="s">
        <v>33</v>
      </c>
      <c r="I430" s="1096" t="s">
        <v>404</v>
      </c>
      <c r="J430" s="404" t="s">
        <v>4128</v>
      </c>
      <c r="K430" s="1097" t="s">
        <v>4184</v>
      </c>
      <c r="L430" s="1162">
        <v>56534.21</v>
      </c>
      <c r="M430" s="168">
        <v>16960.259999999998</v>
      </c>
      <c r="N430" s="1075">
        <v>43922</v>
      </c>
      <c r="O430" s="1161" t="s">
        <v>4130</v>
      </c>
      <c r="P430" s="1073" t="s">
        <v>4131</v>
      </c>
      <c r="Q430" s="103">
        <v>17373170973</v>
      </c>
      <c r="R430" s="103" t="s">
        <v>4132</v>
      </c>
      <c r="S430" s="1060" t="s">
        <v>4043</v>
      </c>
      <c r="T430" s="147"/>
    </row>
    <row r="431" spans="1:20" s="1076" customFormat="1" ht="24.95" customHeight="1">
      <c r="A431" s="351">
        <v>69</v>
      </c>
      <c r="B431" s="1163" t="s">
        <v>1391</v>
      </c>
      <c r="C431" s="1164" t="s">
        <v>4524</v>
      </c>
      <c r="D431" s="174" t="s">
        <v>1193</v>
      </c>
      <c r="E431" s="1163">
        <v>200</v>
      </c>
      <c r="F431" s="1163"/>
      <c r="G431" s="222" t="s">
        <v>32</v>
      </c>
      <c r="H431" s="222" t="s">
        <v>33</v>
      </c>
      <c r="I431" s="1096" t="s">
        <v>404</v>
      </c>
      <c r="J431" s="404" t="s">
        <v>4128</v>
      </c>
      <c r="K431" s="1097" t="s">
        <v>4184</v>
      </c>
      <c r="L431" s="1162">
        <v>51966.37</v>
      </c>
      <c r="M431" s="168">
        <v>15589.91</v>
      </c>
      <c r="N431" s="1075">
        <v>43922</v>
      </c>
      <c r="O431" s="1161" t="s">
        <v>4130</v>
      </c>
      <c r="P431" s="1073" t="s">
        <v>4131</v>
      </c>
      <c r="Q431" s="103">
        <v>17373170973</v>
      </c>
      <c r="R431" s="103" t="s">
        <v>4132</v>
      </c>
      <c r="S431" s="1060" t="s">
        <v>4043</v>
      </c>
      <c r="T431" s="147"/>
    </row>
    <row r="432" spans="1:20" s="1076" customFormat="1" ht="24.95" customHeight="1">
      <c r="A432" s="351">
        <v>70</v>
      </c>
      <c r="B432" s="340" t="s">
        <v>1391</v>
      </c>
      <c r="C432" s="340" t="s">
        <v>3076</v>
      </c>
      <c r="D432" s="174" t="s">
        <v>1193</v>
      </c>
      <c r="E432" s="242">
        <v>123</v>
      </c>
      <c r="F432" s="1163"/>
      <c r="G432" s="222" t="s">
        <v>32</v>
      </c>
      <c r="H432" s="222" t="s">
        <v>33</v>
      </c>
      <c r="I432" s="1096" t="s">
        <v>404</v>
      </c>
      <c r="J432" s="404" t="s">
        <v>4128</v>
      </c>
      <c r="K432" s="1097" t="s">
        <v>4534</v>
      </c>
      <c r="L432" s="1159">
        <v>38602.32</v>
      </c>
      <c r="M432" s="168">
        <v>11580.7</v>
      </c>
      <c r="N432" s="1075">
        <v>44105</v>
      </c>
      <c r="O432" s="1161" t="s">
        <v>4130</v>
      </c>
      <c r="P432" s="1073" t="s">
        <v>4131</v>
      </c>
      <c r="Q432" s="103">
        <v>17373170973</v>
      </c>
      <c r="R432" s="103" t="s">
        <v>4132</v>
      </c>
      <c r="S432" s="1060" t="s">
        <v>4043</v>
      </c>
      <c r="T432" s="147"/>
    </row>
    <row r="433" spans="1:20" s="1076" customFormat="1" ht="24.95" customHeight="1">
      <c r="A433" s="351">
        <v>71</v>
      </c>
      <c r="B433" s="340" t="s">
        <v>1391</v>
      </c>
      <c r="C433" s="340" t="s">
        <v>3327</v>
      </c>
      <c r="D433" s="174" t="s">
        <v>1193</v>
      </c>
      <c r="E433" s="242">
        <v>26.78</v>
      </c>
      <c r="F433" s="1163"/>
      <c r="G433" s="222" t="s">
        <v>32</v>
      </c>
      <c r="H433" s="222" t="s">
        <v>33</v>
      </c>
      <c r="I433" s="1096" t="s">
        <v>404</v>
      </c>
      <c r="J433" s="404" t="s">
        <v>4128</v>
      </c>
      <c r="K433" s="1097" t="s">
        <v>4534</v>
      </c>
      <c r="L433" s="1159">
        <v>5790.35</v>
      </c>
      <c r="M433" s="168">
        <v>1737.11</v>
      </c>
      <c r="N433" s="1075">
        <v>44105</v>
      </c>
      <c r="O433" s="1161" t="s">
        <v>4130</v>
      </c>
      <c r="P433" s="1073" t="s">
        <v>4131</v>
      </c>
      <c r="Q433" s="103">
        <v>17373170973</v>
      </c>
      <c r="R433" s="103" t="s">
        <v>4132</v>
      </c>
      <c r="S433" s="1060" t="s">
        <v>4043</v>
      </c>
      <c r="T433" s="147"/>
    </row>
    <row r="434" spans="1:20" s="1076" customFormat="1" ht="24.95" customHeight="1">
      <c r="A434" s="351">
        <v>72</v>
      </c>
      <c r="B434" s="147" t="s">
        <v>1391</v>
      </c>
      <c r="C434" s="1165" t="s">
        <v>4495</v>
      </c>
      <c r="D434" s="140" t="s">
        <v>888</v>
      </c>
      <c r="E434" s="1150"/>
      <c r="F434" s="1150">
        <v>3540</v>
      </c>
      <c r="G434" s="103" t="s">
        <v>32</v>
      </c>
      <c r="H434" s="103" t="s">
        <v>33</v>
      </c>
      <c r="I434" s="1073"/>
      <c r="J434" s="160" t="s">
        <v>4088</v>
      </c>
      <c r="K434" s="1139" t="s">
        <v>3062</v>
      </c>
      <c r="L434" s="1060">
        <v>1016615.43</v>
      </c>
      <c r="M434" s="147">
        <v>304984.62900000002</v>
      </c>
      <c r="N434" s="1166" t="s">
        <v>4535</v>
      </c>
      <c r="O434" s="1106" t="s">
        <v>4090</v>
      </c>
      <c r="P434" s="1073" t="s">
        <v>4091</v>
      </c>
      <c r="Q434" s="103">
        <v>19906957772</v>
      </c>
      <c r="R434" s="103" t="s">
        <v>4092</v>
      </c>
      <c r="S434" s="125" t="s">
        <v>4043</v>
      </c>
      <c r="T434" s="147"/>
    </row>
    <row r="435" spans="1:20" s="1076" customFormat="1" ht="24.95" customHeight="1">
      <c r="A435" s="351">
        <v>73</v>
      </c>
      <c r="B435" s="147" t="s">
        <v>1391</v>
      </c>
      <c r="C435" s="1165" t="s">
        <v>4495</v>
      </c>
      <c r="D435" s="140" t="s">
        <v>888</v>
      </c>
      <c r="E435" s="1150"/>
      <c r="F435" s="1150">
        <v>1986.62</v>
      </c>
      <c r="G435" s="103" t="s">
        <v>32</v>
      </c>
      <c r="H435" s="103" t="s">
        <v>33</v>
      </c>
      <c r="I435" s="1073"/>
      <c r="J435" s="160" t="s">
        <v>4088</v>
      </c>
      <c r="K435" s="1139" t="s">
        <v>3062</v>
      </c>
      <c r="L435" s="1060">
        <v>575434.41610000003</v>
      </c>
      <c r="M435" s="147">
        <v>172630.32483</v>
      </c>
      <c r="N435" s="1166" t="s">
        <v>4377</v>
      </c>
      <c r="O435" s="1106" t="s">
        <v>4090</v>
      </c>
      <c r="P435" s="1073" t="s">
        <v>4091</v>
      </c>
      <c r="Q435" s="103">
        <v>19906957772</v>
      </c>
      <c r="R435" s="103" t="s">
        <v>4092</v>
      </c>
      <c r="S435" s="125" t="s">
        <v>4043</v>
      </c>
      <c r="T435" s="147"/>
    </row>
    <row r="436" spans="1:20" s="1093" customFormat="1" ht="24.95" customHeight="1">
      <c r="A436" s="351">
        <v>74</v>
      </c>
      <c r="B436" s="1140" t="s">
        <v>4536</v>
      </c>
      <c r="C436" s="1140" t="s">
        <v>4495</v>
      </c>
      <c r="D436" s="147" t="s">
        <v>888</v>
      </c>
      <c r="E436" s="147"/>
      <c r="F436" s="147">
        <v>112</v>
      </c>
      <c r="G436" s="1055" t="s">
        <v>32</v>
      </c>
      <c r="H436" s="1055" t="s">
        <v>33</v>
      </c>
      <c r="I436" s="1055"/>
      <c r="J436" s="1927" t="s">
        <v>4088</v>
      </c>
      <c r="K436" s="140" t="s">
        <v>3062</v>
      </c>
      <c r="L436" s="1130">
        <v>41499.870000000003</v>
      </c>
      <c r="M436" s="1130">
        <v>12449.960999999999</v>
      </c>
      <c r="N436" s="1167" t="s">
        <v>4377</v>
      </c>
      <c r="O436" s="1106" t="s">
        <v>4090</v>
      </c>
      <c r="P436" s="103" t="s">
        <v>4091</v>
      </c>
      <c r="Q436" s="103">
        <v>19906957772</v>
      </c>
      <c r="R436" s="103" t="s">
        <v>4092</v>
      </c>
      <c r="S436" s="125" t="s">
        <v>4043</v>
      </c>
      <c r="T436" s="147"/>
    </row>
    <row r="437" spans="1:20" s="1093" customFormat="1" ht="24.95" customHeight="1">
      <c r="A437" s="351">
        <v>75</v>
      </c>
      <c r="B437" s="1140" t="s">
        <v>3325</v>
      </c>
      <c r="C437" s="1140" t="s">
        <v>4495</v>
      </c>
      <c r="D437" s="147" t="s">
        <v>888</v>
      </c>
      <c r="E437" s="147"/>
      <c r="F437" s="147">
        <v>388</v>
      </c>
      <c r="G437" s="1055" t="s">
        <v>32</v>
      </c>
      <c r="H437" s="1055" t="s">
        <v>33</v>
      </c>
      <c r="I437" s="1055"/>
      <c r="J437" s="1927"/>
      <c r="K437" s="140" t="s">
        <v>3062</v>
      </c>
      <c r="L437" s="1130">
        <v>165202.57670000001</v>
      </c>
      <c r="M437" s="1130">
        <v>49560.773009999997</v>
      </c>
      <c r="N437" s="1167" t="s">
        <v>4377</v>
      </c>
      <c r="O437" s="1106" t="s">
        <v>4090</v>
      </c>
      <c r="P437" s="103" t="s">
        <v>4091</v>
      </c>
      <c r="Q437" s="103">
        <v>19906957772</v>
      </c>
      <c r="R437" s="103" t="s">
        <v>4092</v>
      </c>
      <c r="S437" s="125" t="s">
        <v>4043</v>
      </c>
      <c r="T437" s="147"/>
    </row>
    <row r="438" spans="1:20" s="1093" customFormat="1" ht="24.95" customHeight="1">
      <c r="A438" s="351">
        <v>76</v>
      </c>
      <c r="B438" s="1140" t="s">
        <v>4004</v>
      </c>
      <c r="C438" s="1140" t="s">
        <v>4495</v>
      </c>
      <c r="D438" s="147" t="s">
        <v>888</v>
      </c>
      <c r="E438" s="147"/>
      <c r="F438" s="147">
        <v>60</v>
      </c>
      <c r="G438" s="1055" t="s">
        <v>32</v>
      </c>
      <c r="H438" s="1055" t="s">
        <v>33</v>
      </c>
      <c r="I438" s="1055"/>
      <c r="J438" s="1927"/>
      <c r="K438" s="140" t="s">
        <v>3062</v>
      </c>
      <c r="L438" s="1130">
        <v>46477.246749999998</v>
      </c>
      <c r="M438" s="1130">
        <v>13943.174025</v>
      </c>
      <c r="N438" s="1167" t="s">
        <v>4377</v>
      </c>
      <c r="O438" s="1106" t="s">
        <v>4090</v>
      </c>
      <c r="P438" s="103" t="s">
        <v>4091</v>
      </c>
      <c r="Q438" s="103">
        <v>19906957772</v>
      </c>
      <c r="R438" s="103" t="s">
        <v>4092</v>
      </c>
      <c r="S438" s="125" t="s">
        <v>4043</v>
      </c>
      <c r="T438" s="147"/>
    </row>
    <row r="439" spans="1:20" s="1093" customFormat="1" ht="24.95" customHeight="1">
      <c r="A439" s="351">
        <v>77</v>
      </c>
      <c r="B439" s="1140" t="s">
        <v>4515</v>
      </c>
      <c r="C439" s="1140" t="s">
        <v>4498</v>
      </c>
      <c r="D439" s="147" t="s">
        <v>888</v>
      </c>
      <c r="E439" s="147"/>
      <c r="F439" s="147">
        <v>170</v>
      </c>
      <c r="G439" s="1055" t="s">
        <v>32</v>
      </c>
      <c r="H439" s="1055" t="s">
        <v>33</v>
      </c>
      <c r="I439" s="1055"/>
      <c r="J439" s="1927"/>
      <c r="K439" s="140" t="s">
        <v>3062</v>
      </c>
      <c r="L439" s="1130">
        <v>633494.19999999995</v>
      </c>
      <c r="M439" s="1130">
        <v>190048.26</v>
      </c>
      <c r="N439" s="1167" t="s">
        <v>4535</v>
      </c>
      <c r="O439" s="1106" t="s">
        <v>4090</v>
      </c>
      <c r="P439" s="103" t="s">
        <v>4091</v>
      </c>
      <c r="Q439" s="103">
        <v>19906957772</v>
      </c>
      <c r="R439" s="103" t="s">
        <v>4092</v>
      </c>
      <c r="S439" s="125" t="s">
        <v>4043</v>
      </c>
      <c r="T439" s="147"/>
    </row>
    <row r="440" spans="1:20" s="1093" customFormat="1" ht="24.95" customHeight="1">
      <c r="A440" s="351">
        <v>78</v>
      </c>
      <c r="B440" s="1140" t="s">
        <v>4537</v>
      </c>
      <c r="C440" s="1140" t="s">
        <v>4538</v>
      </c>
      <c r="D440" s="147" t="s">
        <v>888</v>
      </c>
      <c r="E440" s="147"/>
      <c r="F440" s="147">
        <v>80</v>
      </c>
      <c r="G440" s="1055" t="s">
        <v>32</v>
      </c>
      <c r="H440" s="1055" t="s">
        <v>33</v>
      </c>
      <c r="I440" s="1055"/>
      <c r="J440" s="1927"/>
      <c r="K440" s="140" t="s">
        <v>3062</v>
      </c>
      <c r="L440" s="1130">
        <v>2021849.5</v>
      </c>
      <c r="M440" s="1130">
        <v>606554.84999999905</v>
      </c>
      <c r="N440" s="1167" t="s">
        <v>4535</v>
      </c>
      <c r="O440" s="1106" t="s">
        <v>4090</v>
      </c>
      <c r="P440" s="103" t="s">
        <v>4091</v>
      </c>
      <c r="Q440" s="103">
        <v>19906957772</v>
      </c>
      <c r="R440" s="103" t="s">
        <v>4092</v>
      </c>
      <c r="S440" s="125" t="s">
        <v>4043</v>
      </c>
      <c r="T440" s="147"/>
    </row>
    <row r="441" spans="1:20" s="1093" customFormat="1" ht="24.95" customHeight="1">
      <c r="A441" s="351">
        <v>79</v>
      </c>
      <c r="B441" s="1140" t="s">
        <v>4004</v>
      </c>
      <c r="C441" s="1140" t="s">
        <v>4539</v>
      </c>
      <c r="D441" s="147" t="s">
        <v>888</v>
      </c>
      <c r="E441" s="147"/>
      <c r="F441" s="147">
        <v>290</v>
      </c>
      <c r="G441" s="1055" t="s">
        <v>32</v>
      </c>
      <c r="H441" s="1055" t="s">
        <v>33</v>
      </c>
      <c r="I441" s="1055"/>
      <c r="J441" s="1927"/>
      <c r="K441" s="140" t="s">
        <v>3062</v>
      </c>
      <c r="L441" s="1130">
        <v>366908.4</v>
      </c>
      <c r="M441" s="1130">
        <v>110072.52</v>
      </c>
      <c r="N441" s="1167" t="s">
        <v>4535</v>
      </c>
      <c r="O441" s="1106" t="s">
        <v>4090</v>
      </c>
      <c r="P441" s="103" t="s">
        <v>4091</v>
      </c>
      <c r="Q441" s="103">
        <v>19906957772</v>
      </c>
      <c r="R441" s="103" t="s">
        <v>4092</v>
      </c>
      <c r="S441" s="125" t="s">
        <v>4043</v>
      </c>
      <c r="T441" s="147"/>
    </row>
    <row r="442" spans="1:20" s="1093" customFormat="1" ht="24.95" customHeight="1">
      <c r="A442" s="351">
        <v>80</v>
      </c>
      <c r="B442" s="147" t="s">
        <v>4540</v>
      </c>
      <c r="C442" s="147" t="s">
        <v>4541</v>
      </c>
      <c r="D442" s="147" t="s">
        <v>131</v>
      </c>
      <c r="E442" s="147"/>
      <c r="F442" s="147">
        <v>912.55</v>
      </c>
      <c r="G442" s="1055" t="s">
        <v>32</v>
      </c>
      <c r="H442" s="1055" t="s">
        <v>33</v>
      </c>
      <c r="I442" s="1055"/>
      <c r="J442" s="1927"/>
      <c r="K442" s="140" t="s">
        <v>4363</v>
      </c>
      <c r="L442" s="147">
        <v>120000</v>
      </c>
      <c r="M442" s="343">
        <v>36000</v>
      </c>
      <c r="N442" s="147" t="s">
        <v>4326</v>
      </c>
      <c r="O442" s="1106" t="s">
        <v>4090</v>
      </c>
      <c r="P442" s="103" t="s">
        <v>4091</v>
      </c>
      <c r="Q442" s="103">
        <v>19906957772</v>
      </c>
      <c r="R442" s="103" t="s">
        <v>4092</v>
      </c>
      <c r="S442" s="125" t="s">
        <v>4043</v>
      </c>
      <c r="T442" s="147"/>
    </row>
    <row r="443" spans="1:20" s="1093" customFormat="1" ht="24.95" customHeight="1">
      <c r="A443" s="351">
        <v>81</v>
      </c>
      <c r="B443" s="147" t="s">
        <v>4542</v>
      </c>
      <c r="C443" s="147" t="s">
        <v>4541</v>
      </c>
      <c r="D443" s="147" t="s">
        <v>131</v>
      </c>
      <c r="E443" s="147"/>
      <c r="F443" s="147">
        <v>718.85</v>
      </c>
      <c r="G443" s="1055" t="s">
        <v>32</v>
      </c>
      <c r="H443" s="1055" t="s">
        <v>33</v>
      </c>
      <c r="I443" s="1055"/>
      <c r="J443" s="1927"/>
      <c r="K443" s="140" t="s">
        <v>4363</v>
      </c>
      <c r="L443" s="147">
        <v>18000</v>
      </c>
      <c r="M443" s="343">
        <v>5400</v>
      </c>
      <c r="N443" s="147" t="s">
        <v>4326</v>
      </c>
      <c r="O443" s="1106" t="s">
        <v>4090</v>
      </c>
      <c r="P443" s="103" t="s">
        <v>4091</v>
      </c>
      <c r="Q443" s="103">
        <v>19906957772</v>
      </c>
      <c r="R443" s="103" t="s">
        <v>4092</v>
      </c>
      <c r="S443" s="125" t="s">
        <v>4043</v>
      </c>
      <c r="T443" s="147"/>
    </row>
    <row r="444" spans="1:20" s="250" customFormat="1" ht="24.95" customHeight="1">
      <c r="A444" s="351">
        <v>82</v>
      </c>
      <c r="B444" s="147" t="s">
        <v>1348</v>
      </c>
      <c r="C444" s="147" t="s">
        <v>4541</v>
      </c>
      <c r="D444" s="147" t="s">
        <v>131</v>
      </c>
      <c r="E444" s="147"/>
      <c r="F444" s="147">
        <v>4465</v>
      </c>
      <c r="G444" s="1055" t="s">
        <v>32</v>
      </c>
      <c r="H444" s="1055" t="s">
        <v>33</v>
      </c>
      <c r="I444" s="1055"/>
      <c r="J444" s="290" t="s">
        <v>4088</v>
      </c>
      <c r="K444" s="140" t="s">
        <v>4543</v>
      </c>
      <c r="L444" s="147">
        <v>12000</v>
      </c>
      <c r="M444" s="343">
        <v>3600</v>
      </c>
      <c r="N444" s="147" t="s">
        <v>4326</v>
      </c>
      <c r="O444" s="1106" t="s">
        <v>4090</v>
      </c>
      <c r="P444" s="103" t="s">
        <v>4091</v>
      </c>
      <c r="Q444" s="103">
        <v>17775760169</v>
      </c>
      <c r="R444" s="103" t="s">
        <v>4092</v>
      </c>
      <c r="S444" s="125" t="s">
        <v>4043</v>
      </c>
      <c r="T444" s="147"/>
    </row>
    <row r="445" spans="1:20" s="250" customFormat="1" ht="24.95" customHeight="1">
      <c r="A445" s="351">
        <v>83</v>
      </c>
      <c r="B445" s="147" t="s">
        <v>1348</v>
      </c>
      <c r="C445" s="147" t="s">
        <v>4541</v>
      </c>
      <c r="D445" s="147" t="s">
        <v>131</v>
      </c>
      <c r="E445" s="147"/>
      <c r="F445" s="147">
        <v>5566</v>
      </c>
      <c r="G445" s="1055" t="s">
        <v>32</v>
      </c>
      <c r="H445" s="1055" t="s">
        <v>33</v>
      </c>
      <c r="I445" s="1055"/>
      <c r="J445" s="290" t="s">
        <v>4088</v>
      </c>
      <c r="K445" s="140" t="s">
        <v>4543</v>
      </c>
      <c r="L445" s="147">
        <v>16500</v>
      </c>
      <c r="M445" s="343">
        <v>4950</v>
      </c>
      <c r="N445" s="147" t="s">
        <v>4326</v>
      </c>
      <c r="O445" s="1106" t="s">
        <v>4090</v>
      </c>
      <c r="P445" s="103" t="s">
        <v>4091</v>
      </c>
      <c r="Q445" s="103">
        <v>17775760169</v>
      </c>
      <c r="R445" s="103" t="s">
        <v>4092</v>
      </c>
      <c r="S445" s="125" t="s">
        <v>4043</v>
      </c>
      <c r="T445" s="147"/>
    </row>
    <row r="446" spans="1:20" s="250" customFormat="1" ht="24.95" customHeight="1">
      <c r="A446" s="351">
        <v>84</v>
      </c>
      <c r="B446" s="147" t="s">
        <v>1348</v>
      </c>
      <c r="C446" s="147" t="s">
        <v>4541</v>
      </c>
      <c r="D446" s="147" t="s">
        <v>131</v>
      </c>
      <c r="E446" s="147"/>
      <c r="F446" s="147">
        <v>5724</v>
      </c>
      <c r="G446" s="1055" t="s">
        <v>32</v>
      </c>
      <c r="H446" s="1055" t="s">
        <v>33</v>
      </c>
      <c r="I446" s="1055"/>
      <c r="J446" s="290" t="s">
        <v>4088</v>
      </c>
      <c r="K446" s="140" t="s">
        <v>4543</v>
      </c>
      <c r="L446" s="147">
        <v>16500</v>
      </c>
      <c r="M446" s="343">
        <v>4950</v>
      </c>
      <c r="N446" s="147" t="s">
        <v>4326</v>
      </c>
      <c r="O446" s="1106" t="s">
        <v>4090</v>
      </c>
      <c r="P446" s="103" t="s">
        <v>4091</v>
      </c>
      <c r="Q446" s="103">
        <v>17775760169</v>
      </c>
      <c r="R446" s="103" t="s">
        <v>4092</v>
      </c>
      <c r="S446" s="125" t="s">
        <v>4043</v>
      </c>
      <c r="T446" s="147"/>
    </row>
    <row r="447" spans="1:20" s="250" customFormat="1" ht="24.95" customHeight="1">
      <c r="A447" s="351">
        <v>85</v>
      </c>
      <c r="B447" s="147" t="s">
        <v>1348</v>
      </c>
      <c r="C447" s="147" t="s">
        <v>4541</v>
      </c>
      <c r="D447" s="147" t="s">
        <v>131</v>
      </c>
      <c r="E447" s="147">
        <v>8</v>
      </c>
      <c r="F447" s="147"/>
      <c r="G447" s="1055" t="s">
        <v>32</v>
      </c>
      <c r="H447" s="1055" t="s">
        <v>33</v>
      </c>
      <c r="I447" s="1055"/>
      <c r="J447" s="290" t="s">
        <v>4088</v>
      </c>
      <c r="K447" s="140" t="s">
        <v>4544</v>
      </c>
      <c r="L447" s="147">
        <v>21000</v>
      </c>
      <c r="M447" s="343">
        <v>6300</v>
      </c>
      <c r="N447" s="147" t="s">
        <v>4326</v>
      </c>
      <c r="O447" s="1106" t="s">
        <v>4090</v>
      </c>
      <c r="P447" s="103" t="s">
        <v>4091</v>
      </c>
      <c r="Q447" s="103">
        <v>17775760169</v>
      </c>
      <c r="R447" s="103" t="s">
        <v>4092</v>
      </c>
      <c r="S447" s="125" t="s">
        <v>4043</v>
      </c>
      <c r="T447" s="147"/>
    </row>
    <row r="448" spans="1:20" s="250" customFormat="1" ht="24.95" customHeight="1">
      <c r="A448" s="351">
        <v>86</v>
      </c>
      <c r="B448" s="1140" t="s">
        <v>4545</v>
      </c>
      <c r="C448" s="1140"/>
      <c r="D448" s="1144" t="s">
        <v>888</v>
      </c>
      <c r="E448" s="1144"/>
      <c r="F448" s="1144">
        <v>4978.22</v>
      </c>
      <c r="G448" s="1144" t="s">
        <v>32</v>
      </c>
      <c r="H448" s="1144" t="s">
        <v>33</v>
      </c>
      <c r="I448" s="1144"/>
      <c r="J448" s="1168" t="s">
        <v>2186</v>
      </c>
      <c r="K448" s="953" t="s">
        <v>3062</v>
      </c>
      <c r="L448" s="1144">
        <v>2114642.1238841098</v>
      </c>
      <c r="M448" s="1144">
        <v>1189486.2160976301</v>
      </c>
      <c r="N448" s="1144">
        <v>2020.03</v>
      </c>
      <c r="O448" s="1169" t="s">
        <v>4196</v>
      </c>
      <c r="P448" s="168" t="s">
        <v>4197</v>
      </c>
      <c r="Q448" s="1077">
        <v>18935151265</v>
      </c>
      <c r="R448" s="1055" t="s">
        <v>4198</v>
      </c>
      <c r="S448" s="125" t="s">
        <v>4043</v>
      </c>
      <c r="T448" s="147"/>
    </row>
    <row r="449" spans="1:22" s="250" customFormat="1" ht="24.95" customHeight="1">
      <c r="A449" s="351">
        <v>87</v>
      </c>
      <c r="B449" s="1140" t="s">
        <v>4532</v>
      </c>
      <c r="C449" s="1140"/>
      <c r="D449" s="1144" t="s">
        <v>888</v>
      </c>
      <c r="E449" s="1144"/>
      <c r="F449" s="1144">
        <v>3231</v>
      </c>
      <c r="G449" s="1144" t="s">
        <v>32</v>
      </c>
      <c r="H449" s="1144" t="s">
        <v>33</v>
      </c>
      <c r="I449" s="1144"/>
      <c r="J449" s="1168" t="s">
        <v>2186</v>
      </c>
      <c r="K449" s="953"/>
      <c r="L449" s="1144">
        <v>514672.56637168099</v>
      </c>
      <c r="M449" s="1144">
        <v>289503.35362831899</v>
      </c>
      <c r="N449" s="1144">
        <v>2020.04</v>
      </c>
      <c r="O449" s="1169" t="s">
        <v>4196</v>
      </c>
      <c r="P449" s="168" t="s">
        <v>4197</v>
      </c>
      <c r="Q449" s="1077">
        <v>18935151265</v>
      </c>
      <c r="R449" s="1055" t="s">
        <v>4198</v>
      </c>
      <c r="S449" s="125" t="s">
        <v>4043</v>
      </c>
      <c r="T449" s="147"/>
    </row>
    <row r="450" spans="1:22" s="250" customFormat="1" ht="24.95" customHeight="1">
      <c r="A450" s="351">
        <v>88</v>
      </c>
      <c r="B450" s="103" t="s">
        <v>1391</v>
      </c>
      <c r="C450" s="125"/>
      <c r="D450" s="1170" t="s">
        <v>888</v>
      </c>
      <c r="E450" s="147"/>
      <c r="F450" s="147">
        <v>388.59</v>
      </c>
      <c r="G450" s="147" t="s">
        <v>32</v>
      </c>
      <c r="H450" s="147" t="s">
        <v>33</v>
      </c>
      <c r="I450" s="1055"/>
      <c r="J450" s="1168" t="s">
        <v>2186</v>
      </c>
      <c r="K450" s="140" t="s">
        <v>4546</v>
      </c>
      <c r="L450" s="1171">
        <v>119270.198019802</v>
      </c>
      <c r="M450" s="1171">
        <v>67089.531584158394</v>
      </c>
      <c r="N450" s="1171">
        <v>2020.08</v>
      </c>
      <c r="O450" s="1169" t="s">
        <v>4196</v>
      </c>
      <c r="P450" s="168" t="s">
        <v>4197</v>
      </c>
      <c r="Q450" s="1077">
        <v>18935151265</v>
      </c>
      <c r="R450" s="147" t="s">
        <v>4198</v>
      </c>
      <c r="S450" s="147" t="s">
        <v>4043</v>
      </c>
      <c r="T450" s="147"/>
    </row>
    <row r="451" spans="1:22" s="250" customFormat="1" ht="24.95" customHeight="1">
      <c r="A451" s="351">
        <v>89</v>
      </c>
      <c r="B451" s="987" t="s">
        <v>4547</v>
      </c>
      <c r="C451" s="140" t="s">
        <v>4548</v>
      </c>
      <c r="D451" s="147" t="s">
        <v>1369</v>
      </c>
      <c r="E451" s="147"/>
      <c r="F451" s="147">
        <v>1377</v>
      </c>
      <c r="G451" s="147" t="s">
        <v>32</v>
      </c>
      <c r="H451" s="147" t="s">
        <v>33</v>
      </c>
      <c r="I451" s="140" t="s">
        <v>4148</v>
      </c>
      <c r="J451" s="290" t="s">
        <v>4149</v>
      </c>
      <c r="K451" s="140" t="s">
        <v>3062</v>
      </c>
      <c r="L451" s="343">
        <v>255902.64</v>
      </c>
      <c r="M451" s="154">
        <v>121553.79</v>
      </c>
      <c r="N451" s="147">
        <v>2021.5</v>
      </c>
      <c r="O451" s="1106" t="s">
        <v>4140</v>
      </c>
      <c r="P451" s="147" t="s">
        <v>4151</v>
      </c>
      <c r="Q451" s="147">
        <v>18835241171</v>
      </c>
      <c r="R451" s="140" t="s">
        <v>4152</v>
      </c>
      <c r="S451" s="568" t="s">
        <v>4043</v>
      </c>
      <c r="T451" s="147"/>
    </row>
    <row r="452" spans="1:22" s="250" customFormat="1" ht="24.95" customHeight="1">
      <c r="A452" s="351">
        <v>90</v>
      </c>
      <c r="B452" s="987" t="s">
        <v>3065</v>
      </c>
      <c r="C452" s="147" t="s">
        <v>4549</v>
      </c>
      <c r="D452" s="147" t="s">
        <v>1369</v>
      </c>
      <c r="E452" s="147"/>
      <c r="F452" s="147">
        <v>136.80000000000001</v>
      </c>
      <c r="G452" s="147" t="s">
        <v>32</v>
      </c>
      <c r="H452" s="147" t="s">
        <v>33</v>
      </c>
      <c r="I452" s="140" t="s">
        <v>4148</v>
      </c>
      <c r="J452" s="290" t="s">
        <v>4149</v>
      </c>
      <c r="K452" s="140" t="s">
        <v>3062</v>
      </c>
      <c r="L452" s="343">
        <v>42371.68</v>
      </c>
      <c r="M452" s="154">
        <v>20126.560000000001</v>
      </c>
      <c r="N452" s="147">
        <v>2021.5</v>
      </c>
      <c r="O452" s="1106" t="s">
        <v>4140</v>
      </c>
      <c r="P452" s="147" t="s">
        <v>4151</v>
      </c>
      <c r="Q452" s="147">
        <v>18835241171</v>
      </c>
      <c r="R452" s="140" t="s">
        <v>4152</v>
      </c>
      <c r="S452" s="568" t="s">
        <v>4043</v>
      </c>
      <c r="T452" s="147"/>
      <c r="V452" s="1172"/>
    </row>
    <row r="453" spans="1:22" s="250" customFormat="1" ht="24.95" customHeight="1">
      <c r="A453" s="351">
        <v>91</v>
      </c>
      <c r="B453" s="987" t="s">
        <v>4550</v>
      </c>
      <c r="C453" s="140" t="s">
        <v>4551</v>
      </c>
      <c r="D453" s="147" t="s">
        <v>1369</v>
      </c>
      <c r="E453" s="147"/>
      <c r="F453" s="147">
        <v>1224</v>
      </c>
      <c r="G453" s="147" t="s">
        <v>32</v>
      </c>
      <c r="H453" s="147" t="s">
        <v>33</v>
      </c>
      <c r="I453" s="140" t="s">
        <v>4148</v>
      </c>
      <c r="J453" s="290" t="s">
        <v>4149</v>
      </c>
      <c r="K453" s="140" t="s">
        <v>3062</v>
      </c>
      <c r="L453" s="343">
        <v>92070.8</v>
      </c>
      <c r="M453" s="154">
        <v>43733.599999999999</v>
      </c>
      <c r="N453" s="147">
        <v>2021.5</v>
      </c>
      <c r="O453" s="1106" t="s">
        <v>4140</v>
      </c>
      <c r="P453" s="147" t="s">
        <v>4151</v>
      </c>
      <c r="Q453" s="147">
        <v>18835241171</v>
      </c>
      <c r="R453" s="140" t="s">
        <v>4152</v>
      </c>
      <c r="S453" s="568" t="s">
        <v>4043</v>
      </c>
      <c r="T453" s="147"/>
    </row>
    <row r="454" spans="1:22" s="250" customFormat="1" ht="24.95" customHeight="1">
      <c r="A454" s="351">
        <v>92</v>
      </c>
      <c r="B454" s="987" t="s">
        <v>4550</v>
      </c>
      <c r="C454" s="140" t="s">
        <v>4552</v>
      </c>
      <c r="D454" s="147" t="s">
        <v>1369</v>
      </c>
      <c r="E454" s="147"/>
      <c r="F454" s="147">
        <v>439</v>
      </c>
      <c r="G454" s="147" t="s">
        <v>32</v>
      </c>
      <c r="H454" s="147" t="s">
        <v>33</v>
      </c>
      <c r="I454" s="140" t="s">
        <v>4148</v>
      </c>
      <c r="J454" s="290" t="s">
        <v>4149</v>
      </c>
      <c r="K454" s="140" t="s">
        <v>3062</v>
      </c>
      <c r="L454" s="343">
        <v>33022.120000000003</v>
      </c>
      <c r="M454" s="154">
        <v>15685.51</v>
      </c>
      <c r="N454" s="147">
        <v>2021.5</v>
      </c>
      <c r="O454" s="1106" t="s">
        <v>4140</v>
      </c>
      <c r="P454" s="147" t="s">
        <v>4151</v>
      </c>
      <c r="Q454" s="147">
        <v>18835241171</v>
      </c>
      <c r="R454" s="140" t="s">
        <v>4152</v>
      </c>
      <c r="S454" s="568" t="s">
        <v>4043</v>
      </c>
      <c r="T454" s="147"/>
    </row>
    <row r="455" spans="1:22" s="250" customFormat="1" ht="24.95" customHeight="1">
      <c r="A455" s="351">
        <v>93</v>
      </c>
      <c r="B455" s="987" t="s">
        <v>4550</v>
      </c>
      <c r="C455" s="140" t="s">
        <v>4553</v>
      </c>
      <c r="D455" s="147" t="s">
        <v>1369</v>
      </c>
      <c r="E455" s="147"/>
      <c r="F455" s="147">
        <v>162</v>
      </c>
      <c r="G455" s="147" t="s">
        <v>32</v>
      </c>
      <c r="H455" s="147" t="s">
        <v>33</v>
      </c>
      <c r="I455" s="140" t="s">
        <v>4148</v>
      </c>
      <c r="J455" s="290" t="s">
        <v>4149</v>
      </c>
      <c r="K455" s="140" t="s">
        <v>3062</v>
      </c>
      <c r="L455" s="343">
        <v>12185.84</v>
      </c>
      <c r="M455" s="154">
        <v>5788.28</v>
      </c>
      <c r="N455" s="147">
        <v>2021.5</v>
      </c>
      <c r="O455" s="1106" t="s">
        <v>4140</v>
      </c>
      <c r="P455" s="147" t="s">
        <v>4151</v>
      </c>
      <c r="Q455" s="147">
        <v>18835241171</v>
      </c>
      <c r="R455" s="140" t="s">
        <v>4152</v>
      </c>
      <c r="S455" s="568" t="s">
        <v>4043</v>
      </c>
      <c r="T455" s="147"/>
    </row>
    <row r="456" spans="1:22" s="250" customFormat="1" ht="24.95" customHeight="1">
      <c r="A456" s="351">
        <v>94</v>
      </c>
      <c r="B456" s="987" t="s">
        <v>4554</v>
      </c>
      <c r="C456" s="140" t="s">
        <v>4555</v>
      </c>
      <c r="D456" s="147" t="s">
        <v>79</v>
      </c>
      <c r="E456" s="147"/>
      <c r="F456" s="147">
        <v>95.4</v>
      </c>
      <c r="G456" s="147" t="s">
        <v>32</v>
      </c>
      <c r="H456" s="147" t="s">
        <v>33</v>
      </c>
      <c r="I456" s="140" t="s">
        <v>4148</v>
      </c>
      <c r="J456" s="290" t="s">
        <v>4149</v>
      </c>
      <c r="K456" s="140" t="s">
        <v>4150</v>
      </c>
      <c r="L456" s="343">
        <v>835805.3</v>
      </c>
      <c r="M456" s="154">
        <v>445762.82</v>
      </c>
      <c r="N456" s="147">
        <v>2021.8</v>
      </c>
      <c r="O456" s="1106" t="s">
        <v>4140</v>
      </c>
      <c r="P456" s="147" t="s">
        <v>4151</v>
      </c>
      <c r="Q456" s="147">
        <v>18835241171</v>
      </c>
      <c r="R456" s="140" t="s">
        <v>4152</v>
      </c>
      <c r="S456" s="568" t="s">
        <v>4043</v>
      </c>
      <c r="T456" s="147"/>
    </row>
    <row r="457" spans="1:22" s="250" customFormat="1" ht="24.95" customHeight="1">
      <c r="A457" s="351">
        <v>95</v>
      </c>
      <c r="B457" s="987" t="s">
        <v>4556</v>
      </c>
      <c r="C457" s="140" t="s">
        <v>1380</v>
      </c>
      <c r="D457" s="147" t="s">
        <v>62</v>
      </c>
      <c r="E457" s="147"/>
      <c r="F457" s="147">
        <v>40</v>
      </c>
      <c r="G457" s="147" t="s">
        <v>32</v>
      </c>
      <c r="H457" s="147" t="s">
        <v>33</v>
      </c>
      <c r="I457" s="140" t="s">
        <v>4148</v>
      </c>
      <c r="J457" s="290" t="s">
        <v>4149</v>
      </c>
      <c r="K457" s="140" t="s">
        <v>4150</v>
      </c>
      <c r="L457" s="343">
        <v>350442.48</v>
      </c>
      <c r="M457" s="154">
        <v>186902.64</v>
      </c>
      <c r="N457" s="147">
        <v>2021.12</v>
      </c>
      <c r="O457" s="1106" t="s">
        <v>4140</v>
      </c>
      <c r="P457" s="147" t="s">
        <v>4151</v>
      </c>
      <c r="Q457" s="147">
        <v>18835241171</v>
      </c>
      <c r="R457" s="140" t="s">
        <v>4152</v>
      </c>
      <c r="S457" s="568" t="s">
        <v>4043</v>
      </c>
      <c r="T457" s="147"/>
    </row>
    <row r="458" spans="1:22" s="250" customFormat="1" ht="24.95" customHeight="1">
      <c r="A458" s="351">
        <v>96</v>
      </c>
      <c r="B458" s="987" t="s">
        <v>4557</v>
      </c>
      <c r="C458" s="140" t="s">
        <v>1380</v>
      </c>
      <c r="D458" s="147" t="s">
        <v>62</v>
      </c>
      <c r="E458" s="147"/>
      <c r="F458" s="147">
        <v>84</v>
      </c>
      <c r="G458" s="147" t="s">
        <v>32</v>
      </c>
      <c r="H458" s="147" t="s">
        <v>33</v>
      </c>
      <c r="I458" s="140" t="s">
        <v>4148</v>
      </c>
      <c r="J458" s="290" t="s">
        <v>4149</v>
      </c>
      <c r="K458" s="140" t="s">
        <v>4150</v>
      </c>
      <c r="L458" s="343">
        <v>735929.19</v>
      </c>
      <c r="M458" s="154">
        <v>564212.37</v>
      </c>
      <c r="N458" s="147">
        <v>2022.2</v>
      </c>
      <c r="O458" s="1106" t="s">
        <v>4140</v>
      </c>
      <c r="P458" s="147" t="s">
        <v>4151</v>
      </c>
      <c r="Q458" s="147">
        <v>18835241171</v>
      </c>
      <c r="R458" s="140" t="s">
        <v>4152</v>
      </c>
      <c r="S458" s="568" t="s">
        <v>4043</v>
      </c>
      <c r="T458" s="147"/>
    </row>
    <row r="459" spans="1:22" s="250" customFormat="1" ht="24.95" customHeight="1">
      <c r="A459" s="351">
        <v>97</v>
      </c>
      <c r="B459" s="987" t="s">
        <v>4558</v>
      </c>
      <c r="C459" s="140" t="s">
        <v>4559</v>
      </c>
      <c r="D459" s="147" t="s">
        <v>62</v>
      </c>
      <c r="E459" s="147"/>
      <c r="F459" s="147">
        <v>7.75</v>
      </c>
      <c r="G459" s="147" t="s">
        <v>32</v>
      </c>
      <c r="H459" s="147" t="s">
        <v>33</v>
      </c>
      <c r="I459" s="140" t="s">
        <v>4148</v>
      </c>
      <c r="J459" s="290" t="s">
        <v>4149</v>
      </c>
      <c r="K459" s="140" t="s">
        <v>4150</v>
      </c>
      <c r="L459" s="343">
        <v>65497.79</v>
      </c>
      <c r="M459" s="154">
        <v>50214.97</v>
      </c>
      <c r="N459" s="147">
        <v>2022.2</v>
      </c>
      <c r="O459" s="1106" t="s">
        <v>4140</v>
      </c>
      <c r="P459" s="147" t="s">
        <v>4151</v>
      </c>
      <c r="Q459" s="147">
        <v>18835241171</v>
      </c>
      <c r="R459" s="140" t="s">
        <v>4152</v>
      </c>
      <c r="S459" s="568" t="s">
        <v>4043</v>
      </c>
      <c r="T459" s="147"/>
    </row>
    <row r="460" spans="1:22" s="250" customFormat="1" ht="24.95" customHeight="1">
      <c r="A460" s="351">
        <v>98</v>
      </c>
      <c r="B460" s="987" t="s">
        <v>4558</v>
      </c>
      <c r="C460" s="140" t="s">
        <v>4560</v>
      </c>
      <c r="D460" s="147" t="s">
        <v>62</v>
      </c>
      <c r="E460" s="147"/>
      <c r="F460" s="147">
        <v>38.06</v>
      </c>
      <c r="G460" s="147" t="s">
        <v>32</v>
      </c>
      <c r="H460" s="147" t="s">
        <v>33</v>
      </c>
      <c r="I460" s="140" t="s">
        <v>4148</v>
      </c>
      <c r="J460" s="290" t="s">
        <v>4149</v>
      </c>
      <c r="K460" s="140" t="s">
        <v>4561</v>
      </c>
      <c r="L460" s="343">
        <v>269451.34000000003</v>
      </c>
      <c r="M460" s="154">
        <v>238015.35</v>
      </c>
      <c r="N460" s="147"/>
      <c r="O460" s="1106" t="s">
        <v>4140</v>
      </c>
      <c r="P460" s="147" t="s">
        <v>4151</v>
      </c>
      <c r="Q460" s="147">
        <v>18835241171</v>
      </c>
      <c r="R460" s="140" t="s">
        <v>4152</v>
      </c>
      <c r="S460" s="568" t="s">
        <v>4043</v>
      </c>
      <c r="T460" s="147"/>
    </row>
    <row r="461" spans="1:22" s="1147" customFormat="1" ht="24.95" customHeight="1">
      <c r="A461" s="351">
        <v>99</v>
      </c>
      <c r="B461" s="147" t="s">
        <v>4557</v>
      </c>
      <c r="C461" s="147" t="s">
        <v>1380</v>
      </c>
      <c r="D461" s="147" t="s">
        <v>62</v>
      </c>
      <c r="E461" s="351"/>
      <c r="F461" s="147">
        <v>84</v>
      </c>
      <c r="G461" s="147" t="s">
        <v>32</v>
      </c>
      <c r="H461" s="147" t="s">
        <v>33</v>
      </c>
      <c r="I461" s="1173" t="s">
        <v>5775</v>
      </c>
      <c r="J461" s="1101" t="s">
        <v>4149</v>
      </c>
      <c r="K461" s="438" t="s">
        <v>4150</v>
      </c>
      <c r="L461" s="1111">
        <v>735929.19</v>
      </c>
      <c r="M461" s="1111">
        <v>564212.37</v>
      </c>
      <c r="N461" s="125">
        <v>2019.5</v>
      </c>
      <c r="O461" s="1833" t="s">
        <v>4417</v>
      </c>
      <c r="P461" s="168" t="s">
        <v>4041</v>
      </c>
      <c r="Q461" s="147">
        <v>18881106155</v>
      </c>
      <c r="R461" s="168" t="s">
        <v>4042</v>
      </c>
      <c r="S461" s="1067" t="s">
        <v>4043</v>
      </c>
      <c r="T461" s="351"/>
    </row>
    <row r="462" spans="1:22" s="1147" customFormat="1" ht="24.95" customHeight="1">
      <c r="A462" s="351">
        <v>100</v>
      </c>
      <c r="B462" s="147" t="s">
        <v>4558</v>
      </c>
      <c r="C462" s="147" t="s">
        <v>4559</v>
      </c>
      <c r="D462" s="147" t="s">
        <v>62</v>
      </c>
      <c r="E462" s="351"/>
      <c r="F462" s="147">
        <v>7.75</v>
      </c>
      <c r="G462" s="147" t="s">
        <v>32</v>
      </c>
      <c r="H462" s="147" t="s">
        <v>33</v>
      </c>
      <c r="I462" s="1173" t="s">
        <v>5775</v>
      </c>
      <c r="J462" s="1101" t="s">
        <v>4149</v>
      </c>
      <c r="K462" s="438" t="s">
        <v>4150</v>
      </c>
      <c r="L462" s="1111">
        <v>65497.79</v>
      </c>
      <c r="M462" s="1111">
        <v>50214.97</v>
      </c>
      <c r="N462" s="125">
        <v>2018.12</v>
      </c>
      <c r="O462" s="1833"/>
      <c r="P462" s="168" t="s">
        <v>4041</v>
      </c>
      <c r="Q462" s="147">
        <v>18881106155</v>
      </c>
      <c r="R462" s="168" t="s">
        <v>4042</v>
      </c>
      <c r="S462" s="1067" t="s">
        <v>4043</v>
      </c>
      <c r="T462" s="351"/>
    </row>
    <row r="463" spans="1:22" s="1147" customFormat="1" ht="24.95" customHeight="1">
      <c r="A463" s="351">
        <v>101</v>
      </c>
      <c r="B463" s="147" t="s">
        <v>4558</v>
      </c>
      <c r="C463" s="147" t="s">
        <v>4560</v>
      </c>
      <c r="D463" s="147" t="s">
        <v>62</v>
      </c>
      <c r="E463" s="351"/>
      <c r="F463" s="147">
        <v>38.06</v>
      </c>
      <c r="G463" s="147" t="s">
        <v>32</v>
      </c>
      <c r="H463" s="147" t="s">
        <v>33</v>
      </c>
      <c r="I463" s="1173" t="s">
        <v>5775</v>
      </c>
      <c r="J463" s="1101" t="s">
        <v>4149</v>
      </c>
      <c r="K463" s="438" t="s">
        <v>4561</v>
      </c>
      <c r="L463" s="1111">
        <v>269451.34000000003</v>
      </c>
      <c r="M463" s="1111">
        <v>238015.35</v>
      </c>
      <c r="N463" s="125">
        <v>2018.12</v>
      </c>
      <c r="O463" s="140" t="s">
        <v>4417</v>
      </c>
      <c r="P463" s="168" t="s">
        <v>4041</v>
      </c>
      <c r="Q463" s="147">
        <v>18881106155</v>
      </c>
      <c r="R463" s="168" t="s">
        <v>4042</v>
      </c>
      <c r="S463" s="1067" t="s">
        <v>4043</v>
      </c>
      <c r="T463" s="351"/>
    </row>
    <row r="464" spans="1:22" s="1147" customFormat="1" ht="24.95" customHeight="1">
      <c r="A464" s="351">
        <v>102</v>
      </c>
      <c r="B464" s="147" t="s">
        <v>4562</v>
      </c>
      <c r="C464" s="147" t="s">
        <v>4563</v>
      </c>
      <c r="D464" s="147" t="s">
        <v>79</v>
      </c>
      <c r="E464" s="351">
        <v>4</v>
      </c>
      <c r="F464" s="147" t="s">
        <v>34</v>
      </c>
      <c r="G464" s="147" t="s">
        <v>32</v>
      </c>
      <c r="H464" s="147" t="s">
        <v>33</v>
      </c>
      <c r="I464" s="1110"/>
      <c r="J464" s="1101" t="s">
        <v>4038</v>
      </c>
      <c r="K464" s="438" t="s">
        <v>4564</v>
      </c>
      <c r="L464" s="1111">
        <v>64000</v>
      </c>
      <c r="M464" s="1111">
        <v>19200</v>
      </c>
      <c r="N464" s="125">
        <v>2018.9</v>
      </c>
      <c r="O464" s="140" t="s">
        <v>4417</v>
      </c>
      <c r="P464" s="168" t="s">
        <v>4041</v>
      </c>
      <c r="Q464" s="147">
        <v>18881106155</v>
      </c>
      <c r="R464" s="168" t="s">
        <v>4042</v>
      </c>
      <c r="S464" s="1067" t="s">
        <v>4043</v>
      </c>
      <c r="T464" s="351"/>
    </row>
    <row r="465" spans="1:20" s="594" customFormat="1" ht="24.95" customHeight="1">
      <c r="A465" s="351">
        <v>103</v>
      </c>
      <c r="B465" s="168" t="s">
        <v>1247</v>
      </c>
      <c r="C465" s="168" t="s">
        <v>4565</v>
      </c>
      <c r="D465" s="168" t="s">
        <v>1165</v>
      </c>
      <c r="E465" s="168"/>
      <c r="F465" s="168">
        <v>22</v>
      </c>
      <c r="G465" s="174" t="s">
        <v>32</v>
      </c>
      <c r="H465" s="174" t="s">
        <v>33</v>
      </c>
      <c r="I465" s="168"/>
      <c r="J465" s="174" t="s">
        <v>4157</v>
      </c>
      <c r="K465" s="174" t="s">
        <v>4566</v>
      </c>
      <c r="L465" s="168">
        <v>220000</v>
      </c>
      <c r="M465" s="396">
        <v>44000</v>
      </c>
      <c r="N465" s="396">
        <v>2021.1</v>
      </c>
      <c r="O465" s="1834" t="s">
        <v>4158</v>
      </c>
      <c r="P465" s="174" t="s">
        <v>4159</v>
      </c>
      <c r="Q465" s="174">
        <v>18035204008</v>
      </c>
      <c r="R465" s="174" t="s">
        <v>4160</v>
      </c>
      <c r="S465" s="174" t="s">
        <v>4043</v>
      </c>
      <c r="T465" s="168"/>
    </row>
    <row r="466" spans="1:20" s="594" customFormat="1" ht="24.95" customHeight="1">
      <c r="A466" s="351">
        <v>104</v>
      </c>
      <c r="B466" s="168" t="s">
        <v>1247</v>
      </c>
      <c r="C466" s="168" t="s">
        <v>4565</v>
      </c>
      <c r="D466" s="168" t="s">
        <v>1165</v>
      </c>
      <c r="E466" s="168"/>
      <c r="F466" s="168">
        <v>3</v>
      </c>
      <c r="G466" s="174" t="s">
        <v>32</v>
      </c>
      <c r="H466" s="174" t="s">
        <v>33</v>
      </c>
      <c r="I466" s="168"/>
      <c r="J466" s="174" t="s">
        <v>4157</v>
      </c>
      <c r="K466" s="174" t="s">
        <v>4566</v>
      </c>
      <c r="L466" s="168">
        <v>84000</v>
      </c>
      <c r="M466" s="396">
        <v>16800</v>
      </c>
      <c r="N466" s="396">
        <v>2021.1</v>
      </c>
      <c r="O466" s="1836"/>
      <c r="P466" s="174" t="s">
        <v>4159</v>
      </c>
      <c r="Q466" s="174">
        <v>18035204008</v>
      </c>
      <c r="R466" s="174" t="s">
        <v>4160</v>
      </c>
      <c r="S466" s="174" t="s">
        <v>4043</v>
      </c>
      <c r="T466" s="168"/>
    </row>
    <row r="467" spans="1:20" s="876" customFormat="1" ht="24.95" customHeight="1">
      <c r="A467" s="351">
        <v>105</v>
      </c>
      <c r="B467" s="168" t="s">
        <v>1247</v>
      </c>
      <c r="C467" s="168" t="s">
        <v>4567</v>
      </c>
      <c r="D467" s="168" t="s">
        <v>1165</v>
      </c>
      <c r="E467" s="351">
        <v>3</v>
      </c>
      <c r="F467" s="351"/>
      <c r="G467" s="168" t="s">
        <v>32</v>
      </c>
      <c r="H467" s="168" t="s">
        <v>33</v>
      </c>
      <c r="I467" s="351"/>
      <c r="J467" s="174" t="s">
        <v>4157</v>
      </c>
      <c r="K467" s="174" t="s">
        <v>4566</v>
      </c>
      <c r="L467" s="446">
        <v>84653.45</v>
      </c>
      <c r="M467" s="446">
        <v>16930.689999999999</v>
      </c>
      <c r="N467" s="351">
        <v>2022.02</v>
      </c>
      <c r="O467" s="227" t="s">
        <v>4158</v>
      </c>
      <c r="P467" s="168" t="s">
        <v>4159</v>
      </c>
      <c r="Q467" s="351">
        <v>18035204008</v>
      </c>
      <c r="R467" s="174" t="s">
        <v>4160</v>
      </c>
      <c r="S467" s="174" t="s">
        <v>4043</v>
      </c>
      <c r="T467" s="351"/>
    </row>
    <row r="468" spans="1:20" s="876" customFormat="1" ht="24.95" customHeight="1">
      <c r="A468" s="351">
        <v>106</v>
      </c>
      <c r="B468" s="168" t="s">
        <v>1247</v>
      </c>
      <c r="C468" s="168" t="s">
        <v>4568</v>
      </c>
      <c r="D468" s="168" t="s">
        <v>1165</v>
      </c>
      <c r="E468" s="351">
        <v>7</v>
      </c>
      <c r="F468" s="351"/>
      <c r="G468" s="168" t="s">
        <v>32</v>
      </c>
      <c r="H468" s="168" t="s">
        <v>33</v>
      </c>
      <c r="I468" s="351"/>
      <c r="J468" s="174" t="s">
        <v>4157</v>
      </c>
      <c r="K468" s="174" t="s">
        <v>4566</v>
      </c>
      <c r="L468" s="446">
        <v>74158.42</v>
      </c>
      <c r="M468" s="446">
        <v>14831.683999999999</v>
      </c>
      <c r="N468" s="351">
        <v>2022.02</v>
      </c>
      <c r="O468" s="227" t="s">
        <v>4158</v>
      </c>
      <c r="P468" s="168" t="s">
        <v>4159</v>
      </c>
      <c r="Q468" s="351">
        <v>18035204008</v>
      </c>
      <c r="R468" s="174" t="s">
        <v>4160</v>
      </c>
      <c r="S468" s="174" t="s">
        <v>4043</v>
      </c>
      <c r="T468" s="351"/>
    </row>
    <row r="469" spans="1:20" s="876" customFormat="1" ht="24.95" customHeight="1">
      <c r="A469" s="351">
        <v>107</v>
      </c>
      <c r="B469" s="168" t="s">
        <v>4569</v>
      </c>
      <c r="C469" s="168" t="s">
        <v>4570</v>
      </c>
      <c r="D469" s="168" t="s">
        <v>888</v>
      </c>
      <c r="E469" s="351"/>
      <c r="F469" s="351">
        <v>540</v>
      </c>
      <c r="G469" s="168" t="s">
        <v>32</v>
      </c>
      <c r="H469" s="168" t="s">
        <v>33</v>
      </c>
      <c r="I469" s="351"/>
      <c r="J469" s="174" t="s">
        <v>4157</v>
      </c>
      <c r="K469" s="174" t="s">
        <v>4571</v>
      </c>
      <c r="L469" s="446">
        <v>96530.97</v>
      </c>
      <c r="M469" s="446">
        <v>19306.194</v>
      </c>
      <c r="N469" s="351">
        <v>2022.02</v>
      </c>
      <c r="O469" s="227" t="s">
        <v>4158</v>
      </c>
      <c r="P469" s="168" t="s">
        <v>4159</v>
      </c>
      <c r="Q469" s="351">
        <v>18035204008</v>
      </c>
      <c r="R469" s="174" t="s">
        <v>4160</v>
      </c>
      <c r="S469" s="174" t="s">
        <v>4043</v>
      </c>
      <c r="T469" s="351"/>
    </row>
    <row r="470" spans="1:20" s="876" customFormat="1" ht="24.95" customHeight="1">
      <c r="A470" s="351">
        <v>108</v>
      </c>
      <c r="B470" s="168" t="s">
        <v>1412</v>
      </c>
      <c r="C470" s="168" t="s">
        <v>4572</v>
      </c>
      <c r="D470" s="168" t="s">
        <v>888</v>
      </c>
      <c r="E470" s="351"/>
      <c r="F470" s="351">
        <v>991</v>
      </c>
      <c r="G470" s="168" t="s">
        <v>32</v>
      </c>
      <c r="H470" s="168" t="s">
        <v>33</v>
      </c>
      <c r="I470" s="351"/>
      <c r="J470" s="174" t="s">
        <v>4157</v>
      </c>
      <c r="K470" s="174" t="s">
        <v>4571</v>
      </c>
      <c r="L470" s="446">
        <v>177152.21</v>
      </c>
      <c r="M470" s="446">
        <v>35430.442000000003</v>
      </c>
      <c r="N470" s="351">
        <v>2022.02</v>
      </c>
      <c r="O470" s="227" t="s">
        <v>4158</v>
      </c>
      <c r="P470" s="168" t="s">
        <v>4159</v>
      </c>
      <c r="Q470" s="351">
        <v>18035204008</v>
      </c>
      <c r="R470" s="174" t="s">
        <v>4160</v>
      </c>
      <c r="S470" s="174" t="s">
        <v>4043</v>
      </c>
      <c r="T470" s="351"/>
    </row>
    <row r="471" spans="1:20" s="876" customFormat="1" ht="24.95" customHeight="1">
      <c r="A471" s="351">
        <v>109</v>
      </c>
      <c r="B471" s="168" t="s">
        <v>3296</v>
      </c>
      <c r="C471" s="168" t="s">
        <v>34</v>
      </c>
      <c r="D471" s="168" t="s">
        <v>888</v>
      </c>
      <c r="E471" s="351"/>
      <c r="F471" s="351">
        <v>550</v>
      </c>
      <c r="G471" s="168" t="s">
        <v>32</v>
      </c>
      <c r="H471" s="168" t="s">
        <v>33</v>
      </c>
      <c r="I471" s="351"/>
      <c r="J471" s="174" t="s">
        <v>4157</v>
      </c>
      <c r="K471" s="174" t="s">
        <v>4571</v>
      </c>
      <c r="L471" s="446">
        <v>98318.58</v>
      </c>
      <c r="M471" s="446">
        <v>19663.716</v>
      </c>
      <c r="N471" s="351">
        <v>2022.02</v>
      </c>
      <c r="O471" s="227" t="s">
        <v>4158</v>
      </c>
      <c r="P471" s="168" t="s">
        <v>4159</v>
      </c>
      <c r="Q471" s="351">
        <v>18035204008</v>
      </c>
      <c r="R471" s="174" t="s">
        <v>4160</v>
      </c>
      <c r="S471" s="174" t="s">
        <v>4043</v>
      </c>
      <c r="T471" s="351"/>
    </row>
    <row r="472" spans="1:20" s="876" customFormat="1" ht="24.95" customHeight="1">
      <c r="A472" s="351">
        <v>110</v>
      </c>
      <c r="B472" s="168" t="s">
        <v>4573</v>
      </c>
      <c r="C472" s="168" t="s">
        <v>4574</v>
      </c>
      <c r="D472" s="168" t="s">
        <v>888</v>
      </c>
      <c r="E472" s="351"/>
      <c r="F472" s="351">
        <v>2225</v>
      </c>
      <c r="G472" s="168" t="s">
        <v>32</v>
      </c>
      <c r="H472" s="168" t="s">
        <v>33</v>
      </c>
      <c r="I472" s="351"/>
      <c r="J472" s="174" t="s">
        <v>4157</v>
      </c>
      <c r="K472" s="174" t="s">
        <v>3062</v>
      </c>
      <c r="L472" s="351">
        <v>1260177</v>
      </c>
      <c r="M472" s="446">
        <v>252035.4</v>
      </c>
      <c r="N472" s="351">
        <v>2020.11</v>
      </c>
      <c r="O472" s="227" t="s">
        <v>4158</v>
      </c>
      <c r="P472" s="168" t="s">
        <v>4159</v>
      </c>
      <c r="Q472" s="351">
        <v>18035204008</v>
      </c>
      <c r="R472" s="174" t="s">
        <v>4160</v>
      </c>
      <c r="S472" s="174" t="s">
        <v>4043</v>
      </c>
      <c r="T472" s="351"/>
    </row>
    <row r="473" spans="1:20" s="876" customFormat="1" ht="24.95" customHeight="1">
      <c r="A473" s="351">
        <v>111</v>
      </c>
      <c r="B473" s="168" t="s">
        <v>4575</v>
      </c>
      <c r="C473" s="168" t="s">
        <v>4574</v>
      </c>
      <c r="D473" s="168" t="s">
        <v>888</v>
      </c>
      <c r="E473" s="351"/>
      <c r="F473" s="351">
        <v>2042</v>
      </c>
      <c r="G473" s="168" t="s">
        <v>32</v>
      </c>
      <c r="H473" s="168" t="s">
        <v>33</v>
      </c>
      <c r="I473" s="351"/>
      <c r="J473" s="174" t="s">
        <v>4157</v>
      </c>
      <c r="K473" s="174" t="s">
        <v>3062</v>
      </c>
      <c r="L473" s="351">
        <v>921610.62</v>
      </c>
      <c r="M473" s="446">
        <v>184322.12</v>
      </c>
      <c r="N473" s="351">
        <v>2020.11</v>
      </c>
      <c r="O473" s="227" t="s">
        <v>4158</v>
      </c>
      <c r="P473" s="168" t="s">
        <v>4159</v>
      </c>
      <c r="Q473" s="351">
        <v>18035204008</v>
      </c>
      <c r="R473" s="174" t="s">
        <v>4160</v>
      </c>
      <c r="S473" s="174" t="s">
        <v>4043</v>
      </c>
      <c r="T473" s="351"/>
    </row>
    <row r="474" spans="1:20" s="876" customFormat="1" ht="24.95" customHeight="1">
      <c r="A474" s="351">
        <v>112</v>
      </c>
      <c r="B474" s="168" t="s">
        <v>4576</v>
      </c>
      <c r="C474" s="168" t="s">
        <v>4574</v>
      </c>
      <c r="D474" s="168" t="s">
        <v>888</v>
      </c>
      <c r="E474" s="351"/>
      <c r="F474" s="351">
        <v>470.5</v>
      </c>
      <c r="G474" s="168" t="s">
        <v>32</v>
      </c>
      <c r="H474" s="168" t="s">
        <v>33</v>
      </c>
      <c r="I474" s="351"/>
      <c r="J474" s="174" t="s">
        <v>4157</v>
      </c>
      <c r="K474" s="174" t="s">
        <v>3062</v>
      </c>
      <c r="L474" s="351">
        <v>91601.77</v>
      </c>
      <c r="M474" s="446">
        <v>18320.349999999999</v>
      </c>
      <c r="N474" s="351">
        <v>2020.11</v>
      </c>
      <c r="O474" s="227" t="s">
        <v>4158</v>
      </c>
      <c r="P474" s="168" t="s">
        <v>4159</v>
      </c>
      <c r="Q474" s="351">
        <v>18035204008</v>
      </c>
      <c r="R474" s="174" t="s">
        <v>4160</v>
      </c>
      <c r="S474" s="174" t="s">
        <v>4043</v>
      </c>
      <c r="T474" s="351"/>
    </row>
    <row r="475" spans="1:20" s="876" customFormat="1" ht="24.95" customHeight="1">
      <c r="A475" s="351">
        <v>113</v>
      </c>
      <c r="B475" s="168" t="s">
        <v>4576</v>
      </c>
      <c r="C475" s="168" t="s">
        <v>4574</v>
      </c>
      <c r="D475" s="168" t="s">
        <v>888</v>
      </c>
      <c r="E475" s="351"/>
      <c r="F475" s="351">
        <v>329.5</v>
      </c>
      <c r="G475" s="168" t="s">
        <v>32</v>
      </c>
      <c r="H475" s="168" t="s">
        <v>33</v>
      </c>
      <c r="I475" s="351"/>
      <c r="J475" s="174" t="s">
        <v>4157</v>
      </c>
      <c r="K475" s="174" t="s">
        <v>3062</v>
      </c>
      <c r="L475" s="446">
        <v>64150.44</v>
      </c>
      <c r="M475" s="446">
        <v>12830.088</v>
      </c>
      <c r="N475" s="351">
        <v>2021.01</v>
      </c>
      <c r="O475" s="227" t="s">
        <v>4158</v>
      </c>
      <c r="P475" s="168" t="s">
        <v>4159</v>
      </c>
      <c r="Q475" s="351">
        <v>18035204008</v>
      </c>
      <c r="R475" s="174" t="s">
        <v>4160</v>
      </c>
      <c r="S475" s="174" t="s">
        <v>4043</v>
      </c>
      <c r="T475" s="351"/>
    </row>
    <row r="476" spans="1:20" s="876" customFormat="1" ht="24.95" customHeight="1">
      <c r="A476" s="351">
        <v>114</v>
      </c>
      <c r="B476" s="168" t="s">
        <v>3069</v>
      </c>
      <c r="C476" s="168" t="s">
        <v>4577</v>
      </c>
      <c r="D476" s="168" t="s">
        <v>888</v>
      </c>
      <c r="E476" s="351"/>
      <c r="F476" s="351">
        <v>300</v>
      </c>
      <c r="G476" s="168" t="s">
        <v>32</v>
      </c>
      <c r="H476" s="168" t="s">
        <v>33</v>
      </c>
      <c r="I476" s="351"/>
      <c r="J476" s="174" t="s">
        <v>4157</v>
      </c>
      <c r="K476" s="174" t="s">
        <v>3062</v>
      </c>
      <c r="L476" s="446">
        <v>111504.43</v>
      </c>
      <c r="M476" s="446">
        <v>22300.885999999999</v>
      </c>
      <c r="N476" s="351">
        <v>2021.01</v>
      </c>
      <c r="O476" s="227" t="s">
        <v>4158</v>
      </c>
      <c r="P476" s="168" t="s">
        <v>4159</v>
      </c>
      <c r="Q476" s="351">
        <v>18035204008</v>
      </c>
      <c r="R476" s="174" t="s">
        <v>4160</v>
      </c>
      <c r="S476" s="174" t="s">
        <v>4043</v>
      </c>
      <c r="T476" s="351"/>
    </row>
    <row r="477" spans="1:20" s="876" customFormat="1" ht="24.95" customHeight="1">
      <c r="A477" s="351">
        <v>115</v>
      </c>
      <c r="B477" s="168" t="s">
        <v>1351</v>
      </c>
      <c r="C477" s="168" t="s">
        <v>875</v>
      </c>
      <c r="D477" s="168" t="s">
        <v>131</v>
      </c>
      <c r="E477" s="351">
        <v>1</v>
      </c>
      <c r="F477" s="351">
        <v>1</v>
      </c>
      <c r="G477" s="168" t="s">
        <v>32</v>
      </c>
      <c r="H477" s="168" t="s">
        <v>33</v>
      </c>
      <c r="I477" s="351"/>
      <c r="J477" s="174" t="s">
        <v>4157</v>
      </c>
      <c r="K477" s="174" t="s">
        <v>3062</v>
      </c>
      <c r="L477" s="446">
        <v>15929.2</v>
      </c>
      <c r="M477" s="446">
        <v>3185.84</v>
      </c>
      <c r="N477" s="351">
        <v>2021.01</v>
      </c>
      <c r="O477" s="227" t="s">
        <v>4158</v>
      </c>
      <c r="P477" s="168" t="s">
        <v>4159</v>
      </c>
      <c r="Q477" s="351">
        <v>18035204008</v>
      </c>
      <c r="R477" s="174" t="s">
        <v>4160</v>
      </c>
      <c r="S477" s="174" t="s">
        <v>4043</v>
      </c>
      <c r="T477" s="351"/>
    </row>
    <row r="478" spans="1:20" s="876" customFormat="1" ht="24.95" customHeight="1">
      <c r="A478" s="351">
        <v>116</v>
      </c>
      <c r="B478" s="168" t="s">
        <v>4578</v>
      </c>
      <c r="C478" s="168" t="s">
        <v>4574</v>
      </c>
      <c r="D478" s="168" t="s">
        <v>888</v>
      </c>
      <c r="E478" s="351"/>
      <c r="F478" s="351">
        <v>2408</v>
      </c>
      <c r="G478" s="168" t="s">
        <v>32</v>
      </c>
      <c r="H478" s="168" t="s">
        <v>33</v>
      </c>
      <c r="I478" s="351"/>
      <c r="J478" s="174" t="s">
        <v>4157</v>
      </c>
      <c r="K478" s="174" t="s">
        <v>3062</v>
      </c>
      <c r="L478" s="446">
        <v>767150.48</v>
      </c>
      <c r="M478" s="446">
        <v>153430.09599999999</v>
      </c>
      <c r="N478" s="351">
        <v>2021.01</v>
      </c>
      <c r="O478" s="227" t="s">
        <v>4158</v>
      </c>
      <c r="P478" s="168" t="s">
        <v>4159</v>
      </c>
      <c r="Q478" s="351">
        <v>18035204008</v>
      </c>
      <c r="R478" s="174" t="s">
        <v>4160</v>
      </c>
      <c r="S478" s="174" t="s">
        <v>4043</v>
      </c>
      <c r="T478" s="351"/>
    </row>
    <row r="479" spans="1:20" s="876" customFormat="1" ht="24.95" customHeight="1">
      <c r="A479" s="351">
        <v>117</v>
      </c>
      <c r="B479" s="168" t="s">
        <v>3296</v>
      </c>
      <c r="C479" s="168" t="s">
        <v>4579</v>
      </c>
      <c r="D479" s="168" t="s">
        <v>888</v>
      </c>
      <c r="E479" s="351"/>
      <c r="F479" s="351">
        <v>3407</v>
      </c>
      <c r="G479" s="168" t="s">
        <v>32</v>
      </c>
      <c r="H479" s="168" t="s">
        <v>33</v>
      </c>
      <c r="I479" s="351"/>
      <c r="J479" s="174" t="s">
        <v>4157</v>
      </c>
      <c r="K479" s="174" t="s">
        <v>3062</v>
      </c>
      <c r="L479" s="446">
        <v>530647.81000000006</v>
      </c>
      <c r="M479" s="446">
        <v>106129.56200000001</v>
      </c>
      <c r="N479" s="351">
        <v>2021.01</v>
      </c>
      <c r="O479" s="227" t="s">
        <v>4158</v>
      </c>
      <c r="P479" s="168" t="s">
        <v>4159</v>
      </c>
      <c r="Q479" s="351">
        <v>18035204008</v>
      </c>
      <c r="R479" s="174" t="s">
        <v>4160</v>
      </c>
      <c r="S479" s="174" t="s">
        <v>4043</v>
      </c>
      <c r="T479" s="351"/>
    </row>
    <row r="480" spans="1:20" s="876" customFormat="1" ht="24.95" customHeight="1">
      <c r="A480" s="351">
        <v>118</v>
      </c>
      <c r="B480" s="168" t="s">
        <v>4513</v>
      </c>
      <c r="C480" s="168" t="s">
        <v>4579</v>
      </c>
      <c r="D480" s="168" t="s">
        <v>888</v>
      </c>
      <c r="E480" s="351"/>
      <c r="F480" s="351">
        <v>1442</v>
      </c>
      <c r="G480" s="168" t="s">
        <v>32</v>
      </c>
      <c r="H480" s="168" t="s">
        <v>33</v>
      </c>
      <c r="I480" s="351"/>
      <c r="J480" s="174" t="s">
        <v>4157</v>
      </c>
      <c r="K480" s="174" t="s">
        <v>3062</v>
      </c>
      <c r="L480" s="446">
        <v>102088.49</v>
      </c>
      <c r="M480" s="446">
        <v>20417.698</v>
      </c>
      <c r="N480" s="351">
        <v>2021.01</v>
      </c>
      <c r="O480" s="227" t="s">
        <v>4158</v>
      </c>
      <c r="P480" s="168" t="s">
        <v>4159</v>
      </c>
      <c r="Q480" s="351">
        <v>18035204008</v>
      </c>
      <c r="R480" s="174" t="s">
        <v>4160</v>
      </c>
      <c r="S480" s="174" t="s">
        <v>4043</v>
      </c>
      <c r="T480" s="351"/>
    </row>
    <row r="481" spans="1:16384" s="876" customFormat="1" ht="24.95" customHeight="1">
      <c r="A481" s="351">
        <v>119</v>
      </c>
      <c r="B481" s="168" t="s">
        <v>3296</v>
      </c>
      <c r="C481" s="168" t="s">
        <v>4579</v>
      </c>
      <c r="D481" s="168" t="s">
        <v>888</v>
      </c>
      <c r="E481" s="351"/>
      <c r="F481" s="351">
        <v>409</v>
      </c>
      <c r="G481" s="168" t="s">
        <v>32</v>
      </c>
      <c r="H481" s="168" t="s">
        <v>33</v>
      </c>
      <c r="I481" s="351"/>
      <c r="J481" s="174" t="s">
        <v>4157</v>
      </c>
      <c r="K481" s="174" t="s">
        <v>3062</v>
      </c>
      <c r="L481" s="446">
        <v>63702.65</v>
      </c>
      <c r="M481" s="446">
        <v>12740.53</v>
      </c>
      <c r="N481" s="351">
        <v>2021.04</v>
      </c>
      <c r="O481" s="227" t="s">
        <v>4158</v>
      </c>
      <c r="P481" s="168" t="s">
        <v>4159</v>
      </c>
      <c r="Q481" s="351">
        <v>18035204008</v>
      </c>
      <c r="R481" s="174" t="s">
        <v>4160</v>
      </c>
      <c r="S481" s="174" t="s">
        <v>4043</v>
      </c>
      <c r="T481" s="351"/>
    </row>
    <row r="482" spans="1:16384" s="876" customFormat="1" ht="24.95" customHeight="1">
      <c r="A482" s="351">
        <v>120</v>
      </c>
      <c r="B482" s="168" t="s">
        <v>1400</v>
      </c>
      <c r="C482" s="168" t="s">
        <v>4574</v>
      </c>
      <c r="D482" s="168" t="s">
        <v>888</v>
      </c>
      <c r="E482" s="351"/>
      <c r="F482" s="351">
        <v>899</v>
      </c>
      <c r="G482" s="168" t="s">
        <v>32</v>
      </c>
      <c r="H482" s="168" t="s">
        <v>33</v>
      </c>
      <c r="I482" s="351"/>
      <c r="J482" s="174" t="s">
        <v>4157</v>
      </c>
      <c r="K482" s="174" t="s">
        <v>3062</v>
      </c>
      <c r="L482" s="446">
        <v>286407.08</v>
      </c>
      <c r="M482" s="446">
        <v>57281.415999999997</v>
      </c>
      <c r="N482" s="351">
        <v>2021.04</v>
      </c>
      <c r="O482" s="227" t="s">
        <v>4158</v>
      </c>
      <c r="P482" s="168" t="s">
        <v>4159</v>
      </c>
      <c r="Q482" s="351">
        <v>18035204008</v>
      </c>
      <c r="R482" s="174" t="s">
        <v>4160</v>
      </c>
      <c r="S482" s="174" t="s">
        <v>4043</v>
      </c>
      <c r="T482" s="351"/>
    </row>
    <row r="483" spans="1:16384" s="876" customFormat="1" ht="24.95" customHeight="1">
      <c r="A483" s="351">
        <v>121</v>
      </c>
      <c r="B483" s="168" t="s">
        <v>3296</v>
      </c>
      <c r="C483" s="168" t="s">
        <v>4579</v>
      </c>
      <c r="D483" s="168" t="s">
        <v>888</v>
      </c>
      <c r="E483" s="351"/>
      <c r="F483" s="351">
        <v>3625</v>
      </c>
      <c r="G483" s="168" t="s">
        <v>32</v>
      </c>
      <c r="H483" s="168" t="s">
        <v>33</v>
      </c>
      <c r="I483" s="351"/>
      <c r="J483" s="174" t="s">
        <v>4157</v>
      </c>
      <c r="K483" s="174" t="s">
        <v>3062</v>
      </c>
      <c r="L483" s="446">
        <v>654424.81000000006</v>
      </c>
      <c r="M483" s="446">
        <v>130884.962</v>
      </c>
      <c r="N483" s="351">
        <v>2021.04</v>
      </c>
      <c r="O483" s="227" t="s">
        <v>4158</v>
      </c>
      <c r="P483" s="168" t="s">
        <v>4159</v>
      </c>
      <c r="Q483" s="351">
        <v>18035204008</v>
      </c>
      <c r="R483" s="174" t="s">
        <v>4160</v>
      </c>
      <c r="S483" s="174" t="s">
        <v>4043</v>
      </c>
      <c r="T483" s="351"/>
    </row>
    <row r="484" spans="1:16384" s="876" customFormat="1" ht="24.95" customHeight="1">
      <c r="A484" s="351">
        <v>122</v>
      </c>
      <c r="B484" s="168" t="s">
        <v>4580</v>
      </c>
      <c r="C484" s="168" t="s">
        <v>4519</v>
      </c>
      <c r="D484" s="168" t="s">
        <v>888</v>
      </c>
      <c r="E484" s="351"/>
      <c r="F484" s="351">
        <v>240</v>
      </c>
      <c r="G484" s="168" t="s">
        <v>32</v>
      </c>
      <c r="H484" s="168" t="s">
        <v>33</v>
      </c>
      <c r="I484" s="351"/>
      <c r="J484" s="174" t="s">
        <v>4157</v>
      </c>
      <c r="K484" s="174" t="s">
        <v>3062</v>
      </c>
      <c r="L484" s="446">
        <v>74336.28</v>
      </c>
      <c r="M484" s="446">
        <v>14867.255999999999</v>
      </c>
      <c r="N484" s="351">
        <v>2021.04</v>
      </c>
      <c r="O484" s="227" t="s">
        <v>4158</v>
      </c>
      <c r="P484" s="168" t="s">
        <v>4159</v>
      </c>
      <c r="Q484" s="351">
        <v>18035204008</v>
      </c>
      <c r="R484" s="174" t="s">
        <v>4160</v>
      </c>
      <c r="S484" s="174" t="s">
        <v>4043</v>
      </c>
      <c r="T484" s="351"/>
    </row>
    <row r="485" spans="1:16384" s="876" customFormat="1" ht="24.95" customHeight="1">
      <c r="A485" s="351">
        <v>123</v>
      </c>
      <c r="B485" s="168" t="s">
        <v>4513</v>
      </c>
      <c r="C485" s="168" t="s">
        <v>4579</v>
      </c>
      <c r="D485" s="168" t="s">
        <v>888</v>
      </c>
      <c r="E485" s="351"/>
      <c r="F485" s="351">
        <v>3510</v>
      </c>
      <c r="G485" s="168" t="s">
        <v>32</v>
      </c>
      <c r="H485" s="168" t="s">
        <v>33</v>
      </c>
      <c r="I485" s="351"/>
      <c r="J485" s="174" t="s">
        <v>4157</v>
      </c>
      <c r="K485" s="174" t="s">
        <v>3062</v>
      </c>
      <c r="L485" s="446">
        <v>264026.55</v>
      </c>
      <c r="M485" s="446">
        <v>52805.31</v>
      </c>
      <c r="N485" s="351">
        <v>2021.04</v>
      </c>
      <c r="O485" s="227" t="s">
        <v>4158</v>
      </c>
      <c r="P485" s="168" t="s">
        <v>4159</v>
      </c>
      <c r="Q485" s="351">
        <v>18035204008</v>
      </c>
      <c r="R485" s="174" t="s">
        <v>4160</v>
      </c>
      <c r="S485" s="174" t="s">
        <v>4043</v>
      </c>
      <c r="T485" s="351"/>
    </row>
    <row r="486" spans="1:16384" s="876" customFormat="1" ht="24.95" customHeight="1">
      <c r="A486" s="351">
        <v>124</v>
      </c>
      <c r="B486" s="168" t="s">
        <v>4581</v>
      </c>
      <c r="C486" s="168" t="s">
        <v>4582</v>
      </c>
      <c r="D486" s="168" t="s">
        <v>888</v>
      </c>
      <c r="E486" s="351"/>
      <c r="F486" s="351">
        <v>807</v>
      </c>
      <c r="G486" s="168" t="s">
        <v>32</v>
      </c>
      <c r="H486" s="168" t="s">
        <v>33</v>
      </c>
      <c r="I486" s="351"/>
      <c r="J486" s="174" t="s">
        <v>4157</v>
      </c>
      <c r="K486" s="174" t="s">
        <v>3062</v>
      </c>
      <c r="L486" s="446">
        <v>11415.93</v>
      </c>
      <c r="M486" s="446">
        <v>2283.1860000000001</v>
      </c>
      <c r="N486" s="351">
        <v>2021.09</v>
      </c>
      <c r="O486" s="227" t="s">
        <v>4158</v>
      </c>
      <c r="P486" s="168" t="s">
        <v>4159</v>
      </c>
      <c r="Q486" s="351">
        <v>18035204008</v>
      </c>
      <c r="R486" s="174" t="s">
        <v>4160</v>
      </c>
      <c r="S486" s="174" t="s">
        <v>4043</v>
      </c>
      <c r="T486" s="351"/>
    </row>
    <row r="487" spans="1:16384" s="876" customFormat="1" ht="24.95" customHeight="1">
      <c r="A487" s="351">
        <v>125</v>
      </c>
      <c r="B487" s="168" t="s">
        <v>4583</v>
      </c>
      <c r="C487" s="168" t="s">
        <v>4584</v>
      </c>
      <c r="D487" s="168" t="s">
        <v>888</v>
      </c>
      <c r="E487" s="351"/>
      <c r="F487" s="351">
        <v>430</v>
      </c>
      <c r="G487" s="168" t="s">
        <v>32</v>
      </c>
      <c r="H487" s="168" t="s">
        <v>33</v>
      </c>
      <c r="I487" s="351"/>
      <c r="J487" s="174" t="s">
        <v>4157</v>
      </c>
      <c r="K487" s="174" t="s">
        <v>3062</v>
      </c>
      <c r="L487" s="446">
        <v>192823.01</v>
      </c>
      <c r="M487" s="446">
        <v>38564.601999999999</v>
      </c>
      <c r="N487" s="351">
        <v>2021.09</v>
      </c>
      <c r="O487" s="227" t="s">
        <v>4158</v>
      </c>
      <c r="P487" s="168" t="s">
        <v>4159</v>
      </c>
      <c r="Q487" s="351">
        <v>18035204008</v>
      </c>
      <c r="R487" s="174" t="s">
        <v>4160</v>
      </c>
      <c r="S487" s="174" t="s">
        <v>4043</v>
      </c>
      <c r="T487" s="351"/>
    </row>
    <row r="488" spans="1:16384" s="876" customFormat="1" ht="24.95" customHeight="1">
      <c r="A488" s="351">
        <v>126</v>
      </c>
      <c r="B488" s="168" t="s">
        <v>4585</v>
      </c>
      <c r="C488" s="168" t="s">
        <v>4586</v>
      </c>
      <c r="D488" s="168" t="s">
        <v>161</v>
      </c>
      <c r="E488" s="351"/>
      <c r="F488" s="351">
        <v>750</v>
      </c>
      <c r="G488" s="168" t="s">
        <v>32</v>
      </c>
      <c r="H488" s="168" t="s">
        <v>33</v>
      </c>
      <c r="I488" s="351"/>
      <c r="J488" s="174" t="s">
        <v>4157</v>
      </c>
      <c r="K488" s="174" t="s">
        <v>4587</v>
      </c>
      <c r="L488" s="446">
        <v>237623.76</v>
      </c>
      <c r="M488" s="446">
        <v>47524.752</v>
      </c>
      <c r="N488" s="351">
        <v>2022.01</v>
      </c>
      <c r="O488" s="227" t="s">
        <v>4158</v>
      </c>
      <c r="P488" s="168" t="s">
        <v>4159</v>
      </c>
      <c r="Q488" s="351">
        <v>18035204008</v>
      </c>
      <c r="R488" s="174" t="s">
        <v>4160</v>
      </c>
      <c r="S488" s="174" t="s">
        <v>4043</v>
      </c>
      <c r="T488" s="351"/>
    </row>
    <row r="489" spans="1:16384" s="876" customFormat="1" ht="24.95" customHeight="1">
      <c r="A489" s="351">
        <v>127</v>
      </c>
      <c r="B489" s="168" t="s">
        <v>4585</v>
      </c>
      <c r="C489" s="168" t="s">
        <v>1620</v>
      </c>
      <c r="D489" s="168" t="s">
        <v>161</v>
      </c>
      <c r="E489" s="351"/>
      <c r="F489" s="351">
        <v>710</v>
      </c>
      <c r="G489" s="168" t="s">
        <v>32</v>
      </c>
      <c r="H489" s="168" t="s">
        <v>33</v>
      </c>
      <c r="I489" s="351"/>
      <c r="J489" s="174" t="s">
        <v>4157</v>
      </c>
      <c r="K489" s="174" t="s">
        <v>4587</v>
      </c>
      <c r="L489" s="446">
        <v>220029.7</v>
      </c>
      <c r="M489" s="446">
        <v>44005.94</v>
      </c>
      <c r="N489" s="351">
        <v>2022.01</v>
      </c>
      <c r="O489" s="227" t="s">
        <v>4158</v>
      </c>
      <c r="P489" s="168" t="s">
        <v>4159</v>
      </c>
      <c r="Q489" s="351">
        <v>18035204008</v>
      </c>
      <c r="R489" s="174" t="s">
        <v>4160</v>
      </c>
      <c r="S489" s="174" t="s">
        <v>4043</v>
      </c>
      <c r="T489" s="351"/>
    </row>
    <row r="490" spans="1:16384" s="876" customFormat="1" ht="24.95" customHeight="1">
      <c r="A490" s="351">
        <v>128</v>
      </c>
      <c r="B490" s="168" t="s">
        <v>4588</v>
      </c>
      <c r="C490" s="168" t="s">
        <v>34</v>
      </c>
      <c r="D490" s="168" t="s">
        <v>31</v>
      </c>
      <c r="E490" s="351"/>
      <c r="F490" s="351">
        <v>6770</v>
      </c>
      <c r="G490" s="168" t="s">
        <v>32</v>
      </c>
      <c r="H490" s="168" t="s">
        <v>33</v>
      </c>
      <c r="I490" s="351"/>
      <c r="J490" s="174" t="s">
        <v>4157</v>
      </c>
      <c r="K490" s="174" t="s">
        <v>4421</v>
      </c>
      <c r="L490" s="446">
        <v>17427.72</v>
      </c>
      <c r="M490" s="446">
        <v>3485.5439999999999</v>
      </c>
      <c r="N490" s="351">
        <v>2022.01</v>
      </c>
      <c r="O490" s="227" t="s">
        <v>4158</v>
      </c>
      <c r="P490" s="168" t="s">
        <v>4159</v>
      </c>
      <c r="Q490" s="351">
        <v>18035204008</v>
      </c>
      <c r="R490" s="174" t="s">
        <v>4160</v>
      </c>
      <c r="S490" s="174" t="s">
        <v>4043</v>
      </c>
      <c r="T490" s="351"/>
    </row>
    <row r="491" spans="1:16384" s="594" customFormat="1" ht="24.95" customHeight="1">
      <c r="A491" s="351">
        <v>129</v>
      </c>
      <c r="B491" s="168" t="s">
        <v>1162</v>
      </c>
      <c r="C491" s="168"/>
      <c r="D491" s="168" t="s">
        <v>131</v>
      </c>
      <c r="E491" s="168">
        <v>2</v>
      </c>
      <c r="F491" s="168"/>
      <c r="G491" s="168" t="s">
        <v>33</v>
      </c>
      <c r="H491" s="168" t="s">
        <v>32</v>
      </c>
      <c r="I491" s="168"/>
      <c r="J491" s="168"/>
      <c r="K491" s="174" t="s">
        <v>4589</v>
      </c>
      <c r="L491" s="168">
        <v>20300</v>
      </c>
      <c r="M491" s="168">
        <v>6090</v>
      </c>
      <c r="N491" s="561">
        <v>44531</v>
      </c>
      <c r="O491" s="174" t="s">
        <v>4348</v>
      </c>
      <c r="P491" s="168" t="s">
        <v>4349</v>
      </c>
      <c r="Q491" s="168">
        <v>19987808108</v>
      </c>
      <c r="R491" s="168" t="s">
        <v>4350</v>
      </c>
      <c r="S491" s="168" t="s">
        <v>4043</v>
      </c>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c r="AQ491" s="168"/>
      <c r="AR491" s="168"/>
      <c r="AS491" s="168"/>
      <c r="AT491" s="168"/>
      <c r="AU491" s="168"/>
      <c r="AV491" s="168"/>
      <c r="AW491" s="168"/>
      <c r="AX491" s="168"/>
      <c r="AY491" s="168"/>
      <c r="AZ491" s="168"/>
      <c r="BA491" s="168"/>
      <c r="BB491" s="168"/>
      <c r="BC491" s="168"/>
      <c r="BD491" s="168"/>
      <c r="BE491" s="168"/>
      <c r="BF491" s="168"/>
      <c r="BG491" s="168"/>
      <c r="BH491" s="168"/>
      <c r="BI491" s="168"/>
      <c r="BJ491" s="168"/>
      <c r="BK491" s="168"/>
      <c r="BL491" s="168"/>
      <c r="BM491" s="168"/>
      <c r="BN491" s="168"/>
      <c r="BO491" s="168"/>
      <c r="BP491" s="168"/>
      <c r="BQ491" s="168"/>
      <c r="BR491" s="168"/>
      <c r="BS491" s="168"/>
      <c r="BT491" s="168"/>
      <c r="BU491" s="168"/>
      <c r="BV491" s="168"/>
      <c r="BW491" s="168"/>
      <c r="BX491" s="168"/>
      <c r="BY491" s="168"/>
      <c r="BZ491" s="168"/>
      <c r="CA491" s="168"/>
      <c r="CB491" s="168"/>
      <c r="CC491" s="168"/>
      <c r="CD491" s="168"/>
      <c r="CE491" s="168"/>
      <c r="CF491" s="168"/>
      <c r="CG491" s="168"/>
      <c r="CH491" s="168"/>
      <c r="CI491" s="168"/>
      <c r="CJ491" s="168"/>
      <c r="CK491" s="168"/>
      <c r="CL491" s="168"/>
      <c r="CM491" s="168"/>
      <c r="CN491" s="168"/>
      <c r="CO491" s="168"/>
      <c r="CP491" s="168"/>
      <c r="CQ491" s="168"/>
      <c r="CR491" s="168"/>
      <c r="CS491" s="168"/>
      <c r="CT491" s="168"/>
      <c r="CU491" s="168"/>
      <c r="CV491" s="168"/>
      <c r="CW491" s="168"/>
      <c r="CX491" s="168"/>
      <c r="CY491" s="168"/>
      <c r="CZ491" s="168"/>
      <c r="DA491" s="168"/>
      <c r="DB491" s="168"/>
      <c r="DC491" s="168"/>
      <c r="DD491" s="168"/>
      <c r="DE491" s="168"/>
      <c r="DF491" s="168"/>
      <c r="DG491" s="168"/>
      <c r="DH491" s="168"/>
      <c r="DI491" s="168"/>
      <c r="DJ491" s="168"/>
      <c r="DK491" s="168"/>
      <c r="DL491" s="168"/>
      <c r="DM491" s="168"/>
      <c r="DN491" s="168"/>
      <c r="DO491" s="168"/>
      <c r="DP491" s="168"/>
      <c r="DQ491" s="168"/>
      <c r="DR491" s="168"/>
      <c r="DS491" s="168"/>
      <c r="DT491" s="168"/>
      <c r="DU491" s="168"/>
      <c r="DV491" s="168"/>
      <c r="DW491" s="168"/>
      <c r="DX491" s="168"/>
      <c r="DY491" s="168"/>
      <c r="DZ491" s="168"/>
      <c r="EA491" s="168"/>
      <c r="EB491" s="168"/>
      <c r="EC491" s="168"/>
      <c r="ED491" s="168"/>
      <c r="EE491" s="168"/>
      <c r="EF491" s="168"/>
      <c r="EG491" s="168"/>
      <c r="EH491" s="168"/>
      <c r="EI491" s="168"/>
      <c r="EJ491" s="168"/>
      <c r="EK491" s="168"/>
      <c r="EL491" s="168"/>
      <c r="EM491" s="168"/>
      <c r="EN491" s="168"/>
      <c r="EO491" s="168"/>
      <c r="EP491" s="168"/>
      <c r="EQ491" s="168"/>
      <c r="ER491" s="168"/>
      <c r="ES491" s="168"/>
      <c r="ET491" s="168"/>
      <c r="EU491" s="168"/>
      <c r="EV491" s="168"/>
      <c r="EW491" s="168"/>
      <c r="EX491" s="168"/>
      <c r="EY491" s="168"/>
      <c r="EZ491" s="168"/>
      <c r="FA491" s="168"/>
      <c r="FB491" s="168"/>
      <c r="FC491" s="168"/>
      <c r="FD491" s="168"/>
      <c r="FE491" s="168"/>
      <c r="FF491" s="168"/>
      <c r="FG491" s="168"/>
      <c r="FH491" s="168"/>
      <c r="FI491" s="168"/>
      <c r="FJ491" s="168"/>
      <c r="FK491" s="168"/>
      <c r="FL491" s="168"/>
      <c r="FM491" s="168"/>
      <c r="FN491" s="168"/>
      <c r="FO491" s="168"/>
      <c r="FP491" s="168"/>
      <c r="FQ491" s="168"/>
      <c r="FR491" s="168"/>
      <c r="FS491" s="168"/>
      <c r="FT491" s="168"/>
      <c r="FU491" s="168"/>
      <c r="FV491" s="168"/>
      <c r="FW491" s="168"/>
      <c r="FX491" s="168"/>
      <c r="FY491" s="168"/>
      <c r="FZ491" s="168"/>
      <c r="GA491" s="168"/>
      <c r="GB491" s="168"/>
      <c r="GC491" s="168"/>
      <c r="GD491" s="168"/>
      <c r="GE491" s="168"/>
      <c r="GF491" s="168"/>
      <c r="GG491" s="168"/>
      <c r="GH491" s="168"/>
      <c r="GI491" s="168"/>
      <c r="GJ491" s="168"/>
      <c r="GK491" s="168"/>
      <c r="GL491" s="168"/>
      <c r="GM491" s="168"/>
      <c r="GN491" s="168"/>
      <c r="GO491" s="168"/>
      <c r="GP491" s="168"/>
      <c r="GQ491" s="168"/>
      <c r="GR491" s="168"/>
      <c r="GS491" s="168"/>
      <c r="GT491" s="168"/>
      <c r="GU491" s="168"/>
      <c r="GV491" s="168"/>
      <c r="GW491" s="168"/>
      <c r="GX491" s="168"/>
      <c r="GY491" s="168"/>
      <c r="GZ491" s="168"/>
      <c r="HA491" s="168"/>
      <c r="HB491" s="168"/>
      <c r="HC491" s="168"/>
      <c r="HD491" s="168"/>
      <c r="HE491" s="168"/>
      <c r="HF491" s="168"/>
      <c r="HG491" s="168"/>
      <c r="HH491" s="168"/>
      <c r="HI491" s="168"/>
      <c r="HJ491" s="168"/>
      <c r="HK491" s="168"/>
      <c r="HL491" s="168"/>
      <c r="HM491" s="168"/>
      <c r="HN491" s="168"/>
      <c r="HO491" s="168"/>
      <c r="HP491" s="168"/>
      <c r="HQ491" s="168"/>
      <c r="HR491" s="168"/>
      <c r="HS491" s="168"/>
      <c r="HT491" s="168"/>
      <c r="HU491" s="168"/>
      <c r="HV491" s="168"/>
      <c r="HW491" s="168"/>
      <c r="HX491" s="168"/>
      <c r="HY491" s="168"/>
      <c r="HZ491" s="168"/>
      <c r="IA491" s="168"/>
      <c r="IB491" s="168"/>
      <c r="IC491" s="168"/>
      <c r="ID491" s="168"/>
      <c r="IE491" s="168"/>
      <c r="IF491" s="168"/>
      <c r="IG491" s="168"/>
      <c r="IH491" s="168"/>
      <c r="II491" s="168"/>
      <c r="IJ491" s="168"/>
      <c r="IK491" s="168"/>
      <c r="IL491" s="168"/>
      <c r="IM491" s="168"/>
      <c r="IN491" s="168"/>
      <c r="IO491" s="168"/>
      <c r="IP491" s="168"/>
      <c r="IQ491" s="168"/>
      <c r="IR491" s="168"/>
      <c r="IS491" s="168"/>
      <c r="IT491" s="168"/>
      <c r="IU491" s="168"/>
      <c r="IV491" s="168"/>
      <c r="IW491" s="168"/>
      <c r="IX491" s="168"/>
      <c r="IY491" s="168"/>
      <c r="IZ491" s="168"/>
      <c r="JA491" s="168"/>
      <c r="JB491" s="168"/>
      <c r="JC491" s="168"/>
      <c r="JD491" s="168"/>
      <c r="JE491" s="168"/>
      <c r="JF491" s="168"/>
      <c r="JG491" s="168"/>
      <c r="JH491" s="168"/>
      <c r="JI491" s="168"/>
      <c r="JJ491" s="168"/>
      <c r="JK491" s="168"/>
      <c r="JL491" s="168"/>
      <c r="JM491" s="168"/>
      <c r="JN491" s="168"/>
      <c r="JO491" s="168"/>
      <c r="JP491" s="168"/>
      <c r="JQ491" s="168"/>
      <c r="JR491" s="168"/>
      <c r="JS491" s="168"/>
      <c r="JT491" s="168"/>
      <c r="JU491" s="168"/>
      <c r="JV491" s="168"/>
      <c r="JW491" s="168"/>
      <c r="JX491" s="168"/>
      <c r="JY491" s="168"/>
      <c r="JZ491" s="168"/>
      <c r="KA491" s="168"/>
      <c r="KB491" s="168"/>
      <c r="KC491" s="168"/>
      <c r="KD491" s="168"/>
      <c r="KE491" s="168"/>
      <c r="KF491" s="168"/>
      <c r="KG491" s="168"/>
      <c r="KH491" s="168"/>
      <c r="KI491" s="168"/>
      <c r="KJ491" s="168"/>
      <c r="KK491" s="168"/>
      <c r="KL491" s="168"/>
      <c r="KM491" s="168"/>
      <c r="KN491" s="168"/>
      <c r="KO491" s="168"/>
      <c r="KP491" s="168"/>
      <c r="KQ491" s="168"/>
      <c r="KR491" s="168"/>
      <c r="KS491" s="168"/>
      <c r="KT491" s="168"/>
      <c r="KU491" s="168"/>
      <c r="KV491" s="168"/>
      <c r="KW491" s="168"/>
      <c r="KX491" s="168"/>
      <c r="KY491" s="168"/>
      <c r="KZ491" s="168"/>
      <c r="LA491" s="168"/>
      <c r="LB491" s="168"/>
      <c r="LC491" s="168"/>
      <c r="LD491" s="168"/>
      <c r="LE491" s="168"/>
      <c r="LF491" s="168"/>
      <c r="LG491" s="168"/>
      <c r="LH491" s="168"/>
      <c r="LI491" s="168"/>
      <c r="LJ491" s="168"/>
      <c r="LK491" s="168"/>
      <c r="LL491" s="168"/>
      <c r="LM491" s="168"/>
      <c r="LN491" s="168"/>
      <c r="LO491" s="168"/>
      <c r="LP491" s="168"/>
      <c r="LQ491" s="168"/>
      <c r="LR491" s="168"/>
      <c r="LS491" s="168"/>
      <c r="LT491" s="168"/>
      <c r="LU491" s="168"/>
      <c r="LV491" s="168"/>
      <c r="LW491" s="168"/>
      <c r="LX491" s="168"/>
      <c r="LY491" s="168"/>
      <c r="LZ491" s="168"/>
      <c r="MA491" s="168"/>
      <c r="MB491" s="168"/>
      <c r="MC491" s="168"/>
      <c r="MD491" s="168"/>
      <c r="ME491" s="168"/>
      <c r="MF491" s="168"/>
      <c r="MG491" s="168"/>
      <c r="MH491" s="168"/>
      <c r="MI491" s="168"/>
      <c r="MJ491" s="168"/>
      <c r="MK491" s="168"/>
      <c r="ML491" s="168"/>
      <c r="MM491" s="168"/>
      <c r="MN491" s="168"/>
      <c r="MO491" s="168"/>
      <c r="MP491" s="168"/>
      <c r="MQ491" s="168"/>
      <c r="MR491" s="168"/>
      <c r="MS491" s="168"/>
      <c r="MT491" s="168"/>
      <c r="MU491" s="168"/>
      <c r="MV491" s="168"/>
      <c r="MW491" s="168"/>
      <c r="MX491" s="168"/>
      <c r="MY491" s="168"/>
      <c r="MZ491" s="168"/>
      <c r="NA491" s="168"/>
      <c r="NB491" s="168"/>
      <c r="NC491" s="168"/>
      <c r="ND491" s="168"/>
      <c r="NE491" s="168"/>
      <c r="NF491" s="168"/>
      <c r="NG491" s="168"/>
      <c r="NH491" s="168"/>
      <c r="NI491" s="168"/>
      <c r="NJ491" s="168"/>
      <c r="NK491" s="168"/>
      <c r="NL491" s="168"/>
      <c r="NM491" s="168"/>
      <c r="NN491" s="168"/>
      <c r="NO491" s="168"/>
      <c r="NP491" s="168"/>
      <c r="NQ491" s="168"/>
      <c r="NR491" s="168"/>
      <c r="NS491" s="168"/>
      <c r="NT491" s="168"/>
      <c r="NU491" s="168"/>
      <c r="NV491" s="168"/>
      <c r="NW491" s="168"/>
      <c r="NX491" s="168"/>
      <c r="NY491" s="168"/>
      <c r="NZ491" s="168"/>
      <c r="OA491" s="168"/>
      <c r="OB491" s="168"/>
      <c r="OC491" s="168"/>
      <c r="OD491" s="168"/>
      <c r="OE491" s="168"/>
      <c r="OF491" s="168"/>
      <c r="OG491" s="168"/>
      <c r="OH491" s="168"/>
      <c r="OI491" s="168"/>
      <c r="OJ491" s="168"/>
      <c r="OK491" s="168"/>
      <c r="OL491" s="168"/>
      <c r="OM491" s="168"/>
      <c r="ON491" s="168"/>
      <c r="OO491" s="168"/>
      <c r="OP491" s="168"/>
      <c r="OQ491" s="168"/>
      <c r="OR491" s="168"/>
      <c r="OS491" s="168"/>
      <c r="OT491" s="168"/>
      <c r="OU491" s="168"/>
      <c r="OV491" s="168"/>
      <c r="OW491" s="168"/>
      <c r="OX491" s="168"/>
      <c r="OY491" s="168"/>
      <c r="OZ491" s="168"/>
      <c r="PA491" s="168"/>
      <c r="PB491" s="168"/>
      <c r="PC491" s="168"/>
      <c r="PD491" s="168"/>
      <c r="PE491" s="168"/>
      <c r="PF491" s="168"/>
      <c r="PG491" s="168"/>
      <c r="PH491" s="168"/>
      <c r="PI491" s="168"/>
      <c r="PJ491" s="168"/>
      <c r="PK491" s="168"/>
      <c r="PL491" s="168"/>
      <c r="PM491" s="168"/>
      <c r="PN491" s="168"/>
      <c r="PO491" s="168"/>
      <c r="PP491" s="168"/>
      <c r="PQ491" s="168"/>
      <c r="PR491" s="168"/>
      <c r="PS491" s="168"/>
      <c r="PT491" s="168"/>
      <c r="PU491" s="168"/>
      <c r="PV491" s="168"/>
      <c r="PW491" s="168"/>
      <c r="PX491" s="168"/>
      <c r="PY491" s="168"/>
      <c r="PZ491" s="168"/>
      <c r="QA491" s="168"/>
      <c r="QB491" s="168"/>
      <c r="QC491" s="168"/>
      <c r="QD491" s="168"/>
      <c r="QE491" s="168"/>
      <c r="QF491" s="168"/>
      <c r="QG491" s="168"/>
      <c r="QH491" s="168"/>
      <c r="QI491" s="168"/>
      <c r="QJ491" s="168"/>
      <c r="QK491" s="168"/>
      <c r="QL491" s="168"/>
      <c r="QM491" s="168"/>
      <c r="QN491" s="168"/>
      <c r="QO491" s="168"/>
      <c r="QP491" s="168"/>
      <c r="QQ491" s="168"/>
      <c r="QR491" s="168"/>
      <c r="QS491" s="168"/>
      <c r="QT491" s="168"/>
      <c r="QU491" s="168"/>
      <c r="QV491" s="168"/>
      <c r="QW491" s="168"/>
      <c r="QX491" s="168"/>
      <c r="QY491" s="168"/>
      <c r="QZ491" s="168"/>
      <c r="RA491" s="168"/>
      <c r="RB491" s="168"/>
      <c r="RC491" s="168"/>
      <c r="RD491" s="168"/>
      <c r="RE491" s="168"/>
      <c r="RF491" s="168"/>
      <c r="RG491" s="168"/>
      <c r="RH491" s="168"/>
      <c r="RI491" s="168"/>
      <c r="RJ491" s="168"/>
      <c r="RK491" s="168"/>
      <c r="RL491" s="168"/>
      <c r="RM491" s="168"/>
      <c r="RN491" s="168"/>
      <c r="RO491" s="168"/>
      <c r="RP491" s="168"/>
      <c r="RQ491" s="168"/>
      <c r="RR491" s="168"/>
      <c r="RS491" s="168"/>
      <c r="RT491" s="168"/>
      <c r="RU491" s="168"/>
      <c r="RV491" s="168"/>
      <c r="RW491" s="168"/>
      <c r="RX491" s="168"/>
      <c r="RY491" s="168"/>
      <c r="RZ491" s="168"/>
      <c r="SA491" s="168"/>
      <c r="SB491" s="168"/>
      <c r="SC491" s="168"/>
      <c r="SD491" s="168"/>
      <c r="SE491" s="168"/>
      <c r="SF491" s="168"/>
      <c r="SG491" s="168"/>
      <c r="SH491" s="168"/>
      <c r="SI491" s="168"/>
      <c r="SJ491" s="168"/>
      <c r="SK491" s="168"/>
      <c r="SL491" s="168"/>
      <c r="SM491" s="168"/>
      <c r="SN491" s="168"/>
      <c r="SO491" s="168"/>
      <c r="SP491" s="168"/>
      <c r="SQ491" s="168"/>
      <c r="SR491" s="168"/>
      <c r="SS491" s="168"/>
      <c r="ST491" s="168"/>
      <c r="SU491" s="168"/>
      <c r="SV491" s="168"/>
      <c r="SW491" s="168"/>
      <c r="SX491" s="168"/>
      <c r="SY491" s="168"/>
      <c r="SZ491" s="168"/>
      <c r="TA491" s="168"/>
      <c r="TB491" s="168"/>
      <c r="TC491" s="168"/>
      <c r="TD491" s="168"/>
      <c r="TE491" s="168"/>
      <c r="TF491" s="168"/>
      <c r="TG491" s="168"/>
      <c r="TH491" s="168"/>
      <c r="TI491" s="168"/>
      <c r="TJ491" s="168"/>
      <c r="TK491" s="168"/>
      <c r="TL491" s="168"/>
      <c r="TM491" s="168"/>
      <c r="TN491" s="168"/>
      <c r="TO491" s="168"/>
      <c r="TP491" s="168"/>
      <c r="TQ491" s="168"/>
      <c r="TR491" s="168"/>
      <c r="TS491" s="168"/>
      <c r="TT491" s="168"/>
      <c r="TU491" s="168"/>
      <c r="TV491" s="168"/>
      <c r="TW491" s="168"/>
      <c r="TX491" s="168"/>
      <c r="TY491" s="168"/>
      <c r="TZ491" s="168"/>
      <c r="UA491" s="168"/>
      <c r="UB491" s="168"/>
      <c r="UC491" s="168"/>
      <c r="UD491" s="168"/>
      <c r="UE491" s="168"/>
      <c r="UF491" s="168"/>
      <c r="UG491" s="168"/>
      <c r="UH491" s="168"/>
      <c r="UI491" s="168"/>
      <c r="UJ491" s="168"/>
      <c r="UK491" s="168"/>
      <c r="UL491" s="168"/>
      <c r="UM491" s="168"/>
      <c r="UN491" s="168"/>
      <c r="UO491" s="168"/>
      <c r="UP491" s="168"/>
      <c r="UQ491" s="168"/>
      <c r="UR491" s="168"/>
      <c r="US491" s="168"/>
      <c r="UT491" s="168"/>
      <c r="UU491" s="168"/>
      <c r="UV491" s="168"/>
      <c r="UW491" s="168"/>
      <c r="UX491" s="168"/>
      <c r="UY491" s="168"/>
      <c r="UZ491" s="168"/>
      <c r="VA491" s="168"/>
      <c r="VB491" s="168"/>
      <c r="VC491" s="168"/>
      <c r="VD491" s="168"/>
      <c r="VE491" s="168"/>
      <c r="VF491" s="168"/>
      <c r="VG491" s="168"/>
      <c r="VH491" s="168"/>
      <c r="VI491" s="168"/>
      <c r="VJ491" s="168"/>
      <c r="VK491" s="168"/>
      <c r="VL491" s="168"/>
      <c r="VM491" s="168"/>
      <c r="VN491" s="168"/>
      <c r="VO491" s="168"/>
      <c r="VP491" s="168"/>
      <c r="VQ491" s="168"/>
      <c r="VR491" s="168"/>
      <c r="VS491" s="168"/>
      <c r="VT491" s="168"/>
      <c r="VU491" s="168"/>
      <c r="VV491" s="168"/>
      <c r="VW491" s="168"/>
      <c r="VX491" s="168"/>
      <c r="VY491" s="168"/>
      <c r="VZ491" s="168"/>
      <c r="WA491" s="168"/>
      <c r="WB491" s="168"/>
      <c r="WC491" s="168"/>
      <c r="WD491" s="168"/>
      <c r="WE491" s="168"/>
      <c r="WF491" s="168"/>
      <c r="WG491" s="168"/>
      <c r="WH491" s="168"/>
      <c r="WI491" s="168"/>
      <c r="WJ491" s="168"/>
      <c r="WK491" s="168"/>
      <c r="WL491" s="168"/>
      <c r="WM491" s="168"/>
      <c r="WN491" s="168"/>
      <c r="WO491" s="168"/>
      <c r="WP491" s="168"/>
      <c r="WQ491" s="168"/>
      <c r="WR491" s="168"/>
      <c r="WS491" s="168"/>
      <c r="WT491" s="168"/>
      <c r="WU491" s="168"/>
      <c r="WV491" s="168"/>
      <c r="WW491" s="168"/>
      <c r="WX491" s="168"/>
      <c r="WY491" s="168"/>
      <c r="WZ491" s="168"/>
      <c r="XA491" s="168"/>
      <c r="XB491" s="168"/>
      <c r="XC491" s="168"/>
      <c r="XD491" s="168"/>
      <c r="XE491" s="168"/>
      <c r="XF491" s="168"/>
      <c r="XG491" s="168"/>
      <c r="XH491" s="168"/>
      <c r="XI491" s="168"/>
      <c r="XJ491" s="168"/>
      <c r="XK491" s="168"/>
      <c r="XL491" s="168"/>
      <c r="XM491" s="168"/>
      <c r="XN491" s="168"/>
      <c r="XO491" s="168"/>
      <c r="XP491" s="168"/>
      <c r="XQ491" s="168"/>
      <c r="XR491" s="168"/>
      <c r="XS491" s="168"/>
      <c r="XT491" s="168"/>
      <c r="XU491" s="168"/>
      <c r="XV491" s="168"/>
      <c r="XW491" s="168"/>
      <c r="XX491" s="168"/>
      <c r="XY491" s="168"/>
      <c r="XZ491" s="168"/>
      <c r="YA491" s="168"/>
      <c r="YB491" s="168"/>
      <c r="YC491" s="168"/>
      <c r="YD491" s="168"/>
      <c r="YE491" s="168"/>
      <c r="YF491" s="168"/>
      <c r="YG491" s="168"/>
      <c r="YH491" s="168"/>
      <c r="YI491" s="168"/>
      <c r="YJ491" s="168"/>
      <c r="YK491" s="168"/>
      <c r="YL491" s="168"/>
      <c r="YM491" s="168"/>
      <c r="YN491" s="168"/>
      <c r="YO491" s="168"/>
      <c r="YP491" s="168"/>
      <c r="YQ491" s="168"/>
      <c r="YR491" s="168"/>
      <c r="YS491" s="168"/>
      <c r="YT491" s="168"/>
      <c r="YU491" s="168"/>
      <c r="YV491" s="168"/>
      <c r="YW491" s="168"/>
      <c r="YX491" s="168"/>
      <c r="YY491" s="168"/>
      <c r="YZ491" s="168"/>
      <c r="ZA491" s="168"/>
      <c r="ZB491" s="168"/>
      <c r="ZC491" s="168"/>
      <c r="ZD491" s="168"/>
      <c r="ZE491" s="168"/>
      <c r="ZF491" s="168"/>
      <c r="ZG491" s="168"/>
      <c r="ZH491" s="168"/>
      <c r="ZI491" s="168"/>
      <c r="ZJ491" s="168"/>
      <c r="ZK491" s="168"/>
      <c r="ZL491" s="168"/>
      <c r="ZM491" s="168"/>
      <c r="ZN491" s="168"/>
      <c r="ZO491" s="168"/>
      <c r="ZP491" s="168"/>
      <c r="ZQ491" s="168"/>
      <c r="ZR491" s="168"/>
      <c r="ZS491" s="168"/>
      <c r="ZT491" s="168"/>
      <c r="ZU491" s="168"/>
      <c r="ZV491" s="168"/>
      <c r="ZW491" s="168"/>
      <c r="ZX491" s="168"/>
      <c r="ZY491" s="168"/>
      <c r="ZZ491" s="168"/>
      <c r="AAA491" s="168"/>
      <c r="AAB491" s="168"/>
      <c r="AAC491" s="168"/>
      <c r="AAD491" s="168"/>
      <c r="AAE491" s="168"/>
      <c r="AAF491" s="168"/>
      <c r="AAG491" s="168"/>
      <c r="AAH491" s="168"/>
      <c r="AAI491" s="168"/>
      <c r="AAJ491" s="168"/>
      <c r="AAK491" s="168"/>
      <c r="AAL491" s="168"/>
      <c r="AAM491" s="168"/>
      <c r="AAN491" s="168"/>
      <c r="AAO491" s="168"/>
      <c r="AAP491" s="168"/>
      <c r="AAQ491" s="168"/>
      <c r="AAR491" s="168"/>
      <c r="AAS491" s="168"/>
      <c r="AAT491" s="168"/>
      <c r="AAU491" s="168"/>
      <c r="AAV491" s="168"/>
      <c r="AAW491" s="168"/>
      <c r="AAX491" s="168"/>
      <c r="AAY491" s="168"/>
      <c r="AAZ491" s="168"/>
      <c r="ABA491" s="168"/>
      <c r="ABB491" s="168"/>
      <c r="ABC491" s="168"/>
      <c r="ABD491" s="168"/>
      <c r="ABE491" s="168"/>
      <c r="ABF491" s="168"/>
      <c r="ABG491" s="168"/>
      <c r="ABH491" s="168"/>
      <c r="ABI491" s="168"/>
      <c r="ABJ491" s="168"/>
      <c r="ABK491" s="168"/>
      <c r="ABL491" s="168"/>
      <c r="ABM491" s="168"/>
      <c r="ABN491" s="168"/>
      <c r="ABO491" s="168"/>
      <c r="ABP491" s="168"/>
      <c r="ABQ491" s="168"/>
      <c r="ABR491" s="168"/>
      <c r="ABS491" s="168"/>
      <c r="ABT491" s="168"/>
      <c r="ABU491" s="168"/>
      <c r="ABV491" s="168"/>
      <c r="ABW491" s="168"/>
      <c r="ABX491" s="168"/>
      <c r="ABY491" s="168"/>
      <c r="ABZ491" s="168"/>
      <c r="ACA491" s="168"/>
      <c r="ACB491" s="168"/>
      <c r="ACC491" s="168"/>
      <c r="ACD491" s="168"/>
      <c r="ACE491" s="168"/>
      <c r="ACF491" s="168"/>
      <c r="ACG491" s="168"/>
      <c r="ACH491" s="168"/>
      <c r="ACI491" s="168"/>
      <c r="ACJ491" s="168"/>
      <c r="ACK491" s="168"/>
      <c r="ACL491" s="168"/>
      <c r="ACM491" s="168"/>
      <c r="ACN491" s="168"/>
      <c r="ACO491" s="168"/>
      <c r="ACP491" s="168"/>
      <c r="ACQ491" s="168"/>
      <c r="ACR491" s="168"/>
      <c r="ACS491" s="168"/>
      <c r="ACT491" s="168"/>
      <c r="ACU491" s="168"/>
      <c r="ACV491" s="168"/>
      <c r="ACW491" s="168"/>
      <c r="ACX491" s="168"/>
      <c r="ACY491" s="168"/>
      <c r="ACZ491" s="168"/>
      <c r="ADA491" s="168"/>
      <c r="ADB491" s="168"/>
      <c r="ADC491" s="168"/>
      <c r="ADD491" s="168"/>
      <c r="ADE491" s="168"/>
      <c r="ADF491" s="168"/>
      <c r="ADG491" s="168"/>
      <c r="ADH491" s="168"/>
      <c r="ADI491" s="168"/>
      <c r="ADJ491" s="168"/>
      <c r="ADK491" s="168"/>
      <c r="ADL491" s="168"/>
      <c r="ADM491" s="168"/>
      <c r="ADN491" s="168"/>
      <c r="ADO491" s="168"/>
      <c r="ADP491" s="168"/>
      <c r="ADQ491" s="168"/>
      <c r="ADR491" s="168"/>
      <c r="ADS491" s="168"/>
      <c r="ADT491" s="168"/>
      <c r="ADU491" s="168"/>
      <c r="ADV491" s="168"/>
      <c r="ADW491" s="168"/>
      <c r="ADX491" s="168"/>
      <c r="ADY491" s="168"/>
      <c r="ADZ491" s="168"/>
      <c r="AEA491" s="168"/>
      <c r="AEB491" s="168"/>
      <c r="AEC491" s="168"/>
      <c r="AED491" s="168"/>
      <c r="AEE491" s="168"/>
      <c r="AEF491" s="168"/>
      <c r="AEG491" s="168"/>
      <c r="AEH491" s="168"/>
      <c r="AEI491" s="168"/>
      <c r="AEJ491" s="168"/>
      <c r="AEK491" s="168"/>
      <c r="AEL491" s="168"/>
      <c r="AEM491" s="168"/>
      <c r="AEN491" s="168"/>
      <c r="AEO491" s="168"/>
      <c r="AEP491" s="168"/>
      <c r="AEQ491" s="168"/>
      <c r="AER491" s="168"/>
      <c r="AES491" s="168"/>
      <c r="AET491" s="168"/>
      <c r="AEU491" s="168"/>
      <c r="AEV491" s="168"/>
      <c r="AEW491" s="168"/>
      <c r="AEX491" s="168"/>
      <c r="AEY491" s="168"/>
      <c r="AEZ491" s="168"/>
      <c r="AFA491" s="168"/>
      <c r="AFB491" s="168"/>
      <c r="AFC491" s="168"/>
      <c r="AFD491" s="168"/>
      <c r="AFE491" s="168"/>
      <c r="AFF491" s="168"/>
      <c r="AFG491" s="168"/>
      <c r="AFH491" s="168"/>
      <c r="AFI491" s="168"/>
      <c r="AFJ491" s="168"/>
      <c r="AFK491" s="168"/>
      <c r="AFL491" s="168"/>
      <c r="AFM491" s="168"/>
      <c r="AFN491" s="168"/>
      <c r="AFO491" s="168"/>
      <c r="AFP491" s="168"/>
      <c r="AFQ491" s="168"/>
      <c r="AFR491" s="168"/>
      <c r="AFS491" s="168"/>
      <c r="AFT491" s="168"/>
      <c r="AFU491" s="168"/>
      <c r="AFV491" s="168"/>
      <c r="AFW491" s="168"/>
      <c r="AFX491" s="168"/>
      <c r="AFY491" s="168"/>
      <c r="AFZ491" s="168"/>
      <c r="AGA491" s="168"/>
      <c r="AGB491" s="168"/>
      <c r="AGC491" s="168"/>
      <c r="AGD491" s="168"/>
      <c r="AGE491" s="168"/>
      <c r="AGF491" s="168"/>
      <c r="AGG491" s="168"/>
      <c r="AGH491" s="168"/>
      <c r="AGI491" s="168"/>
      <c r="AGJ491" s="168"/>
      <c r="AGK491" s="168"/>
      <c r="AGL491" s="168"/>
      <c r="AGM491" s="168"/>
      <c r="AGN491" s="168"/>
      <c r="AGO491" s="168"/>
      <c r="AGP491" s="168"/>
      <c r="AGQ491" s="168"/>
      <c r="AGR491" s="168"/>
      <c r="AGS491" s="168"/>
      <c r="AGT491" s="168"/>
      <c r="AGU491" s="168"/>
      <c r="AGV491" s="168"/>
      <c r="AGW491" s="168"/>
      <c r="AGX491" s="168"/>
      <c r="AGY491" s="168"/>
      <c r="AGZ491" s="168"/>
      <c r="AHA491" s="168"/>
      <c r="AHB491" s="168"/>
      <c r="AHC491" s="168"/>
      <c r="AHD491" s="168"/>
      <c r="AHE491" s="168"/>
      <c r="AHF491" s="168"/>
      <c r="AHG491" s="168"/>
      <c r="AHH491" s="168"/>
      <c r="AHI491" s="168"/>
      <c r="AHJ491" s="168"/>
      <c r="AHK491" s="168"/>
      <c r="AHL491" s="168"/>
      <c r="AHM491" s="168"/>
      <c r="AHN491" s="168"/>
      <c r="AHO491" s="168"/>
      <c r="AHP491" s="168"/>
      <c r="AHQ491" s="168"/>
      <c r="AHR491" s="168"/>
      <c r="AHS491" s="168"/>
      <c r="AHT491" s="168"/>
      <c r="AHU491" s="168"/>
      <c r="AHV491" s="168"/>
      <c r="AHW491" s="168"/>
      <c r="AHX491" s="168"/>
      <c r="AHY491" s="168"/>
      <c r="AHZ491" s="168"/>
      <c r="AIA491" s="168"/>
      <c r="AIB491" s="168"/>
      <c r="AIC491" s="168"/>
      <c r="AID491" s="168"/>
      <c r="AIE491" s="168"/>
      <c r="AIF491" s="168"/>
      <c r="AIG491" s="168"/>
      <c r="AIH491" s="168"/>
      <c r="AII491" s="168"/>
      <c r="AIJ491" s="168"/>
      <c r="AIK491" s="168"/>
      <c r="AIL491" s="168"/>
      <c r="AIM491" s="168"/>
      <c r="AIN491" s="168"/>
      <c r="AIO491" s="168"/>
      <c r="AIP491" s="168"/>
      <c r="AIQ491" s="168"/>
      <c r="AIR491" s="168"/>
      <c r="AIS491" s="168"/>
      <c r="AIT491" s="168"/>
      <c r="AIU491" s="168"/>
      <c r="AIV491" s="168"/>
      <c r="AIW491" s="168"/>
      <c r="AIX491" s="168"/>
      <c r="AIY491" s="168"/>
      <c r="AIZ491" s="168"/>
      <c r="AJA491" s="168"/>
      <c r="AJB491" s="168"/>
      <c r="AJC491" s="168"/>
      <c r="AJD491" s="168"/>
      <c r="AJE491" s="168"/>
      <c r="AJF491" s="168"/>
      <c r="AJG491" s="168"/>
      <c r="AJH491" s="168"/>
      <c r="AJI491" s="168"/>
      <c r="AJJ491" s="168"/>
      <c r="AJK491" s="168"/>
      <c r="AJL491" s="168"/>
      <c r="AJM491" s="168"/>
      <c r="AJN491" s="168"/>
      <c r="AJO491" s="168"/>
      <c r="AJP491" s="168"/>
      <c r="AJQ491" s="168"/>
      <c r="AJR491" s="168"/>
      <c r="AJS491" s="168"/>
      <c r="AJT491" s="168"/>
      <c r="AJU491" s="168"/>
      <c r="AJV491" s="168"/>
      <c r="AJW491" s="168"/>
      <c r="AJX491" s="168"/>
      <c r="AJY491" s="168"/>
      <c r="AJZ491" s="168"/>
      <c r="AKA491" s="168"/>
      <c r="AKB491" s="168"/>
      <c r="AKC491" s="168"/>
      <c r="AKD491" s="168"/>
      <c r="AKE491" s="168"/>
      <c r="AKF491" s="168"/>
      <c r="AKG491" s="168"/>
      <c r="AKH491" s="168"/>
      <c r="AKI491" s="168"/>
      <c r="AKJ491" s="168"/>
      <c r="AKK491" s="168"/>
      <c r="AKL491" s="168"/>
      <c r="AKM491" s="168"/>
      <c r="AKN491" s="168"/>
      <c r="AKO491" s="168"/>
      <c r="AKP491" s="168"/>
      <c r="AKQ491" s="168"/>
      <c r="AKR491" s="168"/>
      <c r="AKS491" s="168"/>
      <c r="AKT491" s="168"/>
      <c r="AKU491" s="168"/>
      <c r="AKV491" s="168"/>
      <c r="AKW491" s="168"/>
      <c r="AKX491" s="168"/>
      <c r="AKY491" s="168"/>
      <c r="AKZ491" s="168"/>
      <c r="ALA491" s="168"/>
      <c r="ALB491" s="168"/>
      <c r="ALC491" s="168"/>
      <c r="ALD491" s="168"/>
      <c r="ALE491" s="168"/>
      <c r="ALF491" s="168"/>
      <c r="ALG491" s="168"/>
      <c r="ALH491" s="168"/>
      <c r="ALI491" s="168"/>
      <c r="ALJ491" s="168"/>
      <c r="ALK491" s="168"/>
      <c r="ALL491" s="168"/>
      <c r="ALM491" s="168"/>
      <c r="ALN491" s="168"/>
      <c r="ALO491" s="168"/>
      <c r="ALP491" s="168"/>
      <c r="ALQ491" s="168"/>
      <c r="ALR491" s="168"/>
      <c r="ALS491" s="168"/>
      <c r="ALT491" s="168"/>
      <c r="ALU491" s="168"/>
      <c r="ALV491" s="168"/>
      <c r="ALW491" s="168"/>
      <c r="ALX491" s="168"/>
      <c r="ALY491" s="168"/>
      <c r="ALZ491" s="168"/>
      <c r="AMA491" s="168"/>
      <c r="AMB491" s="168"/>
      <c r="AMC491" s="168"/>
      <c r="AMD491" s="168"/>
      <c r="AME491" s="168"/>
      <c r="AMF491" s="168"/>
      <c r="AMG491" s="168"/>
      <c r="AMH491" s="168"/>
      <c r="AMI491" s="168"/>
      <c r="AMJ491" s="168"/>
      <c r="AMK491" s="168"/>
      <c r="AML491" s="168"/>
      <c r="AMM491" s="168"/>
      <c r="AMN491" s="168"/>
      <c r="AMO491" s="168"/>
      <c r="AMP491" s="168"/>
      <c r="AMQ491" s="168"/>
      <c r="AMR491" s="168"/>
      <c r="AMS491" s="168"/>
      <c r="AMT491" s="168"/>
      <c r="AMU491" s="168"/>
      <c r="AMV491" s="168"/>
      <c r="AMW491" s="168"/>
      <c r="AMX491" s="168"/>
      <c r="AMY491" s="168"/>
      <c r="AMZ491" s="168"/>
      <c r="ANA491" s="168"/>
      <c r="ANB491" s="168"/>
      <c r="ANC491" s="168"/>
      <c r="AND491" s="168"/>
      <c r="ANE491" s="168"/>
      <c r="ANF491" s="168"/>
      <c r="ANG491" s="168"/>
      <c r="ANH491" s="168"/>
      <c r="ANI491" s="168"/>
      <c r="ANJ491" s="168"/>
      <c r="ANK491" s="168"/>
      <c r="ANL491" s="168"/>
      <c r="ANM491" s="168"/>
      <c r="ANN491" s="168"/>
      <c r="ANO491" s="168"/>
      <c r="ANP491" s="168"/>
      <c r="ANQ491" s="168"/>
      <c r="ANR491" s="168"/>
      <c r="ANS491" s="168"/>
      <c r="ANT491" s="168"/>
      <c r="ANU491" s="168"/>
      <c r="ANV491" s="168"/>
      <c r="ANW491" s="168"/>
      <c r="ANX491" s="168"/>
      <c r="ANY491" s="168"/>
      <c r="ANZ491" s="168"/>
      <c r="AOA491" s="168"/>
      <c r="AOB491" s="168"/>
      <c r="AOC491" s="168"/>
      <c r="AOD491" s="168"/>
      <c r="AOE491" s="168"/>
      <c r="AOF491" s="168"/>
      <c r="AOG491" s="168"/>
      <c r="AOH491" s="168"/>
      <c r="AOI491" s="168"/>
      <c r="AOJ491" s="168"/>
      <c r="AOK491" s="168"/>
      <c r="AOL491" s="168"/>
      <c r="AOM491" s="168"/>
      <c r="AON491" s="168"/>
      <c r="AOO491" s="168"/>
      <c r="AOP491" s="168"/>
      <c r="AOQ491" s="168"/>
      <c r="AOR491" s="168"/>
      <c r="AOS491" s="168"/>
      <c r="AOT491" s="168"/>
      <c r="AOU491" s="168"/>
      <c r="AOV491" s="168"/>
      <c r="AOW491" s="168"/>
      <c r="AOX491" s="168"/>
      <c r="AOY491" s="168"/>
      <c r="AOZ491" s="168"/>
      <c r="APA491" s="168"/>
      <c r="APB491" s="168"/>
      <c r="APC491" s="168"/>
      <c r="APD491" s="168"/>
      <c r="APE491" s="168"/>
      <c r="APF491" s="168"/>
      <c r="APG491" s="168"/>
      <c r="APH491" s="168"/>
      <c r="API491" s="168"/>
      <c r="APJ491" s="168"/>
      <c r="APK491" s="168"/>
      <c r="APL491" s="168"/>
      <c r="APM491" s="168"/>
      <c r="APN491" s="168"/>
      <c r="APO491" s="168"/>
      <c r="APP491" s="168"/>
      <c r="APQ491" s="168"/>
      <c r="APR491" s="168"/>
      <c r="APS491" s="168"/>
      <c r="APT491" s="168"/>
      <c r="APU491" s="168"/>
      <c r="APV491" s="168"/>
      <c r="APW491" s="168"/>
      <c r="APX491" s="168"/>
      <c r="APY491" s="168"/>
      <c r="APZ491" s="168"/>
      <c r="AQA491" s="168"/>
      <c r="AQB491" s="168"/>
      <c r="AQC491" s="168"/>
      <c r="AQD491" s="168"/>
      <c r="AQE491" s="168"/>
      <c r="AQF491" s="168"/>
      <c r="AQG491" s="168"/>
      <c r="AQH491" s="168"/>
      <c r="AQI491" s="168"/>
      <c r="AQJ491" s="168"/>
      <c r="AQK491" s="168"/>
      <c r="AQL491" s="168"/>
      <c r="AQM491" s="168"/>
      <c r="AQN491" s="168"/>
      <c r="AQO491" s="168"/>
      <c r="AQP491" s="168"/>
      <c r="AQQ491" s="168"/>
      <c r="AQR491" s="168"/>
      <c r="AQS491" s="168"/>
      <c r="AQT491" s="168"/>
      <c r="AQU491" s="168"/>
      <c r="AQV491" s="168"/>
      <c r="AQW491" s="168"/>
      <c r="AQX491" s="168"/>
      <c r="AQY491" s="168"/>
      <c r="AQZ491" s="168"/>
      <c r="ARA491" s="168"/>
      <c r="ARB491" s="168"/>
      <c r="ARC491" s="168"/>
      <c r="ARD491" s="168"/>
      <c r="ARE491" s="168"/>
      <c r="ARF491" s="168"/>
      <c r="ARG491" s="168"/>
      <c r="ARH491" s="168"/>
      <c r="ARI491" s="168"/>
      <c r="ARJ491" s="168"/>
      <c r="ARK491" s="168"/>
      <c r="ARL491" s="168"/>
      <c r="ARM491" s="168"/>
      <c r="ARN491" s="168"/>
      <c r="ARO491" s="168"/>
      <c r="ARP491" s="168"/>
      <c r="ARQ491" s="168"/>
      <c r="ARR491" s="168"/>
      <c r="ARS491" s="168"/>
      <c r="ART491" s="168"/>
      <c r="ARU491" s="168"/>
      <c r="ARV491" s="168"/>
      <c r="ARW491" s="168"/>
      <c r="ARX491" s="168"/>
      <c r="ARY491" s="168"/>
      <c r="ARZ491" s="168"/>
      <c r="ASA491" s="168"/>
      <c r="ASB491" s="168"/>
      <c r="ASC491" s="168"/>
      <c r="ASD491" s="168"/>
      <c r="ASE491" s="168"/>
      <c r="ASF491" s="168"/>
      <c r="ASG491" s="168"/>
      <c r="ASH491" s="168"/>
      <c r="ASI491" s="168"/>
      <c r="ASJ491" s="168"/>
      <c r="ASK491" s="168"/>
      <c r="ASL491" s="168"/>
      <c r="ASM491" s="168"/>
      <c r="ASN491" s="168"/>
      <c r="ASO491" s="168"/>
      <c r="ASP491" s="168"/>
      <c r="ASQ491" s="168"/>
      <c r="ASR491" s="168"/>
      <c r="ASS491" s="168"/>
      <c r="AST491" s="168"/>
      <c r="ASU491" s="168"/>
      <c r="ASV491" s="168"/>
      <c r="ASW491" s="168"/>
      <c r="ASX491" s="168"/>
      <c r="ASY491" s="168"/>
      <c r="ASZ491" s="168"/>
      <c r="ATA491" s="168"/>
      <c r="ATB491" s="168"/>
      <c r="ATC491" s="168"/>
      <c r="ATD491" s="168"/>
      <c r="ATE491" s="168"/>
      <c r="ATF491" s="168"/>
      <c r="ATG491" s="168"/>
      <c r="ATH491" s="168"/>
      <c r="ATI491" s="168"/>
      <c r="ATJ491" s="168"/>
      <c r="ATK491" s="168"/>
      <c r="ATL491" s="168"/>
      <c r="ATM491" s="168"/>
      <c r="ATN491" s="168"/>
      <c r="ATO491" s="168"/>
      <c r="ATP491" s="168"/>
      <c r="ATQ491" s="168"/>
      <c r="ATR491" s="168"/>
      <c r="ATS491" s="168"/>
      <c r="ATT491" s="168"/>
      <c r="ATU491" s="168"/>
      <c r="ATV491" s="168"/>
      <c r="ATW491" s="168"/>
      <c r="ATX491" s="168"/>
      <c r="ATY491" s="168"/>
      <c r="ATZ491" s="168"/>
      <c r="AUA491" s="168"/>
      <c r="AUB491" s="168"/>
      <c r="AUC491" s="168"/>
      <c r="AUD491" s="168"/>
      <c r="AUE491" s="168"/>
      <c r="AUF491" s="168"/>
      <c r="AUG491" s="168"/>
      <c r="AUH491" s="168"/>
      <c r="AUI491" s="168"/>
      <c r="AUJ491" s="168"/>
      <c r="AUK491" s="168"/>
      <c r="AUL491" s="168"/>
      <c r="AUM491" s="168"/>
      <c r="AUN491" s="168"/>
      <c r="AUO491" s="168"/>
      <c r="AUP491" s="168"/>
      <c r="AUQ491" s="168"/>
      <c r="AUR491" s="168"/>
      <c r="AUS491" s="168"/>
      <c r="AUT491" s="168"/>
      <c r="AUU491" s="168"/>
      <c r="AUV491" s="168"/>
      <c r="AUW491" s="168"/>
      <c r="AUX491" s="168"/>
      <c r="AUY491" s="168"/>
      <c r="AUZ491" s="168"/>
      <c r="AVA491" s="168"/>
      <c r="AVB491" s="168"/>
      <c r="AVC491" s="168"/>
      <c r="AVD491" s="168"/>
      <c r="AVE491" s="168"/>
      <c r="AVF491" s="168"/>
      <c r="AVG491" s="168"/>
      <c r="AVH491" s="168"/>
      <c r="AVI491" s="168"/>
      <c r="AVJ491" s="168"/>
      <c r="AVK491" s="168"/>
      <c r="AVL491" s="168"/>
      <c r="AVM491" s="168"/>
      <c r="AVN491" s="168"/>
      <c r="AVO491" s="168"/>
      <c r="AVP491" s="168"/>
      <c r="AVQ491" s="168"/>
      <c r="AVR491" s="168"/>
      <c r="AVS491" s="168"/>
      <c r="AVT491" s="168"/>
      <c r="AVU491" s="168"/>
      <c r="AVV491" s="168"/>
      <c r="AVW491" s="168"/>
      <c r="AVX491" s="168"/>
      <c r="AVY491" s="168"/>
      <c r="AVZ491" s="168"/>
      <c r="AWA491" s="168"/>
      <c r="AWB491" s="168"/>
      <c r="AWC491" s="168"/>
      <c r="AWD491" s="168"/>
      <c r="AWE491" s="168"/>
      <c r="AWF491" s="168"/>
      <c r="AWG491" s="168"/>
      <c r="AWH491" s="168"/>
      <c r="AWI491" s="168"/>
      <c r="AWJ491" s="168"/>
      <c r="AWK491" s="168"/>
      <c r="AWL491" s="168"/>
      <c r="AWM491" s="168"/>
      <c r="AWN491" s="168"/>
      <c r="AWO491" s="168"/>
      <c r="AWP491" s="168"/>
      <c r="AWQ491" s="168"/>
      <c r="AWR491" s="168"/>
      <c r="AWS491" s="168"/>
      <c r="AWT491" s="168"/>
      <c r="AWU491" s="168"/>
      <c r="AWV491" s="168"/>
      <c r="AWW491" s="168"/>
      <c r="AWX491" s="168"/>
      <c r="AWY491" s="168"/>
      <c r="AWZ491" s="168"/>
      <c r="AXA491" s="168"/>
      <c r="AXB491" s="168"/>
      <c r="AXC491" s="168"/>
      <c r="AXD491" s="168"/>
      <c r="AXE491" s="168"/>
      <c r="AXF491" s="168"/>
      <c r="AXG491" s="168"/>
      <c r="AXH491" s="168"/>
      <c r="AXI491" s="168"/>
      <c r="AXJ491" s="168"/>
      <c r="AXK491" s="168"/>
      <c r="AXL491" s="168"/>
      <c r="AXM491" s="168"/>
      <c r="AXN491" s="168"/>
      <c r="AXO491" s="168"/>
      <c r="AXP491" s="168"/>
      <c r="AXQ491" s="168"/>
      <c r="AXR491" s="168"/>
      <c r="AXS491" s="168"/>
      <c r="AXT491" s="168"/>
      <c r="AXU491" s="168"/>
      <c r="AXV491" s="168"/>
      <c r="AXW491" s="168"/>
      <c r="AXX491" s="168"/>
      <c r="AXY491" s="168"/>
      <c r="AXZ491" s="168"/>
      <c r="AYA491" s="168"/>
      <c r="AYB491" s="168"/>
      <c r="AYC491" s="168"/>
      <c r="AYD491" s="168"/>
      <c r="AYE491" s="168"/>
      <c r="AYF491" s="168"/>
      <c r="AYG491" s="168"/>
      <c r="AYH491" s="168"/>
      <c r="AYI491" s="168"/>
      <c r="AYJ491" s="168"/>
      <c r="AYK491" s="168"/>
      <c r="AYL491" s="168"/>
      <c r="AYM491" s="168"/>
      <c r="AYN491" s="168"/>
      <c r="AYO491" s="168"/>
      <c r="AYP491" s="168"/>
      <c r="AYQ491" s="168"/>
      <c r="AYR491" s="168"/>
      <c r="AYS491" s="168"/>
      <c r="AYT491" s="168"/>
      <c r="AYU491" s="168"/>
      <c r="AYV491" s="168"/>
      <c r="AYW491" s="168"/>
      <c r="AYX491" s="168"/>
      <c r="AYY491" s="168"/>
      <c r="AYZ491" s="168"/>
      <c r="AZA491" s="168"/>
      <c r="AZB491" s="168"/>
      <c r="AZC491" s="168"/>
      <c r="AZD491" s="168"/>
      <c r="AZE491" s="168"/>
      <c r="AZF491" s="168"/>
      <c r="AZG491" s="168"/>
      <c r="AZH491" s="168"/>
      <c r="AZI491" s="168"/>
      <c r="AZJ491" s="168"/>
      <c r="AZK491" s="168"/>
      <c r="AZL491" s="168"/>
      <c r="AZM491" s="168"/>
      <c r="AZN491" s="168"/>
      <c r="AZO491" s="168"/>
      <c r="AZP491" s="168"/>
      <c r="AZQ491" s="168"/>
      <c r="AZR491" s="168"/>
      <c r="AZS491" s="168"/>
      <c r="AZT491" s="168"/>
      <c r="AZU491" s="168"/>
      <c r="AZV491" s="168"/>
      <c r="AZW491" s="168"/>
      <c r="AZX491" s="168"/>
      <c r="AZY491" s="168"/>
      <c r="AZZ491" s="168"/>
      <c r="BAA491" s="168"/>
      <c r="BAB491" s="168"/>
      <c r="BAC491" s="168"/>
      <c r="BAD491" s="168"/>
      <c r="BAE491" s="168"/>
      <c r="BAF491" s="168"/>
      <c r="BAG491" s="168"/>
      <c r="BAH491" s="168"/>
      <c r="BAI491" s="168"/>
      <c r="BAJ491" s="168"/>
      <c r="BAK491" s="168"/>
      <c r="BAL491" s="168"/>
      <c r="BAM491" s="168"/>
      <c r="BAN491" s="168"/>
      <c r="BAO491" s="168"/>
      <c r="BAP491" s="168"/>
      <c r="BAQ491" s="168"/>
      <c r="BAR491" s="168"/>
      <c r="BAS491" s="168"/>
      <c r="BAT491" s="168"/>
      <c r="BAU491" s="168"/>
      <c r="BAV491" s="168"/>
      <c r="BAW491" s="168"/>
      <c r="BAX491" s="168"/>
      <c r="BAY491" s="168"/>
      <c r="BAZ491" s="168"/>
      <c r="BBA491" s="168"/>
      <c r="BBB491" s="168"/>
      <c r="BBC491" s="168"/>
      <c r="BBD491" s="168"/>
      <c r="BBE491" s="168"/>
      <c r="BBF491" s="168"/>
      <c r="BBG491" s="168"/>
      <c r="BBH491" s="168"/>
      <c r="BBI491" s="168"/>
      <c r="BBJ491" s="168"/>
      <c r="BBK491" s="168"/>
      <c r="BBL491" s="168"/>
      <c r="BBM491" s="168"/>
      <c r="BBN491" s="168"/>
      <c r="BBO491" s="168"/>
      <c r="BBP491" s="168"/>
      <c r="BBQ491" s="168"/>
      <c r="BBR491" s="168"/>
      <c r="BBS491" s="168"/>
      <c r="BBT491" s="168"/>
      <c r="BBU491" s="168"/>
      <c r="BBV491" s="168"/>
      <c r="BBW491" s="168"/>
      <c r="BBX491" s="168"/>
      <c r="BBY491" s="168"/>
      <c r="BBZ491" s="168"/>
      <c r="BCA491" s="168"/>
      <c r="BCB491" s="168"/>
      <c r="BCC491" s="168"/>
      <c r="BCD491" s="168"/>
      <c r="BCE491" s="168"/>
      <c r="BCF491" s="168"/>
      <c r="BCG491" s="168"/>
      <c r="BCH491" s="168"/>
      <c r="BCI491" s="168"/>
      <c r="BCJ491" s="168"/>
      <c r="BCK491" s="168"/>
      <c r="BCL491" s="168"/>
      <c r="BCM491" s="168"/>
      <c r="BCN491" s="168"/>
      <c r="BCO491" s="168"/>
      <c r="BCP491" s="168"/>
      <c r="BCQ491" s="168"/>
      <c r="BCR491" s="168"/>
      <c r="BCS491" s="168"/>
      <c r="BCT491" s="168"/>
      <c r="BCU491" s="168"/>
      <c r="BCV491" s="168"/>
      <c r="BCW491" s="168"/>
      <c r="BCX491" s="168"/>
      <c r="BCY491" s="168"/>
      <c r="BCZ491" s="168"/>
      <c r="BDA491" s="168"/>
      <c r="BDB491" s="168"/>
      <c r="BDC491" s="168"/>
      <c r="BDD491" s="168"/>
      <c r="BDE491" s="168"/>
      <c r="BDF491" s="168"/>
      <c r="BDG491" s="168"/>
      <c r="BDH491" s="168"/>
      <c r="BDI491" s="168"/>
      <c r="BDJ491" s="168"/>
      <c r="BDK491" s="168"/>
      <c r="BDL491" s="168"/>
      <c r="BDM491" s="168"/>
      <c r="BDN491" s="168"/>
      <c r="BDO491" s="168"/>
      <c r="BDP491" s="168"/>
      <c r="BDQ491" s="168"/>
      <c r="BDR491" s="168"/>
      <c r="BDS491" s="168"/>
      <c r="BDT491" s="168"/>
      <c r="BDU491" s="168"/>
      <c r="BDV491" s="168"/>
      <c r="BDW491" s="168"/>
      <c r="BDX491" s="168"/>
      <c r="BDY491" s="168"/>
      <c r="BDZ491" s="168"/>
      <c r="BEA491" s="168"/>
      <c r="BEB491" s="168"/>
      <c r="BEC491" s="168"/>
      <c r="BED491" s="168"/>
      <c r="BEE491" s="168"/>
      <c r="BEF491" s="168"/>
      <c r="BEG491" s="168"/>
      <c r="BEH491" s="168"/>
      <c r="BEI491" s="168"/>
      <c r="BEJ491" s="168"/>
      <c r="BEK491" s="168"/>
      <c r="BEL491" s="168"/>
      <c r="BEM491" s="168"/>
      <c r="BEN491" s="168"/>
      <c r="BEO491" s="168"/>
      <c r="BEP491" s="168"/>
      <c r="BEQ491" s="168"/>
      <c r="BER491" s="168"/>
      <c r="BES491" s="168"/>
      <c r="BET491" s="168"/>
      <c r="BEU491" s="168"/>
      <c r="BEV491" s="168"/>
      <c r="BEW491" s="168"/>
      <c r="BEX491" s="168"/>
      <c r="BEY491" s="168"/>
      <c r="BEZ491" s="168"/>
      <c r="BFA491" s="168"/>
      <c r="BFB491" s="168"/>
      <c r="BFC491" s="168"/>
      <c r="BFD491" s="168"/>
      <c r="BFE491" s="168"/>
      <c r="BFF491" s="168"/>
      <c r="BFG491" s="168"/>
      <c r="BFH491" s="168"/>
      <c r="BFI491" s="168"/>
      <c r="BFJ491" s="168"/>
      <c r="BFK491" s="168"/>
      <c r="BFL491" s="168"/>
      <c r="BFM491" s="168"/>
      <c r="BFN491" s="168"/>
      <c r="BFO491" s="168"/>
      <c r="BFP491" s="168"/>
      <c r="BFQ491" s="168"/>
      <c r="BFR491" s="168"/>
      <c r="BFS491" s="168"/>
      <c r="BFT491" s="168"/>
      <c r="BFU491" s="168"/>
      <c r="BFV491" s="168"/>
      <c r="BFW491" s="168"/>
      <c r="BFX491" s="168"/>
      <c r="BFY491" s="168"/>
      <c r="BFZ491" s="168"/>
      <c r="BGA491" s="168"/>
      <c r="BGB491" s="168"/>
      <c r="BGC491" s="168"/>
      <c r="BGD491" s="168"/>
      <c r="BGE491" s="168"/>
      <c r="BGF491" s="168"/>
      <c r="BGG491" s="168"/>
      <c r="BGH491" s="168"/>
      <c r="BGI491" s="168"/>
      <c r="BGJ491" s="168"/>
      <c r="BGK491" s="168"/>
      <c r="BGL491" s="168"/>
      <c r="BGM491" s="168"/>
      <c r="BGN491" s="168"/>
      <c r="BGO491" s="168"/>
      <c r="BGP491" s="168"/>
      <c r="BGQ491" s="168"/>
      <c r="BGR491" s="168"/>
      <c r="BGS491" s="168"/>
      <c r="BGT491" s="168"/>
      <c r="BGU491" s="168"/>
      <c r="BGV491" s="168"/>
      <c r="BGW491" s="168"/>
      <c r="BGX491" s="168"/>
      <c r="BGY491" s="168"/>
      <c r="BGZ491" s="168"/>
      <c r="BHA491" s="168"/>
      <c r="BHB491" s="168"/>
      <c r="BHC491" s="168"/>
      <c r="BHD491" s="168"/>
      <c r="BHE491" s="168"/>
      <c r="BHF491" s="168"/>
      <c r="BHG491" s="168"/>
      <c r="BHH491" s="168"/>
      <c r="BHI491" s="168"/>
      <c r="BHJ491" s="168"/>
      <c r="BHK491" s="168"/>
      <c r="BHL491" s="168"/>
      <c r="BHM491" s="168"/>
      <c r="BHN491" s="168"/>
      <c r="BHO491" s="168"/>
      <c r="BHP491" s="168"/>
      <c r="BHQ491" s="168"/>
      <c r="BHR491" s="168"/>
      <c r="BHS491" s="168"/>
      <c r="BHT491" s="168"/>
      <c r="BHU491" s="168"/>
      <c r="BHV491" s="168"/>
      <c r="BHW491" s="168"/>
      <c r="BHX491" s="168"/>
      <c r="BHY491" s="168"/>
      <c r="BHZ491" s="168"/>
      <c r="BIA491" s="168"/>
      <c r="BIB491" s="168"/>
      <c r="BIC491" s="168"/>
      <c r="BID491" s="168"/>
      <c r="BIE491" s="168"/>
      <c r="BIF491" s="168"/>
      <c r="BIG491" s="168"/>
      <c r="BIH491" s="168"/>
      <c r="BII491" s="168"/>
      <c r="BIJ491" s="168"/>
      <c r="BIK491" s="168"/>
      <c r="BIL491" s="168"/>
      <c r="BIM491" s="168"/>
      <c r="BIN491" s="168"/>
      <c r="BIO491" s="168"/>
      <c r="BIP491" s="168"/>
      <c r="BIQ491" s="168"/>
      <c r="BIR491" s="168"/>
      <c r="BIS491" s="168"/>
      <c r="BIT491" s="168"/>
      <c r="BIU491" s="168"/>
      <c r="BIV491" s="168"/>
      <c r="BIW491" s="168"/>
      <c r="BIX491" s="168"/>
      <c r="BIY491" s="168"/>
      <c r="BIZ491" s="168"/>
      <c r="BJA491" s="168"/>
      <c r="BJB491" s="168"/>
      <c r="BJC491" s="168"/>
      <c r="BJD491" s="168"/>
      <c r="BJE491" s="168"/>
      <c r="BJF491" s="168"/>
      <c r="BJG491" s="168"/>
      <c r="BJH491" s="168"/>
      <c r="BJI491" s="168"/>
      <c r="BJJ491" s="168"/>
      <c r="BJK491" s="168"/>
      <c r="BJL491" s="168"/>
      <c r="BJM491" s="168"/>
      <c r="BJN491" s="168"/>
      <c r="BJO491" s="168"/>
      <c r="BJP491" s="168"/>
      <c r="BJQ491" s="168"/>
      <c r="BJR491" s="168"/>
      <c r="BJS491" s="168"/>
      <c r="BJT491" s="168"/>
      <c r="BJU491" s="168"/>
      <c r="BJV491" s="168"/>
      <c r="BJW491" s="168"/>
      <c r="BJX491" s="168"/>
      <c r="BJY491" s="168"/>
      <c r="BJZ491" s="168"/>
      <c r="BKA491" s="168"/>
      <c r="BKB491" s="168"/>
      <c r="BKC491" s="168"/>
      <c r="BKD491" s="168"/>
      <c r="BKE491" s="168"/>
      <c r="BKF491" s="168"/>
      <c r="BKG491" s="168"/>
      <c r="BKH491" s="168"/>
      <c r="BKI491" s="168"/>
      <c r="BKJ491" s="168"/>
      <c r="BKK491" s="168"/>
      <c r="BKL491" s="168"/>
      <c r="BKM491" s="168"/>
      <c r="BKN491" s="168"/>
      <c r="BKO491" s="168"/>
      <c r="BKP491" s="168"/>
      <c r="BKQ491" s="168"/>
      <c r="BKR491" s="168"/>
      <c r="BKS491" s="168"/>
      <c r="BKT491" s="168"/>
      <c r="BKU491" s="168"/>
      <c r="BKV491" s="168"/>
      <c r="BKW491" s="168"/>
      <c r="BKX491" s="168"/>
      <c r="BKY491" s="168"/>
      <c r="BKZ491" s="168"/>
      <c r="BLA491" s="168"/>
      <c r="BLB491" s="168"/>
      <c r="BLC491" s="168"/>
      <c r="BLD491" s="168"/>
      <c r="BLE491" s="168"/>
      <c r="BLF491" s="168"/>
      <c r="BLG491" s="168"/>
      <c r="BLH491" s="168"/>
      <c r="BLI491" s="168"/>
      <c r="BLJ491" s="168"/>
      <c r="BLK491" s="168"/>
      <c r="BLL491" s="168"/>
      <c r="BLM491" s="168"/>
      <c r="BLN491" s="168"/>
      <c r="BLO491" s="168"/>
      <c r="BLP491" s="168"/>
      <c r="BLQ491" s="168"/>
      <c r="BLR491" s="168"/>
      <c r="BLS491" s="168"/>
      <c r="BLT491" s="168"/>
      <c r="BLU491" s="168"/>
      <c r="BLV491" s="168"/>
      <c r="BLW491" s="168"/>
      <c r="BLX491" s="168"/>
      <c r="BLY491" s="168"/>
      <c r="BLZ491" s="168"/>
      <c r="BMA491" s="168"/>
      <c r="BMB491" s="168"/>
      <c r="BMC491" s="168"/>
      <c r="BMD491" s="168"/>
      <c r="BME491" s="168"/>
      <c r="BMF491" s="168"/>
      <c r="BMG491" s="168"/>
      <c r="BMH491" s="168"/>
      <c r="BMI491" s="168"/>
      <c r="BMJ491" s="168"/>
      <c r="BMK491" s="168"/>
      <c r="BML491" s="168"/>
      <c r="BMM491" s="168"/>
      <c r="BMN491" s="168"/>
      <c r="BMO491" s="168"/>
      <c r="BMP491" s="168"/>
      <c r="BMQ491" s="168"/>
      <c r="BMR491" s="168"/>
      <c r="BMS491" s="168"/>
      <c r="BMT491" s="168"/>
      <c r="BMU491" s="168"/>
      <c r="BMV491" s="168"/>
      <c r="BMW491" s="168"/>
      <c r="BMX491" s="168"/>
      <c r="BMY491" s="168"/>
      <c r="BMZ491" s="168"/>
      <c r="BNA491" s="168"/>
      <c r="BNB491" s="168"/>
      <c r="BNC491" s="168"/>
      <c r="BND491" s="168"/>
      <c r="BNE491" s="168"/>
      <c r="BNF491" s="168"/>
      <c r="BNG491" s="168"/>
      <c r="BNH491" s="168"/>
      <c r="BNI491" s="168"/>
      <c r="BNJ491" s="168"/>
      <c r="BNK491" s="168"/>
      <c r="BNL491" s="168"/>
      <c r="BNM491" s="168"/>
      <c r="BNN491" s="168"/>
      <c r="BNO491" s="168"/>
      <c r="BNP491" s="168"/>
      <c r="BNQ491" s="168"/>
      <c r="BNR491" s="168"/>
      <c r="BNS491" s="168"/>
      <c r="BNT491" s="168"/>
      <c r="BNU491" s="168"/>
      <c r="BNV491" s="168"/>
      <c r="BNW491" s="168"/>
      <c r="BNX491" s="168"/>
      <c r="BNY491" s="168"/>
      <c r="BNZ491" s="168"/>
      <c r="BOA491" s="168"/>
      <c r="BOB491" s="168"/>
      <c r="BOC491" s="168"/>
      <c r="BOD491" s="168"/>
      <c r="BOE491" s="168"/>
      <c r="BOF491" s="168"/>
      <c r="BOG491" s="168"/>
      <c r="BOH491" s="168"/>
      <c r="BOI491" s="168"/>
      <c r="BOJ491" s="168"/>
      <c r="BOK491" s="168"/>
      <c r="BOL491" s="168"/>
      <c r="BOM491" s="168"/>
      <c r="BON491" s="168"/>
      <c r="BOO491" s="168"/>
      <c r="BOP491" s="168"/>
      <c r="BOQ491" s="168"/>
      <c r="BOR491" s="168"/>
      <c r="BOS491" s="168"/>
      <c r="BOT491" s="168"/>
      <c r="BOU491" s="168"/>
      <c r="BOV491" s="168"/>
      <c r="BOW491" s="168"/>
      <c r="BOX491" s="168"/>
      <c r="BOY491" s="168"/>
      <c r="BOZ491" s="168"/>
      <c r="BPA491" s="168"/>
      <c r="BPB491" s="168"/>
      <c r="BPC491" s="168"/>
      <c r="BPD491" s="168"/>
      <c r="BPE491" s="168"/>
      <c r="BPF491" s="168"/>
      <c r="BPG491" s="168"/>
      <c r="BPH491" s="168"/>
      <c r="BPI491" s="168"/>
      <c r="BPJ491" s="168"/>
      <c r="BPK491" s="168"/>
      <c r="BPL491" s="168"/>
      <c r="BPM491" s="168"/>
      <c r="BPN491" s="168"/>
      <c r="BPO491" s="168"/>
      <c r="BPP491" s="168"/>
      <c r="BPQ491" s="168"/>
      <c r="BPR491" s="168"/>
      <c r="BPS491" s="168"/>
      <c r="BPT491" s="168"/>
      <c r="BPU491" s="168"/>
      <c r="BPV491" s="168"/>
      <c r="BPW491" s="168"/>
      <c r="BPX491" s="168"/>
      <c r="BPY491" s="168"/>
      <c r="BPZ491" s="168"/>
      <c r="BQA491" s="168"/>
      <c r="BQB491" s="168"/>
      <c r="BQC491" s="168"/>
      <c r="BQD491" s="168"/>
      <c r="BQE491" s="168"/>
      <c r="BQF491" s="168"/>
      <c r="BQG491" s="168"/>
      <c r="BQH491" s="168"/>
      <c r="BQI491" s="168"/>
      <c r="BQJ491" s="168"/>
      <c r="BQK491" s="168"/>
      <c r="BQL491" s="168"/>
      <c r="BQM491" s="168"/>
      <c r="BQN491" s="168"/>
      <c r="BQO491" s="168"/>
      <c r="BQP491" s="168"/>
      <c r="BQQ491" s="168"/>
      <c r="BQR491" s="168"/>
      <c r="BQS491" s="168"/>
      <c r="BQT491" s="168"/>
      <c r="BQU491" s="168"/>
      <c r="BQV491" s="168"/>
      <c r="BQW491" s="168"/>
      <c r="BQX491" s="168"/>
      <c r="BQY491" s="168"/>
      <c r="BQZ491" s="168"/>
      <c r="BRA491" s="168"/>
      <c r="BRB491" s="168"/>
      <c r="BRC491" s="168"/>
      <c r="BRD491" s="168"/>
      <c r="BRE491" s="168"/>
      <c r="BRF491" s="168"/>
      <c r="BRG491" s="168"/>
      <c r="BRH491" s="168"/>
      <c r="BRI491" s="168"/>
      <c r="BRJ491" s="168"/>
      <c r="BRK491" s="168"/>
      <c r="BRL491" s="168"/>
      <c r="BRM491" s="168"/>
      <c r="BRN491" s="168"/>
      <c r="BRO491" s="168"/>
      <c r="BRP491" s="168"/>
      <c r="BRQ491" s="168"/>
      <c r="BRR491" s="168"/>
      <c r="BRS491" s="168"/>
      <c r="BRT491" s="168"/>
      <c r="BRU491" s="168"/>
      <c r="BRV491" s="168"/>
      <c r="BRW491" s="168"/>
      <c r="BRX491" s="168"/>
      <c r="BRY491" s="168"/>
      <c r="BRZ491" s="168"/>
      <c r="BSA491" s="168"/>
      <c r="BSB491" s="168"/>
      <c r="BSC491" s="168"/>
      <c r="BSD491" s="168"/>
      <c r="BSE491" s="168"/>
      <c r="BSF491" s="168"/>
      <c r="BSG491" s="168"/>
      <c r="BSH491" s="168"/>
      <c r="BSI491" s="168"/>
      <c r="BSJ491" s="168"/>
      <c r="BSK491" s="168"/>
      <c r="BSL491" s="168"/>
      <c r="BSM491" s="168"/>
      <c r="BSN491" s="168"/>
      <c r="BSO491" s="168"/>
      <c r="BSP491" s="168"/>
      <c r="BSQ491" s="168"/>
      <c r="BSR491" s="168"/>
      <c r="BSS491" s="168"/>
      <c r="BST491" s="168"/>
      <c r="BSU491" s="168"/>
      <c r="BSV491" s="168"/>
      <c r="BSW491" s="168"/>
      <c r="BSX491" s="168"/>
      <c r="BSY491" s="168"/>
      <c r="BSZ491" s="168"/>
      <c r="BTA491" s="168"/>
      <c r="BTB491" s="168"/>
      <c r="BTC491" s="168"/>
      <c r="BTD491" s="168"/>
      <c r="BTE491" s="168"/>
      <c r="BTF491" s="168"/>
      <c r="BTG491" s="168"/>
      <c r="BTH491" s="168"/>
      <c r="BTI491" s="168"/>
      <c r="BTJ491" s="168"/>
      <c r="BTK491" s="168"/>
      <c r="BTL491" s="168"/>
      <c r="BTM491" s="168"/>
      <c r="BTN491" s="168"/>
      <c r="BTO491" s="168"/>
      <c r="BTP491" s="168"/>
      <c r="BTQ491" s="168"/>
      <c r="BTR491" s="168"/>
      <c r="BTS491" s="168"/>
      <c r="BTT491" s="168"/>
      <c r="BTU491" s="168"/>
      <c r="BTV491" s="168"/>
      <c r="BTW491" s="168"/>
      <c r="BTX491" s="168"/>
      <c r="BTY491" s="168"/>
      <c r="BTZ491" s="168"/>
      <c r="BUA491" s="168"/>
      <c r="BUB491" s="168"/>
      <c r="BUC491" s="168"/>
      <c r="BUD491" s="168"/>
      <c r="BUE491" s="168"/>
      <c r="BUF491" s="168"/>
      <c r="BUG491" s="168"/>
      <c r="BUH491" s="168"/>
      <c r="BUI491" s="168"/>
      <c r="BUJ491" s="168"/>
      <c r="BUK491" s="168"/>
      <c r="BUL491" s="168"/>
      <c r="BUM491" s="168"/>
      <c r="BUN491" s="168"/>
      <c r="BUO491" s="168"/>
      <c r="BUP491" s="168"/>
      <c r="BUQ491" s="168"/>
      <c r="BUR491" s="168"/>
      <c r="BUS491" s="168"/>
      <c r="BUT491" s="168"/>
      <c r="BUU491" s="168"/>
      <c r="BUV491" s="168"/>
      <c r="BUW491" s="168"/>
      <c r="BUX491" s="168"/>
      <c r="BUY491" s="168"/>
      <c r="BUZ491" s="168"/>
      <c r="BVA491" s="168"/>
      <c r="BVB491" s="168"/>
      <c r="BVC491" s="168"/>
      <c r="BVD491" s="168"/>
      <c r="BVE491" s="168"/>
      <c r="BVF491" s="168"/>
      <c r="BVG491" s="168"/>
      <c r="BVH491" s="168"/>
      <c r="BVI491" s="168"/>
      <c r="BVJ491" s="168"/>
      <c r="BVK491" s="168"/>
      <c r="BVL491" s="168"/>
      <c r="BVM491" s="168"/>
      <c r="BVN491" s="168"/>
      <c r="BVO491" s="168"/>
      <c r="BVP491" s="168"/>
      <c r="BVQ491" s="168"/>
      <c r="BVR491" s="168"/>
      <c r="BVS491" s="168"/>
      <c r="BVT491" s="168"/>
      <c r="BVU491" s="168"/>
      <c r="BVV491" s="168"/>
      <c r="BVW491" s="168"/>
      <c r="BVX491" s="168"/>
      <c r="BVY491" s="168"/>
      <c r="BVZ491" s="168"/>
      <c r="BWA491" s="168"/>
      <c r="BWB491" s="168"/>
      <c r="BWC491" s="168"/>
      <c r="BWD491" s="168"/>
      <c r="BWE491" s="168"/>
      <c r="BWF491" s="168"/>
      <c r="BWG491" s="168"/>
      <c r="BWH491" s="168"/>
      <c r="BWI491" s="168"/>
      <c r="BWJ491" s="168"/>
      <c r="BWK491" s="168"/>
      <c r="BWL491" s="168"/>
      <c r="BWM491" s="168"/>
      <c r="BWN491" s="168"/>
      <c r="BWO491" s="168"/>
      <c r="BWP491" s="168"/>
      <c r="BWQ491" s="168"/>
      <c r="BWR491" s="168"/>
      <c r="BWS491" s="168"/>
      <c r="BWT491" s="168"/>
      <c r="BWU491" s="168"/>
      <c r="BWV491" s="168"/>
      <c r="BWW491" s="168"/>
      <c r="BWX491" s="168"/>
      <c r="BWY491" s="168"/>
      <c r="BWZ491" s="168"/>
      <c r="BXA491" s="168"/>
      <c r="BXB491" s="168"/>
      <c r="BXC491" s="168"/>
      <c r="BXD491" s="168"/>
      <c r="BXE491" s="168"/>
      <c r="BXF491" s="168"/>
      <c r="BXG491" s="168"/>
      <c r="BXH491" s="168"/>
      <c r="BXI491" s="168"/>
      <c r="BXJ491" s="168"/>
      <c r="BXK491" s="168"/>
      <c r="BXL491" s="168"/>
      <c r="BXM491" s="168"/>
      <c r="BXN491" s="168"/>
      <c r="BXO491" s="168"/>
      <c r="BXP491" s="168"/>
      <c r="BXQ491" s="168"/>
      <c r="BXR491" s="168"/>
      <c r="BXS491" s="168"/>
      <c r="BXT491" s="168"/>
      <c r="BXU491" s="168"/>
      <c r="BXV491" s="168"/>
      <c r="BXW491" s="168"/>
      <c r="BXX491" s="168"/>
      <c r="BXY491" s="168"/>
      <c r="BXZ491" s="168"/>
      <c r="BYA491" s="168"/>
      <c r="BYB491" s="168"/>
      <c r="BYC491" s="168"/>
      <c r="BYD491" s="168"/>
      <c r="BYE491" s="168"/>
      <c r="BYF491" s="168"/>
      <c r="BYG491" s="168"/>
      <c r="BYH491" s="168"/>
      <c r="BYI491" s="168"/>
      <c r="BYJ491" s="168"/>
      <c r="BYK491" s="168"/>
      <c r="BYL491" s="168"/>
      <c r="BYM491" s="168"/>
      <c r="BYN491" s="168"/>
      <c r="BYO491" s="168"/>
      <c r="BYP491" s="168"/>
      <c r="BYQ491" s="168"/>
      <c r="BYR491" s="168"/>
      <c r="BYS491" s="168"/>
      <c r="BYT491" s="168"/>
      <c r="BYU491" s="168"/>
      <c r="BYV491" s="168"/>
      <c r="BYW491" s="168"/>
      <c r="BYX491" s="168"/>
      <c r="BYY491" s="168"/>
      <c r="BYZ491" s="168"/>
      <c r="BZA491" s="168"/>
      <c r="BZB491" s="168"/>
      <c r="BZC491" s="168"/>
      <c r="BZD491" s="168"/>
      <c r="BZE491" s="168"/>
      <c r="BZF491" s="168"/>
      <c r="BZG491" s="168"/>
      <c r="BZH491" s="168"/>
      <c r="BZI491" s="168"/>
      <c r="BZJ491" s="168"/>
      <c r="BZK491" s="168"/>
      <c r="BZL491" s="168"/>
      <c r="BZM491" s="168"/>
      <c r="BZN491" s="168"/>
      <c r="BZO491" s="168"/>
      <c r="BZP491" s="168"/>
      <c r="BZQ491" s="168"/>
      <c r="BZR491" s="168"/>
      <c r="BZS491" s="168"/>
      <c r="BZT491" s="168"/>
      <c r="BZU491" s="168"/>
      <c r="BZV491" s="168"/>
      <c r="BZW491" s="168"/>
      <c r="BZX491" s="168"/>
      <c r="BZY491" s="168"/>
      <c r="BZZ491" s="168"/>
      <c r="CAA491" s="168"/>
      <c r="CAB491" s="168"/>
      <c r="CAC491" s="168"/>
      <c r="CAD491" s="168"/>
      <c r="CAE491" s="168"/>
      <c r="CAF491" s="168"/>
      <c r="CAG491" s="168"/>
      <c r="CAH491" s="168"/>
      <c r="CAI491" s="168"/>
      <c r="CAJ491" s="168"/>
      <c r="CAK491" s="168"/>
      <c r="CAL491" s="168"/>
      <c r="CAM491" s="168"/>
      <c r="CAN491" s="168"/>
      <c r="CAO491" s="168"/>
      <c r="CAP491" s="168"/>
      <c r="CAQ491" s="168"/>
      <c r="CAR491" s="168"/>
      <c r="CAS491" s="168"/>
      <c r="CAT491" s="168"/>
      <c r="CAU491" s="168"/>
      <c r="CAV491" s="168"/>
      <c r="CAW491" s="168"/>
      <c r="CAX491" s="168"/>
      <c r="CAY491" s="168"/>
      <c r="CAZ491" s="168"/>
      <c r="CBA491" s="168"/>
      <c r="CBB491" s="168"/>
      <c r="CBC491" s="168"/>
      <c r="CBD491" s="168"/>
      <c r="CBE491" s="168"/>
      <c r="CBF491" s="168"/>
      <c r="CBG491" s="168"/>
      <c r="CBH491" s="168"/>
      <c r="CBI491" s="168"/>
      <c r="CBJ491" s="168"/>
      <c r="CBK491" s="168"/>
      <c r="CBL491" s="168"/>
      <c r="CBM491" s="168"/>
      <c r="CBN491" s="168"/>
      <c r="CBO491" s="168"/>
      <c r="CBP491" s="168"/>
      <c r="CBQ491" s="168"/>
      <c r="CBR491" s="168"/>
      <c r="CBS491" s="168"/>
      <c r="CBT491" s="168"/>
      <c r="CBU491" s="168"/>
      <c r="CBV491" s="168"/>
      <c r="CBW491" s="168"/>
      <c r="CBX491" s="168"/>
      <c r="CBY491" s="168"/>
      <c r="CBZ491" s="168"/>
      <c r="CCA491" s="168"/>
      <c r="CCB491" s="168"/>
      <c r="CCC491" s="168"/>
      <c r="CCD491" s="168"/>
      <c r="CCE491" s="168"/>
      <c r="CCF491" s="168"/>
      <c r="CCG491" s="168"/>
      <c r="CCH491" s="168"/>
      <c r="CCI491" s="168"/>
      <c r="CCJ491" s="168"/>
      <c r="CCK491" s="168"/>
      <c r="CCL491" s="168"/>
      <c r="CCM491" s="168"/>
      <c r="CCN491" s="168"/>
      <c r="CCO491" s="168"/>
      <c r="CCP491" s="168"/>
      <c r="CCQ491" s="168"/>
      <c r="CCR491" s="168"/>
      <c r="CCS491" s="168"/>
      <c r="CCT491" s="168"/>
      <c r="CCU491" s="168"/>
      <c r="CCV491" s="168"/>
      <c r="CCW491" s="168"/>
      <c r="CCX491" s="168"/>
      <c r="CCY491" s="168"/>
      <c r="CCZ491" s="168"/>
      <c r="CDA491" s="168"/>
      <c r="CDB491" s="168"/>
      <c r="CDC491" s="168"/>
      <c r="CDD491" s="168"/>
      <c r="CDE491" s="168"/>
      <c r="CDF491" s="168"/>
      <c r="CDG491" s="168"/>
      <c r="CDH491" s="168"/>
      <c r="CDI491" s="168"/>
      <c r="CDJ491" s="168"/>
      <c r="CDK491" s="168"/>
      <c r="CDL491" s="168"/>
      <c r="CDM491" s="168"/>
      <c r="CDN491" s="168"/>
      <c r="CDO491" s="168"/>
      <c r="CDP491" s="168"/>
      <c r="CDQ491" s="168"/>
      <c r="CDR491" s="168"/>
      <c r="CDS491" s="168"/>
      <c r="CDT491" s="168"/>
      <c r="CDU491" s="168"/>
      <c r="CDV491" s="168"/>
      <c r="CDW491" s="168"/>
      <c r="CDX491" s="168"/>
      <c r="CDY491" s="168"/>
      <c r="CDZ491" s="168"/>
      <c r="CEA491" s="168"/>
      <c r="CEB491" s="168"/>
      <c r="CEC491" s="168"/>
      <c r="CED491" s="168"/>
      <c r="CEE491" s="168"/>
      <c r="CEF491" s="168"/>
      <c r="CEG491" s="168"/>
      <c r="CEH491" s="168"/>
      <c r="CEI491" s="168"/>
      <c r="CEJ491" s="168"/>
      <c r="CEK491" s="168"/>
      <c r="CEL491" s="168"/>
      <c r="CEM491" s="168"/>
      <c r="CEN491" s="168"/>
      <c r="CEO491" s="168"/>
      <c r="CEP491" s="168"/>
      <c r="CEQ491" s="168"/>
      <c r="CER491" s="168"/>
      <c r="CES491" s="168"/>
      <c r="CET491" s="168"/>
      <c r="CEU491" s="168"/>
      <c r="CEV491" s="168"/>
      <c r="CEW491" s="168"/>
      <c r="CEX491" s="168"/>
      <c r="CEY491" s="168"/>
      <c r="CEZ491" s="168"/>
      <c r="CFA491" s="168"/>
      <c r="CFB491" s="168"/>
      <c r="CFC491" s="168"/>
      <c r="CFD491" s="168"/>
      <c r="CFE491" s="168"/>
      <c r="CFF491" s="168"/>
      <c r="CFG491" s="168"/>
      <c r="CFH491" s="168"/>
      <c r="CFI491" s="168"/>
      <c r="CFJ491" s="168"/>
      <c r="CFK491" s="168"/>
      <c r="CFL491" s="168"/>
      <c r="CFM491" s="168"/>
      <c r="CFN491" s="168"/>
      <c r="CFO491" s="168"/>
      <c r="CFP491" s="168"/>
      <c r="CFQ491" s="168"/>
      <c r="CFR491" s="168"/>
      <c r="CFS491" s="168"/>
      <c r="CFT491" s="168"/>
      <c r="CFU491" s="168"/>
      <c r="CFV491" s="168"/>
      <c r="CFW491" s="168"/>
      <c r="CFX491" s="168"/>
      <c r="CFY491" s="168"/>
      <c r="CFZ491" s="168"/>
      <c r="CGA491" s="168"/>
      <c r="CGB491" s="168"/>
      <c r="CGC491" s="168"/>
      <c r="CGD491" s="168"/>
      <c r="CGE491" s="168"/>
      <c r="CGF491" s="168"/>
      <c r="CGG491" s="168"/>
      <c r="CGH491" s="168"/>
      <c r="CGI491" s="168"/>
      <c r="CGJ491" s="168"/>
      <c r="CGK491" s="168"/>
      <c r="CGL491" s="168"/>
      <c r="CGM491" s="168"/>
      <c r="CGN491" s="168"/>
      <c r="CGO491" s="168"/>
      <c r="CGP491" s="168"/>
      <c r="CGQ491" s="168"/>
      <c r="CGR491" s="168"/>
      <c r="CGS491" s="168"/>
      <c r="CGT491" s="168"/>
      <c r="CGU491" s="168"/>
      <c r="CGV491" s="168"/>
      <c r="CGW491" s="168"/>
      <c r="CGX491" s="168"/>
      <c r="CGY491" s="168"/>
      <c r="CGZ491" s="168"/>
      <c r="CHA491" s="168"/>
      <c r="CHB491" s="168"/>
      <c r="CHC491" s="168"/>
      <c r="CHD491" s="168"/>
      <c r="CHE491" s="168"/>
      <c r="CHF491" s="168"/>
      <c r="CHG491" s="168"/>
      <c r="CHH491" s="168"/>
      <c r="CHI491" s="168"/>
      <c r="CHJ491" s="168"/>
      <c r="CHK491" s="168"/>
      <c r="CHL491" s="168"/>
      <c r="CHM491" s="168"/>
      <c r="CHN491" s="168"/>
      <c r="CHO491" s="168"/>
      <c r="CHP491" s="168"/>
      <c r="CHQ491" s="168"/>
      <c r="CHR491" s="168"/>
      <c r="CHS491" s="168"/>
      <c r="CHT491" s="168"/>
      <c r="CHU491" s="168"/>
      <c r="CHV491" s="168"/>
      <c r="CHW491" s="168"/>
      <c r="CHX491" s="168"/>
      <c r="CHY491" s="168"/>
      <c r="CHZ491" s="168"/>
      <c r="CIA491" s="168"/>
      <c r="CIB491" s="168"/>
      <c r="CIC491" s="168"/>
      <c r="CID491" s="168"/>
      <c r="CIE491" s="168"/>
      <c r="CIF491" s="168"/>
      <c r="CIG491" s="168"/>
      <c r="CIH491" s="168"/>
      <c r="CII491" s="168"/>
      <c r="CIJ491" s="168"/>
      <c r="CIK491" s="168"/>
      <c r="CIL491" s="168"/>
      <c r="CIM491" s="168"/>
      <c r="CIN491" s="168"/>
      <c r="CIO491" s="168"/>
      <c r="CIP491" s="168"/>
      <c r="CIQ491" s="168"/>
      <c r="CIR491" s="168"/>
      <c r="CIS491" s="168"/>
      <c r="CIT491" s="168"/>
      <c r="CIU491" s="168"/>
      <c r="CIV491" s="168"/>
      <c r="CIW491" s="168"/>
      <c r="CIX491" s="168"/>
      <c r="CIY491" s="168"/>
      <c r="CIZ491" s="168"/>
      <c r="CJA491" s="168"/>
      <c r="CJB491" s="168"/>
      <c r="CJC491" s="168"/>
      <c r="CJD491" s="168"/>
      <c r="CJE491" s="168"/>
      <c r="CJF491" s="168"/>
      <c r="CJG491" s="168"/>
      <c r="CJH491" s="168"/>
      <c r="CJI491" s="168"/>
      <c r="CJJ491" s="168"/>
      <c r="CJK491" s="168"/>
      <c r="CJL491" s="168"/>
      <c r="CJM491" s="168"/>
      <c r="CJN491" s="168"/>
      <c r="CJO491" s="168"/>
      <c r="CJP491" s="168"/>
      <c r="CJQ491" s="168"/>
      <c r="CJR491" s="168"/>
      <c r="CJS491" s="168"/>
      <c r="CJT491" s="168"/>
      <c r="CJU491" s="168"/>
      <c r="CJV491" s="168"/>
      <c r="CJW491" s="168"/>
      <c r="CJX491" s="168"/>
      <c r="CJY491" s="168"/>
      <c r="CJZ491" s="168"/>
      <c r="CKA491" s="168"/>
      <c r="CKB491" s="168"/>
      <c r="CKC491" s="168"/>
      <c r="CKD491" s="168"/>
      <c r="CKE491" s="168"/>
      <c r="CKF491" s="168"/>
      <c r="CKG491" s="168"/>
      <c r="CKH491" s="168"/>
      <c r="CKI491" s="168"/>
      <c r="CKJ491" s="168"/>
      <c r="CKK491" s="168"/>
      <c r="CKL491" s="168"/>
      <c r="CKM491" s="168"/>
      <c r="CKN491" s="168"/>
      <c r="CKO491" s="168"/>
      <c r="CKP491" s="168"/>
      <c r="CKQ491" s="168"/>
      <c r="CKR491" s="168"/>
      <c r="CKS491" s="168"/>
      <c r="CKT491" s="168"/>
      <c r="CKU491" s="168"/>
      <c r="CKV491" s="168"/>
      <c r="CKW491" s="168"/>
      <c r="CKX491" s="168"/>
      <c r="CKY491" s="168"/>
      <c r="CKZ491" s="168"/>
      <c r="CLA491" s="168"/>
      <c r="CLB491" s="168"/>
      <c r="CLC491" s="168"/>
      <c r="CLD491" s="168"/>
      <c r="CLE491" s="168"/>
      <c r="CLF491" s="168"/>
      <c r="CLG491" s="168"/>
      <c r="CLH491" s="168"/>
      <c r="CLI491" s="168"/>
      <c r="CLJ491" s="168"/>
      <c r="CLK491" s="168"/>
      <c r="CLL491" s="168"/>
      <c r="CLM491" s="168"/>
      <c r="CLN491" s="168"/>
      <c r="CLO491" s="168"/>
      <c r="CLP491" s="168"/>
      <c r="CLQ491" s="168"/>
      <c r="CLR491" s="168"/>
      <c r="CLS491" s="168"/>
      <c r="CLT491" s="168"/>
      <c r="CLU491" s="168"/>
      <c r="CLV491" s="168"/>
      <c r="CLW491" s="168"/>
      <c r="CLX491" s="168"/>
      <c r="CLY491" s="168"/>
      <c r="CLZ491" s="168"/>
      <c r="CMA491" s="168"/>
      <c r="CMB491" s="168"/>
      <c r="CMC491" s="168"/>
      <c r="CMD491" s="168"/>
      <c r="CME491" s="168"/>
      <c r="CMF491" s="168"/>
      <c r="CMG491" s="168"/>
      <c r="CMH491" s="168"/>
      <c r="CMI491" s="168"/>
      <c r="CMJ491" s="168"/>
      <c r="CMK491" s="168"/>
      <c r="CML491" s="168"/>
      <c r="CMM491" s="168"/>
      <c r="CMN491" s="168"/>
      <c r="CMO491" s="168"/>
      <c r="CMP491" s="168"/>
      <c r="CMQ491" s="168"/>
      <c r="CMR491" s="168"/>
      <c r="CMS491" s="168"/>
      <c r="CMT491" s="168"/>
      <c r="CMU491" s="168"/>
      <c r="CMV491" s="168"/>
      <c r="CMW491" s="168"/>
      <c r="CMX491" s="168"/>
      <c r="CMY491" s="168"/>
      <c r="CMZ491" s="168"/>
      <c r="CNA491" s="168"/>
      <c r="CNB491" s="168"/>
      <c r="CNC491" s="168"/>
      <c r="CND491" s="168"/>
      <c r="CNE491" s="168"/>
      <c r="CNF491" s="168"/>
      <c r="CNG491" s="168"/>
      <c r="CNH491" s="168"/>
      <c r="CNI491" s="168"/>
      <c r="CNJ491" s="168"/>
      <c r="CNK491" s="168"/>
      <c r="CNL491" s="168"/>
      <c r="CNM491" s="168"/>
      <c r="CNN491" s="168"/>
      <c r="CNO491" s="168"/>
      <c r="CNP491" s="168"/>
      <c r="CNQ491" s="168"/>
      <c r="CNR491" s="168"/>
      <c r="CNS491" s="168"/>
      <c r="CNT491" s="168"/>
      <c r="CNU491" s="168"/>
      <c r="CNV491" s="168"/>
      <c r="CNW491" s="168"/>
      <c r="CNX491" s="168"/>
      <c r="CNY491" s="168"/>
      <c r="CNZ491" s="168"/>
      <c r="COA491" s="168"/>
      <c r="COB491" s="168"/>
      <c r="COC491" s="168"/>
      <c r="COD491" s="168"/>
      <c r="COE491" s="168"/>
      <c r="COF491" s="168"/>
      <c r="COG491" s="168"/>
      <c r="COH491" s="168"/>
      <c r="COI491" s="168"/>
      <c r="COJ491" s="168"/>
      <c r="COK491" s="168"/>
      <c r="COL491" s="168"/>
      <c r="COM491" s="168"/>
      <c r="CON491" s="168"/>
      <c r="COO491" s="168"/>
      <c r="COP491" s="168"/>
      <c r="COQ491" s="168"/>
      <c r="COR491" s="168"/>
      <c r="COS491" s="168"/>
      <c r="COT491" s="168"/>
      <c r="COU491" s="168"/>
      <c r="COV491" s="168"/>
      <c r="COW491" s="168"/>
      <c r="COX491" s="168"/>
      <c r="COY491" s="168"/>
      <c r="COZ491" s="168"/>
      <c r="CPA491" s="168"/>
      <c r="CPB491" s="168"/>
      <c r="CPC491" s="168"/>
      <c r="CPD491" s="168"/>
      <c r="CPE491" s="168"/>
      <c r="CPF491" s="168"/>
      <c r="CPG491" s="168"/>
      <c r="CPH491" s="168"/>
      <c r="CPI491" s="168"/>
      <c r="CPJ491" s="168"/>
      <c r="CPK491" s="168"/>
      <c r="CPL491" s="168"/>
      <c r="CPM491" s="168"/>
      <c r="CPN491" s="168"/>
      <c r="CPO491" s="168"/>
      <c r="CPP491" s="168"/>
      <c r="CPQ491" s="168"/>
      <c r="CPR491" s="168"/>
      <c r="CPS491" s="168"/>
      <c r="CPT491" s="168"/>
      <c r="CPU491" s="168"/>
      <c r="CPV491" s="168"/>
      <c r="CPW491" s="168"/>
      <c r="CPX491" s="168"/>
      <c r="CPY491" s="168"/>
      <c r="CPZ491" s="168"/>
      <c r="CQA491" s="168"/>
      <c r="CQB491" s="168"/>
      <c r="CQC491" s="168"/>
      <c r="CQD491" s="168"/>
      <c r="CQE491" s="168"/>
      <c r="CQF491" s="168"/>
      <c r="CQG491" s="168"/>
      <c r="CQH491" s="168"/>
      <c r="CQI491" s="168"/>
      <c r="CQJ491" s="168"/>
      <c r="CQK491" s="168"/>
      <c r="CQL491" s="168"/>
      <c r="CQM491" s="168"/>
      <c r="CQN491" s="168"/>
      <c r="CQO491" s="168"/>
      <c r="CQP491" s="168"/>
      <c r="CQQ491" s="168"/>
      <c r="CQR491" s="168"/>
      <c r="CQS491" s="168"/>
      <c r="CQT491" s="168"/>
      <c r="CQU491" s="168"/>
      <c r="CQV491" s="168"/>
      <c r="CQW491" s="168"/>
      <c r="CQX491" s="168"/>
      <c r="CQY491" s="168"/>
      <c r="CQZ491" s="168"/>
      <c r="CRA491" s="168"/>
      <c r="CRB491" s="168"/>
      <c r="CRC491" s="168"/>
      <c r="CRD491" s="168"/>
      <c r="CRE491" s="168"/>
      <c r="CRF491" s="168"/>
      <c r="CRG491" s="168"/>
      <c r="CRH491" s="168"/>
      <c r="CRI491" s="168"/>
      <c r="CRJ491" s="168"/>
      <c r="CRK491" s="168"/>
      <c r="CRL491" s="168"/>
      <c r="CRM491" s="168"/>
      <c r="CRN491" s="168"/>
      <c r="CRO491" s="168"/>
      <c r="CRP491" s="168"/>
      <c r="CRQ491" s="168"/>
      <c r="CRR491" s="168"/>
      <c r="CRS491" s="168"/>
      <c r="CRT491" s="168"/>
      <c r="CRU491" s="168"/>
      <c r="CRV491" s="168"/>
      <c r="CRW491" s="168"/>
      <c r="CRX491" s="168"/>
      <c r="CRY491" s="168"/>
      <c r="CRZ491" s="168"/>
      <c r="CSA491" s="168"/>
      <c r="CSB491" s="168"/>
      <c r="CSC491" s="168"/>
      <c r="CSD491" s="168"/>
      <c r="CSE491" s="168"/>
      <c r="CSF491" s="168"/>
      <c r="CSG491" s="168"/>
      <c r="CSH491" s="168"/>
      <c r="CSI491" s="168"/>
      <c r="CSJ491" s="168"/>
      <c r="CSK491" s="168"/>
      <c r="CSL491" s="168"/>
      <c r="CSM491" s="168"/>
      <c r="CSN491" s="168"/>
      <c r="CSO491" s="168"/>
      <c r="CSP491" s="168"/>
      <c r="CSQ491" s="168"/>
      <c r="CSR491" s="168"/>
      <c r="CSS491" s="168"/>
      <c r="CST491" s="168"/>
      <c r="CSU491" s="168"/>
      <c r="CSV491" s="168"/>
      <c r="CSW491" s="168"/>
      <c r="CSX491" s="168"/>
      <c r="CSY491" s="168"/>
      <c r="CSZ491" s="168"/>
      <c r="CTA491" s="168"/>
      <c r="CTB491" s="168"/>
      <c r="CTC491" s="168"/>
      <c r="CTD491" s="168"/>
      <c r="CTE491" s="168"/>
      <c r="CTF491" s="168"/>
      <c r="CTG491" s="168"/>
      <c r="CTH491" s="168"/>
      <c r="CTI491" s="168"/>
      <c r="CTJ491" s="168"/>
      <c r="CTK491" s="168"/>
      <c r="CTL491" s="168"/>
      <c r="CTM491" s="168"/>
      <c r="CTN491" s="168"/>
      <c r="CTO491" s="168"/>
      <c r="CTP491" s="168"/>
      <c r="CTQ491" s="168"/>
      <c r="CTR491" s="168"/>
      <c r="CTS491" s="168"/>
      <c r="CTT491" s="168"/>
      <c r="CTU491" s="168"/>
      <c r="CTV491" s="168"/>
      <c r="CTW491" s="168"/>
      <c r="CTX491" s="168"/>
      <c r="CTY491" s="168"/>
      <c r="CTZ491" s="168"/>
      <c r="CUA491" s="168"/>
      <c r="CUB491" s="168"/>
      <c r="CUC491" s="168"/>
      <c r="CUD491" s="168"/>
      <c r="CUE491" s="168"/>
      <c r="CUF491" s="168"/>
      <c r="CUG491" s="168"/>
      <c r="CUH491" s="168"/>
      <c r="CUI491" s="168"/>
      <c r="CUJ491" s="168"/>
      <c r="CUK491" s="168"/>
      <c r="CUL491" s="168"/>
      <c r="CUM491" s="168"/>
      <c r="CUN491" s="168"/>
      <c r="CUO491" s="168"/>
      <c r="CUP491" s="168"/>
      <c r="CUQ491" s="168"/>
      <c r="CUR491" s="168"/>
      <c r="CUS491" s="168"/>
      <c r="CUT491" s="168"/>
      <c r="CUU491" s="168"/>
      <c r="CUV491" s="168"/>
      <c r="CUW491" s="168"/>
      <c r="CUX491" s="168"/>
      <c r="CUY491" s="168"/>
      <c r="CUZ491" s="168"/>
      <c r="CVA491" s="168"/>
      <c r="CVB491" s="168"/>
      <c r="CVC491" s="168"/>
      <c r="CVD491" s="168"/>
      <c r="CVE491" s="168"/>
      <c r="CVF491" s="168"/>
      <c r="CVG491" s="168"/>
      <c r="CVH491" s="168"/>
      <c r="CVI491" s="168"/>
      <c r="CVJ491" s="168"/>
      <c r="CVK491" s="168"/>
      <c r="CVL491" s="168"/>
      <c r="CVM491" s="168"/>
      <c r="CVN491" s="168"/>
      <c r="CVO491" s="168"/>
      <c r="CVP491" s="168"/>
      <c r="CVQ491" s="168"/>
      <c r="CVR491" s="168"/>
      <c r="CVS491" s="168"/>
      <c r="CVT491" s="168"/>
      <c r="CVU491" s="168"/>
      <c r="CVV491" s="168"/>
      <c r="CVW491" s="168"/>
      <c r="CVX491" s="168"/>
      <c r="CVY491" s="168"/>
      <c r="CVZ491" s="168"/>
      <c r="CWA491" s="168"/>
      <c r="CWB491" s="168"/>
      <c r="CWC491" s="168"/>
      <c r="CWD491" s="168"/>
      <c r="CWE491" s="168"/>
      <c r="CWF491" s="168"/>
      <c r="CWG491" s="168"/>
      <c r="CWH491" s="168"/>
      <c r="CWI491" s="168"/>
      <c r="CWJ491" s="168"/>
      <c r="CWK491" s="168"/>
      <c r="CWL491" s="168"/>
      <c r="CWM491" s="168"/>
      <c r="CWN491" s="168"/>
      <c r="CWO491" s="168"/>
      <c r="CWP491" s="168"/>
      <c r="CWQ491" s="168"/>
      <c r="CWR491" s="168"/>
      <c r="CWS491" s="168"/>
      <c r="CWT491" s="168"/>
      <c r="CWU491" s="168"/>
      <c r="CWV491" s="168"/>
      <c r="CWW491" s="168"/>
      <c r="CWX491" s="168"/>
      <c r="CWY491" s="168"/>
      <c r="CWZ491" s="168"/>
      <c r="CXA491" s="168"/>
      <c r="CXB491" s="168"/>
      <c r="CXC491" s="168"/>
      <c r="CXD491" s="168"/>
      <c r="CXE491" s="168"/>
      <c r="CXF491" s="168"/>
      <c r="CXG491" s="168"/>
      <c r="CXH491" s="168"/>
      <c r="CXI491" s="168"/>
      <c r="CXJ491" s="168"/>
      <c r="CXK491" s="168"/>
      <c r="CXL491" s="168"/>
      <c r="CXM491" s="168"/>
      <c r="CXN491" s="168"/>
      <c r="CXO491" s="168"/>
      <c r="CXP491" s="168"/>
      <c r="CXQ491" s="168"/>
      <c r="CXR491" s="168"/>
      <c r="CXS491" s="168"/>
      <c r="CXT491" s="168"/>
      <c r="CXU491" s="168"/>
      <c r="CXV491" s="168"/>
      <c r="CXW491" s="168"/>
      <c r="CXX491" s="168"/>
      <c r="CXY491" s="168"/>
      <c r="CXZ491" s="168"/>
      <c r="CYA491" s="168"/>
      <c r="CYB491" s="168"/>
      <c r="CYC491" s="168"/>
      <c r="CYD491" s="168"/>
      <c r="CYE491" s="168"/>
      <c r="CYF491" s="168"/>
      <c r="CYG491" s="168"/>
      <c r="CYH491" s="168"/>
      <c r="CYI491" s="168"/>
      <c r="CYJ491" s="168"/>
      <c r="CYK491" s="168"/>
      <c r="CYL491" s="168"/>
      <c r="CYM491" s="168"/>
      <c r="CYN491" s="168"/>
      <c r="CYO491" s="168"/>
      <c r="CYP491" s="168"/>
      <c r="CYQ491" s="168"/>
      <c r="CYR491" s="168"/>
      <c r="CYS491" s="168"/>
      <c r="CYT491" s="168"/>
      <c r="CYU491" s="168"/>
      <c r="CYV491" s="168"/>
      <c r="CYW491" s="168"/>
      <c r="CYX491" s="168"/>
      <c r="CYY491" s="168"/>
      <c r="CYZ491" s="168"/>
      <c r="CZA491" s="168"/>
      <c r="CZB491" s="168"/>
      <c r="CZC491" s="168"/>
      <c r="CZD491" s="168"/>
      <c r="CZE491" s="168"/>
      <c r="CZF491" s="168"/>
      <c r="CZG491" s="168"/>
      <c r="CZH491" s="168"/>
      <c r="CZI491" s="168"/>
      <c r="CZJ491" s="168"/>
      <c r="CZK491" s="168"/>
      <c r="CZL491" s="168"/>
      <c r="CZM491" s="168"/>
      <c r="CZN491" s="168"/>
      <c r="CZO491" s="168"/>
      <c r="CZP491" s="168"/>
      <c r="CZQ491" s="168"/>
      <c r="CZR491" s="168"/>
      <c r="CZS491" s="168"/>
      <c r="CZT491" s="168"/>
      <c r="CZU491" s="168"/>
      <c r="CZV491" s="168"/>
      <c r="CZW491" s="168"/>
      <c r="CZX491" s="168"/>
      <c r="CZY491" s="168"/>
      <c r="CZZ491" s="168"/>
      <c r="DAA491" s="168"/>
      <c r="DAB491" s="168"/>
      <c r="DAC491" s="168"/>
      <c r="DAD491" s="168"/>
      <c r="DAE491" s="168"/>
      <c r="DAF491" s="168"/>
      <c r="DAG491" s="168"/>
      <c r="DAH491" s="168"/>
      <c r="DAI491" s="168"/>
      <c r="DAJ491" s="168"/>
      <c r="DAK491" s="168"/>
      <c r="DAL491" s="168"/>
      <c r="DAM491" s="168"/>
      <c r="DAN491" s="168"/>
      <c r="DAO491" s="168"/>
      <c r="DAP491" s="168"/>
      <c r="DAQ491" s="168"/>
      <c r="DAR491" s="168"/>
      <c r="DAS491" s="168"/>
      <c r="DAT491" s="168"/>
      <c r="DAU491" s="168"/>
      <c r="DAV491" s="168"/>
      <c r="DAW491" s="168"/>
      <c r="DAX491" s="168"/>
      <c r="DAY491" s="168"/>
      <c r="DAZ491" s="168"/>
      <c r="DBA491" s="168"/>
      <c r="DBB491" s="168"/>
      <c r="DBC491" s="168"/>
      <c r="DBD491" s="168"/>
      <c r="DBE491" s="168"/>
      <c r="DBF491" s="168"/>
      <c r="DBG491" s="168"/>
      <c r="DBH491" s="168"/>
      <c r="DBI491" s="168"/>
      <c r="DBJ491" s="168"/>
      <c r="DBK491" s="168"/>
      <c r="DBL491" s="168"/>
      <c r="DBM491" s="168"/>
      <c r="DBN491" s="168"/>
      <c r="DBO491" s="168"/>
      <c r="DBP491" s="168"/>
      <c r="DBQ491" s="168"/>
      <c r="DBR491" s="168"/>
      <c r="DBS491" s="168"/>
      <c r="DBT491" s="168"/>
      <c r="DBU491" s="168"/>
      <c r="DBV491" s="168"/>
      <c r="DBW491" s="168"/>
      <c r="DBX491" s="168"/>
      <c r="DBY491" s="168"/>
      <c r="DBZ491" s="168"/>
      <c r="DCA491" s="168"/>
      <c r="DCB491" s="168"/>
      <c r="DCC491" s="168"/>
      <c r="DCD491" s="168"/>
      <c r="DCE491" s="168"/>
      <c r="DCF491" s="168"/>
      <c r="DCG491" s="168"/>
      <c r="DCH491" s="168"/>
      <c r="DCI491" s="168"/>
      <c r="DCJ491" s="168"/>
      <c r="DCK491" s="168"/>
      <c r="DCL491" s="168"/>
      <c r="DCM491" s="168"/>
      <c r="DCN491" s="168"/>
      <c r="DCO491" s="168"/>
      <c r="DCP491" s="168"/>
      <c r="DCQ491" s="168"/>
      <c r="DCR491" s="168"/>
      <c r="DCS491" s="168"/>
      <c r="DCT491" s="168"/>
      <c r="DCU491" s="168"/>
      <c r="DCV491" s="168"/>
      <c r="DCW491" s="168"/>
      <c r="DCX491" s="168"/>
      <c r="DCY491" s="168"/>
      <c r="DCZ491" s="168"/>
      <c r="DDA491" s="168"/>
      <c r="DDB491" s="168"/>
      <c r="DDC491" s="168"/>
      <c r="DDD491" s="168"/>
      <c r="DDE491" s="168"/>
      <c r="DDF491" s="168"/>
      <c r="DDG491" s="168"/>
      <c r="DDH491" s="168"/>
      <c r="DDI491" s="168"/>
      <c r="DDJ491" s="168"/>
      <c r="DDK491" s="168"/>
      <c r="DDL491" s="168"/>
      <c r="DDM491" s="168"/>
      <c r="DDN491" s="168"/>
      <c r="DDO491" s="168"/>
      <c r="DDP491" s="168"/>
      <c r="DDQ491" s="168"/>
      <c r="DDR491" s="168"/>
      <c r="DDS491" s="168"/>
      <c r="DDT491" s="168"/>
      <c r="DDU491" s="168"/>
      <c r="DDV491" s="168"/>
      <c r="DDW491" s="168"/>
      <c r="DDX491" s="168"/>
      <c r="DDY491" s="168"/>
      <c r="DDZ491" s="168"/>
      <c r="DEA491" s="168"/>
      <c r="DEB491" s="168"/>
      <c r="DEC491" s="168"/>
      <c r="DED491" s="168"/>
      <c r="DEE491" s="168"/>
      <c r="DEF491" s="168"/>
      <c r="DEG491" s="168"/>
      <c r="DEH491" s="168"/>
      <c r="DEI491" s="168"/>
      <c r="DEJ491" s="168"/>
      <c r="DEK491" s="168"/>
      <c r="DEL491" s="168"/>
      <c r="DEM491" s="168"/>
      <c r="DEN491" s="168"/>
      <c r="DEO491" s="168"/>
      <c r="DEP491" s="168"/>
      <c r="DEQ491" s="168"/>
      <c r="DER491" s="168"/>
      <c r="DES491" s="168"/>
      <c r="DET491" s="168"/>
      <c r="DEU491" s="168"/>
      <c r="DEV491" s="168"/>
      <c r="DEW491" s="168"/>
      <c r="DEX491" s="168"/>
      <c r="DEY491" s="168"/>
      <c r="DEZ491" s="168"/>
      <c r="DFA491" s="168"/>
      <c r="DFB491" s="168"/>
      <c r="DFC491" s="168"/>
      <c r="DFD491" s="168"/>
      <c r="DFE491" s="168"/>
      <c r="DFF491" s="168"/>
      <c r="DFG491" s="168"/>
      <c r="DFH491" s="168"/>
      <c r="DFI491" s="168"/>
      <c r="DFJ491" s="168"/>
      <c r="DFK491" s="168"/>
      <c r="DFL491" s="168"/>
      <c r="DFM491" s="168"/>
      <c r="DFN491" s="168"/>
      <c r="DFO491" s="168"/>
      <c r="DFP491" s="168"/>
      <c r="DFQ491" s="168"/>
      <c r="DFR491" s="168"/>
      <c r="DFS491" s="168"/>
      <c r="DFT491" s="168"/>
      <c r="DFU491" s="168"/>
      <c r="DFV491" s="168"/>
      <c r="DFW491" s="168"/>
      <c r="DFX491" s="168"/>
      <c r="DFY491" s="168"/>
      <c r="DFZ491" s="168"/>
      <c r="DGA491" s="168"/>
      <c r="DGB491" s="168"/>
      <c r="DGC491" s="168"/>
      <c r="DGD491" s="168"/>
      <c r="DGE491" s="168"/>
      <c r="DGF491" s="168"/>
      <c r="DGG491" s="168"/>
      <c r="DGH491" s="168"/>
      <c r="DGI491" s="168"/>
      <c r="DGJ491" s="168"/>
      <c r="DGK491" s="168"/>
      <c r="DGL491" s="168"/>
      <c r="DGM491" s="168"/>
      <c r="DGN491" s="168"/>
      <c r="DGO491" s="168"/>
      <c r="DGP491" s="168"/>
      <c r="DGQ491" s="168"/>
      <c r="DGR491" s="168"/>
      <c r="DGS491" s="168"/>
      <c r="DGT491" s="168"/>
      <c r="DGU491" s="168"/>
      <c r="DGV491" s="168"/>
      <c r="DGW491" s="168"/>
      <c r="DGX491" s="168"/>
      <c r="DGY491" s="168"/>
      <c r="DGZ491" s="168"/>
      <c r="DHA491" s="168"/>
      <c r="DHB491" s="168"/>
      <c r="DHC491" s="168"/>
      <c r="DHD491" s="168"/>
      <c r="DHE491" s="168"/>
      <c r="DHF491" s="168"/>
      <c r="DHG491" s="168"/>
      <c r="DHH491" s="168"/>
      <c r="DHI491" s="168"/>
      <c r="DHJ491" s="168"/>
      <c r="DHK491" s="168"/>
      <c r="DHL491" s="168"/>
      <c r="DHM491" s="168"/>
      <c r="DHN491" s="168"/>
      <c r="DHO491" s="168"/>
      <c r="DHP491" s="168"/>
      <c r="DHQ491" s="168"/>
      <c r="DHR491" s="168"/>
      <c r="DHS491" s="168"/>
      <c r="DHT491" s="168"/>
      <c r="DHU491" s="168"/>
      <c r="DHV491" s="168"/>
      <c r="DHW491" s="168"/>
      <c r="DHX491" s="168"/>
      <c r="DHY491" s="168"/>
      <c r="DHZ491" s="168"/>
      <c r="DIA491" s="168"/>
      <c r="DIB491" s="168"/>
      <c r="DIC491" s="168"/>
      <c r="DID491" s="168"/>
      <c r="DIE491" s="168"/>
      <c r="DIF491" s="168"/>
      <c r="DIG491" s="168"/>
      <c r="DIH491" s="168"/>
      <c r="DII491" s="168"/>
      <c r="DIJ491" s="168"/>
      <c r="DIK491" s="168"/>
      <c r="DIL491" s="168"/>
      <c r="DIM491" s="168"/>
      <c r="DIN491" s="168"/>
      <c r="DIO491" s="168"/>
      <c r="DIP491" s="168"/>
      <c r="DIQ491" s="168"/>
      <c r="DIR491" s="168"/>
      <c r="DIS491" s="168"/>
      <c r="DIT491" s="168"/>
      <c r="DIU491" s="168"/>
      <c r="DIV491" s="168"/>
      <c r="DIW491" s="168"/>
      <c r="DIX491" s="168"/>
      <c r="DIY491" s="168"/>
      <c r="DIZ491" s="168"/>
      <c r="DJA491" s="168"/>
      <c r="DJB491" s="168"/>
      <c r="DJC491" s="168"/>
      <c r="DJD491" s="168"/>
      <c r="DJE491" s="168"/>
      <c r="DJF491" s="168"/>
      <c r="DJG491" s="168"/>
      <c r="DJH491" s="168"/>
      <c r="DJI491" s="168"/>
      <c r="DJJ491" s="168"/>
      <c r="DJK491" s="168"/>
      <c r="DJL491" s="168"/>
      <c r="DJM491" s="168"/>
      <c r="DJN491" s="168"/>
      <c r="DJO491" s="168"/>
      <c r="DJP491" s="168"/>
      <c r="DJQ491" s="168"/>
      <c r="DJR491" s="168"/>
      <c r="DJS491" s="168"/>
      <c r="DJT491" s="168"/>
      <c r="DJU491" s="168"/>
      <c r="DJV491" s="168"/>
      <c r="DJW491" s="168"/>
      <c r="DJX491" s="168"/>
      <c r="DJY491" s="168"/>
      <c r="DJZ491" s="168"/>
      <c r="DKA491" s="168"/>
      <c r="DKB491" s="168"/>
      <c r="DKC491" s="168"/>
      <c r="DKD491" s="168"/>
      <c r="DKE491" s="168"/>
      <c r="DKF491" s="168"/>
      <c r="DKG491" s="168"/>
      <c r="DKH491" s="168"/>
      <c r="DKI491" s="168"/>
      <c r="DKJ491" s="168"/>
      <c r="DKK491" s="168"/>
      <c r="DKL491" s="168"/>
      <c r="DKM491" s="168"/>
      <c r="DKN491" s="168"/>
      <c r="DKO491" s="168"/>
      <c r="DKP491" s="168"/>
      <c r="DKQ491" s="168"/>
      <c r="DKR491" s="168"/>
      <c r="DKS491" s="168"/>
      <c r="DKT491" s="168"/>
      <c r="DKU491" s="168"/>
      <c r="DKV491" s="168"/>
      <c r="DKW491" s="168"/>
      <c r="DKX491" s="168"/>
      <c r="DKY491" s="168"/>
      <c r="DKZ491" s="168"/>
      <c r="DLA491" s="168"/>
      <c r="DLB491" s="168"/>
      <c r="DLC491" s="168"/>
      <c r="DLD491" s="168"/>
      <c r="DLE491" s="168"/>
      <c r="DLF491" s="168"/>
      <c r="DLG491" s="168"/>
      <c r="DLH491" s="168"/>
      <c r="DLI491" s="168"/>
      <c r="DLJ491" s="168"/>
      <c r="DLK491" s="168"/>
      <c r="DLL491" s="168"/>
      <c r="DLM491" s="168"/>
      <c r="DLN491" s="168"/>
      <c r="DLO491" s="168"/>
      <c r="DLP491" s="168"/>
      <c r="DLQ491" s="168"/>
      <c r="DLR491" s="168"/>
      <c r="DLS491" s="168"/>
      <c r="DLT491" s="168"/>
      <c r="DLU491" s="168"/>
      <c r="DLV491" s="168"/>
      <c r="DLW491" s="168"/>
      <c r="DLX491" s="168"/>
      <c r="DLY491" s="168"/>
      <c r="DLZ491" s="168"/>
      <c r="DMA491" s="168"/>
      <c r="DMB491" s="168"/>
      <c r="DMC491" s="168"/>
      <c r="DMD491" s="168"/>
      <c r="DME491" s="168"/>
      <c r="DMF491" s="168"/>
      <c r="DMG491" s="168"/>
      <c r="DMH491" s="168"/>
      <c r="DMI491" s="168"/>
      <c r="DMJ491" s="168"/>
      <c r="DMK491" s="168"/>
      <c r="DML491" s="168"/>
      <c r="DMM491" s="168"/>
      <c r="DMN491" s="168"/>
      <c r="DMO491" s="168"/>
      <c r="DMP491" s="168"/>
      <c r="DMQ491" s="168"/>
      <c r="DMR491" s="168"/>
      <c r="DMS491" s="168"/>
      <c r="DMT491" s="168"/>
      <c r="DMU491" s="168"/>
      <c r="DMV491" s="168"/>
      <c r="DMW491" s="168"/>
      <c r="DMX491" s="168"/>
      <c r="DMY491" s="168"/>
      <c r="DMZ491" s="168"/>
      <c r="DNA491" s="168"/>
      <c r="DNB491" s="168"/>
      <c r="DNC491" s="168"/>
      <c r="DND491" s="168"/>
      <c r="DNE491" s="168"/>
      <c r="DNF491" s="168"/>
      <c r="DNG491" s="168"/>
      <c r="DNH491" s="168"/>
      <c r="DNI491" s="168"/>
      <c r="DNJ491" s="168"/>
      <c r="DNK491" s="168"/>
      <c r="DNL491" s="168"/>
      <c r="DNM491" s="168"/>
      <c r="DNN491" s="168"/>
      <c r="DNO491" s="168"/>
      <c r="DNP491" s="168"/>
      <c r="DNQ491" s="168"/>
      <c r="DNR491" s="168"/>
      <c r="DNS491" s="168"/>
      <c r="DNT491" s="168"/>
      <c r="DNU491" s="168"/>
      <c r="DNV491" s="168"/>
      <c r="DNW491" s="168"/>
      <c r="DNX491" s="168"/>
      <c r="DNY491" s="168"/>
      <c r="DNZ491" s="168"/>
      <c r="DOA491" s="168"/>
      <c r="DOB491" s="168"/>
      <c r="DOC491" s="168"/>
      <c r="DOD491" s="168"/>
      <c r="DOE491" s="168"/>
      <c r="DOF491" s="168"/>
      <c r="DOG491" s="168"/>
      <c r="DOH491" s="168"/>
      <c r="DOI491" s="168"/>
      <c r="DOJ491" s="168"/>
      <c r="DOK491" s="168"/>
      <c r="DOL491" s="168"/>
      <c r="DOM491" s="168"/>
      <c r="DON491" s="168"/>
      <c r="DOO491" s="168"/>
      <c r="DOP491" s="168"/>
      <c r="DOQ491" s="168"/>
      <c r="DOR491" s="168"/>
      <c r="DOS491" s="168"/>
      <c r="DOT491" s="168"/>
      <c r="DOU491" s="168"/>
      <c r="DOV491" s="168"/>
      <c r="DOW491" s="168"/>
      <c r="DOX491" s="168"/>
      <c r="DOY491" s="168"/>
      <c r="DOZ491" s="168"/>
      <c r="DPA491" s="168"/>
      <c r="DPB491" s="168"/>
      <c r="DPC491" s="168"/>
      <c r="DPD491" s="168"/>
      <c r="DPE491" s="168"/>
      <c r="DPF491" s="168"/>
      <c r="DPG491" s="168"/>
      <c r="DPH491" s="168"/>
      <c r="DPI491" s="168"/>
      <c r="DPJ491" s="168"/>
      <c r="DPK491" s="168"/>
      <c r="DPL491" s="168"/>
      <c r="DPM491" s="168"/>
      <c r="DPN491" s="168"/>
      <c r="DPO491" s="168"/>
      <c r="DPP491" s="168"/>
      <c r="DPQ491" s="168"/>
      <c r="DPR491" s="168"/>
      <c r="DPS491" s="168"/>
      <c r="DPT491" s="168"/>
      <c r="DPU491" s="168"/>
      <c r="DPV491" s="168"/>
      <c r="DPW491" s="168"/>
      <c r="DPX491" s="168"/>
      <c r="DPY491" s="168"/>
      <c r="DPZ491" s="168"/>
      <c r="DQA491" s="168"/>
      <c r="DQB491" s="168"/>
      <c r="DQC491" s="168"/>
      <c r="DQD491" s="168"/>
      <c r="DQE491" s="168"/>
      <c r="DQF491" s="168"/>
      <c r="DQG491" s="168"/>
      <c r="DQH491" s="168"/>
      <c r="DQI491" s="168"/>
      <c r="DQJ491" s="168"/>
      <c r="DQK491" s="168"/>
      <c r="DQL491" s="168"/>
      <c r="DQM491" s="168"/>
      <c r="DQN491" s="168"/>
      <c r="DQO491" s="168"/>
      <c r="DQP491" s="168"/>
      <c r="DQQ491" s="168"/>
      <c r="DQR491" s="168"/>
      <c r="DQS491" s="168"/>
      <c r="DQT491" s="168"/>
      <c r="DQU491" s="168"/>
      <c r="DQV491" s="168"/>
      <c r="DQW491" s="168"/>
      <c r="DQX491" s="168"/>
      <c r="DQY491" s="168"/>
      <c r="DQZ491" s="168"/>
      <c r="DRA491" s="168"/>
      <c r="DRB491" s="168"/>
      <c r="DRC491" s="168"/>
      <c r="DRD491" s="168"/>
      <c r="DRE491" s="168"/>
      <c r="DRF491" s="168"/>
      <c r="DRG491" s="168"/>
      <c r="DRH491" s="168"/>
      <c r="DRI491" s="168"/>
      <c r="DRJ491" s="168"/>
      <c r="DRK491" s="168"/>
      <c r="DRL491" s="168"/>
      <c r="DRM491" s="168"/>
      <c r="DRN491" s="168"/>
      <c r="DRO491" s="168"/>
      <c r="DRP491" s="168"/>
      <c r="DRQ491" s="168"/>
      <c r="DRR491" s="168"/>
      <c r="DRS491" s="168"/>
      <c r="DRT491" s="168"/>
      <c r="DRU491" s="168"/>
      <c r="DRV491" s="168"/>
      <c r="DRW491" s="168"/>
      <c r="DRX491" s="168"/>
      <c r="DRY491" s="168"/>
      <c r="DRZ491" s="168"/>
      <c r="DSA491" s="168"/>
      <c r="DSB491" s="168"/>
      <c r="DSC491" s="168"/>
      <c r="DSD491" s="168"/>
      <c r="DSE491" s="168"/>
      <c r="DSF491" s="168"/>
      <c r="DSG491" s="168"/>
      <c r="DSH491" s="168"/>
      <c r="DSI491" s="168"/>
      <c r="DSJ491" s="168"/>
      <c r="DSK491" s="168"/>
      <c r="DSL491" s="168"/>
      <c r="DSM491" s="168"/>
      <c r="DSN491" s="168"/>
      <c r="DSO491" s="168"/>
      <c r="DSP491" s="168"/>
      <c r="DSQ491" s="168"/>
      <c r="DSR491" s="168"/>
      <c r="DSS491" s="168"/>
      <c r="DST491" s="168"/>
      <c r="DSU491" s="168"/>
      <c r="DSV491" s="168"/>
      <c r="DSW491" s="168"/>
      <c r="DSX491" s="168"/>
      <c r="DSY491" s="168"/>
      <c r="DSZ491" s="168"/>
      <c r="DTA491" s="168"/>
      <c r="DTB491" s="168"/>
      <c r="DTC491" s="168"/>
      <c r="DTD491" s="168"/>
      <c r="DTE491" s="168"/>
      <c r="DTF491" s="168"/>
      <c r="DTG491" s="168"/>
      <c r="DTH491" s="168"/>
      <c r="DTI491" s="168"/>
      <c r="DTJ491" s="168"/>
      <c r="DTK491" s="168"/>
      <c r="DTL491" s="168"/>
      <c r="DTM491" s="168"/>
      <c r="DTN491" s="168"/>
      <c r="DTO491" s="168"/>
      <c r="DTP491" s="168"/>
      <c r="DTQ491" s="168"/>
      <c r="DTR491" s="168"/>
      <c r="DTS491" s="168"/>
      <c r="DTT491" s="168"/>
      <c r="DTU491" s="168"/>
      <c r="DTV491" s="168"/>
      <c r="DTW491" s="168"/>
      <c r="DTX491" s="168"/>
      <c r="DTY491" s="168"/>
      <c r="DTZ491" s="168"/>
      <c r="DUA491" s="168"/>
      <c r="DUB491" s="168"/>
      <c r="DUC491" s="168"/>
      <c r="DUD491" s="168"/>
      <c r="DUE491" s="168"/>
      <c r="DUF491" s="168"/>
      <c r="DUG491" s="168"/>
      <c r="DUH491" s="168"/>
      <c r="DUI491" s="168"/>
      <c r="DUJ491" s="168"/>
      <c r="DUK491" s="168"/>
      <c r="DUL491" s="168"/>
      <c r="DUM491" s="168"/>
      <c r="DUN491" s="168"/>
      <c r="DUO491" s="168"/>
      <c r="DUP491" s="168"/>
      <c r="DUQ491" s="168"/>
      <c r="DUR491" s="168"/>
      <c r="DUS491" s="168"/>
      <c r="DUT491" s="168"/>
      <c r="DUU491" s="168"/>
      <c r="DUV491" s="168"/>
      <c r="DUW491" s="168"/>
      <c r="DUX491" s="168"/>
      <c r="DUY491" s="168"/>
      <c r="DUZ491" s="168"/>
      <c r="DVA491" s="168"/>
      <c r="DVB491" s="168"/>
      <c r="DVC491" s="168"/>
      <c r="DVD491" s="168"/>
      <c r="DVE491" s="168"/>
      <c r="DVF491" s="168"/>
      <c r="DVG491" s="168"/>
      <c r="DVH491" s="168"/>
      <c r="DVI491" s="168"/>
      <c r="DVJ491" s="168"/>
      <c r="DVK491" s="168"/>
      <c r="DVL491" s="168"/>
      <c r="DVM491" s="168"/>
      <c r="DVN491" s="168"/>
      <c r="DVO491" s="168"/>
      <c r="DVP491" s="168"/>
      <c r="DVQ491" s="168"/>
      <c r="DVR491" s="168"/>
      <c r="DVS491" s="168"/>
      <c r="DVT491" s="168"/>
      <c r="DVU491" s="168"/>
      <c r="DVV491" s="168"/>
      <c r="DVW491" s="168"/>
      <c r="DVX491" s="168"/>
      <c r="DVY491" s="168"/>
      <c r="DVZ491" s="168"/>
      <c r="DWA491" s="168"/>
      <c r="DWB491" s="168"/>
      <c r="DWC491" s="168"/>
      <c r="DWD491" s="168"/>
      <c r="DWE491" s="168"/>
      <c r="DWF491" s="168"/>
      <c r="DWG491" s="168"/>
      <c r="DWH491" s="168"/>
      <c r="DWI491" s="168"/>
      <c r="DWJ491" s="168"/>
      <c r="DWK491" s="168"/>
      <c r="DWL491" s="168"/>
      <c r="DWM491" s="168"/>
      <c r="DWN491" s="168"/>
      <c r="DWO491" s="168"/>
      <c r="DWP491" s="168"/>
      <c r="DWQ491" s="168"/>
      <c r="DWR491" s="168"/>
      <c r="DWS491" s="168"/>
      <c r="DWT491" s="168"/>
      <c r="DWU491" s="168"/>
      <c r="DWV491" s="168"/>
      <c r="DWW491" s="168"/>
      <c r="DWX491" s="168"/>
      <c r="DWY491" s="168"/>
      <c r="DWZ491" s="168"/>
      <c r="DXA491" s="168"/>
      <c r="DXB491" s="168"/>
      <c r="DXC491" s="168"/>
      <c r="DXD491" s="168"/>
      <c r="DXE491" s="168"/>
      <c r="DXF491" s="168"/>
      <c r="DXG491" s="168"/>
      <c r="DXH491" s="168"/>
      <c r="DXI491" s="168"/>
      <c r="DXJ491" s="168"/>
      <c r="DXK491" s="168"/>
      <c r="DXL491" s="168"/>
      <c r="DXM491" s="168"/>
      <c r="DXN491" s="168"/>
      <c r="DXO491" s="168"/>
      <c r="DXP491" s="168"/>
      <c r="DXQ491" s="168"/>
      <c r="DXR491" s="168"/>
      <c r="DXS491" s="168"/>
      <c r="DXT491" s="168"/>
      <c r="DXU491" s="168"/>
      <c r="DXV491" s="168"/>
      <c r="DXW491" s="168"/>
      <c r="DXX491" s="168"/>
      <c r="DXY491" s="168"/>
      <c r="DXZ491" s="168"/>
      <c r="DYA491" s="168"/>
      <c r="DYB491" s="168"/>
      <c r="DYC491" s="168"/>
      <c r="DYD491" s="168"/>
      <c r="DYE491" s="168"/>
      <c r="DYF491" s="168"/>
      <c r="DYG491" s="168"/>
      <c r="DYH491" s="168"/>
      <c r="DYI491" s="168"/>
      <c r="DYJ491" s="168"/>
      <c r="DYK491" s="168"/>
      <c r="DYL491" s="168"/>
      <c r="DYM491" s="168"/>
      <c r="DYN491" s="168"/>
      <c r="DYO491" s="168"/>
      <c r="DYP491" s="168"/>
      <c r="DYQ491" s="168"/>
      <c r="DYR491" s="168"/>
      <c r="DYS491" s="168"/>
      <c r="DYT491" s="168"/>
      <c r="DYU491" s="168"/>
      <c r="DYV491" s="168"/>
      <c r="DYW491" s="168"/>
      <c r="DYX491" s="168"/>
      <c r="DYY491" s="168"/>
      <c r="DYZ491" s="168"/>
      <c r="DZA491" s="168"/>
      <c r="DZB491" s="168"/>
      <c r="DZC491" s="168"/>
      <c r="DZD491" s="168"/>
      <c r="DZE491" s="168"/>
      <c r="DZF491" s="168"/>
      <c r="DZG491" s="168"/>
      <c r="DZH491" s="168"/>
      <c r="DZI491" s="168"/>
      <c r="DZJ491" s="168"/>
      <c r="DZK491" s="168"/>
      <c r="DZL491" s="168"/>
      <c r="DZM491" s="168"/>
      <c r="DZN491" s="168"/>
      <c r="DZO491" s="168"/>
      <c r="DZP491" s="168"/>
      <c r="DZQ491" s="168"/>
      <c r="DZR491" s="168"/>
      <c r="DZS491" s="168"/>
      <c r="DZT491" s="168"/>
      <c r="DZU491" s="168"/>
      <c r="DZV491" s="168"/>
      <c r="DZW491" s="168"/>
      <c r="DZX491" s="168"/>
      <c r="DZY491" s="168"/>
      <c r="DZZ491" s="168"/>
      <c r="EAA491" s="168"/>
      <c r="EAB491" s="168"/>
      <c r="EAC491" s="168"/>
      <c r="EAD491" s="168"/>
      <c r="EAE491" s="168"/>
      <c r="EAF491" s="168"/>
      <c r="EAG491" s="168"/>
      <c r="EAH491" s="168"/>
      <c r="EAI491" s="168"/>
      <c r="EAJ491" s="168"/>
      <c r="EAK491" s="168"/>
      <c r="EAL491" s="168"/>
      <c r="EAM491" s="168"/>
      <c r="EAN491" s="168"/>
      <c r="EAO491" s="168"/>
      <c r="EAP491" s="168"/>
      <c r="EAQ491" s="168"/>
      <c r="EAR491" s="168"/>
      <c r="EAS491" s="168"/>
      <c r="EAT491" s="168"/>
      <c r="EAU491" s="168"/>
      <c r="EAV491" s="168"/>
      <c r="EAW491" s="168"/>
      <c r="EAX491" s="168"/>
      <c r="EAY491" s="168"/>
      <c r="EAZ491" s="168"/>
      <c r="EBA491" s="168"/>
      <c r="EBB491" s="168"/>
      <c r="EBC491" s="168"/>
      <c r="EBD491" s="168"/>
      <c r="EBE491" s="168"/>
      <c r="EBF491" s="168"/>
      <c r="EBG491" s="168"/>
      <c r="EBH491" s="168"/>
      <c r="EBI491" s="168"/>
      <c r="EBJ491" s="168"/>
      <c r="EBK491" s="168"/>
      <c r="EBL491" s="168"/>
      <c r="EBM491" s="168"/>
      <c r="EBN491" s="168"/>
      <c r="EBO491" s="168"/>
      <c r="EBP491" s="168"/>
      <c r="EBQ491" s="168"/>
      <c r="EBR491" s="168"/>
      <c r="EBS491" s="168"/>
      <c r="EBT491" s="168"/>
      <c r="EBU491" s="168"/>
      <c r="EBV491" s="168"/>
      <c r="EBW491" s="168"/>
      <c r="EBX491" s="168"/>
      <c r="EBY491" s="168"/>
      <c r="EBZ491" s="168"/>
      <c r="ECA491" s="168"/>
      <c r="ECB491" s="168"/>
      <c r="ECC491" s="168"/>
      <c r="ECD491" s="168"/>
      <c r="ECE491" s="168"/>
      <c r="ECF491" s="168"/>
      <c r="ECG491" s="168"/>
      <c r="ECH491" s="168"/>
      <c r="ECI491" s="168"/>
      <c r="ECJ491" s="168"/>
      <c r="ECK491" s="168"/>
      <c r="ECL491" s="168"/>
      <c r="ECM491" s="168"/>
      <c r="ECN491" s="168"/>
      <c r="ECO491" s="168"/>
      <c r="ECP491" s="168"/>
      <c r="ECQ491" s="168"/>
      <c r="ECR491" s="168"/>
      <c r="ECS491" s="168"/>
      <c r="ECT491" s="168"/>
      <c r="ECU491" s="168"/>
      <c r="ECV491" s="168"/>
      <c r="ECW491" s="168"/>
      <c r="ECX491" s="168"/>
      <c r="ECY491" s="168"/>
      <c r="ECZ491" s="168"/>
      <c r="EDA491" s="168"/>
      <c r="EDB491" s="168"/>
      <c r="EDC491" s="168"/>
      <c r="EDD491" s="168"/>
      <c r="EDE491" s="168"/>
      <c r="EDF491" s="168"/>
      <c r="EDG491" s="168"/>
      <c r="EDH491" s="168"/>
      <c r="EDI491" s="168"/>
      <c r="EDJ491" s="168"/>
      <c r="EDK491" s="168"/>
      <c r="EDL491" s="168"/>
      <c r="EDM491" s="168"/>
      <c r="EDN491" s="168"/>
      <c r="EDO491" s="168"/>
      <c r="EDP491" s="168"/>
      <c r="EDQ491" s="168"/>
      <c r="EDR491" s="168"/>
      <c r="EDS491" s="168"/>
      <c r="EDT491" s="168"/>
      <c r="EDU491" s="168"/>
      <c r="EDV491" s="168"/>
      <c r="EDW491" s="168"/>
      <c r="EDX491" s="168"/>
      <c r="EDY491" s="168"/>
      <c r="EDZ491" s="168"/>
      <c r="EEA491" s="168"/>
      <c r="EEB491" s="168"/>
      <c r="EEC491" s="168"/>
      <c r="EED491" s="168"/>
      <c r="EEE491" s="168"/>
      <c r="EEF491" s="168"/>
      <c r="EEG491" s="168"/>
      <c r="EEH491" s="168"/>
      <c r="EEI491" s="168"/>
      <c r="EEJ491" s="168"/>
      <c r="EEK491" s="168"/>
      <c r="EEL491" s="168"/>
      <c r="EEM491" s="168"/>
      <c r="EEN491" s="168"/>
      <c r="EEO491" s="168"/>
      <c r="EEP491" s="168"/>
      <c r="EEQ491" s="168"/>
      <c r="EER491" s="168"/>
      <c r="EES491" s="168"/>
      <c r="EET491" s="168"/>
      <c r="EEU491" s="168"/>
      <c r="EEV491" s="168"/>
      <c r="EEW491" s="168"/>
      <c r="EEX491" s="168"/>
      <c r="EEY491" s="168"/>
      <c r="EEZ491" s="168"/>
      <c r="EFA491" s="168"/>
      <c r="EFB491" s="168"/>
      <c r="EFC491" s="168"/>
      <c r="EFD491" s="168"/>
      <c r="EFE491" s="168"/>
      <c r="EFF491" s="168"/>
      <c r="EFG491" s="168"/>
      <c r="EFH491" s="168"/>
      <c r="EFI491" s="168"/>
      <c r="EFJ491" s="168"/>
      <c r="EFK491" s="168"/>
      <c r="EFL491" s="168"/>
      <c r="EFM491" s="168"/>
      <c r="EFN491" s="168"/>
      <c r="EFO491" s="168"/>
      <c r="EFP491" s="168"/>
      <c r="EFQ491" s="168"/>
      <c r="EFR491" s="168"/>
      <c r="EFS491" s="168"/>
      <c r="EFT491" s="168"/>
      <c r="EFU491" s="168"/>
      <c r="EFV491" s="168"/>
      <c r="EFW491" s="168"/>
      <c r="EFX491" s="168"/>
      <c r="EFY491" s="168"/>
      <c r="EFZ491" s="168"/>
      <c r="EGA491" s="168"/>
      <c r="EGB491" s="168"/>
      <c r="EGC491" s="168"/>
      <c r="EGD491" s="168"/>
      <c r="EGE491" s="168"/>
      <c r="EGF491" s="168"/>
      <c r="EGG491" s="168"/>
      <c r="EGH491" s="168"/>
      <c r="EGI491" s="168"/>
      <c r="EGJ491" s="168"/>
      <c r="EGK491" s="168"/>
      <c r="EGL491" s="168"/>
      <c r="EGM491" s="168"/>
      <c r="EGN491" s="168"/>
      <c r="EGO491" s="168"/>
      <c r="EGP491" s="168"/>
      <c r="EGQ491" s="168"/>
      <c r="EGR491" s="168"/>
      <c r="EGS491" s="168"/>
      <c r="EGT491" s="168"/>
      <c r="EGU491" s="168"/>
      <c r="EGV491" s="168"/>
      <c r="EGW491" s="168"/>
      <c r="EGX491" s="168"/>
      <c r="EGY491" s="168"/>
      <c r="EGZ491" s="168"/>
      <c r="EHA491" s="168"/>
      <c r="EHB491" s="168"/>
      <c r="EHC491" s="168"/>
      <c r="EHD491" s="168"/>
      <c r="EHE491" s="168"/>
      <c r="EHF491" s="168"/>
      <c r="EHG491" s="168"/>
      <c r="EHH491" s="168"/>
      <c r="EHI491" s="168"/>
      <c r="EHJ491" s="168"/>
      <c r="EHK491" s="168"/>
      <c r="EHL491" s="168"/>
      <c r="EHM491" s="168"/>
      <c r="EHN491" s="168"/>
      <c r="EHO491" s="168"/>
      <c r="EHP491" s="168"/>
      <c r="EHQ491" s="168"/>
      <c r="EHR491" s="168"/>
      <c r="EHS491" s="168"/>
      <c r="EHT491" s="168"/>
      <c r="EHU491" s="168"/>
      <c r="EHV491" s="168"/>
      <c r="EHW491" s="168"/>
      <c r="EHX491" s="168"/>
      <c r="EHY491" s="168"/>
      <c r="EHZ491" s="168"/>
      <c r="EIA491" s="168"/>
      <c r="EIB491" s="168"/>
      <c r="EIC491" s="168"/>
      <c r="EID491" s="168"/>
      <c r="EIE491" s="168"/>
      <c r="EIF491" s="168"/>
      <c r="EIG491" s="168"/>
      <c r="EIH491" s="168"/>
      <c r="EII491" s="168"/>
      <c r="EIJ491" s="168"/>
      <c r="EIK491" s="168"/>
      <c r="EIL491" s="168"/>
      <c r="EIM491" s="168"/>
      <c r="EIN491" s="168"/>
      <c r="EIO491" s="168"/>
      <c r="EIP491" s="168"/>
      <c r="EIQ491" s="168"/>
      <c r="EIR491" s="168"/>
      <c r="EIS491" s="168"/>
      <c r="EIT491" s="168"/>
      <c r="EIU491" s="168"/>
      <c r="EIV491" s="168"/>
      <c r="EIW491" s="168"/>
      <c r="EIX491" s="168"/>
      <c r="EIY491" s="168"/>
      <c r="EIZ491" s="168"/>
      <c r="EJA491" s="168"/>
      <c r="EJB491" s="168"/>
      <c r="EJC491" s="168"/>
      <c r="EJD491" s="168"/>
      <c r="EJE491" s="168"/>
      <c r="EJF491" s="168"/>
      <c r="EJG491" s="168"/>
      <c r="EJH491" s="168"/>
      <c r="EJI491" s="168"/>
      <c r="EJJ491" s="168"/>
      <c r="EJK491" s="168"/>
      <c r="EJL491" s="168"/>
      <c r="EJM491" s="168"/>
      <c r="EJN491" s="168"/>
      <c r="EJO491" s="168"/>
      <c r="EJP491" s="168"/>
      <c r="EJQ491" s="168"/>
      <c r="EJR491" s="168"/>
      <c r="EJS491" s="168"/>
      <c r="EJT491" s="168"/>
      <c r="EJU491" s="168"/>
      <c r="EJV491" s="168"/>
      <c r="EJW491" s="168"/>
      <c r="EJX491" s="168"/>
      <c r="EJY491" s="168"/>
      <c r="EJZ491" s="168"/>
      <c r="EKA491" s="168"/>
      <c r="EKB491" s="168"/>
      <c r="EKC491" s="168"/>
      <c r="EKD491" s="168"/>
      <c r="EKE491" s="168"/>
      <c r="EKF491" s="168"/>
      <c r="EKG491" s="168"/>
      <c r="EKH491" s="168"/>
      <c r="EKI491" s="168"/>
      <c r="EKJ491" s="168"/>
      <c r="EKK491" s="168"/>
      <c r="EKL491" s="168"/>
      <c r="EKM491" s="168"/>
      <c r="EKN491" s="168"/>
      <c r="EKO491" s="168"/>
      <c r="EKP491" s="168"/>
      <c r="EKQ491" s="168"/>
      <c r="EKR491" s="168"/>
      <c r="EKS491" s="168"/>
      <c r="EKT491" s="168"/>
      <c r="EKU491" s="168"/>
      <c r="EKV491" s="168"/>
      <c r="EKW491" s="168"/>
      <c r="EKX491" s="168"/>
      <c r="EKY491" s="168"/>
      <c r="EKZ491" s="168"/>
      <c r="ELA491" s="168"/>
      <c r="ELB491" s="168"/>
      <c r="ELC491" s="168"/>
      <c r="ELD491" s="168"/>
      <c r="ELE491" s="168"/>
      <c r="ELF491" s="168"/>
      <c r="ELG491" s="168"/>
      <c r="ELH491" s="168"/>
      <c r="ELI491" s="168"/>
      <c r="ELJ491" s="168"/>
      <c r="ELK491" s="168"/>
      <c r="ELL491" s="168"/>
      <c r="ELM491" s="168"/>
      <c r="ELN491" s="168"/>
      <c r="ELO491" s="168"/>
      <c r="ELP491" s="168"/>
      <c r="ELQ491" s="168"/>
      <c r="ELR491" s="168"/>
      <c r="ELS491" s="168"/>
      <c r="ELT491" s="168"/>
      <c r="ELU491" s="168"/>
      <c r="ELV491" s="168"/>
      <c r="ELW491" s="168"/>
      <c r="ELX491" s="168"/>
      <c r="ELY491" s="168"/>
      <c r="ELZ491" s="168"/>
      <c r="EMA491" s="168"/>
      <c r="EMB491" s="168"/>
      <c r="EMC491" s="168"/>
      <c r="EMD491" s="168"/>
      <c r="EME491" s="168"/>
      <c r="EMF491" s="168"/>
      <c r="EMG491" s="168"/>
      <c r="EMH491" s="168"/>
      <c r="EMI491" s="168"/>
      <c r="EMJ491" s="168"/>
      <c r="EMK491" s="168"/>
      <c r="EML491" s="168"/>
      <c r="EMM491" s="168"/>
      <c r="EMN491" s="168"/>
      <c r="EMO491" s="168"/>
      <c r="EMP491" s="168"/>
      <c r="EMQ491" s="168"/>
      <c r="EMR491" s="168"/>
      <c r="EMS491" s="168"/>
      <c r="EMT491" s="168"/>
      <c r="EMU491" s="168"/>
      <c r="EMV491" s="168"/>
      <c r="EMW491" s="168"/>
      <c r="EMX491" s="168"/>
      <c r="EMY491" s="168"/>
      <c r="EMZ491" s="168"/>
      <c r="ENA491" s="168"/>
      <c r="ENB491" s="168"/>
      <c r="ENC491" s="168"/>
      <c r="END491" s="168"/>
      <c r="ENE491" s="168"/>
      <c r="ENF491" s="168"/>
      <c r="ENG491" s="168"/>
      <c r="ENH491" s="168"/>
      <c r="ENI491" s="168"/>
      <c r="ENJ491" s="168"/>
      <c r="ENK491" s="168"/>
      <c r="ENL491" s="168"/>
      <c r="ENM491" s="168"/>
      <c r="ENN491" s="168"/>
      <c r="ENO491" s="168"/>
      <c r="ENP491" s="168"/>
      <c r="ENQ491" s="168"/>
      <c r="ENR491" s="168"/>
      <c r="ENS491" s="168"/>
      <c r="ENT491" s="168"/>
      <c r="ENU491" s="168"/>
      <c r="ENV491" s="168"/>
      <c r="ENW491" s="168"/>
      <c r="ENX491" s="168"/>
      <c r="ENY491" s="168"/>
      <c r="ENZ491" s="168"/>
      <c r="EOA491" s="168"/>
      <c r="EOB491" s="168"/>
      <c r="EOC491" s="168"/>
      <c r="EOD491" s="168"/>
      <c r="EOE491" s="168"/>
      <c r="EOF491" s="168"/>
      <c r="EOG491" s="168"/>
      <c r="EOH491" s="168"/>
      <c r="EOI491" s="168"/>
      <c r="EOJ491" s="168"/>
      <c r="EOK491" s="168"/>
      <c r="EOL491" s="168"/>
      <c r="EOM491" s="168"/>
      <c r="EON491" s="168"/>
      <c r="EOO491" s="168"/>
      <c r="EOP491" s="168"/>
      <c r="EOQ491" s="168"/>
      <c r="EOR491" s="168"/>
      <c r="EOS491" s="168"/>
      <c r="EOT491" s="168"/>
      <c r="EOU491" s="168"/>
      <c r="EOV491" s="168"/>
      <c r="EOW491" s="168"/>
      <c r="EOX491" s="168"/>
      <c r="EOY491" s="168"/>
      <c r="EOZ491" s="168"/>
      <c r="EPA491" s="168"/>
      <c r="EPB491" s="168"/>
      <c r="EPC491" s="168"/>
      <c r="EPD491" s="168"/>
      <c r="EPE491" s="168"/>
      <c r="EPF491" s="168"/>
      <c r="EPG491" s="168"/>
      <c r="EPH491" s="168"/>
      <c r="EPI491" s="168"/>
      <c r="EPJ491" s="168"/>
      <c r="EPK491" s="168"/>
      <c r="EPL491" s="168"/>
      <c r="EPM491" s="168"/>
      <c r="EPN491" s="168"/>
      <c r="EPO491" s="168"/>
      <c r="EPP491" s="168"/>
      <c r="EPQ491" s="168"/>
      <c r="EPR491" s="168"/>
      <c r="EPS491" s="168"/>
      <c r="EPT491" s="168"/>
      <c r="EPU491" s="168"/>
      <c r="EPV491" s="168"/>
      <c r="EPW491" s="168"/>
      <c r="EPX491" s="168"/>
      <c r="EPY491" s="168"/>
      <c r="EPZ491" s="168"/>
      <c r="EQA491" s="168"/>
      <c r="EQB491" s="168"/>
      <c r="EQC491" s="168"/>
      <c r="EQD491" s="168"/>
      <c r="EQE491" s="168"/>
      <c r="EQF491" s="168"/>
      <c r="EQG491" s="168"/>
      <c r="EQH491" s="168"/>
      <c r="EQI491" s="168"/>
      <c r="EQJ491" s="168"/>
      <c r="EQK491" s="168"/>
      <c r="EQL491" s="168"/>
      <c r="EQM491" s="168"/>
      <c r="EQN491" s="168"/>
      <c r="EQO491" s="168"/>
      <c r="EQP491" s="168"/>
      <c r="EQQ491" s="168"/>
      <c r="EQR491" s="168"/>
      <c r="EQS491" s="168"/>
      <c r="EQT491" s="168"/>
      <c r="EQU491" s="168"/>
      <c r="EQV491" s="168"/>
      <c r="EQW491" s="168"/>
      <c r="EQX491" s="168"/>
      <c r="EQY491" s="168"/>
      <c r="EQZ491" s="168"/>
      <c r="ERA491" s="168"/>
      <c r="ERB491" s="168"/>
      <c r="ERC491" s="168"/>
      <c r="ERD491" s="168"/>
      <c r="ERE491" s="168"/>
      <c r="ERF491" s="168"/>
      <c r="ERG491" s="168"/>
      <c r="ERH491" s="168"/>
      <c r="ERI491" s="168"/>
      <c r="ERJ491" s="168"/>
      <c r="ERK491" s="168"/>
      <c r="ERL491" s="168"/>
      <c r="ERM491" s="168"/>
      <c r="ERN491" s="168"/>
      <c r="ERO491" s="168"/>
      <c r="ERP491" s="168"/>
      <c r="ERQ491" s="168"/>
      <c r="ERR491" s="168"/>
      <c r="ERS491" s="168"/>
      <c r="ERT491" s="168"/>
      <c r="ERU491" s="168"/>
      <c r="ERV491" s="168"/>
      <c r="ERW491" s="168"/>
      <c r="ERX491" s="168"/>
      <c r="ERY491" s="168"/>
      <c r="ERZ491" s="168"/>
      <c r="ESA491" s="168"/>
      <c r="ESB491" s="168"/>
      <c r="ESC491" s="168"/>
      <c r="ESD491" s="168"/>
      <c r="ESE491" s="168"/>
      <c r="ESF491" s="168"/>
      <c r="ESG491" s="168"/>
      <c r="ESH491" s="168"/>
      <c r="ESI491" s="168"/>
      <c r="ESJ491" s="168"/>
      <c r="ESK491" s="168"/>
      <c r="ESL491" s="168"/>
      <c r="ESM491" s="168"/>
      <c r="ESN491" s="168"/>
      <c r="ESO491" s="168"/>
      <c r="ESP491" s="168"/>
      <c r="ESQ491" s="168"/>
      <c r="ESR491" s="168"/>
      <c r="ESS491" s="168"/>
      <c r="EST491" s="168"/>
      <c r="ESU491" s="168"/>
      <c r="ESV491" s="168"/>
      <c r="ESW491" s="168"/>
      <c r="ESX491" s="168"/>
      <c r="ESY491" s="168"/>
      <c r="ESZ491" s="168"/>
      <c r="ETA491" s="168"/>
      <c r="ETB491" s="168"/>
      <c r="ETC491" s="168"/>
      <c r="ETD491" s="168"/>
      <c r="ETE491" s="168"/>
      <c r="ETF491" s="168"/>
      <c r="ETG491" s="168"/>
      <c r="ETH491" s="168"/>
      <c r="ETI491" s="168"/>
      <c r="ETJ491" s="168"/>
      <c r="ETK491" s="168"/>
      <c r="ETL491" s="168"/>
      <c r="ETM491" s="168"/>
      <c r="ETN491" s="168"/>
      <c r="ETO491" s="168"/>
      <c r="ETP491" s="168"/>
      <c r="ETQ491" s="168"/>
      <c r="ETR491" s="168"/>
      <c r="ETS491" s="168"/>
      <c r="ETT491" s="168"/>
      <c r="ETU491" s="168"/>
      <c r="ETV491" s="168"/>
      <c r="ETW491" s="168"/>
      <c r="ETX491" s="168"/>
      <c r="ETY491" s="168"/>
      <c r="ETZ491" s="168"/>
      <c r="EUA491" s="168"/>
      <c r="EUB491" s="168"/>
      <c r="EUC491" s="168"/>
      <c r="EUD491" s="168"/>
      <c r="EUE491" s="168"/>
      <c r="EUF491" s="168"/>
      <c r="EUG491" s="168"/>
      <c r="EUH491" s="168"/>
      <c r="EUI491" s="168"/>
      <c r="EUJ491" s="168"/>
      <c r="EUK491" s="168"/>
      <c r="EUL491" s="168"/>
      <c r="EUM491" s="168"/>
      <c r="EUN491" s="168"/>
      <c r="EUO491" s="168"/>
      <c r="EUP491" s="168"/>
      <c r="EUQ491" s="168"/>
      <c r="EUR491" s="168"/>
      <c r="EUS491" s="168"/>
      <c r="EUT491" s="168"/>
      <c r="EUU491" s="168"/>
      <c r="EUV491" s="168"/>
      <c r="EUW491" s="168"/>
      <c r="EUX491" s="168"/>
      <c r="EUY491" s="168"/>
      <c r="EUZ491" s="168"/>
      <c r="EVA491" s="168"/>
      <c r="EVB491" s="168"/>
      <c r="EVC491" s="168"/>
      <c r="EVD491" s="168"/>
      <c r="EVE491" s="168"/>
      <c r="EVF491" s="168"/>
      <c r="EVG491" s="168"/>
      <c r="EVH491" s="168"/>
      <c r="EVI491" s="168"/>
      <c r="EVJ491" s="168"/>
      <c r="EVK491" s="168"/>
      <c r="EVL491" s="168"/>
      <c r="EVM491" s="168"/>
      <c r="EVN491" s="168"/>
      <c r="EVO491" s="168"/>
      <c r="EVP491" s="168"/>
      <c r="EVQ491" s="168"/>
      <c r="EVR491" s="168"/>
      <c r="EVS491" s="168"/>
      <c r="EVT491" s="168"/>
      <c r="EVU491" s="168"/>
      <c r="EVV491" s="168"/>
      <c r="EVW491" s="168"/>
      <c r="EVX491" s="168"/>
      <c r="EVY491" s="168"/>
      <c r="EVZ491" s="168"/>
      <c r="EWA491" s="168"/>
      <c r="EWB491" s="168"/>
      <c r="EWC491" s="168"/>
      <c r="EWD491" s="168"/>
      <c r="EWE491" s="168"/>
      <c r="EWF491" s="168"/>
      <c r="EWG491" s="168"/>
      <c r="EWH491" s="168"/>
      <c r="EWI491" s="168"/>
      <c r="EWJ491" s="168"/>
      <c r="EWK491" s="168"/>
      <c r="EWL491" s="168"/>
      <c r="EWM491" s="168"/>
      <c r="EWN491" s="168"/>
      <c r="EWO491" s="168"/>
      <c r="EWP491" s="168"/>
      <c r="EWQ491" s="168"/>
      <c r="EWR491" s="168"/>
      <c r="EWS491" s="168"/>
      <c r="EWT491" s="168"/>
      <c r="EWU491" s="168"/>
      <c r="EWV491" s="168"/>
      <c r="EWW491" s="168"/>
      <c r="EWX491" s="168"/>
      <c r="EWY491" s="168"/>
      <c r="EWZ491" s="168"/>
      <c r="EXA491" s="168"/>
      <c r="EXB491" s="168"/>
      <c r="EXC491" s="168"/>
      <c r="EXD491" s="168"/>
      <c r="EXE491" s="168"/>
      <c r="EXF491" s="168"/>
      <c r="EXG491" s="168"/>
      <c r="EXH491" s="168"/>
      <c r="EXI491" s="168"/>
      <c r="EXJ491" s="168"/>
      <c r="EXK491" s="168"/>
      <c r="EXL491" s="168"/>
      <c r="EXM491" s="168"/>
      <c r="EXN491" s="168"/>
      <c r="EXO491" s="168"/>
      <c r="EXP491" s="168"/>
      <c r="EXQ491" s="168"/>
      <c r="EXR491" s="168"/>
      <c r="EXS491" s="168"/>
      <c r="EXT491" s="168"/>
      <c r="EXU491" s="168"/>
      <c r="EXV491" s="168"/>
      <c r="EXW491" s="168"/>
      <c r="EXX491" s="168"/>
      <c r="EXY491" s="168"/>
      <c r="EXZ491" s="168"/>
      <c r="EYA491" s="168"/>
      <c r="EYB491" s="168"/>
      <c r="EYC491" s="168"/>
      <c r="EYD491" s="168"/>
      <c r="EYE491" s="168"/>
      <c r="EYF491" s="168"/>
      <c r="EYG491" s="168"/>
      <c r="EYH491" s="168"/>
      <c r="EYI491" s="168"/>
      <c r="EYJ491" s="168"/>
      <c r="EYK491" s="168"/>
      <c r="EYL491" s="168"/>
      <c r="EYM491" s="168"/>
      <c r="EYN491" s="168"/>
      <c r="EYO491" s="168"/>
      <c r="EYP491" s="168"/>
      <c r="EYQ491" s="168"/>
      <c r="EYR491" s="168"/>
      <c r="EYS491" s="168"/>
      <c r="EYT491" s="168"/>
      <c r="EYU491" s="168"/>
      <c r="EYV491" s="168"/>
      <c r="EYW491" s="168"/>
      <c r="EYX491" s="168"/>
      <c r="EYY491" s="168"/>
      <c r="EYZ491" s="168"/>
      <c r="EZA491" s="168"/>
      <c r="EZB491" s="168"/>
      <c r="EZC491" s="168"/>
      <c r="EZD491" s="168"/>
      <c r="EZE491" s="168"/>
      <c r="EZF491" s="168"/>
      <c r="EZG491" s="168"/>
      <c r="EZH491" s="168"/>
      <c r="EZI491" s="168"/>
      <c r="EZJ491" s="168"/>
      <c r="EZK491" s="168"/>
      <c r="EZL491" s="168"/>
      <c r="EZM491" s="168"/>
      <c r="EZN491" s="168"/>
      <c r="EZO491" s="168"/>
      <c r="EZP491" s="168"/>
      <c r="EZQ491" s="168"/>
      <c r="EZR491" s="168"/>
      <c r="EZS491" s="168"/>
      <c r="EZT491" s="168"/>
      <c r="EZU491" s="168"/>
      <c r="EZV491" s="168"/>
      <c r="EZW491" s="168"/>
      <c r="EZX491" s="168"/>
      <c r="EZY491" s="168"/>
      <c r="EZZ491" s="168"/>
      <c r="FAA491" s="168"/>
      <c r="FAB491" s="168"/>
      <c r="FAC491" s="168"/>
      <c r="FAD491" s="168"/>
      <c r="FAE491" s="168"/>
      <c r="FAF491" s="168"/>
      <c r="FAG491" s="168"/>
      <c r="FAH491" s="168"/>
      <c r="FAI491" s="168"/>
      <c r="FAJ491" s="168"/>
      <c r="FAK491" s="168"/>
      <c r="FAL491" s="168"/>
      <c r="FAM491" s="168"/>
      <c r="FAN491" s="168"/>
      <c r="FAO491" s="168"/>
      <c r="FAP491" s="168"/>
      <c r="FAQ491" s="168"/>
      <c r="FAR491" s="168"/>
      <c r="FAS491" s="168"/>
      <c r="FAT491" s="168"/>
      <c r="FAU491" s="168"/>
      <c r="FAV491" s="168"/>
      <c r="FAW491" s="168"/>
      <c r="FAX491" s="168"/>
      <c r="FAY491" s="168"/>
      <c r="FAZ491" s="168"/>
      <c r="FBA491" s="168"/>
      <c r="FBB491" s="168"/>
      <c r="FBC491" s="168"/>
      <c r="FBD491" s="168"/>
      <c r="FBE491" s="168"/>
      <c r="FBF491" s="168"/>
      <c r="FBG491" s="168"/>
      <c r="FBH491" s="168"/>
      <c r="FBI491" s="168"/>
      <c r="FBJ491" s="168"/>
      <c r="FBK491" s="168"/>
      <c r="FBL491" s="168"/>
      <c r="FBM491" s="168"/>
      <c r="FBN491" s="168"/>
      <c r="FBO491" s="168"/>
      <c r="FBP491" s="168"/>
      <c r="FBQ491" s="168"/>
      <c r="FBR491" s="168"/>
      <c r="FBS491" s="168"/>
      <c r="FBT491" s="168"/>
      <c r="FBU491" s="168"/>
      <c r="FBV491" s="168"/>
      <c r="FBW491" s="168"/>
      <c r="FBX491" s="168"/>
      <c r="FBY491" s="168"/>
      <c r="FBZ491" s="168"/>
      <c r="FCA491" s="168"/>
      <c r="FCB491" s="168"/>
      <c r="FCC491" s="168"/>
      <c r="FCD491" s="168"/>
      <c r="FCE491" s="168"/>
      <c r="FCF491" s="168"/>
      <c r="FCG491" s="168"/>
      <c r="FCH491" s="168"/>
      <c r="FCI491" s="168"/>
      <c r="FCJ491" s="168"/>
      <c r="FCK491" s="168"/>
      <c r="FCL491" s="168"/>
      <c r="FCM491" s="168"/>
      <c r="FCN491" s="168"/>
      <c r="FCO491" s="168"/>
      <c r="FCP491" s="168"/>
      <c r="FCQ491" s="168"/>
      <c r="FCR491" s="168"/>
      <c r="FCS491" s="168"/>
      <c r="FCT491" s="168"/>
      <c r="FCU491" s="168"/>
      <c r="FCV491" s="168"/>
      <c r="FCW491" s="168"/>
      <c r="FCX491" s="168"/>
      <c r="FCY491" s="168"/>
      <c r="FCZ491" s="168"/>
      <c r="FDA491" s="168"/>
      <c r="FDB491" s="168"/>
      <c r="FDC491" s="168"/>
      <c r="FDD491" s="168"/>
      <c r="FDE491" s="168"/>
      <c r="FDF491" s="168"/>
      <c r="FDG491" s="168"/>
      <c r="FDH491" s="168"/>
      <c r="FDI491" s="168"/>
      <c r="FDJ491" s="168"/>
      <c r="FDK491" s="168"/>
      <c r="FDL491" s="168"/>
      <c r="FDM491" s="168"/>
      <c r="FDN491" s="168"/>
      <c r="FDO491" s="168"/>
      <c r="FDP491" s="168"/>
      <c r="FDQ491" s="168"/>
      <c r="FDR491" s="168"/>
      <c r="FDS491" s="168"/>
      <c r="FDT491" s="168"/>
      <c r="FDU491" s="168"/>
      <c r="FDV491" s="168"/>
      <c r="FDW491" s="168"/>
      <c r="FDX491" s="168"/>
      <c r="FDY491" s="168"/>
      <c r="FDZ491" s="168"/>
      <c r="FEA491" s="168"/>
      <c r="FEB491" s="168"/>
      <c r="FEC491" s="168"/>
      <c r="FED491" s="168"/>
      <c r="FEE491" s="168"/>
      <c r="FEF491" s="168"/>
      <c r="FEG491" s="168"/>
      <c r="FEH491" s="168"/>
      <c r="FEI491" s="168"/>
      <c r="FEJ491" s="168"/>
      <c r="FEK491" s="168"/>
      <c r="FEL491" s="168"/>
      <c r="FEM491" s="168"/>
      <c r="FEN491" s="168"/>
      <c r="FEO491" s="168"/>
      <c r="FEP491" s="168"/>
      <c r="FEQ491" s="168"/>
      <c r="FER491" s="168"/>
      <c r="FES491" s="168"/>
      <c r="FET491" s="168"/>
      <c r="FEU491" s="168"/>
      <c r="FEV491" s="168"/>
      <c r="FEW491" s="168"/>
      <c r="FEX491" s="168"/>
      <c r="FEY491" s="168"/>
      <c r="FEZ491" s="168"/>
      <c r="FFA491" s="168"/>
      <c r="FFB491" s="168"/>
      <c r="FFC491" s="168"/>
      <c r="FFD491" s="168"/>
      <c r="FFE491" s="168"/>
      <c r="FFF491" s="168"/>
      <c r="FFG491" s="168"/>
      <c r="FFH491" s="168"/>
      <c r="FFI491" s="168"/>
      <c r="FFJ491" s="168"/>
      <c r="FFK491" s="168"/>
      <c r="FFL491" s="168"/>
      <c r="FFM491" s="168"/>
      <c r="FFN491" s="168"/>
      <c r="FFO491" s="168"/>
      <c r="FFP491" s="168"/>
      <c r="FFQ491" s="168"/>
      <c r="FFR491" s="168"/>
      <c r="FFS491" s="168"/>
      <c r="FFT491" s="168"/>
      <c r="FFU491" s="168"/>
      <c r="FFV491" s="168"/>
      <c r="FFW491" s="168"/>
      <c r="FFX491" s="168"/>
      <c r="FFY491" s="168"/>
      <c r="FFZ491" s="168"/>
      <c r="FGA491" s="168"/>
      <c r="FGB491" s="168"/>
      <c r="FGC491" s="168"/>
      <c r="FGD491" s="168"/>
      <c r="FGE491" s="168"/>
      <c r="FGF491" s="168"/>
      <c r="FGG491" s="168"/>
      <c r="FGH491" s="168"/>
      <c r="FGI491" s="168"/>
      <c r="FGJ491" s="168"/>
      <c r="FGK491" s="168"/>
      <c r="FGL491" s="168"/>
      <c r="FGM491" s="168"/>
      <c r="FGN491" s="168"/>
      <c r="FGO491" s="168"/>
      <c r="FGP491" s="168"/>
      <c r="FGQ491" s="168"/>
      <c r="FGR491" s="168"/>
      <c r="FGS491" s="168"/>
      <c r="FGT491" s="168"/>
      <c r="FGU491" s="168"/>
      <c r="FGV491" s="168"/>
      <c r="FGW491" s="168"/>
      <c r="FGX491" s="168"/>
      <c r="FGY491" s="168"/>
      <c r="FGZ491" s="168"/>
      <c r="FHA491" s="168"/>
      <c r="FHB491" s="168"/>
      <c r="FHC491" s="168"/>
      <c r="FHD491" s="168"/>
      <c r="FHE491" s="168"/>
      <c r="FHF491" s="168"/>
      <c r="FHG491" s="168"/>
      <c r="FHH491" s="168"/>
      <c r="FHI491" s="168"/>
      <c r="FHJ491" s="168"/>
      <c r="FHK491" s="168"/>
      <c r="FHL491" s="168"/>
      <c r="FHM491" s="168"/>
      <c r="FHN491" s="168"/>
      <c r="FHO491" s="168"/>
      <c r="FHP491" s="168"/>
      <c r="FHQ491" s="168"/>
      <c r="FHR491" s="168"/>
      <c r="FHS491" s="168"/>
      <c r="FHT491" s="168"/>
      <c r="FHU491" s="168"/>
      <c r="FHV491" s="168"/>
      <c r="FHW491" s="168"/>
      <c r="FHX491" s="168"/>
      <c r="FHY491" s="168"/>
      <c r="FHZ491" s="168"/>
      <c r="FIA491" s="168"/>
      <c r="FIB491" s="168"/>
      <c r="FIC491" s="168"/>
      <c r="FID491" s="168"/>
      <c r="FIE491" s="168"/>
      <c r="FIF491" s="168"/>
      <c r="FIG491" s="168"/>
      <c r="FIH491" s="168"/>
      <c r="FII491" s="168"/>
      <c r="FIJ491" s="168"/>
      <c r="FIK491" s="168"/>
      <c r="FIL491" s="168"/>
      <c r="FIM491" s="168"/>
      <c r="FIN491" s="168"/>
      <c r="FIO491" s="168"/>
      <c r="FIP491" s="168"/>
      <c r="FIQ491" s="168"/>
      <c r="FIR491" s="168"/>
      <c r="FIS491" s="168"/>
      <c r="FIT491" s="168"/>
      <c r="FIU491" s="168"/>
      <c r="FIV491" s="168"/>
      <c r="FIW491" s="168"/>
      <c r="FIX491" s="168"/>
      <c r="FIY491" s="168"/>
      <c r="FIZ491" s="168"/>
      <c r="FJA491" s="168"/>
      <c r="FJB491" s="168"/>
      <c r="FJC491" s="168"/>
      <c r="FJD491" s="168"/>
      <c r="FJE491" s="168"/>
      <c r="FJF491" s="168"/>
      <c r="FJG491" s="168"/>
      <c r="FJH491" s="168"/>
      <c r="FJI491" s="168"/>
      <c r="FJJ491" s="168"/>
      <c r="FJK491" s="168"/>
      <c r="FJL491" s="168"/>
      <c r="FJM491" s="168"/>
      <c r="FJN491" s="168"/>
      <c r="FJO491" s="168"/>
      <c r="FJP491" s="168"/>
      <c r="FJQ491" s="168"/>
      <c r="FJR491" s="168"/>
      <c r="FJS491" s="168"/>
      <c r="FJT491" s="168"/>
      <c r="FJU491" s="168"/>
      <c r="FJV491" s="168"/>
      <c r="FJW491" s="168"/>
      <c r="FJX491" s="168"/>
      <c r="FJY491" s="168"/>
      <c r="FJZ491" s="168"/>
      <c r="FKA491" s="168"/>
      <c r="FKB491" s="168"/>
      <c r="FKC491" s="168"/>
      <c r="FKD491" s="168"/>
      <c r="FKE491" s="168"/>
      <c r="FKF491" s="168"/>
      <c r="FKG491" s="168"/>
      <c r="FKH491" s="168"/>
      <c r="FKI491" s="168"/>
      <c r="FKJ491" s="168"/>
      <c r="FKK491" s="168"/>
      <c r="FKL491" s="168"/>
      <c r="FKM491" s="168"/>
      <c r="FKN491" s="168"/>
      <c r="FKO491" s="168"/>
      <c r="FKP491" s="168"/>
      <c r="FKQ491" s="168"/>
      <c r="FKR491" s="168"/>
      <c r="FKS491" s="168"/>
      <c r="FKT491" s="168"/>
      <c r="FKU491" s="168"/>
      <c r="FKV491" s="168"/>
      <c r="FKW491" s="168"/>
      <c r="FKX491" s="168"/>
      <c r="FKY491" s="168"/>
      <c r="FKZ491" s="168"/>
      <c r="FLA491" s="168"/>
      <c r="FLB491" s="168"/>
      <c r="FLC491" s="168"/>
      <c r="FLD491" s="168"/>
      <c r="FLE491" s="168"/>
      <c r="FLF491" s="168"/>
      <c r="FLG491" s="168"/>
      <c r="FLH491" s="168"/>
      <c r="FLI491" s="168"/>
      <c r="FLJ491" s="168"/>
      <c r="FLK491" s="168"/>
      <c r="FLL491" s="168"/>
      <c r="FLM491" s="168"/>
      <c r="FLN491" s="168"/>
      <c r="FLO491" s="168"/>
      <c r="FLP491" s="168"/>
      <c r="FLQ491" s="168"/>
      <c r="FLR491" s="168"/>
      <c r="FLS491" s="168"/>
      <c r="FLT491" s="168"/>
      <c r="FLU491" s="168"/>
      <c r="FLV491" s="168"/>
      <c r="FLW491" s="168"/>
      <c r="FLX491" s="168"/>
      <c r="FLY491" s="168"/>
      <c r="FLZ491" s="168"/>
      <c r="FMA491" s="168"/>
      <c r="FMB491" s="168"/>
      <c r="FMC491" s="168"/>
      <c r="FMD491" s="168"/>
      <c r="FME491" s="168"/>
      <c r="FMF491" s="168"/>
      <c r="FMG491" s="168"/>
      <c r="FMH491" s="168"/>
      <c r="FMI491" s="168"/>
      <c r="FMJ491" s="168"/>
      <c r="FMK491" s="168"/>
      <c r="FML491" s="168"/>
      <c r="FMM491" s="168"/>
      <c r="FMN491" s="168"/>
      <c r="FMO491" s="168"/>
      <c r="FMP491" s="168"/>
      <c r="FMQ491" s="168"/>
      <c r="FMR491" s="168"/>
      <c r="FMS491" s="168"/>
      <c r="FMT491" s="168"/>
      <c r="FMU491" s="168"/>
      <c r="FMV491" s="168"/>
      <c r="FMW491" s="168"/>
      <c r="FMX491" s="168"/>
      <c r="FMY491" s="168"/>
      <c r="FMZ491" s="168"/>
      <c r="FNA491" s="168"/>
      <c r="FNB491" s="168"/>
      <c r="FNC491" s="168"/>
      <c r="FND491" s="168"/>
      <c r="FNE491" s="168"/>
      <c r="FNF491" s="168"/>
      <c r="FNG491" s="168"/>
      <c r="FNH491" s="168"/>
      <c r="FNI491" s="168"/>
      <c r="FNJ491" s="168"/>
      <c r="FNK491" s="168"/>
      <c r="FNL491" s="168"/>
      <c r="FNM491" s="168"/>
      <c r="FNN491" s="168"/>
      <c r="FNO491" s="168"/>
      <c r="FNP491" s="168"/>
      <c r="FNQ491" s="168"/>
      <c r="FNR491" s="168"/>
      <c r="FNS491" s="168"/>
      <c r="FNT491" s="168"/>
      <c r="FNU491" s="168"/>
      <c r="FNV491" s="168"/>
      <c r="FNW491" s="168"/>
      <c r="FNX491" s="168"/>
      <c r="FNY491" s="168"/>
      <c r="FNZ491" s="168"/>
      <c r="FOA491" s="168"/>
      <c r="FOB491" s="168"/>
      <c r="FOC491" s="168"/>
      <c r="FOD491" s="168"/>
      <c r="FOE491" s="168"/>
      <c r="FOF491" s="168"/>
      <c r="FOG491" s="168"/>
      <c r="FOH491" s="168"/>
      <c r="FOI491" s="168"/>
      <c r="FOJ491" s="168"/>
      <c r="FOK491" s="168"/>
      <c r="FOL491" s="168"/>
      <c r="FOM491" s="168"/>
      <c r="FON491" s="168"/>
      <c r="FOO491" s="168"/>
      <c r="FOP491" s="168"/>
      <c r="FOQ491" s="168"/>
      <c r="FOR491" s="168"/>
      <c r="FOS491" s="168"/>
      <c r="FOT491" s="168"/>
      <c r="FOU491" s="168"/>
      <c r="FOV491" s="168"/>
      <c r="FOW491" s="168"/>
      <c r="FOX491" s="168"/>
      <c r="FOY491" s="168"/>
      <c r="FOZ491" s="168"/>
      <c r="FPA491" s="168"/>
      <c r="FPB491" s="168"/>
      <c r="FPC491" s="168"/>
      <c r="FPD491" s="168"/>
      <c r="FPE491" s="168"/>
      <c r="FPF491" s="168"/>
      <c r="FPG491" s="168"/>
      <c r="FPH491" s="168"/>
      <c r="FPI491" s="168"/>
      <c r="FPJ491" s="168"/>
      <c r="FPK491" s="168"/>
      <c r="FPL491" s="168"/>
      <c r="FPM491" s="168"/>
      <c r="FPN491" s="168"/>
      <c r="FPO491" s="168"/>
      <c r="FPP491" s="168"/>
      <c r="FPQ491" s="168"/>
      <c r="FPR491" s="168"/>
      <c r="FPS491" s="168"/>
      <c r="FPT491" s="168"/>
      <c r="FPU491" s="168"/>
      <c r="FPV491" s="168"/>
      <c r="FPW491" s="168"/>
      <c r="FPX491" s="168"/>
      <c r="FPY491" s="168"/>
      <c r="FPZ491" s="168"/>
      <c r="FQA491" s="168"/>
      <c r="FQB491" s="168"/>
      <c r="FQC491" s="168"/>
      <c r="FQD491" s="168"/>
      <c r="FQE491" s="168"/>
      <c r="FQF491" s="168"/>
      <c r="FQG491" s="168"/>
      <c r="FQH491" s="168"/>
      <c r="FQI491" s="168"/>
      <c r="FQJ491" s="168"/>
      <c r="FQK491" s="168"/>
      <c r="FQL491" s="168"/>
      <c r="FQM491" s="168"/>
      <c r="FQN491" s="168"/>
      <c r="FQO491" s="168"/>
      <c r="FQP491" s="168"/>
      <c r="FQQ491" s="168"/>
      <c r="FQR491" s="168"/>
      <c r="FQS491" s="168"/>
      <c r="FQT491" s="168"/>
      <c r="FQU491" s="168"/>
      <c r="FQV491" s="168"/>
      <c r="FQW491" s="168"/>
      <c r="FQX491" s="168"/>
      <c r="FQY491" s="168"/>
      <c r="FQZ491" s="168"/>
      <c r="FRA491" s="168"/>
      <c r="FRB491" s="168"/>
      <c r="FRC491" s="168"/>
      <c r="FRD491" s="168"/>
      <c r="FRE491" s="168"/>
      <c r="FRF491" s="168"/>
      <c r="FRG491" s="168"/>
      <c r="FRH491" s="168"/>
      <c r="FRI491" s="168"/>
      <c r="FRJ491" s="168"/>
      <c r="FRK491" s="168"/>
      <c r="FRL491" s="168"/>
      <c r="FRM491" s="168"/>
      <c r="FRN491" s="168"/>
      <c r="FRO491" s="168"/>
      <c r="FRP491" s="168"/>
      <c r="FRQ491" s="168"/>
      <c r="FRR491" s="168"/>
      <c r="FRS491" s="168"/>
      <c r="FRT491" s="168"/>
      <c r="FRU491" s="168"/>
      <c r="FRV491" s="168"/>
      <c r="FRW491" s="168"/>
      <c r="FRX491" s="168"/>
      <c r="FRY491" s="168"/>
      <c r="FRZ491" s="168"/>
      <c r="FSA491" s="168"/>
      <c r="FSB491" s="168"/>
      <c r="FSC491" s="168"/>
      <c r="FSD491" s="168"/>
      <c r="FSE491" s="168"/>
      <c r="FSF491" s="168"/>
      <c r="FSG491" s="168"/>
      <c r="FSH491" s="168"/>
      <c r="FSI491" s="168"/>
      <c r="FSJ491" s="168"/>
      <c r="FSK491" s="168"/>
      <c r="FSL491" s="168"/>
      <c r="FSM491" s="168"/>
      <c r="FSN491" s="168"/>
      <c r="FSO491" s="168"/>
      <c r="FSP491" s="168"/>
      <c r="FSQ491" s="168"/>
      <c r="FSR491" s="168"/>
      <c r="FSS491" s="168"/>
      <c r="FST491" s="168"/>
      <c r="FSU491" s="168"/>
      <c r="FSV491" s="168"/>
      <c r="FSW491" s="168"/>
      <c r="FSX491" s="168"/>
      <c r="FSY491" s="168"/>
      <c r="FSZ491" s="168"/>
      <c r="FTA491" s="168"/>
      <c r="FTB491" s="168"/>
      <c r="FTC491" s="168"/>
      <c r="FTD491" s="168"/>
      <c r="FTE491" s="168"/>
      <c r="FTF491" s="168"/>
      <c r="FTG491" s="168"/>
      <c r="FTH491" s="168"/>
      <c r="FTI491" s="168"/>
      <c r="FTJ491" s="168"/>
      <c r="FTK491" s="168"/>
      <c r="FTL491" s="168"/>
      <c r="FTM491" s="168"/>
      <c r="FTN491" s="168"/>
      <c r="FTO491" s="168"/>
      <c r="FTP491" s="168"/>
      <c r="FTQ491" s="168"/>
      <c r="FTR491" s="168"/>
      <c r="FTS491" s="168"/>
      <c r="FTT491" s="168"/>
      <c r="FTU491" s="168"/>
      <c r="FTV491" s="168"/>
      <c r="FTW491" s="168"/>
      <c r="FTX491" s="168"/>
      <c r="FTY491" s="168"/>
      <c r="FTZ491" s="168"/>
      <c r="FUA491" s="168"/>
      <c r="FUB491" s="168"/>
      <c r="FUC491" s="168"/>
      <c r="FUD491" s="168"/>
      <c r="FUE491" s="168"/>
      <c r="FUF491" s="168"/>
      <c r="FUG491" s="168"/>
      <c r="FUH491" s="168"/>
      <c r="FUI491" s="168"/>
      <c r="FUJ491" s="168"/>
      <c r="FUK491" s="168"/>
      <c r="FUL491" s="168"/>
      <c r="FUM491" s="168"/>
      <c r="FUN491" s="168"/>
      <c r="FUO491" s="168"/>
      <c r="FUP491" s="168"/>
      <c r="FUQ491" s="168"/>
      <c r="FUR491" s="168"/>
      <c r="FUS491" s="168"/>
      <c r="FUT491" s="168"/>
      <c r="FUU491" s="168"/>
      <c r="FUV491" s="168"/>
      <c r="FUW491" s="168"/>
      <c r="FUX491" s="168"/>
      <c r="FUY491" s="168"/>
      <c r="FUZ491" s="168"/>
      <c r="FVA491" s="168"/>
      <c r="FVB491" s="168"/>
      <c r="FVC491" s="168"/>
      <c r="FVD491" s="168"/>
      <c r="FVE491" s="168"/>
      <c r="FVF491" s="168"/>
      <c r="FVG491" s="168"/>
      <c r="FVH491" s="168"/>
      <c r="FVI491" s="168"/>
      <c r="FVJ491" s="168"/>
      <c r="FVK491" s="168"/>
      <c r="FVL491" s="168"/>
      <c r="FVM491" s="168"/>
      <c r="FVN491" s="168"/>
      <c r="FVO491" s="168"/>
      <c r="FVP491" s="168"/>
      <c r="FVQ491" s="168"/>
      <c r="FVR491" s="168"/>
      <c r="FVS491" s="168"/>
      <c r="FVT491" s="168"/>
      <c r="FVU491" s="168"/>
      <c r="FVV491" s="168"/>
      <c r="FVW491" s="168"/>
      <c r="FVX491" s="168"/>
      <c r="FVY491" s="168"/>
      <c r="FVZ491" s="168"/>
      <c r="FWA491" s="168"/>
      <c r="FWB491" s="168"/>
      <c r="FWC491" s="168"/>
      <c r="FWD491" s="168"/>
      <c r="FWE491" s="168"/>
      <c r="FWF491" s="168"/>
      <c r="FWG491" s="168"/>
      <c r="FWH491" s="168"/>
      <c r="FWI491" s="168"/>
      <c r="FWJ491" s="168"/>
      <c r="FWK491" s="168"/>
      <c r="FWL491" s="168"/>
      <c r="FWM491" s="168"/>
      <c r="FWN491" s="168"/>
      <c r="FWO491" s="168"/>
      <c r="FWP491" s="168"/>
      <c r="FWQ491" s="168"/>
      <c r="FWR491" s="168"/>
      <c r="FWS491" s="168"/>
      <c r="FWT491" s="168"/>
      <c r="FWU491" s="168"/>
      <c r="FWV491" s="168"/>
      <c r="FWW491" s="168"/>
      <c r="FWX491" s="168"/>
      <c r="FWY491" s="168"/>
      <c r="FWZ491" s="168"/>
      <c r="FXA491" s="168"/>
      <c r="FXB491" s="168"/>
      <c r="FXC491" s="168"/>
      <c r="FXD491" s="168"/>
      <c r="FXE491" s="168"/>
      <c r="FXF491" s="168"/>
      <c r="FXG491" s="168"/>
      <c r="FXH491" s="168"/>
      <c r="FXI491" s="168"/>
      <c r="FXJ491" s="168"/>
      <c r="FXK491" s="168"/>
      <c r="FXL491" s="168"/>
      <c r="FXM491" s="168"/>
      <c r="FXN491" s="168"/>
      <c r="FXO491" s="168"/>
      <c r="FXP491" s="168"/>
      <c r="FXQ491" s="168"/>
      <c r="FXR491" s="168"/>
      <c r="FXS491" s="168"/>
      <c r="FXT491" s="168"/>
      <c r="FXU491" s="168"/>
      <c r="FXV491" s="168"/>
      <c r="FXW491" s="168"/>
      <c r="FXX491" s="168"/>
      <c r="FXY491" s="168"/>
      <c r="FXZ491" s="168"/>
      <c r="FYA491" s="168"/>
      <c r="FYB491" s="168"/>
      <c r="FYC491" s="168"/>
      <c r="FYD491" s="168"/>
      <c r="FYE491" s="168"/>
      <c r="FYF491" s="168"/>
      <c r="FYG491" s="168"/>
      <c r="FYH491" s="168"/>
      <c r="FYI491" s="168"/>
      <c r="FYJ491" s="168"/>
      <c r="FYK491" s="168"/>
      <c r="FYL491" s="168"/>
      <c r="FYM491" s="168"/>
      <c r="FYN491" s="168"/>
      <c r="FYO491" s="168"/>
      <c r="FYP491" s="168"/>
      <c r="FYQ491" s="168"/>
      <c r="FYR491" s="168"/>
      <c r="FYS491" s="168"/>
      <c r="FYT491" s="168"/>
      <c r="FYU491" s="168"/>
      <c r="FYV491" s="168"/>
      <c r="FYW491" s="168"/>
      <c r="FYX491" s="168"/>
      <c r="FYY491" s="168"/>
      <c r="FYZ491" s="168"/>
      <c r="FZA491" s="168"/>
      <c r="FZB491" s="168"/>
      <c r="FZC491" s="168"/>
      <c r="FZD491" s="168"/>
      <c r="FZE491" s="168"/>
      <c r="FZF491" s="168"/>
      <c r="FZG491" s="168"/>
      <c r="FZH491" s="168"/>
      <c r="FZI491" s="168"/>
      <c r="FZJ491" s="168"/>
      <c r="FZK491" s="168"/>
      <c r="FZL491" s="168"/>
      <c r="FZM491" s="168"/>
      <c r="FZN491" s="168"/>
      <c r="FZO491" s="168"/>
      <c r="FZP491" s="168"/>
      <c r="FZQ491" s="168"/>
      <c r="FZR491" s="168"/>
      <c r="FZS491" s="168"/>
      <c r="FZT491" s="168"/>
      <c r="FZU491" s="168"/>
      <c r="FZV491" s="168"/>
      <c r="FZW491" s="168"/>
      <c r="FZX491" s="168"/>
      <c r="FZY491" s="168"/>
      <c r="FZZ491" s="168"/>
      <c r="GAA491" s="168"/>
      <c r="GAB491" s="168"/>
      <c r="GAC491" s="168"/>
      <c r="GAD491" s="168"/>
      <c r="GAE491" s="168"/>
      <c r="GAF491" s="168"/>
      <c r="GAG491" s="168"/>
      <c r="GAH491" s="168"/>
      <c r="GAI491" s="168"/>
      <c r="GAJ491" s="168"/>
      <c r="GAK491" s="168"/>
      <c r="GAL491" s="168"/>
      <c r="GAM491" s="168"/>
      <c r="GAN491" s="168"/>
      <c r="GAO491" s="168"/>
      <c r="GAP491" s="168"/>
      <c r="GAQ491" s="168"/>
      <c r="GAR491" s="168"/>
      <c r="GAS491" s="168"/>
      <c r="GAT491" s="168"/>
      <c r="GAU491" s="168"/>
      <c r="GAV491" s="168"/>
      <c r="GAW491" s="168"/>
      <c r="GAX491" s="168"/>
      <c r="GAY491" s="168"/>
      <c r="GAZ491" s="168"/>
      <c r="GBA491" s="168"/>
      <c r="GBB491" s="168"/>
      <c r="GBC491" s="168"/>
      <c r="GBD491" s="168"/>
      <c r="GBE491" s="168"/>
      <c r="GBF491" s="168"/>
      <c r="GBG491" s="168"/>
      <c r="GBH491" s="168"/>
      <c r="GBI491" s="168"/>
      <c r="GBJ491" s="168"/>
      <c r="GBK491" s="168"/>
      <c r="GBL491" s="168"/>
      <c r="GBM491" s="168"/>
      <c r="GBN491" s="168"/>
      <c r="GBO491" s="168"/>
      <c r="GBP491" s="168"/>
      <c r="GBQ491" s="168"/>
      <c r="GBR491" s="168"/>
      <c r="GBS491" s="168"/>
      <c r="GBT491" s="168"/>
      <c r="GBU491" s="168"/>
      <c r="GBV491" s="168"/>
      <c r="GBW491" s="168"/>
      <c r="GBX491" s="168"/>
      <c r="GBY491" s="168"/>
      <c r="GBZ491" s="168"/>
      <c r="GCA491" s="168"/>
      <c r="GCB491" s="168"/>
      <c r="GCC491" s="168"/>
      <c r="GCD491" s="168"/>
      <c r="GCE491" s="168"/>
      <c r="GCF491" s="168"/>
      <c r="GCG491" s="168"/>
      <c r="GCH491" s="168"/>
      <c r="GCI491" s="168"/>
      <c r="GCJ491" s="168"/>
      <c r="GCK491" s="168"/>
      <c r="GCL491" s="168"/>
      <c r="GCM491" s="168"/>
      <c r="GCN491" s="168"/>
      <c r="GCO491" s="168"/>
      <c r="GCP491" s="168"/>
      <c r="GCQ491" s="168"/>
      <c r="GCR491" s="168"/>
      <c r="GCS491" s="168"/>
      <c r="GCT491" s="168"/>
      <c r="GCU491" s="168"/>
      <c r="GCV491" s="168"/>
      <c r="GCW491" s="168"/>
      <c r="GCX491" s="168"/>
      <c r="GCY491" s="168"/>
      <c r="GCZ491" s="168"/>
      <c r="GDA491" s="168"/>
      <c r="GDB491" s="168"/>
      <c r="GDC491" s="168"/>
      <c r="GDD491" s="168"/>
      <c r="GDE491" s="168"/>
      <c r="GDF491" s="168"/>
      <c r="GDG491" s="168"/>
      <c r="GDH491" s="168"/>
      <c r="GDI491" s="168"/>
      <c r="GDJ491" s="168"/>
      <c r="GDK491" s="168"/>
      <c r="GDL491" s="168"/>
      <c r="GDM491" s="168"/>
      <c r="GDN491" s="168"/>
      <c r="GDO491" s="168"/>
      <c r="GDP491" s="168"/>
      <c r="GDQ491" s="168"/>
      <c r="GDR491" s="168"/>
      <c r="GDS491" s="168"/>
      <c r="GDT491" s="168"/>
      <c r="GDU491" s="168"/>
      <c r="GDV491" s="168"/>
      <c r="GDW491" s="168"/>
      <c r="GDX491" s="168"/>
      <c r="GDY491" s="168"/>
      <c r="GDZ491" s="168"/>
      <c r="GEA491" s="168"/>
      <c r="GEB491" s="168"/>
      <c r="GEC491" s="168"/>
      <c r="GED491" s="168"/>
      <c r="GEE491" s="168"/>
      <c r="GEF491" s="168"/>
      <c r="GEG491" s="168"/>
      <c r="GEH491" s="168"/>
      <c r="GEI491" s="168"/>
      <c r="GEJ491" s="168"/>
      <c r="GEK491" s="168"/>
      <c r="GEL491" s="168"/>
      <c r="GEM491" s="168"/>
      <c r="GEN491" s="168"/>
      <c r="GEO491" s="168"/>
      <c r="GEP491" s="168"/>
      <c r="GEQ491" s="168"/>
      <c r="GER491" s="168"/>
      <c r="GES491" s="168"/>
      <c r="GET491" s="168"/>
      <c r="GEU491" s="168"/>
      <c r="GEV491" s="168"/>
      <c r="GEW491" s="168"/>
      <c r="GEX491" s="168"/>
      <c r="GEY491" s="168"/>
      <c r="GEZ491" s="168"/>
      <c r="GFA491" s="168"/>
      <c r="GFB491" s="168"/>
      <c r="GFC491" s="168"/>
      <c r="GFD491" s="168"/>
      <c r="GFE491" s="168"/>
      <c r="GFF491" s="168"/>
      <c r="GFG491" s="168"/>
      <c r="GFH491" s="168"/>
      <c r="GFI491" s="168"/>
      <c r="GFJ491" s="168"/>
      <c r="GFK491" s="168"/>
      <c r="GFL491" s="168"/>
      <c r="GFM491" s="168"/>
      <c r="GFN491" s="168"/>
      <c r="GFO491" s="168"/>
      <c r="GFP491" s="168"/>
      <c r="GFQ491" s="168"/>
      <c r="GFR491" s="168"/>
      <c r="GFS491" s="168"/>
      <c r="GFT491" s="168"/>
      <c r="GFU491" s="168"/>
      <c r="GFV491" s="168"/>
      <c r="GFW491" s="168"/>
      <c r="GFX491" s="168"/>
      <c r="GFY491" s="168"/>
      <c r="GFZ491" s="168"/>
      <c r="GGA491" s="168"/>
      <c r="GGB491" s="168"/>
      <c r="GGC491" s="168"/>
      <c r="GGD491" s="168"/>
      <c r="GGE491" s="168"/>
      <c r="GGF491" s="168"/>
      <c r="GGG491" s="168"/>
      <c r="GGH491" s="168"/>
      <c r="GGI491" s="168"/>
      <c r="GGJ491" s="168"/>
      <c r="GGK491" s="168"/>
      <c r="GGL491" s="168"/>
      <c r="GGM491" s="168"/>
      <c r="GGN491" s="168"/>
      <c r="GGO491" s="168"/>
      <c r="GGP491" s="168"/>
      <c r="GGQ491" s="168"/>
      <c r="GGR491" s="168"/>
      <c r="GGS491" s="168"/>
      <c r="GGT491" s="168"/>
      <c r="GGU491" s="168"/>
      <c r="GGV491" s="168"/>
      <c r="GGW491" s="168"/>
      <c r="GGX491" s="168"/>
      <c r="GGY491" s="168"/>
      <c r="GGZ491" s="168"/>
      <c r="GHA491" s="168"/>
      <c r="GHB491" s="168"/>
      <c r="GHC491" s="168"/>
      <c r="GHD491" s="168"/>
      <c r="GHE491" s="168"/>
      <c r="GHF491" s="168"/>
      <c r="GHG491" s="168"/>
      <c r="GHH491" s="168"/>
      <c r="GHI491" s="168"/>
      <c r="GHJ491" s="168"/>
      <c r="GHK491" s="168"/>
      <c r="GHL491" s="168"/>
      <c r="GHM491" s="168"/>
      <c r="GHN491" s="168"/>
      <c r="GHO491" s="168"/>
      <c r="GHP491" s="168"/>
      <c r="GHQ491" s="168"/>
      <c r="GHR491" s="168"/>
      <c r="GHS491" s="168"/>
      <c r="GHT491" s="168"/>
      <c r="GHU491" s="168"/>
      <c r="GHV491" s="168"/>
      <c r="GHW491" s="168"/>
      <c r="GHX491" s="168"/>
      <c r="GHY491" s="168"/>
      <c r="GHZ491" s="168"/>
      <c r="GIA491" s="168"/>
      <c r="GIB491" s="168"/>
      <c r="GIC491" s="168"/>
      <c r="GID491" s="168"/>
      <c r="GIE491" s="168"/>
      <c r="GIF491" s="168"/>
      <c r="GIG491" s="168"/>
      <c r="GIH491" s="168"/>
      <c r="GII491" s="168"/>
      <c r="GIJ491" s="168"/>
      <c r="GIK491" s="168"/>
      <c r="GIL491" s="168"/>
      <c r="GIM491" s="168"/>
      <c r="GIN491" s="168"/>
      <c r="GIO491" s="168"/>
      <c r="GIP491" s="168"/>
      <c r="GIQ491" s="168"/>
      <c r="GIR491" s="168"/>
      <c r="GIS491" s="168"/>
      <c r="GIT491" s="168"/>
      <c r="GIU491" s="168"/>
      <c r="GIV491" s="168"/>
      <c r="GIW491" s="168"/>
      <c r="GIX491" s="168"/>
      <c r="GIY491" s="168"/>
      <c r="GIZ491" s="168"/>
      <c r="GJA491" s="168"/>
      <c r="GJB491" s="168"/>
      <c r="GJC491" s="168"/>
      <c r="GJD491" s="168"/>
      <c r="GJE491" s="168"/>
      <c r="GJF491" s="168"/>
      <c r="GJG491" s="168"/>
      <c r="GJH491" s="168"/>
      <c r="GJI491" s="168"/>
      <c r="GJJ491" s="168"/>
      <c r="GJK491" s="168"/>
      <c r="GJL491" s="168"/>
      <c r="GJM491" s="168"/>
      <c r="GJN491" s="168"/>
      <c r="GJO491" s="168"/>
      <c r="GJP491" s="168"/>
      <c r="GJQ491" s="168"/>
      <c r="GJR491" s="168"/>
      <c r="GJS491" s="168"/>
      <c r="GJT491" s="168"/>
      <c r="GJU491" s="168"/>
      <c r="GJV491" s="168"/>
      <c r="GJW491" s="168"/>
      <c r="GJX491" s="168"/>
      <c r="GJY491" s="168"/>
      <c r="GJZ491" s="168"/>
      <c r="GKA491" s="168"/>
      <c r="GKB491" s="168"/>
      <c r="GKC491" s="168"/>
      <c r="GKD491" s="168"/>
      <c r="GKE491" s="168"/>
      <c r="GKF491" s="168"/>
      <c r="GKG491" s="168"/>
      <c r="GKH491" s="168"/>
      <c r="GKI491" s="168"/>
      <c r="GKJ491" s="168"/>
      <c r="GKK491" s="168"/>
      <c r="GKL491" s="168"/>
      <c r="GKM491" s="168"/>
      <c r="GKN491" s="168"/>
      <c r="GKO491" s="168"/>
      <c r="GKP491" s="168"/>
      <c r="GKQ491" s="168"/>
      <c r="GKR491" s="168"/>
      <c r="GKS491" s="168"/>
      <c r="GKT491" s="168"/>
      <c r="GKU491" s="168"/>
      <c r="GKV491" s="168"/>
      <c r="GKW491" s="168"/>
      <c r="GKX491" s="168"/>
      <c r="GKY491" s="168"/>
      <c r="GKZ491" s="168"/>
      <c r="GLA491" s="168"/>
      <c r="GLB491" s="168"/>
      <c r="GLC491" s="168"/>
      <c r="GLD491" s="168"/>
      <c r="GLE491" s="168"/>
      <c r="GLF491" s="168"/>
      <c r="GLG491" s="168"/>
      <c r="GLH491" s="168"/>
      <c r="GLI491" s="168"/>
      <c r="GLJ491" s="168"/>
      <c r="GLK491" s="168"/>
      <c r="GLL491" s="168"/>
      <c r="GLM491" s="168"/>
      <c r="GLN491" s="168"/>
      <c r="GLO491" s="168"/>
      <c r="GLP491" s="168"/>
      <c r="GLQ491" s="168"/>
      <c r="GLR491" s="168"/>
      <c r="GLS491" s="168"/>
      <c r="GLT491" s="168"/>
      <c r="GLU491" s="168"/>
      <c r="GLV491" s="168"/>
      <c r="GLW491" s="168"/>
      <c r="GLX491" s="168"/>
      <c r="GLY491" s="168"/>
      <c r="GLZ491" s="168"/>
      <c r="GMA491" s="168"/>
      <c r="GMB491" s="168"/>
      <c r="GMC491" s="168"/>
      <c r="GMD491" s="168"/>
      <c r="GME491" s="168"/>
      <c r="GMF491" s="168"/>
      <c r="GMG491" s="168"/>
      <c r="GMH491" s="168"/>
      <c r="GMI491" s="168"/>
      <c r="GMJ491" s="168"/>
      <c r="GMK491" s="168"/>
      <c r="GML491" s="168"/>
      <c r="GMM491" s="168"/>
      <c r="GMN491" s="168"/>
      <c r="GMO491" s="168"/>
      <c r="GMP491" s="168"/>
      <c r="GMQ491" s="168"/>
      <c r="GMR491" s="168"/>
      <c r="GMS491" s="168"/>
      <c r="GMT491" s="168"/>
      <c r="GMU491" s="168"/>
      <c r="GMV491" s="168"/>
      <c r="GMW491" s="168"/>
      <c r="GMX491" s="168"/>
      <c r="GMY491" s="168"/>
      <c r="GMZ491" s="168"/>
      <c r="GNA491" s="168"/>
      <c r="GNB491" s="168"/>
      <c r="GNC491" s="168"/>
      <c r="GND491" s="168"/>
      <c r="GNE491" s="168"/>
      <c r="GNF491" s="168"/>
      <c r="GNG491" s="168"/>
      <c r="GNH491" s="168"/>
      <c r="GNI491" s="168"/>
      <c r="GNJ491" s="168"/>
      <c r="GNK491" s="168"/>
      <c r="GNL491" s="168"/>
      <c r="GNM491" s="168"/>
      <c r="GNN491" s="168"/>
      <c r="GNO491" s="168"/>
      <c r="GNP491" s="168"/>
      <c r="GNQ491" s="168"/>
      <c r="GNR491" s="168"/>
      <c r="GNS491" s="168"/>
      <c r="GNT491" s="168"/>
      <c r="GNU491" s="168"/>
      <c r="GNV491" s="168"/>
      <c r="GNW491" s="168"/>
      <c r="GNX491" s="168"/>
      <c r="GNY491" s="168"/>
      <c r="GNZ491" s="168"/>
      <c r="GOA491" s="168"/>
      <c r="GOB491" s="168"/>
      <c r="GOC491" s="168"/>
      <c r="GOD491" s="168"/>
      <c r="GOE491" s="168"/>
      <c r="GOF491" s="168"/>
      <c r="GOG491" s="168"/>
      <c r="GOH491" s="168"/>
      <c r="GOI491" s="168"/>
      <c r="GOJ491" s="168"/>
      <c r="GOK491" s="168"/>
      <c r="GOL491" s="168"/>
      <c r="GOM491" s="168"/>
      <c r="GON491" s="168"/>
      <c r="GOO491" s="168"/>
      <c r="GOP491" s="168"/>
      <c r="GOQ491" s="168"/>
      <c r="GOR491" s="168"/>
      <c r="GOS491" s="168"/>
      <c r="GOT491" s="168"/>
      <c r="GOU491" s="168"/>
      <c r="GOV491" s="168"/>
      <c r="GOW491" s="168"/>
      <c r="GOX491" s="168"/>
      <c r="GOY491" s="168"/>
      <c r="GOZ491" s="168"/>
      <c r="GPA491" s="168"/>
      <c r="GPB491" s="168"/>
      <c r="GPC491" s="168"/>
      <c r="GPD491" s="168"/>
      <c r="GPE491" s="168"/>
      <c r="GPF491" s="168"/>
      <c r="GPG491" s="168"/>
      <c r="GPH491" s="168"/>
      <c r="GPI491" s="168"/>
      <c r="GPJ491" s="168"/>
      <c r="GPK491" s="168"/>
      <c r="GPL491" s="168"/>
      <c r="GPM491" s="168"/>
      <c r="GPN491" s="168"/>
      <c r="GPO491" s="168"/>
      <c r="GPP491" s="168"/>
      <c r="GPQ491" s="168"/>
      <c r="GPR491" s="168"/>
      <c r="GPS491" s="168"/>
      <c r="GPT491" s="168"/>
      <c r="GPU491" s="168"/>
      <c r="GPV491" s="168"/>
      <c r="GPW491" s="168"/>
      <c r="GPX491" s="168"/>
      <c r="GPY491" s="168"/>
      <c r="GPZ491" s="168"/>
      <c r="GQA491" s="168"/>
      <c r="GQB491" s="168"/>
      <c r="GQC491" s="168"/>
      <c r="GQD491" s="168"/>
      <c r="GQE491" s="168"/>
      <c r="GQF491" s="168"/>
      <c r="GQG491" s="168"/>
      <c r="GQH491" s="168"/>
      <c r="GQI491" s="168"/>
      <c r="GQJ491" s="168"/>
      <c r="GQK491" s="168"/>
      <c r="GQL491" s="168"/>
      <c r="GQM491" s="168"/>
      <c r="GQN491" s="168"/>
      <c r="GQO491" s="168"/>
      <c r="GQP491" s="168"/>
      <c r="GQQ491" s="168"/>
      <c r="GQR491" s="168"/>
      <c r="GQS491" s="168"/>
      <c r="GQT491" s="168"/>
      <c r="GQU491" s="168"/>
      <c r="GQV491" s="168"/>
      <c r="GQW491" s="168"/>
      <c r="GQX491" s="168"/>
      <c r="GQY491" s="168"/>
      <c r="GQZ491" s="168"/>
      <c r="GRA491" s="168"/>
      <c r="GRB491" s="168"/>
      <c r="GRC491" s="168"/>
      <c r="GRD491" s="168"/>
      <c r="GRE491" s="168"/>
      <c r="GRF491" s="168"/>
      <c r="GRG491" s="168"/>
      <c r="GRH491" s="168"/>
      <c r="GRI491" s="168"/>
      <c r="GRJ491" s="168"/>
      <c r="GRK491" s="168"/>
      <c r="GRL491" s="168"/>
      <c r="GRM491" s="168"/>
      <c r="GRN491" s="168"/>
      <c r="GRO491" s="168"/>
      <c r="GRP491" s="168"/>
      <c r="GRQ491" s="168"/>
      <c r="GRR491" s="168"/>
      <c r="GRS491" s="168"/>
      <c r="GRT491" s="168"/>
      <c r="GRU491" s="168"/>
      <c r="GRV491" s="168"/>
      <c r="GRW491" s="168"/>
      <c r="GRX491" s="168"/>
      <c r="GRY491" s="168"/>
      <c r="GRZ491" s="168"/>
      <c r="GSA491" s="168"/>
      <c r="GSB491" s="168"/>
      <c r="GSC491" s="168"/>
      <c r="GSD491" s="168"/>
      <c r="GSE491" s="168"/>
      <c r="GSF491" s="168"/>
      <c r="GSG491" s="168"/>
      <c r="GSH491" s="168"/>
      <c r="GSI491" s="168"/>
      <c r="GSJ491" s="168"/>
      <c r="GSK491" s="168"/>
      <c r="GSL491" s="168"/>
      <c r="GSM491" s="168"/>
      <c r="GSN491" s="168"/>
      <c r="GSO491" s="168"/>
      <c r="GSP491" s="168"/>
      <c r="GSQ491" s="168"/>
      <c r="GSR491" s="168"/>
      <c r="GSS491" s="168"/>
      <c r="GST491" s="168"/>
      <c r="GSU491" s="168"/>
      <c r="GSV491" s="168"/>
      <c r="GSW491" s="168"/>
      <c r="GSX491" s="168"/>
      <c r="GSY491" s="168"/>
      <c r="GSZ491" s="168"/>
      <c r="GTA491" s="168"/>
      <c r="GTB491" s="168"/>
      <c r="GTC491" s="168"/>
      <c r="GTD491" s="168"/>
      <c r="GTE491" s="168"/>
      <c r="GTF491" s="168"/>
      <c r="GTG491" s="168"/>
      <c r="GTH491" s="168"/>
      <c r="GTI491" s="168"/>
      <c r="GTJ491" s="168"/>
      <c r="GTK491" s="168"/>
      <c r="GTL491" s="168"/>
      <c r="GTM491" s="168"/>
      <c r="GTN491" s="168"/>
      <c r="GTO491" s="168"/>
      <c r="GTP491" s="168"/>
      <c r="GTQ491" s="168"/>
      <c r="GTR491" s="168"/>
      <c r="GTS491" s="168"/>
      <c r="GTT491" s="168"/>
      <c r="GTU491" s="168"/>
      <c r="GTV491" s="168"/>
      <c r="GTW491" s="168"/>
      <c r="GTX491" s="168"/>
      <c r="GTY491" s="168"/>
      <c r="GTZ491" s="168"/>
      <c r="GUA491" s="168"/>
      <c r="GUB491" s="168"/>
      <c r="GUC491" s="168"/>
      <c r="GUD491" s="168"/>
      <c r="GUE491" s="168"/>
      <c r="GUF491" s="168"/>
      <c r="GUG491" s="168"/>
      <c r="GUH491" s="168"/>
      <c r="GUI491" s="168"/>
      <c r="GUJ491" s="168"/>
      <c r="GUK491" s="168"/>
      <c r="GUL491" s="168"/>
      <c r="GUM491" s="168"/>
      <c r="GUN491" s="168"/>
      <c r="GUO491" s="168"/>
      <c r="GUP491" s="168"/>
      <c r="GUQ491" s="168"/>
      <c r="GUR491" s="168"/>
      <c r="GUS491" s="168"/>
      <c r="GUT491" s="168"/>
      <c r="GUU491" s="168"/>
      <c r="GUV491" s="168"/>
      <c r="GUW491" s="168"/>
      <c r="GUX491" s="168"/>
      <c r="GUY491" s="168"/>
      <c r="GUZ491" s="168"/>
      <c r="GVA491" s="168"/>
      <c r="GVB491" s="168"/>
      <c r="GVC491" s="168"/>
      <c r="GVD491" s="168"/>
      <c r="GVE491" s="168"/>
      <c r="GVF491" s="168"/>
      <c r="GVG491" s="168"/>
      <c r="GVH491" s="168"/>
      <c r="GVI491" s="168"/>
      <c r="GVJ491" s="168"/>
      <c r="GVK491" s="168"/>
      <c r="GVL491" s="168"/>
      <c r="GVM491" s="168"/>
      <c r="GVN491" s="168"/>
      <c r="GVO491" s="168"/>
      <c r="GVP491" s="168"/>
      <c r="GVQ491" s="168"/>
      <c r="GVR491" s="168"/>
      <c r="GVS491" s="168"/>
      <c r="GVT491" s="168"/>
      <c r="GVU491" s="168"/>
      <c r="GVV491" s="168"/>
      <c r="GVW491" s="168"/>
      <c r="GVX491" s="168"/>
      <c r="GVY491" s="168"/>
      <c r="GVZ491" s="168"/>
      <c r="GWA491" s="168"/>
      <c r="GWB491" s="168"/>
      <c r="GWC491" s="168"/>
      <c r="GWD491" s="168"/>
      <c r="GWE491" s="168"/>
      <c r="GWF491" s="168"/>
      <c r="GWG491" s="168"/>
      <c r="GWH491" s="168"/>
      <c r="GWI491" s="168"/>
      <c r="GWJ491" s="168"/>
      <c r="GWK491" s="168"/>
      <c r="GWL491" s="168"/>
      <c r="GWM491" s="168"/>
      <c r="GWN491" s="168"/>
      <c r="GWO491" s="168"/>
      <c r="GWP491" s="168"/>
      <c r="GWQ491" s="168"/>
      <c r="GWR491" s="168"/>
      <c r="GWS491" s="168"/>
      <c r="GWT491" s="168"/>
      <c r="GWU491" s="168"/>
      <c r="GWV491" s="168"/>
      <c r="GWW491" s="168"/>
      <c r="GWX491" s="168"/>
      <c r="GWY491" s="168"/>
      <c r="GWZ491" s="168"/>
      <c r="GXA491" s="168"/>
      <c r="GXB491" s="168"/>
      <c r="GXC491" s="168"/>
      <c r="GXD491" s="168"/>
      <c r="GXE491" s="168"/>
      <c r="GXF491" s="168"/>
      <c r="GXG491" s="168"/>
      <c r="GXH491" s="168"/>
      <c r="GXI491" s="168"/>
      <c r="GXJ491" s="168"/>
      <c r="GXK491" s="168"/>
      <c r="GXL491" s="168"/>
      <c r="GXM491" s="168"/>
      <c r="GXN491" s="168"/>
      <c r="GXO491" s="168"/>
      <c r="GXP491" s="168"/>
      <c r="GXQ491" s="168"/>
      <c r="GXR491" s="168"/>
      <c r="GXS491" s="168"/>
      <c r="GXT491" s="168"/>
      <c r="GXU491" s="168"/>
      <c r="GXV491" s="168"/>
      <c r="GXW491" s="168"/>
      <c r="GXX491" s="168"/>
      <c r="GXY491" s="168"/>
      <c r="GXZ491" s="168"/>
      <c r="GYA491" s="168"/>
      <c r="GYB491" s="168"/>
      <c r="GYC491" s="168"/>
      <c r="GYD491" s="168"/>
      <c r="GYE491" s="168"/>
      <c r="GYF491" s="168"/>
      <c r="GYG491" s="168"/>
      <c r="GYH491" s="168"/>
      <c r="GYI491" s="168"/>
      <c r="GYJ491" s="168"/>
      <c r="GYK491" s="168"/>
      <c r="GYL491" s="168"/>
      <c r="GYM491" s="168"/>
      <c r="GYN491" s="168"/>
      <c r="GYO491" s="168"/>
      <c r="GYP491" s="168"/>
      <c r="GYQ491" s="168"/>
      <c r="GYR491" s="168"/>
      <c r="GYS491" s="168"/>
      <c r="GYT491" s="168"/>
      <c r="GYU491" s="168"/>
      <c r="GYV491" s="168"/>
      <c r="GYW491" s="168"/>
      <c r="GYX491" s="168"/>
      <c r="GYY491" s="168"/>
      <c r="GYZ491" s="168"/>
      <c r="GZA491" s="168"/>
      <c r="GZB491" s="168"/>
      <c r="GZC491" s="168"/>
      <c r="GZD491" s="168"/>
      <c r="GZE491" s="168"/>
      <c r="GZF491" s="168"/>
      <c r="GZG491" s="168"/>
      <c r="GZH491" s="168"/>
      <c r="GZI491" s="168"/>
      <c r="GZJ491" s="168"/>
      <c r="GZK491" s="168"/>
      <c r="GZL491" s="168"/>
      <c r="GZM491" s="168"/>
      <c r="GZN491" s="168"/>
      <c r="GZO491" s="168"/>
      <c r="GZP491" s="168"/>
      <c r="GZQ491" s="168"/>
      <c r="GZR491" s="168"/>
      <c r="GZS491" s="168"/>
      <c r="GZT491" s="168"/>
      <c r="GZU491" s="168"/>
      <c r="GZV491" s="168"/>
      <c r="GZW491" s="168"/>
      <c r="GZX491" s="168"/>
      <c r="GZY491" s="168"/>
      <c r="GZZ491" s="168"/>
      <c r="HAA491" s="168"/>
      <c r="HAB491" s="168"/>
      <c r="HAC491" s="168"/>
      <c r="HAD491" s="168"/>
      <c r="HAE491" s="168"/>
      <c r="HAF491" s="168"/>
      <c r="HAG491" s="168"/>
      <c r="HAH491" s="168"/>
      <c r="HAI491" s="168"/>
      <c r="HAJ491" s="168"/>
      <c r="HAK491" s="168"/>
      <c r="HAL491" s="168"/>
      <c r="HAM491" s="168"/>
      <c r="HAN491" s="168"/>
      <c r="HAO491" s="168"/>
      <c r="HAP491" s="168"/>
      <c r="HAQ491" s="168"/>
      <c r="HAR491" s="168"/>
      <c r="HAS491" s="168"/>
      <c r="HAT491" s="168"/>
      <c r="HAU491" s="168"/>
      <c r="HAV491" s="168"/>
      <c r="HAW491" s="168"/>
      <c r="HAX491" s="168"/>
      <c r="HAY491" s="168"/>
      <c r="HAZ491" s="168"/>
      <c r="HBA491" s="168"/>
      <c r="HBB491" s="168"/>
      <c r="HBC491" s="168"/>
      <c r="HBD491" s="168"/>
      <c r="HBE491" s="168"/>
      <c r="HBF491" s="168"/>
      <c r="HBG491" s="168"/>
      <c r="HBH491" s="168"/>
      <c r="HBI491" s="168"/>
      <c r="HBJ491" s="168"/>
      <c r="HBK491" s="168"/>
      <c r="HBL491" s="168"/>
      <c r="HBM491" s="168"/>
      <c r="HBN491" s="168"/>
      <c r="HBO491" s="168"/>
      <c r="HBP491" s="168"/>
      <c r="HBQ491" s="168"/>
      <c r="HBR491" s="168"/>
      <c r="HBS491" s="168"/>
      <c r="HBT491" s="168"/>
      <c r="HBU491" s="168"/>
      <c r="HBV491" s="168"/>
      <c r="HBW491" s="168"/>
      <c r="HBX491" s="168"/>
      <c r="HBY491" s="168"/>
      <c r="HBZ491" s="168"/>
      <c r="HCA491" s="168"/>
      <c r="HCB491" s="168"/>
      <c r="HCC491" s="168"/>
      <c r="HCD491" s="168"/>
      <c r="HCE491" s="168"/>
      <c r="HCF491" s="168"/>
      <c r="HCG491" s="168"/>
      <c r="HCH491" s="168"/>
      <c r="HCI491" s="168"/>
      <c r="HCJ491" s="168"/>
      <c r="HCK491" s="168"/>
      <c r="HCL491" s="168"/>
      <c r="HCM491" s="168"/>
      <c r="HCN491" s="168"/>
      <c r="HCO491" s="168"/>
      <c r="HCP491" s="168"/>
      <c r="HCQ491" s="168"/>
      <c r="HCR491" s="168"/>
      <c r="HCS491" s="168"/>
      <c r="HCT491" s="168"/>
      <c r="HCU491" s="168"/>
      <c r="HCV491" s="168"/>
      <c r="HCW491" s="168"/>
      <c r="HCX491" s="168"/>
      <c r="HCY491" s="168"/>
      <c r="HCZ491" s="168"/>
      <c r="HDA491" s="168"/>
      <c r="HDB491" s="168"/>
      <c r="HDC491" s="168"/>
      <c r="HDD491" s="168"/>
      <c r="HDE491" s="168"/>
      <c r="HDF491" s="168"/>
      <c r="HDG491" s="168"/>
      <c r="HDH491" s="168"/>
      <c r="HDI491" s="168"/>
      <c r="HDJ491" s="168"/>
      <c r="HDK491" s="168"/>
      <c r="HDL491" s="168"/>
      <c r="HDM491" s="168"/>
      <c r="HDN491" s="168"/>
      <c r="HDO491" s="168"/>
      <c r="HDP491" s="168"/>
      <c r="HDQ491" s="168"/>
      <c r="HDR491" s="168"/>
      <c r="HDS491" s="168"/>
      <c r="HDT491" s="168"/>
      <c r="HDU491" s="168"/>
      <c r="HDV491" s="168"/>
      <c r="HDW491" s="168"/>
      <c r="HDX491" s="168"/>
      <c r="HDY491" s="168"/>
      <c r="HDZ491" s="168"/>
      <c r="HEA491" s="168"/>
      <c r="HEB491" s="168"/>
      <c r="HEC491" s="168"/>
      <c r="HED491" s="168"/>
      <c r="HEE491" s="168"/>
      <c r="HEF491" s="168"/>
      <c r="HEG491" s="168"/>
      <c r="HEH491" s="168"/>
      <c r="HEI491" s="168"/>
      <c r="HEJ491" s="168"/>
      <c r="HEK491" s="168"/>
      <c r="HEL491" s="168"/>
      <c r="HEM491" s="168"/>
      <c r="HEN491" s="168"/>
      <c r="HEO491" s="168"/>
      <c r="HEP491" s="168"/>
      <c r="HEQ491" s="168"/>
      <c r="HER491" s="168"/>
      <c r="HES491" s="168"/>
      <c r="HET491" s="168"/>
      <c r="HEU491" s="168"/>
      <c r="HEV491" s="168"/>
      <c r="HEW491" s="168"/>
      <c r="HEX491" s="168"/>
      <c r="HEY491" s="168"/>
      <c r="HEZ491" s="168"/>
      <c r="HFA491" s="168"/>
      <c r="HFB491" s="168"/>
      <c r="HFC491" s="168"/>
      <c r="HFD491" s="168"/>
      <c r="HFE491" s="168"/>
      <c r="HFF491" s="168"/>
      <c r="HFG491" s="168"/>
      <c r="HFH491" s="168"/>
      <c r="HFI491" s="168"/>
      <c r="HFJ491" s="168"/>
      <c r="HFK491" s="168"/>
      <c r="HFL491" s="168"/>
      <c r="HFM491" s="168"/>
      <c r="HFN491" s="168"/>
      <c r="HFO491" s="168"/>
      <c r="HFP491" s="168"/>
      <c r="HFQ491" s="168"/>
      <c r="HFR491" s="168"/>
      <c r="HFS491" s="168"/>
      <c r="HFT491" s="168"/>
      <c r="HFU491" s="168"/>
      <c r="HFV491" s="168"/>
      <c r="HFW491" s="168"/>
      <c r="HFX491" s="168"/>
      <c r="HFY491" s="168"/>
      <c r="HFZ491" s="168"/>
      <c r="HGA491" s="168"/>
      <c r="HGB491" s="168"/>
      <c r="HGC491" s="168"/>
      <c r="HGD491" s="168"/>
      <c r="HGE491" s="168"/>
      <c r="HGF491" s="168"/>
      <c r="HGG491" s="168"/>
      <c r="HGH491" s="168"/>
      <c r="HGI491" s="168"/>
      <c r="HGJ491" s="168"/>
      <c r="HGK491" s="168"/>
      <c r="HGL491" s="168"/>
      <c r="HGM491" s="168"/>
      <c r="HGN491" s="168"/>
      <c r="HGO491" s="168"/>
      <c r="HGP491" s="168"/>
      <c r="HGQ491" s="168"/>
      <c r="HGR491" s="168"/>
      <c r="HGS491" s="168"/>
      <c r="HGT491" s="168"/>
      <c r="HGU491" s="168"/>
      <c r="HGV491" s="168"/>
      <c r="HGW491" s="168"/>
      <c r="HGX491" s="168"/>
      <c r="HGY491" s="168"/>
      <c r="HGZ491" s="168"/>
      <c r="HHA491" s="168"/>
      <c r="HHB491" s="168"/>
      <c r="HHC491" s="168"/>
      <c r="HHD491" s="168"/>
      <c r="HHE491" s="168"/>
      <c r="HHF491" s="168"/>
      <c r="HHG491" s="168"/>
      <c r="HHH491" s="168"/>
      <c r="HHI491" s="168"/>
      <c r="HHJ491" s="168"/>
      <c r="HHK491" s="168"/>
      <c r="HHL491" s="168"/>
      <c r="HHM491" s="168"/>
      <c r="HHN491" s="168"/>
      <c r="HHO491" s="168"/>
      <c r="HHP491" s="168"/>
      <c r="HHQ491" s="168"/>
      <c r="HHR491" s="168"/>
      <c r="HHS491" s="168"/>
      <c r="HHT491" s="168"/>
      <c r="HHU491" s="168"/>
      <c r="HHV491" s="168"/>
      <c r="HHW491" s="168"/>
      <c r="HHX491" s="168"/>
      <c r="HHY491" s="168"/>
      <c r="HHZ491" s="168"/>
      <c r="HIA491" s="168"/>
      <c r="HIB491" s="168"/>
      <c r="HIC491" s="168"/>
      <c r="HID491" s="168"/>
      <c r="HIE491" s="168"/>
      <c r="HIF491" s="168"/>
      <c r="HIG491" s="168"/>
      <c r="HIH491" s="168"/>
      <c r="HII491" s="168"/>
      <c r="HIJ491" s="168"/>
      <c r="HIK491" s="168"/>
      <c r="HIL491" s="168"/>
      <c r="HIM491" s="168"/>
      <c r="HIN491" s="168"/>
      <c r="HIO491" s="168"/>
      <c r="HIP491" s="168"/>
      <c r="HIQ491" s="168"/>
      <c r="HIR491" s="168"/>
      <c r="HIS491" s="168"/>
      <c r="HIT491" s="168"/>
      <c r="HIU491" s="168"/>
      <c r="HIV491" s="168"/>
      <c r="HIW491" s="168"/>
      <c r="HIX491" s="168"/>
      <c r="HIY491" s="168"/>
      <c r="HIZ491" s="168"/>
      <c r="HJA491" s="168"/>
      <c r="HJB491" s="168"/>
      <c r="HJC491" s="168"/>
      <c r="HJD491" s="168"/>
      <c r="HJE491" s="168"/>
      <c r="HJF491" s="168"/>
      <c r="HJG491" s="168"/>
      <c r="HJH491" s="168"/>
      <c r="HJI491" s="168"/>
      <c r="HJJ491" s="168"/>
      <c r="HJK491" s="168"/>
      <c r="HJL491" s="168"/>
      <c r="HJM491" s="168"/>
      <c r="HJN491" s="168"/>
      <c r="HJO491" s="168"/>
      <c r="HJP491" s="168"/>
      <c r="HJQ491" s="168"/>
      <c r="HJR491" s="168"/>
      <c r="HJS491" s="168"/>
      <c r="HJT491" s="168"/>
      <c r="HJU491" s="168"/>
      <c r="HJV491" s="168"/>
      <c r="HJW491" s="168"/>
      <c r="HJX491" s="168"/>
      <c r="HJY491" s="168"/>
      <c r="HJZ491" s="168"/>
      <c r="HKA491" s="168"/>
      <c r="HKB491" s="168"/>
      <c r="HKC491" s="168"/>
      <c r="HKD491" s="168"/>
      <c r="HKE491" s="168"/>
      <c r="HKF491" s="168"/>
      <c r="HKG491" s="168"/>
      <c r="HKH491" s="168"/>
      <c r="HKI491" s="168"/>
      <c r="HKJ491" s="168"/>
      <c r="HKK491" s="168"/>
      <c r="HKL491" s="168"/>
      <c r="HKM491" s="168"/>
      <c r="HKN491" s="168"/>
      <c r="HKO491" s="168"/>
      <c r="HKP491" s="168"/>
      <c r="HKQ491" s="168"/>
      <c r="HKR491" s="168"/>
      <c r="HKS491" s="168"/>
      <c r="HKT491" s="168"/>
      <c r="HKU491" s="168"/>
      <c r="HKV491" s="168"/>
      <c r="HKW491" s="168"/>
      <c r="HKX491" s="168"/>
      <c r="HKY491" s="168"/>
      <c r="HKZ491" s="168"/>
      <c r="HLA491" s="168"/>
      <c r="HLB491" s="168"/>
      <c r="HLC491" s="168"/>
      <c r="HLD491" s="168"/>
      <c r="HLE491" s="168"/>
      <c r="HLF491" s="168"/>
      <c r="HLG491" s="168"/>
      <c r="HLH491" s="168"/>
      <c r="HLI491" s="168"/>
      <c r="HLJ491" s="168"/>
      <c r="HLK491" s="168"/>
      <c r="HLL491" s="168"/>
      <c r="HLM491" s="168"/>
      <c r="HLN491" s="168"/>
      <c r="HLO491" s="168"/>
      <c r="HLP491" s="168"/>
      <c r="HLQ491" s="168"/>
      <c r="HLR491" s="168"/>
      <c r="HLS491" s="168"/>
      <c r="HLT491" s="168"/>
      <c r="HLU491" s="168"/>
      <c r="HLV491" s="168"/>
      <c r="HLW491" s="168"/>
      <c r="HLX491" s="168"/>
      <c r="HLY491" s="168"/>
      <c r="HLZ491" s="168"/>
      <c r="HMA491" s="168"/>
      <c r="HMB491" s="168"/>
      <c r="HMC491" s="168"/>
      <c r="HMD491" s="168"/>
      <c r="HME491" s="168"/>
      <c r="HMF491" s="168"/>
      <c r="HMG491" s="168"/>
      <c r="HMH491" s="168"/>
      <c r="HMI491" s="168"/>
      <c r="HMJ491" s="168"/>
      <c r="HMK491" s="168"/>
      <c r="HML491" s="168"/>
      <c r="HMM491" s="168"/>
      <c r="HMN491" s="168"/>
      <c r="HMO491" s="168"/>
      <c r="HMP491" s="168"/>
      <c r="HMQ491" s="168"/>
      <c r="HMR491" s="168"/>
      <c r="HMS491" s="168"/>
      <c r="HMT491" s="168"/>
      <c r="HMU491" s="168"/>
      <c r="HMV491" s="168"/>
      <c r="HMW491" s="168"/>
      <c r="HMX491" s="168"/>
      <c r="HMY491" s="168"/>
      <c r="HMZ491" s="168"/>
      <c r="HNA491" s="168"/>
      <c r="HNB491" s="168"/>
      <c r="HNC491" s="168"/>
      <c r="HND491" s="168"/>
      <c r="HNE491" s="168"/>
      <c r="HNF491" s="168"/>
      <c r="HNG491" s="168"/>
      <c r="HNH491" s="168"/>
      <c r="HNI491" s="168"/>
      <c r="HNJ491" s="168"/>
      <c r="HNK491" s="168"/>
      <c r="HNL491" s="168"/>
      <c r="HNM491" s="168"/>
      <c r="HNN491" s="168"/>
      <c r="HNO491" s="168"/>
      <c r="HNP491" s="168"/>
      <c r="HNQ491" s="168"/>
      <c r="HNR491" s="168"/>
      <c r="HNS491" s="168"/>
      <c r="HNT491" s="168"/>
      <c r="HNU491" s="168"/>
      <c r="HNV491" s="168"/>
      <c r="HNW491" s="168"/>
      <c r="HNX491" s="168"/>
      <c r="HNY491" s="168"/>
      <c r="HNZ491" s="168"/>
      <c r="HOA491" s="168"/>
      <c r="HOB491" s="168"/>
      <c r="HOC491" s="168"/>
      <c r="HOD491" s="168"/>
      <c r="HOE491" s="168"/>
      <c r="HOF491" s="168"/>
      <c r="HOG491" s="168"/>
      <c r="HOH491" s="168"/>
      <c r="HOI491" s="168"/>
      <c r="HOJ491" s="168"/>
      <c r="HOK491" s="168"/>
      <c r="HOL491" s="168"/>
      <c r="HOM491" s="168"/>
      <c r="HON491" s="168"/>
      <c r="HOO491" s="168"/>
      <c r="HOP491" s="168"/>
      <c r="HOQ491" s="168"/>
      <c r="HOR491" s="168"/>
      <c r="HOS491" s="168"/>
      <c r="HOT491" s="168"/>
      <c r="HOU491" s="168"/>
      <c r="HOV491" s="168"/>
      <c r="HOW491" s="168"/>
      <c r="HOX491" s="168"/>
      <c r="HOY491" s="168"/>
      <c r="HOZ491" s="168"/>
      <c r="HPA491" s="168"/>
      <c r="HPB491" s="168"/>
      <c r="HPC491" s="168"/>
      <c r="HPD491" s="168"/>
      <c r="HPE491" s="168"/>
      <c r="HPF491" s="168"/>
      <c r="HPG491" s="168"/>
      <c r="HPH491" s="168"/>
      <c r="HPI491" s="168"/>
      <c r="HPJ491" s="168"/>
      <c r="HPK491" s="168"/>
      <c r="HPL491" s="168"/>
      <c r="HPM491" s="168"/>
      <c r="HPN491" s="168"/>
      <c r="HPO491" s="168"/>
      <c r="HPP491" s="168"/>
      <c r="HPQ491" s="168"/>
      <c r="HPR491" s="168"/>
      <c r="HPS491" s="168"/>
      <c r="HPT491" s="168"/>
      <c r="HPU491" s="168"/>
      <c r="HPV491" s="168"/>
      <c r="HPW491" s="168"/>
      <c r="HPX491" s="168"/>
      <c r="HPY491" s="168"/>
      <c r="HPZ491" s="168"/>
      <c r="HQA491" s="168"/>
      <c r="HQB491" s="168"/>
      <c r="HQC491" s="168"/>
      <c r="HQD491" s="168"/>
      <c r="HQE491" s="168"/>
      <c r="HQF491" s="168"/>
      <c r="HQG491" s="168"/>
      <c r="HQH491" s="168"/>
      <c r="HQI491" s="168"/>
      <c r="HQJ491" s="168"/>
      <c r="HQK491" s="168"/>
      <c r="HQL491" s="168"/>
      <c r="HQM491" s="168"/>
      <c r="HQN491" s="168"/>
      <c r="HQO491" s="168"/>
      <c r="HQP491" s="168"/>
      <c r="HQQ491" s="168"/>
      <c r="HQR491" s="168"/>
      <c r="HQS491" s="168"/>
      <c r="HQT491" s="168"/>
      <c r="HQU491" s="168"/>
      <c r="HQV491" s="168"/>
      <c r="HQW491" s="168"/>
      <c r="HQX491" s="168"/>
      <c r="HQY491" s="168"/>
      <c r="HQZ491" s="168"/>
      <c r="HRA491" s="168"/>
      <c r="HRB491" s="168"/>
      <c r="HRC491" s="168"/>
      <c r="HRD491" s="168"/>
      <c r="HRE491" s="168"/>
      <c r="HRF491" s="168"/>
      <c r="HRG491" s="168"/>
      <c r="HRH491" s="168"/>
      <c r="HRI491" s="168"/>
      <c r="HRJ491" s="168"/>
      <c r="HRK491" s="168"/>
      <c r="HRL491" s="168"/>
      <c r="HRM491" s="168"/>
      <c r="HRN491" s="168"/>
      <c r="HRO491" s="168"/>
      <c r="HRP491" s="168"/>
      <c r="HRQ491" s="168"/>
      <c r="HRR491" s="168"/>
      <c r="HRS491" s="168"/>
      <c r="HRT491" s="168"/>
      <c r="HRU491" s="168"/>
      <c r="HRV491" s="168"/>
      <c r="HRW491" s="168"/>
      <c r="HRX491" s="168"/>
      <c r="HRY491" s="168"/>
      <c r="HRZ491" s="168"/>
      <c r="HSA491" s="168"/>
      <c r="HSB491" s="168"/>
      <c r="HSC491" s="168"/>
      <c r="HSD491" s="168"/>
      <c r="HSE491" s="168"/>
      <c r="HSF491" s="168"/>
      <c r="HSG491" s="168"/>
      <c r="HSH491" s="168"/>
      <c r="HSI491" s="168"/>
      <c r="HSJ491" s="168"/>
      <c r="HSK491" s="168"/>
      <c r="HSL491" s="168"/>
      <c r="HSM491" s="168"/>
      <c r="HSN491" s="168"/>
      <c r="HSO491" s="168"/>
      <c r="HSP491" s="168"/>
      <c r="HSQ491" s="168"/>
      <c r="HSR491" s="168"/>
      <c r="HSS491" s="168"/>
      <c r="HST491" s="168"/>
      <c r="HSU491" s="168"/>
      <c r="HSV491" s="168"/>
      <c r="HSW491" s="168"/>
      <c r="HSX491" s="168"/>
      <c r="HSY491" s="168"/>
      <c r="HSZ491" s="168"/>
      <c r="HTA491" s="168"/>
      <c r="HTB491" s="168"/>
      <c r="HTC491" s="168"/>
      <c r="HTD491" s="168"/>
      <c r="HTE491" s="168"/>
      <c r="HTF491" s="168"/>
      <c r="HTG491" s="168"/>
      <c r="HTH491" s="168"/>
      <c r="HTI491" s="168"/>
      <c r="HTJ491" s="168"/>
      <c r="HTK491" s="168"/>
      <c r="HTL491" s="168"/>
      <c r="HTM491" s="168"/>
      <c r="HTN491" s="168"/>
      <c r="HTO491" s="168"/>
      <c r="HTP491" s="168"/>
      <c r="HTQ491" s="168"/>
      <c r="HTR491" s="168"/>
      <c r="HTS491" s="168"/>
      <c r="HTT491" s="168"/>
      <c r="HTU491" s="168"/>
      <c r="HTV491" s="168"/>
      <c r="HTW491" s="168"/>
      <c r="HTX491" s="168"/>
      <c r="HTY491" s="168"/>
      <c r="HTZ491" s="168"/>
      <c r="HUA491" s="168"/>
      <c r="HUB491" s="168"/>
      <c r="HUC491" s="168"/>
      <c r="HUD491" s="168"/>
      <c r="HUE491" s="168"/>
      <c r="HUF491" s="168"/>
      <c r="HUG491" s="168"/>
      <c r="HUH491" s="168"/>
      <c r="HUI491" s="168"/>
      <c r="HUJ491" s="168"/>
      <c r="HUK491" s="168"/>
      <c r="HUL491" s="168"/>
      <c r="HUM491" s="168"/>
      <c r="HUN491" s="168"/>
      <c r="HUO491" s="168"/>
      <c r="HUP491" s="168"/>
      <c r="HUQ491" s="168"/>
      <c r="HUR491" s="168"/>
      <c r="HUS491" s="168"/>
      <c r="HUT491" s="168"/>
      <c r="HUU491" s="168"/>
      <c r="HUV491" s="168"/>
      <c r="HUW491" s="168"/>
      <c r="HUX491" s="168"/>
      <c r="HUY491" s="168"/>
      <c r="HUZ491" s="168"/>
      <c r="HVA491" s="168"/>
      <c r="HVB491" s="168"/>
      <c r="HVC491" s="168"/>
      <c r="HVD491" s="168"/>
      <c r="HVE491" s="168"/>
      <c r="HVF491" s="168"/>
      <c r="HVG491" s="168"/>
      <c r="HVH491" s="168"/>
      <c r="HVI491" s="168"/>
      <c r="HVJ491" s="168"/>
      <c r="HVK491" s="168"/>
      <c r="HVL491" s="168"/>
      <c r="HVM491" s="168"/>
      <c r="HVN491" s="168"/>
      <c r="HVO491" s="168"/>
      <c r="HVP491" s="168"/>
      <c r="HVQ491" s="168"/>
      <c r="HVR491" s="168"/>
      <c r="HVS491" s="168"/>
      <c r="HVT491" s="168"/>
      <c r="HVU491" s="168"/>
      <c r="HVV491" s="168"/>
      <c r="HVW491" s="168"/>
      <c r="HVX491" s="168"/>
      <c r="HVY491" s="168"/>
      <c r="HVZ491" s="168"/>
      <c r="HWA491" s="168"/>
      <c r="HWB491" s="168"/>
      <c r="HWC491" s="168"/>
      <c r="HWD491" s="168"/>
      <c r="HWE491" s="168"/>
      <c r="HWF491" s="168"/>
      <c r="HWG491" s="168"/>
      <c r="HWH491" s="168"/>
      <c r="HWI491" s="168"/>
      <c r="HWJ491" s="168"/>
      <c r="HWK491" s="168"/>
      <c r="HWL491" s="168"/>
      <c r="HWM491" s="168"/>
      <c r="HWN491" s="168"/>
      <c r="HWO491" s="168"/>
      <c r="HWP491" s="168"/>
      <c r="HWQ491" s="168"/>
      <c r="HWR491" s="168"/>
      <c r="HWS491" s="168"/>
      <c r="HWT491" s="168"/>
      <c r="HWU491" s="168"/>
      <c r="HWV491" s="168"/>
      <c r="HWW491" s="168"/>
      <c r="HWX491" s="168"/>
      <c r="HWY491" s="168"/>
      <c r="HWZ491" s="168"/>
      <c r="HXA491" s="168"/>
      <c r="HXB491" s="168"/>
      <c r="HXC491" s="168"/>
      <c r="HXD491" s="168"/>
      <c r="HXE491" s="168"/>
      <c r="HXF491" s="168"/>
      <c r="HXG491" s="168"/>
      <c r="HXH491" s="168"/>
      <c r="HXI491" s="168"/>
      <c r="HXJ491" s="168"/>
      <c r="HXK491" s="168"/>
      <c r="HXL491" s="168"/>
      <c r="HXM491" s="168"/>
      <c r="HXN491" s="168"/>
      <c r="HXO491" s="168"/>
      <c r="HXP491" s="168"/>
      <c r="HXQ491" s="168"/>
      <c r="HXR491" s="168"/>
      <c r="HXS491" s="168"/>
      <c r="HXT491" s="168"/>
      <c r="HXU491" s="168"/>
      <c r="HXV491" s="168"/>
      <c r="HXW491" s="168"/>
      <c r="HXX491" s="168"/>
      <c r="HXY491" s="168"/>
      <c r="HXZ491" s="168"/>
      <c r="HYA491" s="168"/>
      <c r="HYB491" s="168"/>
      <c r="HYC491" s="168"/>
      <c r="HYD491" s="168"/>
      <c r="HYE491" s="168"/>
      <c r="HYF491" s="168"/>
      <c r="HYG491" s="168"/>
      <c r="HYH491" s="168"/>
      <c r="HYI491" s="168"/>
      <c r="HYJ491" s="168"/>
      <c r="HYK491" s="168"/>
      <c r="HYL491" s="168"/>
      <c r="HYM491" s="168"/>
      <c r="HYN491" s="168"/>
      <c r="HYO491" s="168"/>
      <c r="HYP491" s="168"/>
      <c r="HYQ491" s="168"/>
      <c r="HYR491" s="168"/>
      <c r="HYS491" s="168"/>
      <c r="HYT491" s="168"/>
      <c r="HYU491" s="168"/>
      <c r="HYV491" s="168"/>
      <c r="HYW491" s="168"/>
      <c r="HYX491" s="168"/>
      <c r="HYY491" s="168"/>
      <c r="HYZ491" s="168"/>
      <c r="HZA491" s="168"/>
      <c r="HZB491" s="168"/>
      <c r="HZC491" s="168"/>
      <c r="HZD491" s="168"/>
      <c r="HZE491" s="168"/>
      <c r="HZF491" s="168"/>
      <c r="HZG491" s="168"/>
      <c r="HZH491" s="168"/>
      <c r="HZI491" s="168"/>
      <c r="HZJ491" s="168"/>
      <c r="HZK491" s="168"/>
      <c r="HZL491" s="168"/>
      <c r="HZM491" s="168"/>
      <c r="HZN491" s="168"/>
      <c r="HZO491" s="168"/>
      <c r="HZP491" s="168"/>
      <c r="HZQ491" s="168"/>
      <c r="HZR491" s="168"/>
      <c r="HZS491" s="168"/>
      <c r="HZT491" s="168"/>
      <c r="HZU491" s="168"/>
      <c r="HZV491" s="168"/>
      <c r="HZW491" s="168"/>
      <c r="HZX491" s="168"/>
      <c r="HZY491" s="168"/>
      <c r="HZZ491" s="168"/>
      <c r="IAA491" s="168"/>
      <c r="IAB491" s="168"/>
      <c r="IAC491" s="168"/>
      <c r="IAD491" s="168"/>
      <c r="IAE491" s="168"/>
      <c r="IAF491" s="168"/>
      <c r="IAG491" s="168"/>
      <c r="IAH491" s="168"/>
      <c r="IAI491" s="168"/>
      <c r="IAJ491" s="168"/>
      <c r="IAK491" s="168"/>
      <c r="IAL491" s="168"/>
      <c r="IAM491" s="168"/>
      <c r="IAN491" s="168"/>
      <c r="IAO491" s="168"/>
      <c r="IAP491" s="168"/>
      <c r="IAQ491" s="168"/>
      <c r="IAR491" s="168"/>
      <c r="IAS491" s="168"/>
      <c r="IAT491" s="168"/>
      <c r="IAU491" s="168"/>
      <c r="IAV491" s="168"/>
      <c r="IAW491" s="168"/>
      <c r="IAX491" s="168"/>
      <c r="IAY491" s="168"/>
      <c r="IAZ491" s="168"/>
      <c r="IBA491" s="168"/>
      <c r="IBB491" s="168"/>
      <c r="IBC491" s="168"/>
      <c r="IBD491" s="168"/>
      <c r="IBE491" s="168"/>
      <c r="IBF491" s="168"/>
      <c r="IBG491" s="168"/>
      <c r="IBH491" s="168"/>
      <c r="IBI491" s="168"/>
      <c r="IBJ491" s="168"/>
      <c r="IBK491" s="168"/>
      <c r="IBL491" s="168"/>
      <c r="IBM491" s="168"/>
      <c r="IBN491" s="168"/>
      <c r="IBO491" s="168"/>
      <c r="IBP491" s="168"/>
      <c r="IBQ491" s="168"/>
      <c r="IBR491" s="168"/>
      <c r="IBS491" s="168"/>
      <c r="IBT491" s="168"/>
      <c r="IBU491" s="168"/>
      <c r="IBV491" s="168"/>
      <c r="IBW491" s="168"/>
      <c r="IBX491" s="168"/>
      <c r="IBY491" s="168"/>
      <c r="IBZ491" s="168"/>
      <c r="ICA491" s="168"/>
      <c r="ICB491" s="168"/>
      <c r="ICC491" s="168"/>
      <c r="ICD491" s="168"/>
      <c r="ICE491" s="168"/>
      <c r="ICF491" s="168"/>
      <c r="ICG491" s="168"/>
      <c r="ICH491" s="168"/>
      <c r="ICI491" s="168"/>
      <c r="ICJ491" s="168"/>
      <c r="ICK491" s="168"/>
      <c r="ICL491" s="168"/>
      <c r="ICM491" s="168"/>
      <c r="ICN491" s="168"/>
      <c r="ICO491" s="168"/>
      <c r="ICP491" s="168"/>
      <c r="ICQ491" s="168"/>
      <c r="ICR491" s="168"/>
      <c r="ICS491" s="168"/>
      <c r="ICT491" s="168"/>
      <c r="ICU491" s="168"/>
      <c r="ICV491" s="168"/>
      <c r="ICW491" s="168"/>
      <c r="ICX491" s="168"/>
      <c r="ICY491" s="168"/>
      <c r="ICZ491" s="168"/>
      <c r="IDA491" s="168"/>
      <c r="IDB491" s="168"/>
      <c r="IDC491" s="168"/>
      <c r="IDD491" s="168"/>
      <c r="IDE491" s="168"/>
      <c r="IDF491" s="168"/>
      <c r="IDG491" s="168"/>
      <c r="IDH491" s="168"/>
      <c r="IDI491" s="168"/>
      <c r="IDJ491" s="168"/>
      <c r="IDK491" s="168"/>
      <c r="IDL491" s="168"/>
      <c r="IDM491" s="168"/>
      <c r="IDN491" s="168"/>
      <c r="IDO491" s="168"/>
      <c r="IDP491" s="168"/>
      <c r="IDQ491" s="168"/>
      <c r="IDR491" s="168"/>
      <c r="IDS491" s="168"/>
      <c r="IDT491" s="168"/>
      <c r="IDU491" s="168"/>
      <c r="IDV491" s="168"/>
      <c r="IDW491" s="168"/>
      <c r="IDX491" s="168"/>
      <c r="IDY491" s="168"/>
      <c r="IDZ491" s="168"/>
      <c r="IEA491" s="168"/>
      <c r="IEB491" s="168"/>
      <c r="IEC491" s="168"/>
      <c r="IED491" s="168"/>
      <c r="IEE491" s="168"/>
      <c r="IEF491" s="168"/>
      <c r="IEG491" s="168"/>
      <c r="IEH491" s="168"/>
      <c r="IEI491" s="168"/>
      <c r="IEJ491" s="168"/>
      <c r="IEK491" s="168"/>
      <c r="IEL491" s="168"/>
      <c r="IEM491" s="168"/>
      <c r="IEN491" s="168"/>
      <c r="IEO491" s="168"/>
      <c r="IEP491" s="168"/>
      <c r="IEQ491" s="168"/>
      <c r="IER491" s="168"/>
      <c r="IES491" s="168"/>
      <c r="IET491" s="168"/>
      <c r="IEU491" s="168"/>
      <c r="IEV491" s="168"/>
      <c r="IEW491" s="168"/>
      <c r="IEX491" s="168"/>
      <c r="IEY491" s="168"/>
      <c r="IEZ491" s="168"/>
      <c r="IFA491" s="168"/>
      <c r="IFB491" s="168"/>
      <c r="IFC491" s="168"/>
      <c r="IFD491" s="168"/>
      <c r="IFE491" s="168"/>
      <c r="IFF491" s="168"/>
      <c r="IFG491" s="168"/>
      <c r="IFH491" s="168"/>
      <c r="IFI491" s="168"/>
      <c r="IFJ491" s="168"/>
      <c r="IFK491" s="168"/>
      <c r="IFL491" s="168"/>
      <c r="IFM491" s="168"/>
      <c r="IFN491" s="168"/>
      <c r="IFO491" s="168"/>
      <c r="IFP491" s="168"/>
      <c r="IFQ491" s="168"/>
      <c r="IFR491" s="168"/>
      <c r="IFS491" s="168"/>
      <c r="IFT491" s="168"/>
      <c r="IFU491" s="168"/>
      <c r="IFV491" s="168"/>
      <c r="IFW491" s="168"/>
      <c r="IFX491" s="168"/>
      <c r="IFY491" s="168"/>
      <c r="IFZ491" s="168"/>
      <c r="IGA491" s="168"/>
      <c r="IGB491" s="168"/>
      <c r="IGC491" s="168"/>
      <c r="IGD491" s="168"/>
      <c r="IGE491" s="168"/>
      <c r="IGF491" s="168"/>
      <c r="IGG491" s="168"/>
      <c r="IGH491" s="168"/>
      <c r="IGI491" s="168"/>
      <c r="IGJ491" s="168"/>
      <c r="IGK491" s="168"/>
      <c r="IGL491" s="168"/>
      <c r="IGM491" s="168"/>
      <c r="IGN491" s="168"/>
      <c r="IGO491" s="168"/>
      <c r="IGP491" s="168"/>
      <c r="IGQ491" s="168"/>
      <c r="IGR491" s="168"/>
      <c r="IGS491" s="168"/>
      <c r="IGT491" s="168"/>
      <c r="IGU491" s="168"/>
      <c r="IGV491" s="168"/>
      <c r="IGW491" s="168"/>
      <c r="IGX491" s="168"/>
      <c r="IGY491" s="168"/>
      <c r="IGZ491" s="168"/>
      <c r="IHA491" s="168"/>
      <c r="IHB491" s="168"/>
      <c r="IHC491" s="168"/>
      <c r="IHD491" s="168"/>
      <c r="IHE491" s="168"/>
      <c r="IHF491" s="168"/>
      <c r="IHG491" s="168"/>
      <c r="IHH491" s="168"/>
      <c r="IHI491" s="168"/>
      <c r="IHJ491" s="168"/>
      <c r="IHK491" s="168"/>
      <c r="IHL491" s="168"/>
      <c r="IHM491" s="168"/>
      <c r="IHN491" s="168"/>
      <c r="IHO491" s="168"/>
      <c r="IHP491" s="168"/>
      <c r="IHQ491" s="168"/>
      <c r="IHR491" s="168"/>
      <c r="IHS491" s="168"/>
      <c r="IHT491" s="168"/>
      <c r="IHU491" s="168"/>
      <c r="IHV491" s="168"/>
      <c r="IHW491" s="168"/>
      <c r="IHX491" s="168"/>
      <c r="IHY491" s="168"/>
      <c r="IHZ491" s="168"/>
      <c r="IIA491" s="168"/>
      <c r="IIB491" s="168"/>
      <c r="IIC491" s="168"/>
      <c r="IID491" s="168"/>
      <c r="IIE491" s="168"/>
      <c r="IIF491" s="168"/>
      <c r="IIG491" s="168"/>
      <c r="IIH491" s="168"/>
      <c r="III491" s="168"/>
      <c r="IIJ491" s="168"/>
      <c r="IIK491" s="168"/>
      <c r="IIL491" s="168"/>
      <c r="IIM491" s="168"/>
      <c r="IIN491" s="168"/>
      <c r="IIO491" s="168"/>
      <c r="IIP491" s="168"/>
      <c r="IIQ491" s="168"/>
      <c r="IIR491" s="168"/>
      <c r="IIS491" s="168"/>
      <c r="IIT491" s="168"/>
      <c r="IIU491" s="168"/>
      <c r="IIV491" s="168"/>
      <c r="IIW491" s="168"/>
      <c r="IIX491" s="168"/>
      <c r="IIY491" s="168"/>
      <c r="IIZ491" s="168"/>
      <c r="IJA491" s="168"/>
      <c r="IJB491" s="168"/>
      <c r="IJC491" s="168"/>
      <c r="IJD491" s="168"/>
      <c r="IJE491" s="168"/>
      <c r="IJF491" s="168"/>
      <c r="IJG491" s="168"/>
      <c r="IJH491" s="168"/>
      <c r="IJI491" s="168"/>
      <c r="IJJ491" s="168"/>
      <c r="IJK491" s="168"/>
      <c r="IJL491" s="168"/>
      <c r="IJM491" s="168"/>
      <c r="IJN491" s="168"/>
      <c r="IJO491" s="168"/>
      <c r="IJP491" s="168"/>
      <c r="IJQ491" s="168"/>
      <c r="IJR491" s="168"/>
      <c r="IJS491" s="168"/>
      <c r="IJT491" s="168"/>
      <c r="IJU491" s="168"/>
      <c r="IJV491" s="168"/>
      <c r="IJW491" s="168"/>
      <c r="IJX491" s="168"/>
      <c r="IJY491" s="168"/>
      <c r="IJZ491" s="168"/>
      <c r="IKA491" s="168"/>
      <c r="IKB491" s="168"/>
      <c r="IKC491" s="168"/>
      <c r="IKD491" s="168"/>
      <c r="IKE491" s="168"/>
      <c r="IKF491" s="168"/>
      <c r="IKG491" s="168"/>
      <c r="IKH491" s="168"/>
      <c r="IKI491" s="168"/>
      <c r="IKJ491" s="168"/>
      <c r="IKK491" s="168"/>
      <c r="IKL491" s="168"/>
      <c r="IKM491" s="168"/>
      <c r="IKN491" s="168"/>
      <c r="IKO491" s="168"/>
      <c r="IKP491" s="168"/>
      <c r="IKQ491" s="168"/>
      <c r="IKR491" s="168"/>
      <c r="IKS491" s="168"/>
      <c r="IKT491" s="168"/>
      <c r="IKU491" s="168"/>
      <c r="IKV491" s="168"/>
      <c r="IKW491" s="168"/>
      <c r="IKX491" s="168"/>
      <c r="IKY491" s="168"/>
      <c r="IKZ491" s="168"/>
      <c r="ILA491" s="168"/>
      <c r="ILB491" s="168"/>
      <c r="ILC491" s="168"/>
      <c r="ILD491" s="168"/>
      <c r="ILE491" s="168"/>
      <c r="ILF491" s="168"/>
      <c r="ILG491" s="168"/>
      <c r="ILH491" s="168"/>
      <c r="ILI491" s="168"/>
      <c r="ILJ491" s="168"/>
      <c r="ILK491" s="168"/>
      <c r="ILL491" s="168"/>
      <c r="ILM491" s="168"/>
      <c r="ILN491" s="168"/>
      <c r="ILO491" s="168"/>
      <c r="ILP491" s="168"/>
      <c r="ILQ491" s="168"/>
      <c r="ILR491" s="168"/>
      <c r="ILS491" s="168"/>
      <c r="ILT491" s="168"/>
      <c r="ILU491" s="168"/>
      <c r="ILV491" s="168"/>
      <c r="ILW491" s="168"/>
      <c r="ILX491" s="168"/>
      <c r="ILY491" s="168"/>
      <c r="ILZ491" s="168"/>
      <c r="IMA491" s="168"/>
      <c r="IMB491" s="168"/>
      <c r="IMC491" s="168"/>
      <c r="IMD491" s="168"/>
      <c r="IME491" s="168"/>
      <c r="IMF491" s="168"/>
      <c r="IMG491" s="168"/>
      <c r="IMH491" s="168"/>
      <c r="IMI491" s="168"/>
      <c r="IMJ491" s="168"/>
      <c r="IMK491" s="168"/>
      <c r="IML491" s="168"/>
      <c r="IMM491" s="168"/>
      <c r="IMN491" s="168"/>
      <c r="IMO491" s="168"/>
      <c r="IMP491" s="168"/>
      <c r="IMQ491" s="168"/>
      <c r="IMR491" s="168"/>
      <c r="IMS491" s="168"/>
      <c r="IMT491" s="168"/>
      <c r="IMU491" s="168"/>
      <c r="IMV491" s="168"/>
      <c r="IMW491" s="168"/>
      <c r="IMX491" s="168"/>
      <c r="IMY491" s="168"/>
      <c r="IMZ491" s="168"/>
      <c r="INA491" s="168"/>
      <c r="INB491" s="168"/>
      <c r="INC491" s="168"/>
      <c r="IND491" s="168"/>
      <c r="INE491" s="168"/>
      <c r="INF491" s="168"/>
      <c r="ING491" s="168"/>
      <c r="INH491" s="168"/>
      <c r="INI491" s="168"/>
      <c r="INJ491" s="168"/>
      <c r="INK491" s="168"/>
      <c r="INL491" s="168"/>
      <c r="INM491" s="168"/>
      <c r="INN491" s="168"/>
      <c r="INO491" s="168"/>
      <c r="INP491" s="168"/>
      <c r="INQ491" s="168"/>
      <c r="INR491" s="168"/>
      <c r="INS491" s="168"/>
      <c r="INT491" s="168"/>
      <c r="INU491" s="168"/>
      <c r="INV491" s="168"/>
      <c r="INW491" s="168"/>
      <c r="INX491" s="168"/>
      <c r="INY491" s="168"/>
      <c r="INZ491" s="168"/>
      <c r="IOA491" s="168"/>
      <c r="IOB491" s="168"/>
      <c r="IOC491" s="168"/>
      <c r="IOD491" s="168"/>
      <c r="IOE491" s="168"/>
      <c r="IOF491" s="168"/>
      <c r="IOG491" s="168"/>
      <c r="IOH491" s="168"/>
      <c r="IOI491" s="168"/>
      <c r="IOJ491" s="168"/>
      <c r="IOK491" s="168"/>
      <c r="IOL491" s="168"/>
      <c r="IOM491" s="168"/>
      <c r="ION491" s="168"/>
      <c r="IOO491" s="168"/>
      <c r="IOP491" s="168"/>
      <c r="IOQ491" s="168"/>
      <c r="IOR491" s="168"/>
      <c r="IOS491" s="168"/>
      <c r="IOT491" s="168"/>
      <c r="IOU491" s="168"/>
      <c r="IOV491" s="168"/>
      <c r="IOW491" s="168"/>
      <c r="IOX491" s="168"/>
      <c r="IOY491" s="168"/>
      <c r="IOZ491" s="168"/>
      <c r="IPA491" s="168"/>
      <c r="IPB491" s="168"/>
      <c r="IPC491" s="168"/>
      <c r="IPD491" s="168"/>
      <c r="IPE491" s="168"/>
      <c r="IPF491" s="168"/>
      <c r="IPG491" s="168"/>
      <c r="IPH491" s="168"/>
      <c r="IPI491" s="168"/>
      <c r="IPJ491" s="168"/>
      <c r="IPK491" s="168"/>
      <c r="IPL491" s="168"/>
      <c r="IPM491" s="168"/>
      <c r="IPN491" s="168"/>
      <c r="IPO491" s="168"/>
      <c r="IPP491" s="168"/>
      <c r="IPQ491" s="168"/>
      <c r="IPR491" s="168"/>
      <c r="IPS491" s="168"/>
      <c r="IPT491" s="168"/>
      <c r="IPU491" s="168"/>
      <c r="IPV491" s="168"/>
      <c r="IPW491" s="168"/>
      <c r="IPX491" s="168"/>
      <c r="IPY491" s="168"/>
      <c r="IPZ491" s="168"/>
      <c r="IQA491" s="168"/>
      <c r="IQB491" s="168"/>
      <c r="IQC491" s="168"/>
      <c r="IQD491" s="168"/>
      <c r="IQE491" s="168"/>
      <c r="IQF491" s="168"/>
      <c r="IQG491" s="168"/>
      <c r="IQH491" s="168"/>
      <c r="IQI491" s="168"/>
      <c r="IQJ491" s="168"/>
      <c r="IQK491" s="168"/>
      <c r="IQL491" s="168"/>
      <c r="IQM491" s="168"/>
      <c r="IQN491" s="168"/>
      <c r="IQO491" s="168"/>
      <c r="IQP491" s="168"/>
      <c r="IQQ491" s="168"/>
      <c r="IQR491" s="168"/>
      <c r="IQS491" s="168"/>
      <c r="IQT491" s="168"/>
      <c r="IQU491" s="168"/>
      <c r="IQV491" s="168"/>
      <c r="IQW491" s="168"/>
      <c r="IQX491" s="168"/>
      <c r="IQY491" s="168"/>
      <c r="IQZ491" s="168"/>
      <c r="IRA491" s="168"/>
      <c r="IRB491" s="168"/>
      <c r="IRC491" s="168"/>
      <c r="IRD491" s="168"/>
      <c r="IRE491" s="168"/>
      <c r="IRF491" s="168"/>
      <c r="IRG491" s="168"/>
      <c r="IRH491" s="168"/>
      <c r="IRI491" s="168"/>
      <c r="IRJ491" s="168"/>
      <c r="IRK491" s="168"/>
      <c r="IRL491" s="168"/>
      <c r="IRM491" s="168"/>
      <c r="IRN491" s="168"/>
      <c r="IRO491" s="168"/>
      <c r="IRP491" s="168"/>
      <c r="IRQ491" s="168"/>
      <c r="IRR491" s="168"/>
      <c r="IRS491" s="168"/>
      <c r="IRT491" s="168"/>
      <c r="IRU491" s="168"/>
      <c r="IRV491" s="168"/>
      <c r="IRW491" s="168"/>
      <c r="IRX491" s="168"/>
      <c r="IRY491" s="168"/>
      <c r="IRZ491" s="168"/>
      <c r="ISA491" s="168"/>
      <c r="ISB491" s="168"/>
      <c r="ISC491" s="168"/>
      <c r="ISD491" s="168"/>
      <c r="ISE491" s="168"/>
      <c r="ISF491" s="168"/>
      <c r="ISG491" s="168"/>
      <c r="ISH491" s="168"/>
      <c r="ISI491" s="168"/>
      <c r="ISJ491" s="168"/>
      <c r="ISK491" s="168"/>
      <c r="ISL491" s="168"/>
      <c r="ISM491" s="168"/>
      <c r="ISN491" s="168"/>
      <c r="ISO491" s="168"/>
      <c r="ISP491" s="168"/>
      <c r="ISQ491" s="168"/>
      <c r="ISR491" s="168"/>
      <c r="ISS491" s="168"/>
      <c r="IST491" s="168"/>
      <c r="ISU491" s="168"/>
      <c r="ISV491" s="168"/>
      <c r="ISW491" s="168"/>
      <c r="ISX491" s="168"/>
      <c r="ISY491" s="168"/>
      <c r="ISZ491" s="168"/>
      <c r="ITA491" s="168"/>
      <c r="ITB491" s="168"/>
      <c r="ITC491" s="168"/>
      <c r="ITD491" s="168"/>
      <c r="ITE491" s="168"/>
      <c r="ITF491" s="168"/>
      <c r="ITG491" s="168"/>
      <c r="ITH491" s="168"/>
      <c r="ITI491" s="168"/>
      <c r="ITJ491" s="168"/>
      <c r="ITK491" s="168"/>
      <c r="ITL491" s="168"/>
      <c r="ITM491" s="168"/>
      <c r="ITN491" s="168"/>
      <c r="ITO491" s="168"/>
      <c r="ITP491" s="168"/>
      <c r="ITQ491" s="168"/>
      <c r="ITR491" s="168"/>
      <c r="ITS491" s="168"/>
      <c r="ITT491" s="168"/>
      <c r="ITU491" s="168"/>
      <c r="ITV491" s="168"/>
      <c r="ITW491" s="168"/>
      <c r="ITX491" s="168"/>
      <c r="ITY491" s="168"/>
      <c r="ITZ491" s="168"/>
      <c r="IUA491" s="168"/>
      <c r="IUB491" s="168"/>
      <c r="IUC491" s="168"/>
      <c r="IUD491" s="168"/>
      <c r="IUE491" s="168"/>
      <c r="IUF491" s="168"/>
      <c r="IUG491" s="168"/>
      <c r="IUH491" s="168"/>
      <c r="IUI491" s="168"/>
      <c r="IUJ491" s="168"/>
      <c r="IUK491" s="168"/>
      <c r="IUL491" s="168"/>
      <c r="IUM491" s="168"/>
      <c r="IUN491" s="168"/>
      <c r="IUO491" s="168"/>
      <c r="IUP491" s="168"/>
      <c r="IUQ491" s="168"/>
      <c r="IUR491" s="168"/>
      <c r="IUS491" s="168"/>
      <c r="IUT491" s="168"/>
      <c r="IUU491" s="168"/>
      <c r="IUV491" s="168"/>
      <c r="IUW491" s="168"/>
      <c r="IUX491" s="168"/>
      <c r="IUY491" s="168"/>
      <c r="IUZ491" s="168"/>
      <c r="IVA491" s="168"/>
      <c r="IVB491" s="168"/>
      <c r="IVC491" s="168"/>
      <c r="IVD491" s="168"/>
      <c r="IVE491" s="168"/>
      <c r="IVF491" s="168"/>
      <c r="IVG491" s="168"/>
      <c r="IVH491" s="168"/>
      <c r="IVI491" s="168"/>
      <c r="IVJ491" s="168"/>
      <c r="IVK491" s="168"/>
      <c r="IVL491" s="168"/>
      <c r="IVM491" s="168"/>
      <c r="IVN491" s="168"/>
      <c r="IVO491" s="168"/>
      <c r="IVP491" s="168"/>
      <c r="IVQ491" s="168"/>
      <c r="IVR491" s="168"/>
      <c r="IVS491" s="168"/>
      <c r="IVT491" s="168"/>
      <c r="IVU491" s="168"/>
      <c r="IVV491" s="168"/>
      <c r="IVW491" s="168"/>
      <c r="IVX491" s="168"/>
      <c r="IVY491" s="168"/>
      <c r="IVZ491" s="168"/>
      <c r="IWA491" s="168"/>
      <c r="IWB491" s="168"/>
      <c r="IWC491" s="168"/>
      <c r="IWD491" s="168"/>
      <c r="IWE491" s="168"/>
      <c r="IWF491" s="168"/>
      <c r="IWG491" s="168"/>
      <c r="IWH491" s="168"/>
      <c r="IWI491" s="168"/>
      <c r="IWJ491" s="168"/>
      <c r="IWK491" s="168"/>
      <c r="IWL491" s="168"/>
      <c r="IWM491" s="168"/>
      <c r="IWN491" s="168"/>
      <c r="IWO491" s="168"/>
      <c r="IWP491" s="168"/>
      <c r="IWQ491" s="168"/>
      <c r="IWR491" s="168"/>
      <c r="IWS491" s="168"/>
      <c r="IWT491" s="168"/>
      <c r="IWU491" s="168"/>
      <c r="IWV491" s="168"/>
      <c r="IWW491" s="168"/>
      <c r="IWX491" s="168"/>
      <c r="IWY491" s="168"/>
      <c r="IWZ491" s="168"/>
      <c r="IXA491" s="168"/>
      <c r="IXB491" s="168"/>
      <c r="IXC491" s="168"/>
      <c r="IXD491" s="168"/>
      <c r="IXE491" s="168"/>
      <c r="IXF491" s="168"/>
      <c r="IXG491" s="168"/>
      <c r="IXH491" s="168"/>
      <c r="IXI491" s="168"/>
      <c r="IXJ491" s="168"/>
      <c r="IXK491" s="168"/>
      <c r="IXL491" s="168"/>
      <c r="IXM491" s="168"/>
      <c r="IXN491" s="168"/>
      <c r="IXO491" s="168"/>
      <c r="IXP491" s="168"/>
      <c r="IXQ491" s="168"/>
      <c r="IXR491" s="168"/>
      <c r="IXS491" s="168"/>
      <c r="IXT491" s="168"/>
      <c r="IXU491" s="168"/>
      <c r="IXV491" s="168"/>
      <c r="IXW491" s="168"/>
      <c r="IXX491" s="168"/>
      <c r="IXY491" s="168"/>
      <c r="IXZ491" s="168"/>
      <c r="IYA491" s="168"/>
      <c r="IYB491" s="168"/>
      <c r="IYC491" s="168"/>
      <c r="IYD491" s="168"/>
      <c r="IYE491" s="168"/>
      <c r="IYF491" s="168"/>
      <c r="IYG491" s="168"/>
      <c r="IYH491" s="168"/>
      <c r="IYI491" s="168"/>
      <c r="IYJ491" s="168"/>
      <c r="IYK491" s="168"/>
      <c r="IYL491" s="168"/>
      <c r="IYM491" s="168"/>
      <c r="IYN491" s="168"/>
      <c r="IYO491" s="168"/>
      <c r="IYP491" s="168"/>
      <c r="IYQ491" s="168"/>
      <c r="IYR491" s="168"/>
      <c r="IYS491" s="168"/>
      <c r="IYT491" s="168"/>
      <c r="IYU491" s="168"/>
      <c r="IYV491" s="168"/>
      <c r="IYW491" s="168"/>
      <c r="IYX491" s="168"/>
      <c r="IYY491" s="168"/>
      <c r="IYZ491" s="168"/>
      <c r="IZA491" s="168"/>
      <c r="IZB491" s="168"/>
      <c r="IZC491" s="168"/>
      <c r="IZD491" s="168"/>
      <c r="IZE491" s="168"/>
      <c r="IZF491" s="168"/>
      <c r="IZG491" s="168"/>
      <c r="IZH491" s="168"/>
      <c r="IZI491" s="168"/>
      <c r="IZJ491" s="168"/>
      <c r="IZK491" s="168"/>
      <c r="IZL491" s="168"/>
      <c r="IZM491" s="168"/>
      <c r="IZN491" s="168"/>
      <c r="IZO491" s="168"/>
      <c r="IZP491" s="168"/>
      <c r="IZQ491" s="168"/>
      <c r="IZR491" s="168"/>
      <c r="IZS491" s="168"/>
      <c r="IZT491" s="168"/>
      <c r="IZU491" s="168"/>
      <c r="IZV491" s="168"/>
      <c r="IZW491" s="168"/>
      <c r="IZX491" s="168"/>
      <c r="IZY491" s="168"/>
      <c r="IZZ491" s="168"/>
      <c r="JAA491" s="168"/>
      <c r="JAB491" s="168"/>
      <c r="JAC491" s="168"/>
      <c r="JAD491" s="168"/>
      <c r="JAE491" s="168"/>
      <c r="JAF491" s="168"/>
      <c r="JAG491" s="168"/>
      <c r="JAH491" s="168"/>
      <c r="JAI491" s="168"/>
      <c r="JAJ491" s="168"/>
      <c r="JAK491" s="168"/>
      <c r="JAL491" s="168"/>
      <c r="JAM491" s="168"/>
      <c r="JAN491" s="168"/>
      <c r="JAO491" s="168"/>
      <c r="JAP491" s="168"/>
      <c r="JAQ491" s="168"/>
      <c r="JAR491" s="168"/>
      <c r="JAS491" s="168"/>
      <c r="JAT491" s="168"/>
      <c r="JAU491" s="168"/>
      <c r="JAV491" s="168"/>
      <c r="JAW491" s="168"/>
      <c r="JAX491" s="168"/>
      <c r="JAY491" s="168"/>
      <c r="JAZ491" s="168"/>
      <c r="JBA491" s="168"/>
      <c r="JBB491" s="168"/>
      <c r="JBC491" s="168"/>
      <c r="JBD491" s="168"/>
      <c r="JBE491" s="168"/>
      <c r="JBF491" s="168"/>
      <c r="JBG491" s="168"/>
      <c r="JBH491" s="168"/>
      <c r="JBI491" s="168"/>
      <c r="JBJ491" s="168"/>
      <c r="JBK491" s="168"/>
      <c r="JBL491" s="168"/>
      <c r="JBM491" s="168"/>
      <c r="JBN491" s="168"/>
      <c r="JBO491" s="168"/>
      <c r="JBP491" s="168"/>
      <c r="JBQ491" s="168"/>
      <c r="JBR491" s="168"/>
      <c r="JBS491" s="168"/>
      <c r="JBT491" s="168"/>
      <c r="JBU491" s="168"/>
      <c r="JBV491" s="168"/>
      <c r="JBW491" s="168"/>
      <c r="JBX491" s="168"/>
      <c r="JBY491" s="168"/>
      <c r="JBZ491" s="168"/>
      <c r="JCA491" s="168"/>
      <c r="JCB491" s="168"/>
      <c r="JCC491" s="168"/>
      <c r="JCD491" s="168"/>
      <c r="JCE491" s="168"/>
      <c r="JCF491" s="168"/>
      <c r="JCG491" s="168"/>
      <c r="JCH491" s="168"/>
      <c r="JCI491" s="168"/>
      <c r="JCJ491" s="168"/>
      <c r="JCK491" s="168"/>
      <c r="JCL491" s="168"/>
      <c r="JCM491" s="168"/>
      <c r="JCN491" s="168"/>
      <c r="JCO491" s="168"/>
      <c r="JCP491" s="168"/>
      <c r="JCQ491" s="168"/>
      <c r="JCR491" s="168"/>
      <c r="JCS491" s="168"/>
      <c r="JCT491" s="168"/>
      <c r="JCU491" s="168"/>
      <c r="JCV491" s="168"/>
      <c r="JCW491" s="168"/>
      <c r="JCX491" s="168"/>
      <c r="JCY491" s="168"/>
      <c r="JCZ491" s="168"/>
      <c r="JDA491" s="168"/>
      <c r="JDB491" s="168"/>
      <c r="JDC491" s="168"/>
      <c r="JDD491" s="168"/>
      <c r="JDE491" s="168"/>
      <c r="JDF491" s="168"/>
      <c r="JDG491" s="168"/>
      <c r="JDH491" s="168"/>
      <c r="JDI491" s="168"/>
      <c r="JDJ491" s="168"/>
      <c r="JDK491" s="168"/>
      <c r="JDL491" s="168"/>
      <c r="JDM491" s="168"/>
      <c r="JDN491" s="168"/>
      <c r="JDO491" s="168"/>
      <c r="JDP491" s="168"/>
      <c r="JDQ491" s="168"/>
      <c r="JDR491" s="168"/>
      <c r="JDS491" s="168"/>
      <c r="JDT491" s="168"/>
      <c r="JDU491" s="168"/>
      <c r="JDV491" s="168"/>
      <c r="JDW491" s="168"/>
      <c r="JDX491" s="168"/>
      <c r="JDY491" s="168"/>
      <c r="JDZ491" s="168"/>
      <c r="JEA491" s="168"/>
      <c r="JEB491" s="168"/>
      <c r="JEC491" s="168"/>
      <c r="JED491" s="168"/>
      <c r="JEE491" s="168"/>
      <c r="JEF491" s="168"/>
      <c r="JEG491" s="168"/>
      <c r="JEH491" s="168"/>
      <c r="JEI491" s="168"/>
      <c r="JEJ491" s="168"/>
      <c r="JEK491" s="168"/>
      <c r="JEL491" s="168"/>
      <c r="JEM491" s="168"/>
      <c r="JEN491" s="168"/>
      <c r="JEO491" s="168"/>
      <c r="JEP491" s="168"/>
      <c r="JEQ491" s="168"/>
      <c r="JER491" s="168"/>
      <c r="JES491" s="168"/>
      <c r="JET491" s="168"/>
      <c r="JEU491" s="168"/>
      <c r="JEV491" s="168"/>
      <c r="JEW491" s="168"/>
      <c r="JEX491" s="168"/>
      <c r="JEY491" s="168"/>
      <c r="JEZ491" s="168"/>
      <c r="JFA491" s="168"/>
      <c r="JFB491" s="168"/>
      <c r="JFC491" s="168"/>
      <c r="JFD491" s="168"/>
      <c r="JFE491" s="168"/>
      <c r="JFF491" s="168"/>
      <c r="JFG491" s="168"/>
      <c r="JFH491" s="168"/>
      <c r="JFI491" s="168"/>
      <c r="JFJ491" s="168"/>
      <c r="JFK491" s="168"/>
      <c r="JFL491" s="168"/>
      <c r="JFM491" s="168"/>
      <c r="JFN491" s="168"/>
      <c r="JFO491" s="168"/>
      <c r="JFP491" s="168"/>
      <c r="JFQ491" s="168"/>
      <c r="JFR491" s="168"/>
      <c r="JFS491" s="168"/>
      <c r="JFT491" s="168"/>
      <c r="JFU491" s="168"/>
      <c r="JFV491" s="168"/>
      <c r="JFW491" s="168"/>
      <c r="JFX491" s="168"/>
      <c r="JFY491" s="168"/>
      <c r="JFZ491" s="168"/>
      <c r="JGA491" s="168"/>
      <c r="JGB491" s="168"/>
      <c r="JGC491" s="168"/>
      <c r="JGD491" s="168"/>
      <c r="JGE491" s="168"/>
      <c r="JGF491" s="168"/>
      <c r="JGG491" s="168"/>
      <c r="JGH491" s="168"/>
      <c r="JGI491" s="168"/>
      <c r="JGJ491" s="168"/>
      <c r="JGK491" s="168"/>
      <c r="JGL491" s="168"/>
      <c r="JGM491" s="168"/>
      <c r="JGN491" s="168"/>
      <c r="JGO491" s="168"/>
      <c r="JGP491" s="168"/>
      <c r="JGQ491" s="168"/>
      <c r="JGR491" s="168"/>
      <c r="JGS491" s="168"/>
      <c r="JGT491" s="168"/>
      <c r="JGU491" s="168"/>
      <c r="JGV491" s="168"/>
      <c r="JGW491" s="168"/>
      <c r="JGX491" s="168"/>
      <c r="JGY491" s="168"/>
      <c r="JGZ491" s="168"/>
      <c r="JHA491" s="168"/>
      <c r="JHB491" s="168"/>
      <c r="JHC491" s="168"/>
      <c r="JHD491" s="168"/>
      <c r="JHE491" s="168"/>
      <c r="JHF491" s="168"/>
      <c r="JHG491" s="168"/>
      <c r="JHH491" s="168"/>
      <c r="JHI491" s="168"/>
      <c r="JHJ491" s="168"/>
      <c r="JHK491" s="168"/>
      <c r="JHL491" s="168"/>
      <c r="JHM491" s="168"/>
      <c r="JHN491" s="168"/>
      <c r="JHO491" s="168"/>
      <c r="JHP491" s="168"/>
      <c r="JHQ491" s="168"/>
      <c r="JHR491" s="168"/>
      <c r="JHS491" s="168"/>
      <c r="JHT491" s="168"/>
      <c r="JHU491" s="168"/>
      <c r="JHV491" s="168"/>
      <c r="JHW491" s="168"/>
      <c r="JHX491" s="168"/>
      <c r="JHY491" s="168"/>
      <c r="JHZ491" s="168"/>
      <c r="JIA491" s="168"/>
      <c r="JIB491" s="168"/>
      <c r="JIC491" s="168"/>
      <c r="JID491" s="168"/>
      <c r="JIE491" s="168"/>
      <c r="JIF491" s="168"/>
      <c r="JIG491" s="168"/>
      <c r="JIH491" s="168"/>
      <c r="JII491" s="168"/>
      <c r="JIJ491" s="168"/>
      <c r="JIK491" s="168"/>
      <c r="JIL491" s="168"/>
      <c r="JIM491" s="168"/>
      <c r="JIN491" s="168"/>
      <c r="JIO491" s="168"/>
      <c r="JIP491" s="168"/>
      <c r="JIQ491" s="168"/>
      <c r="JIR491" s="168"/>
      <c r="JIS491" s="168"/>
      <c r="JIT491" s="168"/>
      <c r="JIU491" s="168"/>
      <c r="JIV491" s="168"/>
      <c r="JIW491" s="168"/>
      <c r="JIX491" s="168"/>
      <c r="JIY491" s="168"/>
      <c r="JIZ491" s="168"/>
      <c r="JJA491" s="168"/>
      <c r="JJB491" s="168"/>
      <c r="JJC491" s="168"/>
      <c r="JJD491" s="168"/>
      <c r="JJE491" s="168"/>
      <c r="JJF491" s="168"/>
      <c r="JJG491" s="168"/>
      <c r="JJH491" s="168"/>
      <c r="JJI491" s="168"/>
      <c r="JJJ491" s="168"/>
      <c r="JJK491" s="168"/>
      <c r="JJL491" s="168"/>
      <c r="JJM491" s="168"/>
      <c r="JJN491" s="168"/>
      <c r="JJO491" s="168"/>
      <c r="JJP491" s="168"/>
      <c r="JJQ491" s="168"/>
      <c r="JJR491" s="168"/>
      <c r="JJS491" s="168"/>
      <c r="JJT491" s="168"/>
      <c r="JJU491" s="168"/>
      <c r="JJV491" s="168"/>
      <c r="JJW491" s="168"/>
      <c r="JJX491" s="168"/>
      <c r="JJY491" s="168"/>
      <c r="JJZ491" s="168"/>
      <c r="JKA491" s="168"/>
      <c r="JKB491" s="168"/>
      <c r="JKC491" s="168"/>
      <c r="JKD491" s="168"/>
      <c r="JKE491" s="168"/>
      <c r="JKF491" s="168"/>
      <c r="JKG491" s="168"/>
      <c r="JKH491" s="168"/>
      <c r="JKI491" s="168"/>
      <c r="JKJ491" s="168"/>
      <c r="JKK491" s="168"/>
      <c r="JKL491" s="168"/>
      <c r="JKM491" s="168"/>
      <c r="JKN491" s="168"/>
      <c r="JKO491" s="168"/>
      <c r="JKP491" s="168"/>
      <c r="JKQ491" s="168"/>
      <c r="JKR491" s="168"/>
      <c r="JKS491" s="168"/>
      <c r="JKT491" s="168"/>
      <c r="JKU491" s="168"/>
      <c r="JKV491" s="168"/>
      <c r="JKW491" s="168"/>
      <c r="JKX491" s="168"/>
      <c r="JKY491" s="168"/>
      <c r="JKZ491" s="168"/>
      <c r="JLA491" s="168"/>
      <c r="JLB491" s="168"/>
      <c r="JLC491" s="168"/>
      <c r="JLD491" s="168"/>
      <c r="JLE491" s="168"/>
      <c r="JLF491" s="168"/>
      <c r="JLG491" s="168"/>
      <c r="JLH491" s="168"/>
      <c r="JLI491" s="168"/>
      <c r="JLJ491" s="168"/>
      <c r="JLK491" s="168"/>
      <c r="JLL491" s="168"/>
      <c r="JLM491" s="168"/>
      <c r="JLN491" s="168"/>
      <c r="JLO491" s="168"/>
      <c r="JLP491" s="168"/>
      <c r="JLQ491" s="168"/>
      <c r="JLR491" s="168"/>
      <c r="JLS491" s="168"/>
      <c r="JLT491" s="168"/>
      <c r="JLU491" s="168"/>
      <c r="JLV491" s="168"/>
      <c r="JLW491" s="168"/>
      <c r="JLX491" s="168"/>
      <c r="JLY491" s="168"/>
      <c r="JLZ491" s="168"/>
      <c r="JMA491" s="168"/>
      <c r="JMB491" s="168"/>
      <c r="JMC491" s="168"/>
      <c r="JMD491" s="168"/>
      <c r="JME491" s="168"/>
      <c r="JMF491" s="168"/>
      <c r="JMG491" s="168"/>
      <c r="JMH491" s="168"/>
      <c r="JMI491" s="168"/>
      <c r="JMJ491" s="168"/>
      <c r="JMK491" s="168"/>
      <c r="JML491" s="168"/>
      <c r="JMM491" s="168"/>
      <c r="JMN491" s="168"/>
      <c r="JMO491" s="168"/>
      <c r="JMP491" s="168"/>
      <c r="JMQ491" s="168"/>
      <c r="JMR491" s="168"/>
      <c r="JMS491" s="168"/>
      <c r="JMT491" s="168"/>
      <c r="JMU491" s="168"/>
      <c r="JMV491" s="168"/>
      <c r="JMW491" s="168"/>
      <c r="JMX491" s="168"/>
      <c r="JMY491" s="168"/>
      <c r="JMZ491" s="168"/>
      <c r="JNA491" s="168"/>
      <c r="JNB491" s="168"/>
      <c r="JNC491" s="168"/>
      <c r="JND491" s="168"/>
      <c r="JNE491" s="168"/>
      <c r="JNF491" s="168"/>
      <c r="JNG491" s="168"/>
      <c r="JNH491" s="168"/>
      <c r="JNI491" s="168"/>
      <c r="JNJ491" s="168"/>
      <c r="JNK491" s="168"/>
      <c r="JNL491" s="168"/>
      <c r="JNM491" s="168"/>
      <c r="JNN491" s="168"/>
      <c r="JNO491" s="168"/>
      <c r="JNP491" s="168"/>
      <c r="JNQ491" s="168"/>
      <c r="JNR491" s="168"/>
      <c r="JNS491" s="168"/>
      <c r="JNT491" s="168"/>
      <c r="JNU491" s="168"/>
      <c r="JNV491" s="168"/>
      <c r="JNW491" s="168"/>
      <c r="JNX491" s="168"/>
      <c r="JNY491" s="168"/>
      <c r="JNZ491" s="168"/>
      <c r="JOA491" s="168"/>
      <c r="JOB491" s="168"/>
      <c r="JOC491" s="168"/>
      <c r="JOD491" s="168"/>
      <c r="JOE491" s="168"/>
      <c r="JOF491" s="168"/>
      <c r="JOG491" s="168"/>
      <c r="JOH491" s="168"/>
      <c r="JOI491" s="168"/>
      <c r="JOJ491" s="168"/>
      <c r="JOK491" s="168"/>
      <c r="JOL491" s="168"/>
      <c r="JOM491" s="168"/>
      <c r="JON491" s="168"/>
      <c r="JOO491" s="168"/>
      <c r="JOP491" s="168"/>
      <c r="JOQ491" s="168"/>
      <c r="JOR491" s="168"/>
      <c r="JOS491" s="168"/>
      <c r="JOT491" s="168"/>
      <c r="JOU491" s="168"/>
      <c r="JOV491" s="168"/>
      <c r="JOW491" s="168"/>
      <c r="JOX491" s="168"/>
      <c r="JOY491" s="168"/>
      <c r="JOZ491" s="168"/>
      <c r="JPA491" s="168"/>
      <c r="JPB491" s="168"/>
      <c r="JPC491" s="168"/>
      <c r="JPD491" s="168"/>
      <c r="JPE491" s="168"/>
      <c r="JPF491" s="168"/>
      <c r="JPG491" s="168"/>
      <c r="JPH491" s="168"/>
      <c r="JPI491" s="168"/>
      <c r="JPJ491" s="168"/>
      <c r="JPK491" s="168"/>
      <c r="JPL491" s="168"/>
      <c r="JPM491" s="168"/>
      <c r="JPN491" s="168"/>
      <c r="JPO491" s="168"/>
      <c r="JPP491" s="168"/>
      <c r="JPQ491" s="168"/>
      <c r="JPR491" s="168"/>
      <c r="JPS491" s="168"/>
      <c r="JPT491" s="168"/>
      <c r="JPU491" s="168"/>
      <c r="JPV491" s="168"/>
      <c r="JPW491" s="168"/>
      <c r="JPX491" s="168"/>
      <c r="JPY491" s="168"/>
      <c r="JPZ491" s="168"/>
      <c r="JQA491" s="168"/>
      <c r="JQB491" s="168"/>
      <c r="JQC491" s="168"/>
      <c r="JQD491" s="168"/>
      <c r="JQE491" s="168"/>
      <c r="JQF491" s="168"/>
      <c r="JQG491" s="168"/>
      <c r="JQH491" s="168"/>
      <c r="JQI491" s="168"/>
      <c r="JQJ491" s="168"/>
      <c r="JQK491" s="168"/>
      <c r="JQL491" s="168"/>
      <c r="JQM491" s="168"/>
      <c r="JQN491" s="168"/>
      <c r="JQO491" s="168"/>
      <c r="JQP491" s="168"/>
      <c r="JQQ491" s="168"/>
      <c r="JQR491" s="168"/>
      <c r="JQS491" s="168"/>
      <c r="JQT491" s="168"/>
      <c r="JQU491" s="168"/>
      <c r="JQV491" s="168"/>
      <c r="JQW491" s="168"/>
      <c r="JQX491" s="168"/>
      <c r="JQY491" s="168"/>
      <c r="JQZ491" s="168"/>
      <c r="JRA491" s="168"/>
      <c r="JRB491" s="168"/>
      <c r="JRC491" s="168"/>
      <c r="JRD491" s="168"/>
      <c r="JRE491" s="168"/>
      <c r="JRF491" s="168"/>
      <c r="JRG491" s="168"/>
      <c r="JRH491" s="168"/>
      <c r="JRI491" s="168"/>
      <c r="JRJ491" s="168"/>
      <c r="JRK491" s="168"/>
      <c r="JRL491" s="168"/>
      <c r="JRM491" s="168"/>
      <c r="JRN491" s="168"/>
      <c r="JRO491" s="168"/>
      <c r="JRP491" s="168"/>
      <c r="JRQ491" s="168"/>
      <c r="JRR491" s="168"/>
      <c r="JRS491" s="168"/>
      <c r="JRT491" s="168"/>
      <c r="JRU491" s="168"/>
      <c r="JRV491" s="168"/>
      <c r="JRW491" s="168"/>
      <c r="JRX491" s="168"/>
      <c r="JRY491" s="168"/>
      <c r="JRZ491" s="168"/>
      <c r="JSA491" s="168"/>
      <c r="JSB491" s="168"/>
      <c r="JSC491" s="168"/>
      <c r="JSD491" s="168"/>
      <c r="JSE491" s="168"/>
      <c r="JSF491" s="168"/>
      <c r="JSG491" s="168"/>
      <c r="JSH491" s="168"/>
      <c r="JSI491" s="168"/>
      <c r="JSJ491" s="168"/>
      <c r="JSK491" s="168"/>
      <c r="JSL491" s="168"/>
      <c r="JSM491" s="168"/>
      <c r="JSN491" s="168"/>
      <c r="JSO491" s="168"/>
      <c r="JSP491" s="168"/>
      <c r="JSQ491" s="168"/>
      <c r="JSR491" s="168"/>
      <c r="JSS491" s="168"/>
      <c r="JST491" s="168"/>
      <c r="JSU491" s="168"/>
      <c r="JSV491" s="168"/>
      <c r="JSW491" s="168"/>
      <c r="JSX491" s="168"/>
      <c r="JSY491" s="168"/>
      <c r="JSZ491" s="168"/>
      <c r="JTA491" s="168"/>
      <c r="JTB491" s="168"/>
      <c r="JTC491" s="168"/>
      <c r="JTD491" s="168"/>
      <c r="JTE491" s="168"/>
      <c r="JTF491" s="168"/>
      <c r="JTG491" s="168"/>
      <c r="JTH491" s="168"/>
      <c r="JTI491" s="168"/>
      <c r="JTJ491" s="168"/>
      <c r="JTK491" s="168"/>
      <c r="JTL491" s="168"/>
      <c r="JTM491" s="168"/>
      <c r="JTN491" s="168"/>
      <c r="JTO491" s="168"/>
      <c r="JTP491" s="168"/>
      <c r="JTQ491" s="168"/>
      <c r="JTR491" s="168"/>
      <c r="JTS491" s="168"/>
      <c r="JTT491" s="168"/>
      <c r="JTU491" s="168"/>
      <c r="JTV491" s="168"/>
      <c r="JTW491" s="168"/>
      <c r="JTX491" s="168"/>
      <c r="JTY491" s="168"/>
      <c r="JTZ491" s="168"/>
      <c r="JUA491" s="168"/>
      <c r="JUB491" s="168"/>
      <c r="JUC491" s="168"/>
      <c r="JUD491" s="168"/>
      <c r="JUE491" s="168"/>
      <c r="JUF491" s="168"/>
      <c r="JUG491" s="168"/>
      <c r="JUH491" s="168"/>
      <c r="JUI491" s="168"/>
      <c r="JUJ491" s="168"/>
      <c r="JUK491" s="168"/>
      <c r="JUL491" s="168"/>
      <c r="JUM491" s="168"/>
      <c r="JUN491" s="168"/>
      <c r="JUO491" s="168"/>
      <c r="JUP491" s="168"/>
      <c r="JUQ491" s="168"/>
      <c r="JUR491" s="168"/>
      <c r="JUS491" s="168"/>
      <c r="JUT491" s="168"/>
      <c r="JUU491" s="168"/>
      <c r="JUV491" s="168"/>
      <c r="JUW491" s="168"/>
      <c r="JUX491" s="168"/>
      <c r="JUY491" s="168"/>
      <c r="JUZ491" s="168"/>
      <c r="JVA491" s="168"/>
      <c r="JVB491" s="168"/>
      <c r="JVC491" s="168"/>
      <c r="JVD491" s="168"/>
      <c r="JVE491" s="168"/>
      <c r="JVF491" s="168"/>
      <c r="JVG491" s="168"/>
      <c r="JVH491" s="168"/>
      <c r="JVI491" s="168"/>
      <c r="JVJ491" s="168"/>
      <c r="JVK491" s="168"/>
      <c r="JVL491" s="168"/>
      <c r="JVM491" s="168"/>
      <c r="JVN491" s="168"/>
      <c r="JVO491" s="168"/>
      <c r="JVP491" s="168"/>
      <c r="JVQ491" s="168"/>
      <c r="JVR491" s="168"/>
      <c r="JVS491" s="168"/>
      <c r="JVT491" s="168"/>
      <c r="JVU491" s="168"/>
      <c r="JVV491" s="168"/>
      <c r="JVW491" s="168"/>
      <c r="JVX491" s="168"/>
      <c r="JVY491" s="168"/>
      <c r="JVZ491" s="168"/>
      <c r="JWA491" s="168"/>
      <c r="JWB491" s="168"/>
      <c r="JWC491" s="168"/>
      <c r="JWD491" s="168"/>
      <c r="JWE491" s="168"/>
      <c r="JWF491" s="168"/>
      <c r="JWG491" s="168"/>
      <c r="JWH491" s="168"/>
      <c r="JWI491" s="168"/>
      <c r="JWJ491" s="168"/>
      <c r="JWK491" s="168"/>
      <c r="JWL491" s="168"/>
      <c r="JWM491" s="168"/>
      <c r="JWN491" s="168"/>
      <c r="JWO491" s="168"/>
      <c r="JWP491" s="168"/>
      <c r="JWQ491" s="168"/>
      <c r="JWR491" s="168"/>
      <c r="JWS491" s="168"/>
      <c r="JWT491" s="168"/>
      <c r="JWU491" s="168"/>
      <c r="JWV491" s="168"/>
      <c r="JWW491" s="168"/>
      <c r="JWX491" s="168"/>
      <c r="JWY491" s="168"/>
      <c r="JWZ491" s="168"/>
      <c r="JXA491" s="168"/>
      <c r="JXB491" s="168"/>
      <c r="JXC491" s="168"/>
      <c r="JXD491" s="168"/>
      <c r="JXE491" s="168"/>
      <c r="JXF491" s="168"/>
      <c r="JXG491" s="168"/>
      <c r="JXH491" s="168"/>
      <c r="JXI491" s="168"/>
      <c r="JXJ491" s="168"/>
      <c r="JXK491" s="168"/>
      <c r="JXL491" s="168"/>
      <c r="JXM491" s="168"/>
      <c r="JXN491" s="168"/>
      <c r="JXO491" s="168"/>
      <c r="JXP491" s="168"/>
      <c r="JXQ491" s="168"/>
      <c r="JXR491" s="168"/>
      <c r="JXS491" s="168"/>
      <c r="JXT491" s="168"/>
      <c r="JXU491" s="168"/>
      <c r="JXV491" s="168"/>
      <c r="JXW491" s="168"/>
      <c r="JXX491" s="168"/>
      <c r="JXY491" s="168"/>
      <c r="JXZ491" s="168"/>
      <c r="JYA491" s="168"/>
      <c r="JYB491" s="168"/>
      <c r="JYC491" s="168"/>
      <c r="JYD491" s="168"/>
      <c r="JYE491" s="168"/>
      <c r="JYF491" s="168"/>
      <c r="JYG491" s="168"/>
      <c r="JYH491" s="168"/>
      <c r="JYI491" s="168"/>
      <c r="JYJ491" s="168"/>
      <c r="JYK491" s="168"/>
      <c r="JYL491" s="168"/>
      <c r="JYM491" s="168"/>
      <c r="JYN491" s="168"/>
      <c r="JYO491" s="168"/>
      <c r="JYP491" s="168"/>
      <c r="JYQ491" s="168"/>
      <c r="JYR491" s="168"/>
      <c r="JYS491" s="168"/>
      <c r="JYT491" s="168"/>
      <c r="JYU491" s="168"/>
      <c r="JYV491" s="168"/>
      <c r="JYW491" s="168"/>
      <c r="JYX491" s="168"/>
      <c r="JYY491" s="168"/>
      <c r="JYZ491" s="168"/>
      <c r="JZA491" s="168"/>
      <c r="JZB491" s="168"/>
      <c r="JZC491" s="168"/>
      <c r="JZD491" s="168"/>
      <c r="JZE491" s="168"/>
      <c r="JZF491" s="168"/>
      <c r="JZG491" s="168"/>
      <c r="JZH491" s="168"/>
      <c r="JZI491" s="168"/>
      <c r="JZJ491" s="168"/>
      <c r="JZK491" s="168"/>
      <c r="JZL491" s="168"/>
      <c r="JZM491" s="168"/>
      <c r="JZN491" s="168"/>
      <c r="JZO491" s="168"/>
      <c r="JZP491" s="168"/>
      <c r="JZQ491" s="168"/>
      <c r="JZR491" s="168"/>
      <c r="JZS491" s="168"/>
      <c r="JZT491" s="168"/>
      <c r="JZU491" s="168"/>
      <c r="JZV491" s="168"/>
      <c r="JZW491" s="168"/>
      <c r="JZX491" s="168"/>
      <c r="JZY491" s="168"/>
      <c r="JZZ491" s="168"/>
      <c r="KAA491" s="168"/>
      <c r="KAB491" s="168"/>
      <c r="KAC491" s="168"/>
      <c r="KAD491" s="168"/>
      <c r="KAE491" s="168"/>
      <c r="KAF491" s="168"/>
      <c r="KAG491" s="168"/>
      <c r="KAH491" s="168"/>
      <c r="KAI491" s="168"/>
      <c r="KAJ491" s="168"/>
      <c r="KAK491" s="168"/>
      <c r="KAL491" s="168"/>
      <c r="KAM491" s="168"/>
      <c r="KAN491" s="168"/>
      <c r="KAO491" s="168"/>
      <c r="KAP491" s="168"/>
      <c r="KAQ491" s="168"/>
      <c r="KAR491" s="168"/>
      <c r="KAS491" s="168"/>
      <c r="KAT491" s="168"/>
      <c r="KAU491" s="168"/>
      <c r="KAV491" s="168"/>
      <c r="KAW491" s="168"/>
      <c r="KAX491" s="168"/>
      <c r="KAY491" s="168"/>
      <c r="KAZ491" s="168"/>
      <c r="KBA491" s="168"/>
      <c r="KBB491" s="168"/>
      <c r="KBC491" s="168"/>
      <c r="KBD491" s="168"/>
      <c r="KBE491" s="168"/>
      <c r="KBF491" s="168"/>
      <c r="KBG491" s="168"/>
      <c r="KBH491" s="168"/>
      <c r="KBI491" s="168"/>
      <c r="KBJ491" s="168"/>
      <c r="KBK491" s="168"/>
      <c r="KBL491" s="168"/>
      <c r="KBM491" s="168"/>
      <c r="KBN491" s="168"/>
      <c r="KBO491" s="168"/>
      <c r="KBP491" s="168"/>
      <c r="KBQ491" s="168"/>
      <c r="KBR491" s="168"/>
      <c r="KBS491" s="168"/>
      <c r="KBT491" s="168"/>
      <c r="KBU491" s="168"/>
      <c r="KBV491" s="168"/>
      <c r="KBW491" s="168"/>
      <c r="KBX491" s="168"/>
      <c r="KBY491" s="168"/>
      <c r="KBZ491" s="168"/>
      <c r="KCA491" s="168"/>
      <c r="KCB491" s="168"/>
      <c r="KCC491" s="168"/>
      <c r="KCD491" s="168"/>
      <c r="KCE491" s="168"/>
      <c r="KCF491" s="168"/>
      <c r="KCG491" s="168"/>
      <c r="KCH491" s="168"/>
      <c r="KCI491" s="168"/>
      <c r="KCJ491" s="168"/>
      <c r="KCK491" s="168"/>
      <c r="KCL491" s="168"/>
      <c r="KCM491" s="168"/>
      <c r="KCN491" s="168"/>
      <c r="KCO491" s="168"/>
      <c r="KCP491" s="168"/>
      <c r="KCQ491" s="168"/>
      <c r="KCR491" s="168"/>
      <c r="KCS491" s="168"/>
      <c r="KCT491" s="168"/>
      <c r="KCU491" s="168"/>
      <c r="KCV491" s="168"/>
      <c r="KCW491" s="168"/>
      <c r="KCX491" s="168"/>
      <c r="KCY491" s="168"/>
      <c r="KCZ491" s="168"/>
      <c r="KDA491" s="168"/>
      <c r="KDB491" s="168"/>
      <c r="KDC491" s="168"/>
      <c r="KDD491" s="168"/>
      <c r="KDE491" s="168"/>
      <c r="KDF491" s="168"/>
      <c r="KDG491" s="168"/>
      <c r="KDH491" s="168"/>
      <c r="KDI491" s="168"/>
      <c r="KDJ491" s="168"/>
      <c r="KDK491" s="168"/>
      <c r="KDL491" s="168"/>
      <c r="KDM491" s="168"/>
      <c r="KDN491" s="168"/>
      <c r="KDO491" s="168"/>
      <c r="KDP491" s="168"/>
      <c r="KDQ491" s="168"/>
      <c r="KDR491" s="168"/>
      <c r="KDS491" s="168"/>
      <c r="KDT491" s="168"/>
      <c r="KDU491" s="168"/>
      <c r="KDV491" s="168"/>
      <c r="KDW491" s="168"/>
      <c r="KDX491" s="168"/>
      <c r="KDY491" s="168"/>
      <c r="KDZ491" s="168"/>
      <c r="KEA491" s="168"/>
      <c r="KEB491" s="168"/>
      <c r="KEC491" s="168"/>
      <c r="KED491" s="168"/>
      <c r="KEE491" s="168"/>
      <c r="KEF491" s="168"/>
      <c r="KEG491" s="168"/>
      <c r="KEH491" s="168"/>
      <c r="KEI491" s="168"/>
      <c r="KEJ491" s="168"/>
      <c r="KEK491" s="168"/>
      <c r="KEL491" s="168"/>
      <c r="KEM491" s="168"/>
      <c r="KEN491" s="168"/>
      <c r="KEO491" s="168"/>
      <c r="KEP491" s="168"/>
      <c r="KEQ491" s="168"/>
      <c r="KER491" s="168"/>
      <c r="KES491" s="168"/>
      <c r="KET491" s="168"/>
      <c r="KEU491" s="168"/>
      <c r="KEV491" s="168"/>
      <c r="KEW491" s="168"/>
      <c r="KEX491" s="168"/>
      <c r="KEY491" s="168"/>
      <c r="KEZ491" s="168"/>
      <c r="KFA491" s="168"/>
      <c r="KFB491" s="168"/>
      <c r="KFC491" s="168"/>
      <c r="KFD491" s="168"/>
      <c r="KFE491" s="168"/>
      <c r="KFF491" s="168"/>
      <c r="KFG491" s="168"/>
      <c r="KFH491" s="168"/>
      <c r="KFI491" s="168"/>
      <c r="KFJ491" s="168"/>
      <c r="KFK491" s="168"/>
      <c r="KFL491" s="168"/>
      <c r="KFM491" s="168"/>
      <c r="KFN491" s="168"/>
      <c r="KFO491" s="168"/>
      <c r="KFP491" s="168"/>
      <c r="KFQ491" s="168"/>
      <c r="KFR491" s="168"/>
      <c r="KFS491" s="168"/>
      <c r="KFT491" s="168"/>
      <c r="KFU491" s="168"/>
      <c r="KFV491" s="168"/>
      <c r="KFW491" s="168"/>
      <c r="KFX491" s="168"/>
      <c r="KFY491" s="168"/>
      <c r="KFZ491" s="168"/>
      <c r="KGA491" s="168"/>
      <c r="KGB491" s="168"/>
      <c r="KGC491" s="168"/>
      <c r="KGD491" s="168"/>
      <c r="KGE491" s="168"/>
      <c r="KGF491" s="168"/>
      <c r="KGG491" s="168"/>
      <c r="KGH491" s="168"/>
      <c r="KGI491" s="168"/>
      <c r="KGJ491" s="168"/>
      <c r="KGK491" s="168"/>
      <c r="KGL491" s="168"/>
      <c r="KGM491" s="168"/>
      <c r="KGN491" s="168"/>
      <c r="KGO491" s="168"/>
      <c r="KGP491" s="168"/>
      <c r="KGQ491" s="168"/>
      <c r="KGR491" s="168"/>
      <c r="KGS491" s="168"/>
      <c r="KGT491" s="168"/>
      <c r="KGU491" s="168"/>
      <c r="KGV491" s="168"/>
      <c r="KGW491" s="168"/>
      <c r="KGX491" s="168"/>
      <c r="KGY491" s="168"/>
      <c r="KGZ491" s="168"/>
      <c r="KHA491" s="168"/>
      <c r="KHB491" s="168"/>
      <c r="KHC491" s="168"/>
      <c r="KHD491" s="168"/>
      <c r="KHE491" s="168"/>
      <c r="KHF491" s="168"/>
      <c r="KHG491" s="168"/>
      <c r="KHH491" s="168"/>
      <c r="KHI491" s="168"/>
      <c r="KHJ491" s="168"/>
      <c r="KHK491" s="168"/>
      <c r="KHL491" s="168"/>
      <c r="KHM491" s="168"/>
      <c r="KHN491" s="168"/>
      <c r="KHO491" s="168"/>
      <c r="KHP491" s="168"/>
      <c r="KHQ491" s="168"/>
      <c r="KHR491" s="168"/>
      <c r="KHS491" s="168"/>
      <c r="KHT491" s="168"/>
      <c r="KHU491" s="168"/>
      <c r="KHV491" s="168"/>
      <c r="KHW491" s="168"/>
      <c r="KHX491" s="168"/>
      <c r="KHY491" s="168"/>
      <c r="KHZ491" s="168"/>
      <c r="KIA491" s="168"/>
      <c r="KIB491" s="168"/>
      <c r="KIC491" s="168"/>
      <c r="KID491" s="168"/>
      <c r="KIE491" s="168"/>
      <c r="KIF491" s="168"/>
      <c r="KIG491" s="168"/>
      <c r="KIH491" s="168"/>
      <c r="KII491" s="168"/>
      <c r="KIJ491" s="168"/>
      <c r="KIK491" s="168"/>
      <c r="KIL491" s="168"/>
      <c r="KIM491" s="168"/>
      <c r="KIN491" s="168"/>
      <c r="KIO491" s="168"/>
      <c r="KIP491" s="168"/>
      <c r="KIQ491" s="168"/>
      <c r="KIR491" s="168"/>
      <c r="KIS491" s="168"/>
      <c r="KIT491" s="168"/>
      <c r="KIU491" s="168"/>
      <c r="KIV491" s="168"/>
      <c r="KIW491" s="168"/>
      <c r="KIX491" s="168"/>
      <c r="KIY491" s="168"/>
      <c r="KIZ491" s="168"/>
      <c r="KJA491" s="168"/>
      <c r="KJB491" s="168"/>
      <c r="KJC491" s="168"/>
      <c r="KJD491" s="168"/>
      <c r="KJE491" s="168"/>
      <c r="KJF491" s="168"/>
      <c r="KJG491" s="168"/>
      <c r="KJH491" s="168"/>
      <c r="KJI491" s="168"/>
      <c r="KJJ491" s="168"/>
      <c r="KJK491" s="168"/>
      <c r="KJL491" s="168"/>
      <c r="KJM491" s="168"/>
      <c r="KJN491" s="168"/>
      <c r="KJO491" s="168"/>
      <c r="KJP491" s="168"/>
      <c r="KJQ491" s="168"/>
      <c r="KJR491" s="168"/>
      <c r="KJS491" s="168"/>
      <c r="KJT491" s="168"/>
      <c r="KJU491" s="168"/>
      <c r="KJV491" s="168"/>
      <c r="KJW491" s="168"/>
      <c r="KJX491" s="168"/>
      <c r="KJY491" s="168"/>
      <c r="KJZ491" s="168"/>
      <c r="KKA491" s="168"/>
      <c r="KKB491" s="168"/>
      <c r="KKC491" s="168"/>
      <c r="KKD491" s="168"/>
      <c r="KKE491" s="168"/>
      <c r="KKF491" s="168"/>
      <c r="KKG491" s="168"/>
      <c r="KKH491" s="168"/>
      <c r="KKI491" s="168"/>
      <c r="KKJ491" s="168"/>
      <c r="KKK491" s="168"/>
      <c r="KKL491" s="168"/>
      <c r="KKM491" s="168"/>
      <c r="KKN491" s="168"/>
      <c r="KKO491" s="168"/>
      <c r="KKP491" s="168"/>
      <c r="KKQ491" s="168"/>
      <c r="KKR491" s="168"/>
      <c r="KKS491" s="168"/>
      <c r="KKT491" s="168"/>
      <c r="KKU491" s="168"/>
      <c r="KKV491" s="168"/>
      <c r="KKW491" s="168"/>
      <c r="KKX491" s="168"/>
      <c r="KKY491" s="168"/>
      <c r="KKZ491" s="168"/>
      <c r="KLA491" s="168"/>
      <c r="KLB491" s="168"/>
      <c r="KLC491" s="168"/>
      <c r="KLD491" s="168"/>
      <c r="KLE491" s="168"/>
      <c r="KLF491" s="168"/>
      <c r="KLG491" s="168"/>
      <c r="KLH491" s="168"/>
      <c r="KLI491" s="168"/>
      <c r="KLJ491" s="168"/>
      <c r="KLK491" s="168"/>
      <c r="KLL491" s="168"/>
      <c r="KLM491" s="168"/>
      <c r="KLN491" s="168"/>
      <c r="KLO491" s="168"/>
      <c r="KLP491" s="168"/>
      <c r="KLQ491" s="168"/>
      <c r="KLR491" s="168"/>
      <c r="KLS491" s="168"/>
      <c r="KLT491" s="168"/>
      <c r="KLU491" s="168"/>
      <c r="KLV491" s="168"/>
      <c r="KLW491" s="168"/>
      <c r="KLX491" s="168"/>
      <c r="KLY491" s="168"/>
      <c r="KLZ491" s="168"/>
      <c r="KMA491" s="168"/>
      <c r="KMB491" s="168"/>
      <c r="KMC491" s="168"/>
      <c r="KMD491" s="168"/>
      <c r="KME491" s="168"/>
      <c r="KMF491" s="168"/>
      <c r="KMG491" s="168"/>
      <c r="KMH491" s="168"/>
      <c r="KMI491" s="168"/>
      <c r="KMJ491" s="168"/>
      <c r="KMK491" s="168"/>
      <c r="KML491" s="168"/>
      <c r="KMM491" s="168"/>
      <c r="KMN491" s="168"/>
      <c r="KMO491" s="168"/>
      <c r="KMP491" s="168"/>
      <c r="KMQ491" s="168"/>
      <c r="KMR491" s="168"/>
      <c r="KMS491" s="168"/>
      <c r="KMT491" s="168"/>
      <c r="KMU491" s="168"/>
      <c r="KMV491" s="168"/>
      <c r="KMW491" s="168"/>
      <c r="KMX491" s="168"/>
      <c r="KMY491" s="168"/>
      <c r="KMZ491" s="168"/>
      <c r="KNA491" s="168"/>
      <c r="KNB491" s="168"/>
      <c r="KNC491" s="168"/>
      <c r="KND491" s="168"/>
      <c r="KNE491" s="168"/>
      <c r="KNF491" s="168"/>
      <c r="KNG491" s="168"/>
      <c r="KNH491" s="168"/>
      <c r="KNI491" s="168"/>
      <c r="KNJ491" s="168"/>
      <c r="KNK491" s="168"/>
      <c r="KNL491" s="168"/>
      <c r="KNM491" s="168"/>
      <c r="KNN491" s="168"/>
      <c r="KNO491" s="168"/>
      <c r="KNP491" s="168"/>
      <c r="KNQ491" s="168"/>
      <c r="KNR491" s="168"/>
      <c r="KNS491" s="168"/>
      <c r="KNT491" s="168"/>
      <c r="KNU491" s="168"/>
      <c r="KNV491" s="168"/>
      <c r="KNW491" s="168"/>
      <c r="KNX491" s="168"/>
      <c r="KNY491" s="168"/>
      <c r="KNZ491" s="168"/>
      <c r="KOA491" s="168"/>
      <c r="KOB491" s="168"/>
      <c r="KOC491" s="168"/>
      <c r="KOD491" s="168"/>
      <c r="KOE491" s="168"/>
      <c r="KOF491" s="168"/>
      <c r="KOG491" s="168"/>
      <c r="KOH491" s="168"/>
      <c r="KOI491" s="168"/>
      <c r="KOJ491" s="168"/>
      <c r="KOK491" s="168"/>
      <c r="KOL491" s="168"/>
      <c r="KOM491" s="168"/>
      <c r="KON491" s="168"/>
      <c r="KOO491" s="168"/>
      <c r="KOP491" s="168"/>
      <c r="KOQ491" s="168"/>
      <c r="KOR491" s="168"/>
      <c r="KOS491" s="168"/>
      <c r="KOT491" s="168"/>
      <c r="KOU491" s="168"/>
      <c r="KOV491" s="168"/>
      <c r="KOW491" s="168"/>
      <c r="KOX491" s="168"/>
      <c r="KOY491" s="168"/>
      <c r="KOZ491" s="168"/>
      <c r="KPA491" s="168"/>
      <c r="KPB491" s="168"/>
      <c r="KPC491" s="168"/>
      <c r="KPD491" s="168"/>
      <c r="KPE491" s="168"/>
      <c r="KPF491" s="168"/>
      <c r="KPG491" s="168"/>
      <c r="KPH491" s="168"/>
      <c r="KPI491" s="168"/>
      <c r="KPJ491" s="168"/>
      <c r="KPK491" s="168"/>
      <c r="KPL491" s="168"/>
      <c r="KPM491" s="168"/>
      <c r="KPN491" s="168"/>
      <c r="KPO491" s="168"/>
      <c r="KPP491" s="168"/>
      <c r="KPQ491" s="168"/>
      <c r="KPR491" s="168"/>
      <c r="KPS491" s="168"/>
      <c r="KPT491" s="168"/>
      <c r="KPU491" s="168"/>
      <c r="KPV491" s="168"/>
      <c r="KPW491" s="168"/>
      <c r="KPX491" s="168"/>
      <c r="KPY491" s="168"/>
      <c r="KPZ491" s="168"/>
      <c r="KQA491" s="168"/>
      <c r="KQB491" s="168"/>
      <c r="KQC491" s="168"/>
      <c r="KQD491" s="168"/>
      <c r="KQE491" s="168"/>
      <c r="KQF491" s="168"/>
      <c r="KQG491" s="168"/>
      <c r="KQH491" s="168"/>
      <c r="KQI491" s="168"/>
      <c r="KQJ491" s="168"/>
      <c r="KQK491" s="168"/>
      <c r="KQL491" s="168"/>
      <c r="KQM491" s="168"/>
      <c r="KQN491" s="168"/>
      <c r="KQO491" s="168"/>
      <c r="KQP491" s="168"/>
      <c r="KQQ491" s="168"/>
      <c r="KQR491" s="168"/>
      <c r="KQS491" s="168"/>
      <c r="KQT491" s="168"/>
      <c r="KQU491" s="168"/>
      <c r="KQV491" s="168"/>
      <c r="KQW491" s="168"/>
      <c r="KQX491" s="168"/>
      <c r="KQY491" s="168"/>
      <c r="KQZ491" s="168"/>
      <c r="KRA491" s="168"/>
      <c r="KRB491" s="168"/>
      <c r="KRC491" s="168"/>
      <c r="KRD491" s="168"/>
      <c r="KRE491" s="168"/>
      <c r="KRF491" s="168"/>
      <c r="KRG491" s="168"/>
      <c r="KRH491" s="168"/>
      <c r="KRI491" s="168"/>
      <c r="KRJ491" s="168"/>
      <c r="KRK491" s="168"/>
      <c r="KRL491" s="168"/>
      <c r="KRM491" s="168"/>
      <c r="KRN491" s="168"/>
      <c r="KRO491" s="168"/>
      <c r="KRP491" s="168"/>
      <c r="KRQ491" s="168"/>
      <c r="KRR491" s="168"/>
      <c r="KRS491" s="168"/>
      <c r="KRT491" s="168"/>
      <c r="KRU491" s="168"/>
      <c r="KRV491" s="168"/>
      <c r="KRW491" s="168"/>
      <c r="KRX491" s="168"/>
      <c r="KRY491" s="168"/>
      <c r="KRZ491" s="168"/>
      <c r="KSA491" s="168"/>
      <c r="KSB491" s="168"/>
      <c r="KSC491" s="168"/>
      <c r="KSD491" s="168"/>
      <c r="KSE491" s="168"/>
      <c r="KSF491" s="168"/>
      <c r="KSG491" s="168"/>
      <c r="KSH491" s="168"/>
      <c r="KSI491" s="168"/>
      <c r="KSJ491" s="168"/>
      <c r="KSK491" s="168"/>
      <c r="KSL491" s="168"/>
      <c r="KSM491" s="168"/>
      <c r="KSN491" s="168"/>
      <c r="KSO491" s="168"/>
      <c r="KSP491" s="168"/>
      <c r="KSQ491" s="168"/>
      <c r="KSR491" s="168"/>
      <c r="KSS491" s="168"/>
      <c r="KST491" s="168"/>
      <c r="KSU491" s="168"/>
      <c r="KSV491" s="168"/>
      <c r="KSW491" s="168"/>
      <c r="KSX491" s="168"/>
      <c r="KSY491" s="168"/>
      <c r="KSZ491" s="168"/>
      <c r="KTA491" s="168"/>
      <c r="KTB491" s="168"/>
      <c r="KTC491" s="168"/>
      <c r="KTD491" s="168"/>
      <c r="KTE491" s="168"/>
      <c r="KTF491" s="168"/>
      <c r="KTG491" s="168"/>
      <c r="KTH491" s="168"/>
      <c r="KTI491" s="168"/>
      <c r="KTJ491" s="168"/>
      <c r="KTK491" s="168"/>
      <c r="KTL491" s="168"/>
      <c r="KTM491" s="168"/>
      <c r="KTN491" s="168"/>
      <c r="KTO491" s="168"/>
      <c r="KTP491" s="168"/>
      <c r="KTQ491" s="168"/>
      <c r="KTR491" s="168"/>
      <c r="KTS491" s="168"/>
      <c r="KTT491" s="168"/>
      <c r="KTU491" s="168"/>
      <c r="KTV491" s="168"/>
      <c r="KTW491" s="168"/>
      <c r="KTX491" s="168"/>
      <c r="KTY491" s="168"/>
      <c r="KTZ491" s="168"/>
      <c r="KUA491" s="168"/>
      <c r="KUB491" s="168"/>
      <c r="KUC491" s="168"/>
      <c r="KUD491" s="168"/>
      <c r="KUE491" s="168"/>
      <c r="KUF491" s="168"/>
      <c r="KUG491" s="168"/>
      <c r="KUH491" s="168"/>
      <c r="KUI491" s="168"/>
      <c r="KUJ491" s="168"/>
      <c r="KUK491" s="168"/>
      <c r="KUL491" s="168"/>
      <c r="KUM491" s="168"/>
      <c r="KUN491" s="168"/>
      <c r="KUO491" s="168"/>
      <c r="KUP491" s="168"/>
      <c r="KUQ491" s="168"/>
      <c r="KUR491" s="168"/>
      <c r="KUS491" s="168"/>
      <c r="KUT491" s="168"/>
      <c r="KUU491" s="168"/>
      <c r="KUV491" s="168"/>
      <c r="KUW491" s="168"/>
      <c r="KUX491" s="168"/>
      <c r="KUY491" s="168"/>
      <c r="KUZ491" s="168"/>
      <c r="KVA491" s="168"/>
      <c r="KVB491" s="168"/>
      <c r="KVC491" s="168"/>
      <c r="KVD491" s="168"/>
      <c r="KVE491" s="168"/>
      <c r="KVF491" s="168"/>
      <c r="KVG491" s="168"/>
      <c r="KVH491" s="168"/>
      <c r="KVI491" s="168"/>
      <c r="KVJ491" s="168"/>
      <c r="KVK491" s="168"/>
      <c r="KVL491" s="168"/>
      <c r="KVM491" s="168"/>
      <c r="KVN491" s="168"/>
      <c r="KVO491" s="168"/>
      <c r="KVP491" s="168"/>
      <c r="KVQ491" s="168"/>
      <c r="KVR491" s="168"/>
      <c r="KVS491" s="168"/>
      <c r="KVT491" s="168"/>
      <c r="KVU491" s="168"/>
      <c r="KVV491" s="168"/>
      <c r="KVW491" s="168"/>
      <c r="KVX491" s="168"/>
      <c r="KVY491" s="168"/>
      <c r="KVZ491" s="168"/>
      <c r="KWA491" s="168"/>
      <c r="KWB491" s="168"/>
      <c r="KWC491" s="168"/>
      <c r="KWD491" s="168"/>
      <c r="KWE491" s="168"/>
      <c r="KWF491" s="168"/>
      <c r="KWG491" s="168"/>
      <c r="KWH491" s="168"/>
      <c r="KWI491" s="168"/>
      <c r="KWJ491" s="168"/>
      <c r="KWK491" s="168"/>
      <c r="KWL491" s="168"/>
      <c r="KWM491" s="168"/>
      <c r="KWN491" s="168"/>
      <c r="KWO491" s="168"/>
      <c r="KWP491" s="168"/>
      <c r="KWQ491" s="168"/>
      <c r="KWR491" s="168"/>
      <c r="KWS491" s="168"/>
      <c r="KWT491" s="168"/>
      <c r="KWU491" s="168"/>
      <c r="KWV491" s="168"/>
      <c r="KWW491" s="168"/>
      <c r="KWX491" s="168"/>
      <c r="KWY491" s="168"/>
      <c r="KWZ491" s="168"/>
      <c r="KXA491" s="168"/>
      <c r="KXB491" s="168"/>
      <c r="KXC491" s="168"/>
      <c r="KXD491" s="168"/>
      <c r="KXE491" s="168"/>
      <c r="KXF491" s="168"/>
      <c r="KXG491" s="168"/>
      <c r="KXH491" s="168"/>
      <c r="KXI491" s="168"/>
      <c r="KXJ491" s="168"/>
      <c r="KXK491" s="168"/>
      <c r="KXL491" s="168"/>
      <c r="KXM491" s="168"/>
      <c r="KXN491" s="168"/>
      <c r="KXO491" s="168"/>
      <c r="KXP491" s="168"/>
      <c r="KXQ491" s="168"/>
      <c r="KXR491" s="168"/>
      <c r="KXS491" s="168"/>
      <c r="KXT491" s="168"/>
      <c r="KXU491" s="168"/>
      <c r="KXV491" s="168"/>
      <c r="KXW491" s="168"/>
      <c r="KXX491" s="168"/>
      <c r="KXY491" s="168"/>
      <c r="KXZ491" s="168"/>
      <c r="KYA491" s="168"/>
      <c r="KYB491" s="168"/>
      <c r="KYC491" s="168"/>
      <c r="KYD491" s="168"/>
      <c r="KYE491" s="168"/>
      <c r="KYF491" s="168"/>
      <c r="KYG491" s="168"/>
      <c r="KYH491" s="168"/>
      <c r="KYI491" s="168"/>
      <c r="KYJ491" s="168"/>
      <c r="KYK491" s="168"/>
      <c r="KYL491" s="168"/>
      <c r="KYM491" s="168"/>
      <c r="KYN491" s="168"/>
      <c r="KYO491" s="168"/>
      <c r="KYP491" s="168"/>
      <c r="KYQ491" s="168"/>
      <c r="KYR491" s="168"/>
      <c r="KYS491" s="168"/>
      <c r="KYT491" s="168"/>
      <c r="KYU491" s="168"/>
      <c r="KYV491" s="168"/>
      <c r="KYW491" s="168"/>
      <c r="KYX491" s="168"/>
      <c r="KYY491" s="168"/>
      <c r="KYZ491" s="168"/>
      <c r="KZA491" s="168"/>
      <c r="KZB491" s="168"/>
      <c r="KZC491" s="168"/>
      <c r="KZD491" s="168"/>
      <c r="KZE491" s="168"/>
      <c r="KZF491" s="168"/>
      <c r="KZG491" s="168"/>
      <c r="KZH491" s="168"/>
      <c r="KZI491" s="168"/>
      <c r="KZJ491" s="168"/>
      <c r="KZK491" s="168"/>
      <c r="KZL491" s="168"/>
      <c r="KZM491" s="168"/>
      <c r="KZN491" s="168"/>
      <c r="KZO491" s="168"/>
      <c r="KZP491" s="168"/>
      <c r="KZQ491" s="168"/>
      <c r="KZR491" s="168"/>
      <c r="KZS491" s="168"/>
      <c r="KZT491" s="168"/>
      <c r="KZU491" s="168"/>
      <c r="KZV491" s="168"/>
      <c r="KZW491" s="168"/>
      <c r="KZX491" s="168"/>
      <c r="KZY491" s="168"/>
      <c r="KZZ491" s="168"/>
      <c r="LAA491" s="168"/>
      <c r="LAB491" s="168"/>
      <c r="LAC491" s="168"/>
      <c r="LAD491" s="168"/>
      <c r="LAE491" s="168"/>
      <c r="LAF491" s="168"/>
      <c r="LAG491" s="168"/>
      <c r="LAH491" s="168"/>
      <c r="LAI491" s="168"/>
      <c r="LAJ491" s="168"/>
      <c r="LAK491" s="168"/>
      <c r="LAL491" s="168"/>
      <c r="LAM491" s="168"/>
      <c r="LAN491" s="168"/>
      <c r="LAO491" s="168"/>
      <c r="LAP491" s="168"/>
      <c r="LAQ491" s="168"/>
      <c r="LAR491" s="168"/>
      <c r="LAS491" s="168"/>
      <c r="LAT491" s="168"/>
      <c r="LAU491" s="168"/>
      <c r="LAV491" s="168"/>
      <c r="LAW491" s="168"/>
      <c r="LAX491" s="168"/>
      <c r="LAY491" s="168"/>
      <c r="LAZ491" s="168"/>
      <c r="LBA491" s="168"/>
      <c r="LBB491" s="168"/>
      <c r="LBC491" s="168"/>
      <c r="LBD491" s="168"/>
      <c r="LBE491" s="168"/>
      <c r="LBF491" s="168"/>
      <c r="LBG491" s="168"/>
      <c r="LBH491" s="168"/>
      <c r="LBI491" s="168"/>
      <c r="LBJ491" s="168"/>
      <c r="LBK491" s="168"/>
      <c r="LBL491" s="168"/>
      <c r="LBM491" s="168"/>
      <c r="LBN491" s="168"/>
      <c r="LBO491" s="168"/>
      <c r="LBP491" s="168"/>
      <c r="LBQ491" s="168"/>
      <c r="LBR491" s="168"/>
      <c r="LBS491" s="168"/>
      <c r="LBT491" s="168"/>
      <c r="LBU491" s="168"/>
      <c r="LBV491" s="168"/>
      <c r="LBW491" s="168"/>
      <c r="LBX491" s="168"/>
      <c r="LBY491" s="168"/>
      <c r="LBZ491" s="168"/>
      <c r="LCA491" s="168"/>
      <c r="LCB491" s="168"/>
      <c r="LCC491" s="168"/>
      <c r="LCD491" s="168"/>
      <c r="LCE491" s="168"/>
      <c r="LCF491" s="168"/>
      <c r="LCG491" s="168"/>
      <c r="LCH491" s="168"/>
      <c r="LCI491" s="168"/>
      <c r="LCJ491" s="168"/>
      <c r="LCK491" s="168"/>
      <c r="LCL491" s="168"/>
      <c r="LCM491" s="168"/>
      <c r="LCN491" s="168"/>
      <c r="LCO491" s="168"/>
      <c r="LCP491" s="168"/>
      <c r="LCQ491" s="168"/>
      <c r="LCR491" s="168"/>
      <c r="LCS491" s="168"/>
      <c r="LCT491" s="168"/>
      <c r="LCU491" s="168"/>
      <c r="LCV491" s="168"/>
      <c r="LCW491" s="168"/>
      <c r="LCX491" s="168"/>
      <c r="LCY491" s="168"/>
      <c r="LCZ491" s="168"/>
      <c r="LDA491" s="168"/>
      <c r="LDB491" s="168"/>
      <c r="LDC491" s="168"/>
      <c r="LDD491" s="168"/>
      <c r="LDE491" s="168"/>
      <c r="LDF491" s="168"/>
      <c r="LDG491" s="168"/>
      <c r="LDH491" s="168"/>
      <c r="LDI491" s="168"/>
      <c r="LDJ491" s="168"/>
      <c r="LDK491" s="168"/>
      <c r="LDL491" s="168"/>
      <c r="LDM491" s="168"/>
      <c r="LDN491" s="168"/>
      <c r="LDO491" s="168"/>
      <c r="LDP491" s="168"/>
      <c r="LDQ491" s="168"/>
      <c r="LDR491" s="168"/>
      <c r="LDS491" s="168"/>
      <c r="LDT491" s="168"/>
      <c r="LDU491" s="168"/>
      <c r="LDV491" s="168"/>
      <c r="LDW491" s="168"/>
      <c r="LDX491" s="168"/>
      <c r="LDY491" s="168"/>
      <c r="LDZ491" s="168"/>
      <c r="LEA491" s="168"/>
      <c r="LEB491" s="168"/>
      <c r="LEC491" s="168"/>
      <c r="LED491" s="168"/>
      <c r="LEE491" s="168"/>
      <c r="LEF491" s="168"/>
      <c r="LEG491" s="168"/>
      <c r="LEH491" s="168"/>
      <c r="LEI491" s="168"/>
      <c r="LEJ491" s="168"/>
      <c r="LEK491" s="168"/>
      <c r="LEL491" s="168"/>
      <c r="LEM491" s="168"/>
      <c r="LEN491" s="168"/>
      <c r="LEO491" s="168"/>
      <c r="LEP491" s="168"/>
      <c r="LEQ491" s="168"/>
      <c r="LER491" s="168"/>
      <c r="LES491" s="168"/>
      <c r="LET491" s="168"/>
      <c r="LEU491" s="168"/>
      <c r="LEV491" s="168"/>
      <c r="LEW491" s="168"/>
      <c r="LEX491" s="168"/>
      <c r="LEY491" s="168"/>
      <c r="LEZ491" s="168"/>
      <c r="LFA491" s="168"/>
      <c r="LFB491" s="168"/>
      <c r="LFC491" s="168"/>
      <c r="LFD491" s="168"/>
      <c r="LFE491" s="168"/>
      <c r="LFF491" s="168"/>
      <c r="LFG491" s="168"/>
      <c r="LFH491" s="168"/>
      <c r="LFI491" s="168"/>
      <c r="LFJ491" s="168"/>
      <c r="LFK491" s="168"/>
      <c r="LFL491" s="168"/>
      <c r="LFM491" s="168"/>
      <c r="LFN491" s="168"/>
      <c r="LFO491" s="168"/>
      <c r="LFP491" s="168"/>
      <c r="LFQ491" s="168"/>
      <c r="LFR491" s="168"/>
      <c r="LFS491" s="168"/>
      <c r="LFT491" s="168"/>
      <c r="LFU491" s="168"/>
      <c r="LFV491" s="168"/>
      <c r="LFW491" s="168"/>
      <c r="LFX491" s="168"/>
      <c r="LFY491" s="168"/>
      <c r="LFZ491" s="168"/>
      <c r="LGA491" s="168"/>
      <c r="LGB491" s="168"/>
      <c r="LGC491" s="168"/>
      <c r="LGD491" s="168"/>
      <c r="LGE491" s="168"/>
      <c r="LGF491" s="168"/>
      <c r="LGG491" s="168"/>
      <c r="LGH491" s="168"/>
      <c r="LGI491" s="168"/>
      <c r="LGJ491" s="168"/>
      <c r="LGK491" s="168"/>
      <c r="LGL491" s="168"/>
      <c r="LGM491" s="168"/>
      <c r="LGN491" s="168"/>
      <c r="LGO491" s="168"/>
      <c r="LGP491" s="168"/>
      <c r="LGQ491" s="168"/>
      <c r="LGR491" s="168"/>
      <c r="LGS491" s="168"/>
      <c r="LGT491" s="168"/>
      <c r="LGU491" s="168"/>
      <c r="LGV491" s="168"/>
      <c r="LGW491" s="168"/>
      <c r="LGX491" s="168"/>
      <c r="LGY491" s="168"/>
      <c r="LGZ491" s="168"/>
      <c r="LHA491" s="168"/>
      <c r="LHB491" s="168"/>
      <c r="LHC491" s="168"/>
      <c r="LHD491" s="168"/>
      <c r="LHE491" s="168"/>
      <c r="LHF491" s="168"/>
      <c r="LHG491" s="168"/>
      <c r="LHH491" s="168"/>
      <c r="LHI491" s="168"/>
      <c r="LHJ491" s="168"/>
      <c r="LHK491" s="168"/>
      <c r="LHL491" s="168"/>
      <c r="LHM491" s="168"/>
      <c r="LHN491" s="168"/>
      <c r="LHO491" s="168"/>
      <c r="LHP491" s="168"/>
      <c r="LHQ491" s="168"/>
      <c r="LHR491" s="168"/>
      <c r="LHS491" s="168"/>
      <c r="LHT491" s="168"/>
      <c r="LHU491" s="168"/>
      <c r="LHV491" s="168"/>
      <c r="LHW491" s="168"/>
      <c r="LHX491" s="168"/>
      <c r="LHY491" s="168"/>
      <c r="LHZ491" s="168"/>
      <c r="LIA491" s="168"/>
      <c r="LIB491" s="168"/>
      <c r="LIC491" s="168"/>
      <c r="LID491" s="168"/>
      <c r="LIE491" s="168"/>
      <c r="LIF491" s="168"/>
      <c r="LIG491" s="168"/>
      <c r="LIH491" s="168"/>
      <c r="LII491" s="168"/>
      <c r="LIJ491" s="168"/>
      <c r="LIK491" s="168"/>
      <c r="LIL491" s="168"/>
      <c r="LIM491" s="168"/>
      <c r="LIN491" s="168"/>
      <c r="LIO491" s="168"/>
      <c r="LIP491" s="168"/>
      <c r="LIQ491" s="168"/>
      <c r="LIR491" s="168"/>
      <c r="LIS491" s="168"/>
      <c r="LIT491" s="168"/>
      <c r="LIU491" s="168"/>
      <c r="LIV491" s="168"/>
      <c r="LIW491" s="168"/>
      <c r="LIX491" s="168"/>
      <c r="LIY491" s="168"/>
      <c r="LIZ491" s="168"/>
      <c r="LJA491" s="168"/>
      <c r="LJB491" s="168"/>
      <c r="LJC491" s="168"/>
      <c r="LJD491" s="168"/>
      <c r="LJE491" s="168"/>
      <c r="LJF491" s="168"/>
      <c r="LJG491" s="168"/>
      <c r="LJH491" s="168"/>
      <c r="LJI491" s="168"/>
      <c r="LJJ491" s="168"/>
      <c r="LJK491" s="168"/>
      <c r="LJL491" s="168"/>
      <c r="LJM491" s="168"/>
      <c r="LJN491" s="168"/>
      <c r="LJO491" s="168"/>
      <c r="LJP491" s="168"/>
      <c r="LJQ491" s="168"/>
      <c r="LJR491" s="168"/>
      <c r="LJS491" s="168"/>
      <c r="LJT491" s="168"/>
      <c r="LJU491" s="168"/>
      <c r="LJV491" s="168"/>
      <c r="LJW491" s="168"/>
      <c r="LJX491" s="168"/>
      <c r="LJY491" s="168"/>
      <c r="LJZ491" s="168"/>
      <c r="LKA491" s="168"/>
      <c r="LKB491" s="168"/>
      <c r="LKC491" s="168"/>
      <c r="LKD491" s="168"/>
      <c r="LKE491" s="168"/>
      <c r="LKF491" s="168"/>
      <c r="LKG491" s="168"/>
      <c r="LKH491" s="168"/>
      <c r="LKI491" s="168"/>
      <c r="LKJ491" s="168"/>
      <c r="LKK491" s="168"/>
      <c r="LKL491" s="168"/>
      <c r="LKM491" s="168"/>
      <c r="LKN491" s="168"/>
      <c r="LKO491" s="168"/>
      <c r="LKP491" s="168"/>
      <c r="LKQ491" s="168"/>
      <c r="LKR491" s="168"/>
      <c r="LKS491" s="168"/>
      <c r="LKT491" s="168"/>
      <c r="LKU491" s="168"/>
      <c r="LKV491" s="168"/>
      <c r="LKW491" s="168"/>
      <c r="LKX491" s="168"/>
      <c r="LKY491" s="168"/>
      <c r="LKZ491" s="168"/>
      <c r="LLA491" s="168"/>
      <c r="LLB491" s="168"/>
      <c r="LLC491" s="168"/>
      <c r="LLD491" s="168"/>
      <c r="LLE491" s="168"/>
      <c r="LLF491" s="168"/>
      <c r="LLG491" s="168"/>
      <c r="LLH491" s="168"/>
      <c r="LLI491" s="168"/>
      <c r="LLJ491" s="168"/>
      <c r="LLK491" s="168"/>
      <c r="LLL491" s="168"/>
      <c r="LLM491" s="168"/>
      <c r="LLN491" s="168"/>
      <c r="LLO491" s="168"/>
      <c r="LLP491" s="168"/>
      <c r="LLQ491" s="168"/>
      <c r="LLR491" s="168"/>
      <c r="LLS491" s="168"/>
      <c r="LLT491" s="168"/>
      <c r="LLU491" s="168"/>
      <c r="LLV491" s="168"/>
      <c r="LLW491" s="168"/>
      <c r="LLX491" s="168"/>
      <c r="LLY491" s="168"/>
      <c r="LLZ491" s="168"/>
      <c r="LMA491" s="168"/>
      <c r="LMB491" s="168"/>
      <c r="LMC491" s="168"/>
      <c r="LMD491" s="168"/>
      <c r="LME491" s="168"/>
      <c r="LMF491" s="168"/>
      <c r="LMG491" s="168"/>
      <c r="LMH491" s="168"/>
      <c r="LMI491" s="168"/>
      <c r="LMJ491" s="168"/>
      <c r="LMK491" s="168"/>
      <c r="LML491" s="168"/>
      <c r="LMM491" s="168"/>
      <c r="LMN491" s="168"/>
      <c r="LMO491" s="168"/>
      <c r="LMP491" s="168"/>
      <c r="LMQ491" s="168"/>
      <c r="LMR491" s="168"/>
      <c r="LMS491" s="168"/>
      <c r="LMT491" s="168"/>
      <c r="LMU491" s="168"/>
      <c r="LMV491" s="168"/>
      <c r="LMW491" s="168"/>
      <c r="LMX491" s="168"/>
      <c r="LMY491" s="168"/>
      <c r="LMZ491" s="168"/>
      <c r="LNA491" s="168"/>
      <c r="LNB491" s="168"/>
      <c r="LNC491" s="168"/>
      <c r="LND491" s="168"/>
      <c r="LNE491" s="168"/>
      <c r="LNF491" s="168"/>
      <c r="LNG491" s="168"/>
      <c r="LNH491" s="168"/>
      <c r="LNI491" s="168"/>
      <c r="LNJ491" s="168"/>
      <c r="LNK491" s="168"/>
      <c r="LNL491" s="168"/>
      <c r="LNM491" s="168"/>
      <c r="LNN491" s="168"/>
      <c r="LNO491" s="168"/>
      <c r="LNP491" s="168"/>
      <c r="LNQ491" s="168"/>
      <c r="LNR491" s="168"/>
      <c r="LNS491" s="168"/>
      <c r="LNT491" s="168"/>
      <c r="LNU491" s="168"/>
      <c r="LNV491" s="168"/>
      <c r="LNW491" s="168"/>
      <c r="LNX491" s="168"/>
      <c r="LNY491" s="168"/>
      <c r="LNZ491" s="168"/>
      <c r="LOA491" s="168"/>
      <c r="LOB491" s="168"/>
      <c r="LOC491" s="168"/>
      <c r="LOD491" s="168"/>
      <c r="LOE491" s="168"/>
      <c r="LOF491" s="168"/>
      <c r="LOG491" s="168"/>
      <c r="LOH491" s="168"/>
      <c r="LOI491" s="168"/>
      <c r="LOJ491" s="168"/>
      <c r="LOK491" s="168"/>
      <c r="LOL491" s="168"/>
      <c r="LOM491" s="168"/>
      <c r="LON491" s="168"/>
      <c r="LOO491" s="168"/>
      <c r="LOP491" s="168"/>
      <c r="LOQ491" s="168"/>
      <c r="LOR491" s="168"/>
      <c r="LOS491" s="168"/>
      <c r="LOT491" s="168"/>
      <c r="LOU491" s="168"/>
      <c r="LOV491" s="168"/>
      <c r="LOW491" s="168"/>
      <c r="LOX491" s="168"/>
      <c r="LOY491" s="168"/>
      <c r="LOZ491" s="168"/>
      <c r="LPA491" s="168"/>
      <c r="LPB491" s="168"/>
      <c r="LPC491" s="168"/>
      <c r="LPD491" s="168"/>
      <c r="LPE491" s="168"/>
      <c r="LPF491" s="168"/>
      <c r="LPG491" s="168"/>
      <c r="LPH491" s="168"/>
      <c r="LPI491" s="168"/>
      <c r="LPJ491" s="168"/>
      <c r="LPK491" s="168"/>
      <c r="LPL491" s="168"/>
      <c r="LPM491" s="168"/>
      <c r="LPN491" s="168"/>
      <c r="LPO491" s="168"/>
      <c r="LPP491" s="168"/>
      <c r="LPQ491" s="168"/>
      <c r="LPR491" s="168"/>
      <c r="LPS491" s="168"/>
      <c r="LPT491" s="168"/>
      <c r="LPU491" s="168"/>
      <c r="LPV491" s="168"/>
      <c r="LPW491" s="168"/>
      <c r="LPX491" s="168"/>
      <c r="LPY491" s="168"/>
      <c r="LPZ491" s="168"/>
      <c r="LQA491" s="168"/>
      <c r="LQB491" s="168"/>
      <c r="LQC491" s="168"/>
      <c r="LQD491" s="168"/>
      <c r="LQE491" s="168"/>
      <c r="LQF491" s="168"/>
      <c r="LQG491" s="168"/>
      <c r="LQH491" s="168"/>
      <c r="LQI491" s="168"/>
      <c r="LQJ491" s="168"/>
      <c r="LQK491" s="168"/>
      <c r="LQL491" s="168"/>
      <c r="LQM491" s="168"/>
      <c r="LQN491" s="168"/>
      <c r="LQO491" s="168"/>
      <c r="LQP491" s="168"/>
      <c r="LQQ491" s="168"/>
      <c r="LQR491" s="168"/>
      <c r="LQS491" s="168"/>
      <c r="LQT491" s="168"/>
      <c r="LQU491" s="168"/>
      <c r="LQV491" s="168"/>
      <c r="LQW491" s="168"/>
      <c r="LQX491" s="168"/>
      <c r="LQY491" s="168"/>
      <c r="LQZ491" s="168"/>
      <c r="LRA491" s="168"/>
      <c r="LRB491" s="168"/>
      <c r="LRC491" s="168"/>
      <c r="LRD491" s="168"/>
      <c r="LRE491" s="168"/>
      <c r="LRF491" s="168"/>
      <c r="LRG491" s="168"/>
      <c r="LRH491" s="168"/>
      <c r="LRI491" s="168"/>
      <c r="LRJ491" s="168"/>
      <c r="LRK491" s="168"/>
      <c r="LRL491" s="168"/>
      <c r="LRM491" s="168"/>
      <c r="LRN491" s="168"/>
      <c r="LRO491" s="168"/>
      <c r="LRP491" s="168"/>
      <c r="LRQ491" s="168"/>
      <c r="LRR491" s="168"/>
      <c r="LRS491" s="168"/>
      <c r="LRT491" s="168"/>
      <c r="LRU491" s="168"/>
      <c r="LRV491" s="168"/>
      <c r="LRW491" s="168"/>
      <c r="LRX491" s="168"/>
      <c r="LRY491" s="168"/>
      <c r="LRZ491" s="168"/>
      <c r="LSA491" s="168"/>
      <c r="LSB491" s="168"/>
      <c r="LSC491" s="168"/>
      <c r="LSD491" s="168"/>
      <c r="LSE491" s="168"/>
      <c r="LSF491" s="168"/>
      <c r="LSG491" s="168"/>
      <c r="LSH491" s="168"/>
      <c r="LSI491" s="168"/>
      <c r="LSJ491" s="168"/>
      <c r="LSK491" s="168"/>
      <c r="LSL491" s="168"/>
      <c r="LSM491" s="168"/>
      <c r="LSN491" s="168"/>
      <c r="LSO491" s="168"/>
      <c r="LSP491" s="168"/>
      <c r="LSQ491" s="168"/>
      <c r="LSR491" s="168"/>
      <c r="LSS491" s="168"/>
      <c r="LST491" s="168"/>
      <c r="LSU491" s="168"/>
      <c r="LSV491" s="168"/>
      <c r="LSW491" s="168"/>
      <c r="LSX491" s="168"/>
      <c r="LSY491" s="168"/>
      <c r="LSZ491" s="168"/>
      <c r="LTA491" s="168"/>
      <c r="LTB491" s="168"/>
      <c r="LTC491" s="168"/>
      <c r="LTD491" s="168"/>
      <c r="LTE491" s="168"/>
      <c r="LTF491" s="168"/>
      <c r="LTG491" s="168"/>
      <c r="LTH491" s="168"/>
      <c r="LTI491" s="168"/>
      <c r="LTJ491" s="168"/>
      <c r="LTK491" s="168"/>
      <c r="LTL491" s="168"/>
      <c r="LTM491" s="168"/>
      <c r="LTN491" s="168"/>
      <c r="LTO491" s="168"/>
      <c r="LTP491" s="168"/>
      <c r="LTQ491" s="168"/>
      <c r="LTR491" s="168"/>
      <c r="LTS491" s="168"/>
      <c r="LTT491" s="168"/>
      <c r="LTU491" s="168"/>
      <c r="LTV491" s="168"/>
      <c r="LTW491" s="168"/>
      <c r="LTX491" s="168"/>
      <c r="LTY491" s="168"/>
      <c r="LTZ491" s="168"/>
      <c r="LUA491" s="168"/>
      <c r="LUB491" s="168"/>
      <c r="LUC491" s="168"/>
      <c r="LUD491" s="168"/>
      <c r="LUE491" s="168"/>
      <c r="LUF491" s="168"/>
      <c r="LUG491" s="168"/>
      <c r="LUH491" s="168"/>
      <c r="LUI491" s="168"/>
      <c r="LUJ491" s="168"/>
      <c r="LUK491" s="168"/>
      <c r="LUL491" s="168"/>
      <c r="LUM491" s="168"/>
      <c r="LUN491" s="168"/>
      <c r="LUO491" s="168"/>
      <c r="LUP491" s="168"/>
      <c r="LUQ491" s="168"/>
      <c r="LUR491" s="168"/>
      <c r="LUS491" s="168"/>
      <c r="LUT491" s="168"/>
      <c r="LUU491" s="168"/>
      <c r="LUV491" s="168"/>
      <c r="LUW491" s="168"/>
      <c r="LUX491" s="168"/>
      <c r="LUY491" s="168"/>
      <c r="LUZ491" s="168"/>
      <c r="LVA491" s="168"/>
      <c r="LVB491" s="168"/>
      <c r="LVC491" s="168"/>
      <c r="LVD491" s="168"/>
      <c r="LVE491" s="168"/>
      <c r="LVF491" s="168"/>
      <c r="LVG491" s="168"/>
      <c r="LVH491" s="168"/>
      <c r="LVI491" s="168"/>
      <c r="LVJ491" s="168"/>
      <c r="LVK491" s="168"/>
      <c r="LVL491" s="168"/>
      <c r="LVM491" s="168"/>
      <c r="LVN491" s="168"/>
      <c r="LVO491" s="168"/>
      <c r="LVP491" s="168"/>
      <c r="LVQ491" s="168"/>
      <c r="LVR491" s="168"/>
      <c r="LVS491" s="168"/>
      <c r="LVT491" s="168"/>
      <c r="LVU491" s="168"/>
      <c r="LVV491" s="168"/>
      <c r="LVW491" s="168"/>
      <c r="LVX491" s="168"/>
      <c r="LVY491" s="168"/>
      <c r="LVZ491" s="168"/>
      <c r="LWA491" s="168"/>
      <c r="LWB491" s="168"/>
      <c r="LWC491" s="168"/>
      <c r="LWD491" s="168"/>
      <c r="LWE491" s="168"/>
      <c r="LWF491" s="168"/>
      <c r="LWG491" s="168"/>
      <c r="LWH491" s="168"/>
      <c r="LWI491" s="168"/>
      <c r="LWJ491" s="168"/>
      <c r="LWK491" s="168"/>
      <c r="LWL491" s="168"/>
      <c r="LWM491" s="168"/>
      <c r="LWN491" s="168"/>
      <c r="LWO491" s="168"/>
      <c r="LWP491" s="168"/>
      <c r="LWQ491" s="168"/>
      <c r="LWR491" s="168"/>
      <c r="LWS491" s="168"/>
      <c r="LWT491" s="168"/>
      <c r="LWU491" s="168"/>
      <c r="LWV491" s="168"/>
      <c r="LWW491" s="168"/>
      <c r="LWX491" s="168"/>
      <c r="LWY491" s="168"/>
      <c r="LWZ491" s="168"/>
      <c r="LXA491" s="168"/>
      <c r="LXB491" s="168"/>
      <c r="LXC491" s="168"/>
      <c r="LXD491" s="168"/>
      <c r="LXE491" s="168"/>
      <c r="LXF491" s="168"/>
      <c r="LXG491" s="168"/>
      <c r="LXH491" s="168"/>
      <c r="LXI491" s="168"/>
      <c r="LXJ491" s="168"/>
      <c r="LXK491" s="168"/>
      <c r="LXL491" s="168"/>
      <c r="LXM491" s="168"/>
      <c r="LXN491" s="168"/>
      <c r="LXO491" s="168"/>
      <c r="LXP491" s="168"/>
      <c r="LXQ491" s="168"/>
      <c r="LXR491" s="168"/>
      <c r="LXS491" s="168"/>
      <c r="LXT491" s="168"/>
      <c r="LXU491" s="168"/>
      <c r="LXV491" s="168"/>
      <c r="LXW491" s="168"/>
      <c r="LXX491" s="168"/>
      <c r="LXY491" s="168"/>
      <c r="LXZ491" s="168"/>
      <c r="LYA491" s="168"/>
      <c r="LYB491" s="168"/>
      <c r="LYC491" s="168"/>
      <c r="LYD491" s="168"/>
      <c r="LYE491" s="168"/>
      <c r="LYF491" s="168"/>
      <c r="LYG491" s="168"/>
      <c r="LYH491" s="168"/>
      <c r="LYI491" s="168"/>
      <c r="LYJ491" s="168"/>
      <c r="LYK491" s="168"/>
      <c r="LYL491" s="168"/>
      <c r="LYM491" s="168"/>
      <c r="LYN491" s="168"/>
      <c r="LYO491" s="168"/>
      <c r="LYP491" s="168"/>
      <c r="LYQ491" s="168"/>
      <c r="LYR491" s="168"/>
      <c r="LYS491" s="168"/>
      <c r="LYT491" s="168"/>
      <c r="LYU491" s="168"/>
      <c r="LYV491" s="168"/>
      <c r="LYW491" s="168"/>
      <c r="LYX491" s="168"/>
      <c r="LYY491" s="168"/>
      <c r="LYZ491" s="168"/>
      <c r="LZA491" s="168"/>
      <c r="LZB491" s="168"/>
      <c r="LZC491" s="168"/>
      <c r="LZD491" s="168"/>
      <c r="LZE491" s="168"/>
      <c r="LZF491" s="168"/>
      <c r="LZG491" s="168"/>
      <c r="LZH491" s="168"/>
      <c r="LZI491" s="168"/>
      <c r="LZJ491" s="168"/>
      <c r="LZK491" s="168"/>
      <c r="LZL491" s="168"/>
      <c r="LZM491" s="168"/>
      <c r="LZN491" s="168"/>
      <c r="LZO491" s="168"/>
      <c r="LZP491" s="168"/>
      <c r="LZQ491" s="168"/>
      <c r="LZR491" s="168"/>
      <c r="LZS491" s="168"/>
      <c r="LZT491" s="168"/>
      <c r="LZU491" s="168"/>
      <c r="LZV491" s="168"/>
      <c r="LZW491" s="168"/>
      <c r="LZX491" s="168"/>
      <c r="LZY491" s="168"/>
      <c r="LZZ491" s="168"/>
      <c r="MAA491" s="168"/>
      <c r="MAB491" s="168"/>
      <c r="MAC491" s="168"/>
      <c r="MAD491" s="168"/>
      <c r="MAE491" s="168"/>
      <c r="MAF491" s="168"/>
      <c r="MAG491" s="168"/>
      <c r="MAH491" s="168"/>
      <c r="MAI491" s="168"/>
      <c r="MAJ491" s="168"/>
      <c r="MAK491" s="168"/>
      <c r="MAL491" s="168"/>
      <c r="MAM491" s="168"/>
      <c r="MAN491" s="168"/>
      <c r="MAO491" s="168"/>
      <c r="MAP491" s="168"/>
      <c r="MAQ491" s="168"/>
      <c r="MAR491" s="168"/>
      <c r="MAS491" s="168"/>
      <c r="MAT491" s="168"/>
      <c r="MAU491" s="168"/>
      <c r="MAV491" s="168"/>
      <c r="MAW491" s="168"/>
      <c r="MAX491" s="168"/>
      <c r="MAY491" s="168"/>
      <c r="MAZ491" s="168"/>
      <c r="MBA491" s="168"/>
      <c r="MBB491" s="168"/>
      <c r="MBC491" s="168"/>
      <c r="MBD491" s="168"/>
      <c r="MBE491" s="168"/>
      <c r="MBF491" s="168"/>
      <c r="MBG491" s="168"/>
      <c r="MBH491" s="168"/>
      <c r="MBI491" s="168"/>
      <c r="MBJ491" s="168"/>
      <c r="MBK491" s="168"/>
      <c r="MBL491" s="168"/>
      <c r="MBM491" s="168"/>
      <c r="MBN491" s="168"/>
      <c r="MBO491" s="168"/>
      <c r="MBP491" s="168"/>
      <c r="MBQ491" s="168"/>
      <c r="MBR491" s="168"/>
      <c r="MBS491" s="168"/>
      <c r="MBT491" s="168"/>
      <c r="MBU491" s="168"/>
      <c r="MBV491" s="168"/>
      <c r="MBW491" s="168"/>
      <c r="MBX491" s="168"/>
      <c r="MBY491" s="168"/>
      <c r="MBZ491" s="168"/>
      <c r="MCA491" s="168"/>
      <c r="MCB491" s="168"/>
      <c r="MCC491" s="168"/>
      <c r="MCD491" s="168"/>
      <c r="MCE491" s="168"/>
      <c r="MCF491" s="168"/>
      <c r="MCG491" s="168"/>
      <c r="MCH491" s="168"/>
      <c r="MCI491" s="168"/>
      <c r="MCJ491" s="168"/>
      <c r="MCK491" s="168"/>
      <c r="MCL491" s="168"/>
      <c r="MCM491" s="168"/>
      <c r="MCN491" s="168"/>
      <c r="MCO491" s="168"/>
      <c r="MCP491" s="168"/>
      <c r="MCQ491" s="168"/>
      <c r="MCR491" s="168"/>
      <c r="MCS491" s="168"/>
      <c r="MCT491" s="168"/>
      <c r="MCU491" s="168"/>
      <c r="MCV491" s="168"/>
      <c r="MCW491" s="168"/>
      <c r="MCX491" s="168"/>
      <c r="MCY491" s="168"/>
      <c r="MCZ491" s="168"/>
      <c r="MDA491" s="168"/>
      <c r="MDB491" s="168"/>
      <c r="MDC491" s="168"/>
      <c r="MDD491" s="168"/>
      <c r="MDE491" s="168"/>
      <c r="MDF491" s="168"/>
      <c r="MDG491" s="168"/>
      <c r="MDH491" s="168"/>
      <c r="MDI491" s="168"/>
      <c r="MDJ491" s="168"/>
      <c r="MDK491" s="168"/>
      <c r="MDL491" s="168"/>
      <c r="MDM491" s="168"/>
      <c r="MDN491" s="168"/>
      <c r="MDO491" s="168"/>
      <c r="MDP491" s="168"/>
      <c r="MDQ491" s="168"/>
      <c r="MDR491" s="168"/>
      <c r="MDS491" s="168"/>
      <c r="MDT491" s="168"/>
      <c r="MDU491" s="168"/>
      <c r="MDV491" s="168"/>
      <c r="MDW491" s="168"/>
      <c r="MDX491" s="168"/>
      <c r="MDY491" s="168"/>
      <c r="MDZ491" s="168"/>
      <c r="MEA491" s="168"/>
      <c r="MEB491" s="168"/>
      <c r="MEC491" s="168"/>
      <c r="MED491" s="168"/>
      <c r="MEE491" s="168"/>
      <c r="MEF491" s="168"/>
      <c r="MEG491" s="168"/>
      <c r="MEH491" s="168"/>
      <c r="MEI491" s="168"/>
      <c r="MEJ491" s="168"/>
      <c r="MEK491" s="168"/>
      <c r="MEL491" s="168"/>
      <c r="MEM491" s="168"/>
      <c r="MEN491" s="168"/>
      <c r="MEO491" s="168"/>
      <c r="MEP491" s="168"/>
      <c r="MEQ491" s="168"/>
      <c r="MER491" s="168"/>
      <c r="MES491" s="168"/>
      <c r="MET491" s="168"/>
      <c r="MEU491" s="168"/>
      <c r="MEV491" s="168"/>
      <c r="MEW491" s="168"/>
      <c r="MEX491" s="168"/>
      <c r="MEY491" s="168"/>
      <c r="MEZ491" s="168"/>
      <c r="MFA491" s="168"/>
      <c r="MFB491" s="168"/>
      <c r="MFC491" s="168"/>
      <c r="MFD491" s="168"/>
      <c r="MFE491" s="168"/>
      <c r="MFF491" s="168"/>
      <c r="MFG491" s="168"/>
      <c r="MFH491" s="168"/>
      <c r="MFI491" s="168"/>
      <c r="MFJ491" s="168"/>
      <c r="MFK491" s="168"/>
      <c r="MFL491" s="168"/>
      <c r="MFM491" s="168"/>
      <c r="MFN491" s="168"/>
      <c r="MFO491" s="168"/>
      <c r="MFP491" s="168"/>
      <c r="MFQ491" s="168"/>
      <c r="MFR491" s="168"/>
      <c r="MFS491" s="168"/>
      <c r="MFT491" s="168"/>
      <c r="MFU491" s="168"/>
      <c r="MFV491" s="168"/>
      <c r="MFW491" s="168"/>
      <c r="MFX491" s="168"/>
      <c r="MFY491" s="168"/>
      <c r="MFZ491" s="168"/>
      <c r="MGA491" s="168"/>
      <c r="MGB491" s="168"/>
      <c r="MGC491" s="168"/>
      <c r="MGD491" s="168"/>
      <c r="MGE491" s="168"/>
      <c r="MGF491" s="168"/>
      <c r="MGG491" s="168"/>
      <c r="MGH491" s="168"/>
      <c r="MGI491" s="168"/>
      <c r="MGJ491" s="168"/>
      <c r="MGK491" s="168"/>
      <c r="MGL491" s="168"/>
      <c r="MGM491" s="168"/>
      <c r="MGN491" s="168"/>
      <c r="MGO491" s="168"/>
      <c r="MGP491" s="168"/>
      <c r="MGQ491" s="168"/>
      <c r="MGR491" s="168"/>
      <c r="MGS491" s="168"/>
      <c r="MGT491" s="168"/>
      <c r="MGU491" s="168"/>
      <c r="MGV491" s="168"/>
      <c r="MGW491" s="168"/>
      <c r="MGX491" s="168"/>
      <c r="MGY491" s="168"/>
      <c r="MGZ491" s="168"/>
      <c r="MHA491" s="168"/>
      <c r="MHB491" s="168"/>
      <c r="MHC491" s="168"/>
      <c r="MHD491" s="168"/>
      <c r="MHE491" s="168"/>
      <c r="MHF491" s="168"/>
      <c r="MHG491" s="168"/>
      <c r="MHH491" s="168"/>
      <c r="MHI491" s="168"/>
      <c r="MHJ491" s="168"/>
      <c r="MHK491" s="168"/>
      <c r="MHL491" s="168"/>
      <c r="MHM491" s="168"/>
      <c r="MHN491" s="168"/>
      <c r="MHO491" s="168"/>
      <c r="MHP491" s="168"/>
      <c r="MHQ491" s="168"/>
      <c r="MHR491" s="168"/>
      <c r="MHS491" s="168"/>
      <c r="MHT491" s="168"/>
      <c r="MHU491" s="168"/>
      <c r="MHV491" s="168"/>
      <c r="MHW491" s="168"/>
      <c r="MHX491" s="168"/>
      <c r="MHY491" s="168"/>
      <c r="MHZ491" s="168"/>
      <c r="MIA491" s="168"/>
      <c r="MIB491" s="168"/>
      <c r="MIC491" s="168"/>
      <c r="MID491" s="168"/>
      <c r="MIE491" s="168"/>
      <c r="MIF491" s="168"/>
      <c r="MIG491" s="168"/>
      <c r="MIH491" s="168"/>
      <c r="MII491" s="168"/>
      <c r="MIJ491" s="168"/>
      <c r="MIK491" s="168"/>
      <c r="MIL491" s="168"/>
      <c r="MIM491" s="168"/>
      <c r="MIN491" s="168"/>
      <c r="MIO491" s="168"/>
      <c r="MIP491" s="168"/>
      <c r="MIQ491" s="168"/>
      <c r="MIR491" s="168"/>
      <c r="MIS491" s="168"/>
      <c r="MIT491" s="168"/>
      <c r="MIU491" s="168"/>
      <c r="MIV491" s="168"/>
      <c r="MIW491" s="168"/>
      <c r="MIX491" s="168"/>
      <c r="MIY491" s="168"/>
      <c r="MIZ491" s="168"/>
      <c r="MJA491" s="168"/>
      <c r="MJB491" s="168"/>
      <c r="MJC491" s="168"/>
      <c r="MJD491" s="168"/>
      <c r="MJE491" s="168"/>
      <c r="MJF491" s="168"/>
      <c r="MJG491" s="168"/>
      <c r="MJH491" s="168"/>
      <c r="MJI491" s="168"/>
      <c r="MJJ491" s="168"/>
      <c r="MJK491" s="168"/>
      <c r="MJL491" s="168"/>
      <c r="MJM491" s="168"/>
      <c r="MJN491" s="168"/>
      <c r="MJO491" s="168"/>
      <c r="MJP491" s="168"/>
      <c r="MJQ491" s="168"/>
      <c r="MJR491" s="168"/>
      <c r="MJS491" s="168"/>
      <c r="MJT491" s="168"/>
      <c r="MJU491" s="168"/>
      <c r="MJV491" s="168"/>
      <c r="MJW491" s="168"/>
      <c r="MJX491" s="168"/>
      <c r="MJY491" s="168"/>
      <c r="MJZ491" s="168"/>
      <c r="MKA491" s="168"/>
      <c r="MKB491" s="168"/>
      <c r="MKC491" s="168"/>
      <c r="MKD491" s="168"/>
      <c r="MKE491" s="168"/>
      <c r="MKF491" s="168"/>
      <c r="MKG491" s="168"/>
      <c r="MKH491" s="168"/>
      <c r="MKI491" s="168"/>
      <c r="MKJ491" s="168"/>
      <c r="MKK491" s="168"/>
      <c r="MKL491" s="168"/>
      <c r="MKM491" s="168"/>
      <c r="MKN491" s="168"/>
      <c r="MKO491" s="168"/>
      <c r="MKP491" s="168"/>
      <c r="MKQ491" s="168"/>
      <c r="MKR491" s="168"/>
      <c r="MKS491" s="168"/>
      <c r="MKT491" s="168"/>
      <c r="MKU491" s="168"/>
      <c r="MKV491" s="168"/>
      <c r="MKW491" s="168"/>
      <c r="MKX491" s="168"/>
      <c r="MKY491" s="168"/>
      <c r="MKZ491" s="168"/>
      <c r="MLA491" s="168"/>
      <c r="MLB491" s="168"/>
      <c r="MLC491" s="168"/>
      <c r="MLD491" s="168"/>
      <c r="MLE491" s="168"/>
      <c r="MLF491" s="168"/>
      <c r="MLG491" s="168"/>
      <c r="MLH491" s="168"/>
      <c r="MLI491" s="168"/>
      <c r="MLJ491" s="168"/>
      <c r="MLK491" s="168"/>
      <c r="MLL491" s="168"/>
      <c r="MLM491" s="168"/>
      <c r="MLN491" s="168"/>
      <c r="MLO491" s="168"/>
      <c r="MLP491" s="168"/>
      <c r="MLQ491" s="168"/>
      <c r="MLR491" s="168"/>
      <c r="MLS491" s="168"/>
      <c r="MLT491" s="168"/>
      <c r="MLU491" s="168"/>
      <c r="MLV491" s="168"/>
      <c r="MLW491" s="168"/>
      <c r="MLX491" s="168"/>
      <c r="MLY491" s="168"/>
      <c r="MLZ491" s="168"/>
      <c r="MMA491" s="168"/>
      <c r="MMB491" s="168"/>
      <c r="MMC491" s="168"/>
      <c r="MMD491" s="168"/>
      <c r="MME491" s="168"/>
      <c r="MMF491" s="168"/>
      <c r="MMG491" s="168"/>
      <c r="MMH491" s="168"/>
      <c r="MMI491" s="168"/>
      <c r="MMJ491" s="168"/>
      <c r="MMK491" s="168"/>
      <c r="MML491" s="168"/>
      <c r="MMM491" s="168"/>
      <c r="MMN491" s="168"/>
      <c r="MMO491" s="168"/>
      <c r="MMP491" s="168"/>
      <c r="MMQ491" s="168"/>
      <c r="MMR491" s="168"/>
      <c r="MMS491" s="168"/>
      <c r="MMT491" s="168"/>
      <c r="MMU491" s="168"/>
      <c r="MMV491" s="168"/>
      <c r="MMW491" s="168"/>
      <c r="MMX491" s="168"/>
      <c r="MMY491" s="168"/>
      <c r="MMZ491" s="168"/>
      <c r="MNA491" s="168"/>
      <c r="MNB491" s="168"/>
      <c r="MNC491" s="168"/>
      <c r="MND491" s="168"/>
      <c r="MNE491" s="168"/>
      <c r="MNF491" s="168"/>
      <c r="MNG491" s="168"/>
      <c r="MNH491" s="168"/>
      <c r="MNI491" s="168"/>
      <c r="MNJ491" s="168"/>
      <c r="MNK491" s="168"/>
      <c r="MNL491" s="168"/>
      <c r="MNM491" s="168"/>
      <c r="MNN491" s="168"/>
      <c r="MNO491" s="168"/>
      <c r="MNP491" s="168"/>
      <c r="MNQ491" s="168"/>
      <c r="MNR491" s="168"/>
      <c r="MNS491" s="168"/>
      <c r="MNT491" s="168"/>
      <c r="MNU491" s="168"/>
      <c r="MNV491" s="168"/>
      <c r="MNW491" s="168"/>
      <c r="MNX491" s="168"/>
      <c r="MNY491" s="168"/>
      <c r="MNZ491" s="168"/>
      <c r="MOA491" s="168"/>
      <c r="MOB491" s="168"/>
      <c r="MOC491" s="168"/>
      <c r="MOD491" s="168"/>
      <c r="MOE491" s="168"/>
      <c r="MOF491" s="168"/>
      <c r="MOG491" s="168"/>
      <c r="MOH491" s="168"/>
      <c r="MOI491" s="168"/>
      <c r="MOJ491" s="168"/>
      <c r="MOK491" s="168"/>
      <c r="MOL491" s="168"/>
      <c r="MOM491" s="168"/>
      <c r="MON491" s="168"/>
      <c r="MOO491" s="168"/>
      <c r="MOP491" s="168"/>
      <c r="MOQ491" s="168"/>
      <c r="MOR491" s="168"/>
      <c r="MOS491" s="168"/>
      <c r="MOT491" s="168"/>
      <c r="MOU491" s="168"/>
      <c r="MOV491" s="168"/>
      <c r="MOW491" s="168"/>
      <c r="MOX491" s="168"/>
      <c r="MOY491" s="168"/>
      <c r="MOZ491" s="168"/>
      <c r="MPA491" s="168"/>
      <c r="MPB491" s="168"/>
      <c r="MPC491" s="168"/>
      <c r="MPD491" s="168"/>
      <c r="MPE491" s="168"/>
      <c r="MPF491" s="168"/>
      <c r="MPG491" s="168"/>
      <c r="MPH491" s="168"/>
      <c r="MPI491" s="168"/>
      <c r="MPJ491" s="168"/>
      <c r="MPK491" s="168"/>
      <c r="MPL491" s="168"/>
      <c r="MPM491" s="168"/>
      <c r="MPN491" s="168"/>
      <c r="MPO491" s="168"/>
      <c r="MPP491" s="168"/>
      <c r="MPQ491" s="168"/>
      <c r="MPR491" s="168"/>
      <c r="MPS491" s="168"/>
      <c r="MPT491" s="168"/>
      <c r="MPU491" s="168"/>
      <c r="MPV491" s="168"/>
      <c r="MPW491" s="168"/>
      <c r="MPX491" s="168"/>
      <c r="MPY491" s="168"/>
      <c r="MPZ491" s="168"/>
      <c r="MQA491" s="168"/>
      <c r="MQB491" s="168"/>
      <c r="MQC491" s="168"/>
      <c r="MQD491" s="168"/>
      <c r="MQE491" s="168"/>
      <c r="MQF491" s="168"/>
      <c r="MQG491" s="168"/>
      <c r="MQH491" s="168"/>
      <c r="MQI491" s="168"/>
      <c r="MQJ491" s="168"/>
      <c r="MQK491" s="168"/>
      <c r="MQL491" s="168"/>
      <c r="MQM491" s="168"/>
      <c r="MQN491" s="168"/>
      <c r="MQO491" s="168"/>
      <c r="MQP491" s="168"/>
      <c r="MQQ491" s="168"/>
      <c r="MQR491" s="168"/>
      <c r="MQS491" s="168"/>
      <c r="MQT491" s="168"/>
      <c r="MQU491" s="168"/>
      <c r="MQV491" s="168"/>
      <c r="MQW491" s="168"/>
      <c r="MQX491" s="168"/>
      <c r="MQY491" s="168"/>
      <c r="MQZ491" s="168"/>
      <c r="MRA491" s="168"/>
      <c r="MRB491" s="168"/>
      <c r="MRC491" s="168"/>
      <c r="MRD491" s="168"/>
      <c r="MRE491" s="168"/>
      <c r="MRF491" s="168"/>
      <c r="MRG491" s="168"/>
      <c r="MRH491" s="168"/>
      <c r="MRI491" s="168"/>
      <c r="MRJ491" s="168"/>
      <c r="MRK491" s="168"/>
      <c r="MRL491" s="168"/>
      <c r="MRM491" s="168"/>
      <c r="MRN491" s="168"/>
      <c r="MRO491" s="168"/>
      <c r="MRP491" s="168"/>
      <c r="MRQ491" s="168"/>
      <c r="MRR491" s="168"/>
      <c r="MRS491" s="168"/>
      <c r="MRT491" s="168"/>
      <c r="MRU491" s="168"/>
      <c r="MRV491" s="168"/>
      <c r="MRW491" s="168"/>
      <c r="MRX491" s="168"/>
      <c r="MRY491" s="168"/>
      <c r="MRZ491" s="168"/>
      <c r="MSA491" s="168"/>
      <c r="MSB491" s="168"/>
      <c r="MSC491" s="168"/>
      <c r="MSD491" s="168"/>
      <c r="MSE491" s="168"/>
      <c r="MSF491" s="168"/>
      <c r="MSG491" s="168"/>
      <c r="MSH491" s="168"/>
      <c r="MSI491" s="168"/>
      <c r="MSJ491" s="168"/>
      <c r="MSK491" s="168"/>
      <c r="MSL491" s="168"/>
      <c r="MSM491" s="168"/>
      <c r="MSN491" s="168"/>
      <c r="MSO491" s="168"/>
      <c r="MSP491" s="168"/>
      <c r="MSQ491" s="168"/>
      <c r="MSR491" s="168"/>
      <c r="MSS491" s="168"/>
      <c r="MST491" s="168"/>
      <c r="MSU491" s="168"/>
      <c r="MSV491" s="168"/>
      <c r="MSW491" s="168"/>
      <c r="MSX491" s="168"/>
      <c r="MSY491" s="168"/>
      <c r="MSZ491" s="168"/>
      <c r="MTA491" s="168"/>
      <c r="MTB491" s="168"/>
      <c r="MTC491" s="168"/>
      <c r="MTD491" s="168"/>
      <c r="MTE491" s="168"/>
      <c r="MTF491" s="168"/>
      <c r="MTG491" s="168"/>
      <c r="MTH491" s="168"/>
      <c r="MTI491" s="168"/>
      <c r="MTJ491" s="168"/>
      <c r="MTK491" s="168"/>
      <c r="MTL491" s="168"/>
      <c r="MTM491" s="168"/>
      <c r="MTN491" s="168"/>
      <c r="MTO491" s="168"/>
      <c r="MTP491" s="168"/>
      <c r="MTQ491" s="168"/>
      <c r="MTR491" s="168"/>
      <c r="MTS491" s="168"/>
      <c r="MTT491" s="168"/>
      <c r="MTU491" s="168"/>
      <c r="MTV491" s="168"/>
      <c r="MTW491" s="168"/>
      <c r="MTX491" s="168"/>
      <c r="MTY491" s="168"/>
      <c r="MTZ491" s="168"/>
      <c r="MUA491" s="168"/>
      <c r="MUB491" s="168"/>
      <c r="MUC491" s="168"/>
      <c r="MUD491" s="168"/>
      <c r="MUE491" s="168"/>
      <c r="MUF491" s="168"/>
      <c r="MUG491" s="168"/>
      <c r="MUH491" s="168"/>
      <c r="MUI491" s="168"/>
      <c r="MUJ491" s="168"/>
      <c r="MUK491" s="168"/>
      <c r="MUL491" s="168"/>
      <c r="MUM491" s="168"/>
      <c r="MUN491" s="168"/>
      <c r="MUO491" s="168"/>
      <c r="MUP491" s="168"/>
      <c r="MUQ491" s="168"/>
      <c r="MUR491" s="168"/>
      <c r="MUS491" s="168"/>
      <c r="MUT491" s="168"/>
      <c r="MUU491" s="168"/>
      <c r="MUV491" s="168"/>
      <c r="MUW491" s="168"/>
      <c r="MUX491" s="168"/>
      <c r="MUY491" s="168"/>
      <c r="MUZ491" s="168"/>
      <c r="MVA491" s="168"/>
      <c r="MVB491" s="168"/>
      <c r="MVC491" s="168"/>
      <c r="MVD491" s="168"/>
      <c r="MVE491" s="168"/>
      <c r="MVF491" s="168"/>
      <c r="MVG491" s="168"/>
      <c r="MVH491" s="168"/>
      <c r="MVI491" s="168"/>
      <c r="MVJ491" s="168"/>
      <c r="MVK491" s="168"/>
      <c r="MVL491" s="168"/>
      <c r="MVM491" s="168"/>
      <c r="MVN491" s="168"/>
      <c r="MVO491" s="168"/>
      <c r="MVP491" s="168"/>
      <c r="MVQ491" s="168"/>
      <c r="MVR491" s="168"/>
      <c r="MVS491" s="168"/>
      <c r="MVT491" s="168"/>
      <c r="MVU491" s="168"/>
      <c r="MVV491" s="168"/>
      <c r="MVW491" s="168"/>
      <c r="MVX491" s="168"/>
      <c r="MVY491" s="168"/>
      <c r="MVZ491" s="168"/>
      <c r="MWA491" s="168"/>
      <c r="MWB491" s="168"/>
      <c r="MWC491" s="168"/>
      <c r="MWD491" s="168"/>
      <c r="MWE491" s="168"/>
      <c r="MWF491" s="168"/>
      <c r="MWG491" s="168"/>
      <c r="MWH491" s="168"/>
      <c r="MWI491" s="168"/>
      <c r="MWJ491" s="168"/>
      <c r="MWK491" s="168"/>
      <c r="MWL491" s="168"/>
      <c r="MWM491" s="168"/>
      <c r="MWN491" s="168"/>
      <c r="MWO491" s="168"/>
      <c r="MWP491" s="168"/>
      <c r="MWQ491" s="168"/>
      <c r="MWR491" s="168"/>
      <c r="MWS491" s="168"/>
      <c r="MWT491" s="168"/>
      <c r="MWU491" s="168"/>
      <c r="MWV491" s="168"/>
      <c r="MWW491" s="168"/>
      <c r="MWX491" s="168"/>
      <c r="MWY491" s="168"/>
      <c r="MWZ491" s="168"/>
      <c r="MXA491" s="168"/>
      <c r="MXB491" s="168"/>
      <c r="MXC491" s="168"/>
      <c r="MXD491" s="168"/>
      <c r="MXE491" s="168"/>
      <c r="MXF491" s="168"/>
      <c r="MXG491" s="168"/>
      <c r="MXH491" s="168"/>
      <c r="MXI491" s="168"/>
      <c r="MXJ491" s="168"/>
      <c r="MXK491" s="168"/>
      <c r="MXL491" s="168"/>
      <c r="MXM491" s="168"/>
      <c r="MXN491" s="168"/>
      <c r="MXO491" s="168"/>
      <c r="MXP491" s="168"/>
      <c r="MXQ491" s="168"/>
      <c r="MXR491" s="168"/>
      <c r="MXS491" s="168"/>
      <c r="MXT491" s="168"/>
      <c r="MXU491" s="168"/>
      <c r="MXV491" s="168"/>
      <c r="MXW491" s="168"/>
      <c r="MXX491" s="168"/>
      <c r="MXY491" s="168"/>
      <c r="MXZ491" s="168"/>
      <c r="MYA491" s="168"/>
      <c r="MYB491" s="168"/>
      <c r="MYC491" s="168"/>
      <c r="MYD491" s="168"/>
      <c r="MYE491" s="168"/>
      <c r="MYF491" s="168"/>
      <c r="MYG491" s="168"/>
      <c r="MYH491" s="168"/>
      <c r="MYI491" s="168"/>
      <c r="MYJ491" s="168"/>
      <c r="MYK491" s="168"/>
      <c r="MYL491" s="168"/>
      <c r="MYM491" s="168"/>
      <c r="MYN491" s="168"/>
      <c r="MYO491" s="168"/>
      <c r="MYP491" s="168"/>
      <c r="MYQ491" s="168"/>
      <c r="MYR491" s="168"/>
      <c r="MYS491" s="168"/>
      <c r="MYT491" s="168"/>
      <c r="MYU491" s="168"/>
      <c r="MYV491" s="168"/>
      <c r="MYW491" s="168"/>
      <c r="MYX491" s="168"/>
      <c r="MYY491" s="168"/>
      <c r="MYZ491" s="168"/>
      <c r="MZA491" s="168"/>
      <c r="MZB491" s="168"/>
      <c r="MZC491" s="168"/>
      <c r="MZD491" s="168"/>
      <c r="MZE491" s="168"/>
      <c r="MZF491" s="168"/>
      <c r="MZG491" s="168"/>
      <c r="MZH491" s="168"/>
      <c r="MZI491" s="168"/>
      <c r="MZJ491" s="168"/>
      <c r="MZK491" s="168"/>
      <c r="MZL491" s="168"/>
      <c r="MZM491" s="168"/>
      <c r="MZN491" s="168"/>
      <c r="MZO491" s="168"/>
      <c r="MZP491" s="168"/>
      <c r="MZQ491" s="168"/>
      <c r="MZR491" s="168"/>
      <c r="MZS491" s="168"/>
      <c r="MZT491" s="168"/>
      <c r="MZU491" s="168"/>
      <c r="MZV491" s="168"/>
      <c r="MZW491" s="168"/>
      <c r="MZX491" s="168"/>
      <c r="MZY491" s="168"/>
      <c r="MZZ491" s="168"/>
      <c r="NAA491" s="168"/>
      <c r="NAB491" s="168"/>
      <c r="NAC491" s="168"/>
      <c r="NAD491" s="168"/>
      <c r="NAE491" s="168"/>
      <c r="NAF491" s="168"/>
      <c r="NAG491" s="168"/>
      <c r="NAH491" s="168"/>
      <c r="NAI491" s="168"/>
      <c r="NAJ491" s="168"/>
      <c r="NAK491" s="168"/>
      <c r="NAL491" s="168"/>
      <c r="NAM491" s="168"/>
      <c r="NAN491" s="168"/>
      <c r="NAO491" s="168"/>
      <c r="NAP491" s="168"/>
      <c r="NAQ491" s="168"/>
      <c r="NAR491" s="168"/>
      <c r="NAS491" s="168"/>
      <c r="NAT491" s="168"/>
      <c r="NAU491" s="168"/>
      <c r="NAV491" s="168"/>
      <c r="NAW491" s="168"/>
      <c r="NAX491" s="168"/>
      <c r="NAY491" s="168"/>
      <c r="NAZ491" s="168"/>
      <c r="NBA491" s="168"/>
      <c r="NBB491" s="168"/>
      <c r="NBC491" s="168"/>
      <c r="NBD491" s="168"/>
      <c r="NBE491" s="168"/>
      <c r="NBF491" s="168"/>
      <c r="NBG491" s="168"/>
      <c r="NBH491" s="168"/>
      <c r="NBI491" s="168"/>
      <c r="NBJ491" s="168"/>
      <c r="NBK491" s="168"/>
      <c r="NBL491" s="168"/>
      <c r="NBM491" s="168"/>
      <c r="NBN491" s="168"/>
      <c r="NBO491" s="168"/>
      <c r="NBP491" s="168"/>
      <c r="NBQ491" s="168"/>
      <c r="NBR491" s="168"/>
      <c r="NBS491" s="168"/>
      <c r="NBT491" s="168"/>
      <c r="NBU491" s="168"/>
      <c r="NBV491" s="168"/>
      <c r="NBW491" s="168"/>
      <c r="NBX491" s="168"/>
      <c r="NBY491" s="168"/>
      <c r="NBZ491" s="168"/>
      <c r="NCA491" s="168"/>
      <c r="NCB491" s="168"/>
      <c r="NCC491" s="168"/>
      <c r="NCD491" s="168"/>
      <c r="NCE491" s="168"/>
      <c r="NCF491" s="168"/>
      <c r="NCG491" s="168"/>
      <c r="NCH491" s="168"/>
      <c r="NCI491" s="168"/>
      <c r="NCJ491" s="168"/>
      <c r="NCK491" s="168"/>
      <c r="NCL491" s="168"/>
      <c r="NCM491" s="168"/>
      <c r="NCN491" s="168"/>
      <c r="NCO491" s="168"/>
      <c r="NCP491" s="168"/>
      <c r="NCQ491" s="168"/>
      <c r="NCR491" s="168"/>
      <c r="NCS491" s="168"/>
      <c r="NCT491" s="168"/>
      <c r="NCU491" s="168"/>
      <c r="NCV491" s="168"/>
      <c r="NCW491" s="168"/>
      <c r="NCX491" s="168"/>
      <c r="NCY491" s="168"/>
      <c r="NCZ491" s="168"/>
      <c r="NDA491" s="168"/>
      <c r="NDB491" s="168"/>
      <c r="NDC491" s="168"/>
      <c r="NDD491" s="168"/>
      <c r="NDE491" s="168"/>
      <c r="NDF491" s="168"/>
      <c r="NDG491" s="168"/>
      <c r="NDH491" s="168"/>
      <c r="NDI491" s="168"/>
      <c r="NDJ491" s="168"/>
      <c r="NDK491" s="168"/>
      <c r="NDL491" s="168"/>
      <c r="NDM491" s="168"/>
      <c r="NDN491" s="168"/>
      <c r="NDO491" s="168"/>
      <c r="NDP491" s="168"/>
      <c r="NDQ491" s="168"/>
      <c r="NDR491" s="168"/>
      <c r="NDS491" s="168"/>
      <c r="NDT491" s="168"/>
      <c r="NDU491" s="168"/>
      <c r="NDV491" s="168"/>
      <c r="NDW491" s="168"/>
      <c r="NDX491" s="168"/>
      <c r="NDY491" s="168"/>
      <c r="NDZ491" s="168"/>
      <c r="NEA491" s="168"/>
      <c r="NEB491" s="168"/>
      <c r="NEC491" s="168"/>
      <c r="NED491" s="168"/>
      <c r="NEE491" s="168"/>
      <c r="NEF491" s="168"/>
      <c r="NEG491" s="168"/>
      <c r="NEH491" s="168"/>
      <c r="NEI491" s="168"/>
      <c r="NEJ491" s="168"/>
      <c r="NEK491" s="168"/>
      <c r="NEL491" s="168"/>
      <c r="NEM491" s="168"/>
      <c r="NEN491" s="168"/>
      <c r="NEO491" s="168"/>
      <c r="NEP491" s="168"/>
      <c r="NEQ491" s="168"/>
      <c r="NER491" s="168"/>
      <c r="NES491" s="168"/>
      <c r="NET491" s="168"/>
      <c r="NEU491" s="168"/>
      <c r="NEV491" s="168"/>
      <c r="NEW491" s="168"/>
      <c r="NEX491" s="168"/>
      <c r="NEY491" s="168"/>
      <c r="NEZ491" s="168"/>
      <c r="NFA491" s="168"/>
      <c r="NFB491" s="168"/>
      <c r="NFC491" s="168"/>
      <c r="NFD491" s="168"/>
      <c r="NFE491" s="168"/>
      <c r="NFF491" s="168"/>
      <c r="NFG491" s="168"/>
      <c r="NFH491" s="168"/>
      <c r="NFI491" s="168"/>
      <c r="NFJ491" s="168"/>
      <c r="NFK491" s="168"/>
      <c r="NFL491" s="168"/>
      <c r="NFM491" s="168"/>
      <c r="NFN491" s="168"/>
      <c r="NFO491" s="168"/>
      <c r="NFP491" s="168"/>
      <c r="NFQ491" s="168"/>
      <c r="NFR491" s="168"/>
      <c r="NFS491" s="168"/>
      <c r="NFT491" s="168"/>
      <c r="NFU491" s="168"/>
      <c r="NFV491" s="168"/>
      <c r="NFW491" s="168"/>
      <c r="NFX491" s="168"/>
      <c r="NFY491" s="168"/>
      <c r="NFZ491" s="168"/>
      <c r="NGA491" s="168"/>
      <c r="NGB491" s="168"/>
      <c r="NGC491" s="168"/>
      <c r="NGD491" s="168"/>
      <c r="NGE491" s="168"/>
      <c r="NGF491" s="168"/>
      <c r="NGG491" s="168"/>
      <c r="NGH491" s="168"/>
      <c r="NGI491" s="168"/>
      <c r="NGJ491" s="168"/>
      <c r="NGK491" s="168"/>
      <c r="NGL491" s="168"/>
      <c r="NGM491" s="168"/>
      <c r="NGN491" s="168"/>
      <c r="NGO491" s="168"/>
      <c r="NGP491" s="168"/>
      <c r="NGQ491" s="168"/>
      <c r="NGR491" s="168"/>
      <c r="NGS491" s="168"/>
      <c r="NGT491" s="168"/>
      <c r="NGU491" s="168"/>
      <c r="NGV491" s="168"/>
      <c r="NGW491" s="168"/>
      <c r="NGX491" s="168"/>
      <c r="NGY491" s="168"/>
      <c r="NGZ491" s="168"/>
      <c r="NHA491" s="168"/>
      <c r="NHB491" s="168"/>
      <c r="NHC491" s="168"/>
      <c r="NHD491" s="168"/>
      <c r="NHE491" s="168"/>
      <c r="NHF491" s="168"/>
      <c r="NHG491" s="168"/>
      <c r="NHH491" s="168"/>
      <c r="NHI491" s="168"/>
      <c r="NHJ491" s="168"/>
      <c r="NHK491" s="168"/>
      <c r="NHL491" s="168"/>
      <c r="NHM491" s="168"/>
      <c r="NHN491" s="168"/>
      <c r="NHO491" s="168"/>
      <c r="NHP491" s="168"/>
      <c r="NHQ491" s="168"/>
      <c r="NHR491" s="168"/>
      <c r="NHS491" s="168"/>
      <c r="NHT491" s="168"/>
      <c r="NHU491" s="168"/>
      <c r="NHV491" s="168"/>
      <c r="NHW491" s="168"/>
      <c r="NHX491" s="168"/>
      <c r="NHY491" s="168"/>
      <c r="NHZ491" s="168"/>
      <c r="NIA491" s="168"/>
      <c r="NIB491" s="168"/>
      <c r="NIC491" s="168"/>
      <c r="NID491" s="168"/>
      <c r="NIE491" s="168"/>
      <c r="NIF491" s="168"/>
      <c r="NIG491" s="168"/>
      <c r="NIH491" s="168"/>
      <c r="NII491" s="168"/>
      <c r="NIJ491" s="168"/>
      <c r="NIK491" s="168"/>
      <c r="NIL491" s="168"/>
      <c r="NIM491" s="168"/>
      <c r="NIN491" s="168"/>
      <c r="NIO491" s="168"/>
      <c r="NIP491" s="168"/>
      <c r="NIQ491" s="168"/>
      <c r="NIR491" s="168"/>
      <c r="NIS491" s="168"/>
      <c r="NIT491" s="168"/>
      <c r="NIU491" s="168"/>
      <c r="NIV491" s="168"/>
      <c r="NIW491" s="168"/>
      <c r="NIX491" s="168"/>
      <c r="NIY491" s="168"/>
      <c r="NIZ491" s="168"/>
      <c r="NJA491" s="168"/>
      <c r="NJB491" s="168"/>
      <c r="NJC491" s="168"/>
      <c r="NJD491" s="168"/>
      <c r="NJE491" s="168"/>
      <c r="NJF491" s="168"/>
      <c r="NJG491" s="168"/>
      <c r="NJH491" s="168"/>
      <c r="NJI491" s="168"/>
      <c r="NJJ491" s="168"/>
      <c r="NJK491" s="168"/>
      <c r="NJL491" s="168"/>
      <c r="NJM491" s="168"/>
      <c r="NJN491" s="168"/>
      <c r="NJO491" s="168"/>
      <c r="NJP491" s="168"/>
      <c r="NJQ491" s="168"/>
      <c r="NJR491" s="168"/>
      <c r="NJS491" s="168"/>
      <c r="NJT491" s="168"/>
      <c r="NJU491" s="168"/>
      <c r="NJV491" s="168"/>
      <c r="NJW491" s="168"/>
      <c r="NJX491" s="168"/>
      <c r="NJY491" s="168"/>
      <c r="NJZ491" s="168"/>
      <c r="NKA491" s="168"/>
      <c r="NKB491" s="168"/>
      <c r="NKC491" s="168"/>
      <c r="NKD491" s="168"/>
      <c r="NKE491" s="168"/>
      <c r="NKF491" s="168"/>
      <c r="NKG491" s="168"/>
      <c r="NKH491" s="168"/>
      <c r="NKI491" s="168"/>
      <c r="NKJ491" s="168"/>
      <c r="NKK491" s="168"/>
      <c r="NKL491" s="168"/>
      <c r="NKM491" s="168"/>
      <c r="NKN491" s="168"/>
      <c r="NKO491" s="168"/>
      <c r="NKP491" s="168"/>
      <c r="NKQ491" s="168"/>
      <c r="NKR491" s="168"/>
      <c r="NKS491" s="168"/>
      <c r="NKT491" s="168"/>
      <c r="NKU491" s="168"/>
      <c r="NKV491" s="168"/>
      <c r="NKW491" s="168"/>
      <c r="NKX491" s="168"/>
      <c r="NKY491" s="168"/>
      <c r="NKZ491" s="168"/>
      <c r="NLA491" s="168"/>
      <c r="NLB491" s="168"/>
      <c r="NLC491" s="168"/>
      <c r="NLD491" s="168"/>
      <c r="NLE491" s="168"/>
      <c r="NLF491" s="168"/>
      <c r="NLG491" s="168"/>
      <c r="NLH491" s="168"/>
      <c r="NLI491" s="168"/>
      <c r="NLJ491" s="168"/>
      <c r="NLK491" s="168"/>
      <c r="NLL491" s="168"/>
      <c r="NLM491" s="168"/>
      <c r="NLN491" s="168"/>
      <c r="NLO491" s="168"/>
      <c r="NLP491" s="168"/>
      <c r="NLQ491" s="168"/>
      <c r="NLR491" s="168"/>
      <c r="NLS491" s="168"/>
      <c r="NLT491" s="168"/>
      <c r="NLU491" s="168"/>
      <c r="NLV491" s="168"/>
      <c r="NLW491" s="168"/>
      <c r="NLX491" s="168"/>
      <c r="NLY491" s="168"/>
      <c r="NLZ491" s="168"/>
      <c r="NMA491" s="168"/>
      <c r="NMB491" s="168"/>
      <c r="NMC491" s="168"/>
      <c r="NMD491" s="168"/>
      <c r="NME491" s="168"/>
      <c r="NMF491" s="168"/>
      <c r="NMG491" s="168"/>
      <c r="NMH491" s="168"/>
      <c r="NMI491" s="168"/>
      <c r="NMJ491" s="168"/>
      <c r="NMK491" s="168"/>
      <c r="NML491" s="168"/>
      <c r="NMM491" s="168"/>
      <c r="NMN491" s="168"/>
      <c r="NMO491" s="168"/>
      <c r="NMP491" s="168"/>
      <c r="NMQ491" s="168"/>
      <c r="NMR491" s="168"/>
      <c r="NMS491" s="168"/>
      <c r="NMT491" s="168"/>
      <c r="NMU491" s="168"/>
      <c r="NMV491" s="168"/>
      <c r="NMW491" s="168"/>
      <c r="NMX491" s="168"/>
      <c r="NMY491" s="168"/>
      <c r="NMZ491" s="168"/>
      <c r="NNA491" s="168"/>
      <c r="NNB491" s="168"/>
      <c r="NNC491" s="168"/>
      <c r="NND491" s="168"/>
      <c r="NNE491" s="168"/>
      <c r="NNF491" s="168"/>
      <c r="NNG491" s="168"/>
      <c r="NNH491" s="168"/>
      <c r="NNI491" s="168"/>
      <c r="NNJ491" s="168"/>
      <c r="NNK491" s="168"/>
      <c r="NNL491" s="168"/>
      <c r="NNM491" s="168"/>
      <c r="NNN491" s="168"/>
      <c r="NNO491" s="168"/>
      <c r="NNP491" s="168"/>
      <c r="NNQ491" s="168"/>
      <c r="NNR491" s="168"/>
      <c r="NNS491" s="168"/>
      <c r="NNT491" s="168"/>
      <c r="NNU491" s="168"/>
      <c r="NNV491" s="168"/>
      <c r="NNW491" s="168"/>
      <c r="NNX491" s="168"/>
      <c r="NNY491" s="168"/>
      <c r="NNZ491" s="168"/>
      <c r="NOA491" s="168"/>
      <c r="NOB491" s="168"/>
      <c r="NOC491" s="168"/>
      <c r="NOD491" s="168"/>
      <c r="NOE491" s="168"/>
      <c r="NOF491" s="168"/>
      <c r="NOG491" s="168"/>
      <c r="NOH491" s="168"/>
      <c r="NOI491" s="168"/>
      <c r="NOJ491" s="168"/>
      <c r="NOK491" s="168"/>
      <c r="NOL491" s="168"/>
      <c r="NOM491" s="168"/>
      <c r="NON491" s="168"/>
      <c r="NOO491" s="168"/>
      <c r="NOP491" s="168"/>
      <c r="NOQ491" s="168"/>
      <c r="NOR491" s="168"/>
      <c r="NOS491" s="168"/>
      <c r="NOT491" s="168"/>
      <c r="NOU491" s="168"/>
      <c r="NOV491" s="168"/>
      <c r="NOW491" s="168"/>
      <c r="NOX491" s="168"/>
      <c r="NOY491" s="168"/>
      <c r="NOZ491" s="168"/>
      <c r="NPA491" s="168"/>
      <c r="NPB491" s="168"/>
      <c r="NPC491" s="168"/>
      <c r="NPD491" s="168"/>
      <c r="NPE491" s="168"/>
      <c r="NPF491" s="168"/>
      <c r="NPG491" s="168"/>
      <c r="NPH491" s="168"/>
      <c r="NPI491" s="168"/>
      <c r="NPJ491" s="168"/>
      <c r="NPK491" s="168"/>
      <c r="NPL491" s="168"/>
      <c r="NPM491" s="168"/>
      <c r="NPN491" s="168"/>
      <c r="NPO491" s="168"/>
      <c r="NPP491" s="168"/>
      <c r="NPQ491" s="168"/>
      <c r="NPR491" s="168"/>
      <c r="NPS491" s="168"/>
      <c r="NPT491" s="168"/>
      <c r="NPU491" s="168"/>
      <c r="NPV491" s="168"/>
      <c r="NPW491" s="168"/>
      <c r="NPX491" s="168"/>
      <c r="NPY491" s="168"/>
      <c r="NPZ491" s="168"/>
      <c r="NQA491" s="168"/>
      <c r="NQB491" s="168"/>
      <c r="NQC491" s="168"/>
      <c r="NQD491" s="168"/>
      <c r="NQE491" s="168"/>
      <c r="NQF491" s="168"/>
      <c r="NQG491" s="168"/>
      <c r="NQH491" s="168"/>
      <c r="NQI491" s="168"/>
      <c r="NQJ491" s="168"/>
      <c r="NQK491" s="168"/>
      <c r="NQL491" s="168"/>
      <c r="NQM491" s="168"/>
      <c r="NQN491" s="168"/>
      <c r="NQO491" s="168"/>
      <c r="NQP491" s="168"/>
      <c r="NQQ491" s="168"/>
      <c r="NQR491" s="168"/>
      <c r="NQS491" s="168"/>
      <c r="NQT491" s="168"/>
      <c r="NQU491" s="168"/>
      <c r="NQV491" s="168"/>
      <c r="NQW491" s="168"/>
      <c r="NQX491" s="168"/>
      <c r="NQY491" s="168"/>
      <c r="NQZ491" s="168"/>
      <c r="NRA491" s="168"/>
      <c r="NRB491" s="168"/>
      <c r="NRC491" s="168"/>
      <c r="NRD491" s="168"/>
      <c r="NRE491" s="168"/>
      <c r="NRF491" s="168"/>
      <c r="NRG491" s="168"/>
      <c r="NRH491" s="168"/>
      <c r="NRI491" s="168"/>
      <c r="NRJ491" s="168"/>
      <c r="NRK491" s="168"/>
      <c r="NRL491" s="168"/>
      <c r="NRM491" s="168"/>
      <c r="NRN491" s="168"/>
      <c r="NRO491" s="168"/>
      <c r="NRP491" s="168"/>
      <c r="NRQ491" s="168"/>
      <c r="NRR491" s="168"/>
      <c r="NRS491" s="168"/>
      <c r="NRT491" s="168"/>
      <c r="NRU491" s="168"/>
      <c r="NRV491" s="168"/>
      <c r="NRW491" s="168"/>
      <c r="NRX491" s="168"/>
      <c r="NRY491" s="168"/>
      <c r="NRZ491" s="168"/>
      <c r="NSA491" s="168"/>
      <c r="NSB491" s="168"/>
      <c r="NSC491" s="168"/>
      <c r="NSD491" s="168"/>
      <c r="NSE491" s="168"/>
      <c r="NSF491" s="168"/>
      <c r="NSG491" s="168"/>
      <c r="NSH491" s="168"/>
      <c r="NSI491" s="168"/>
      <c r="NSJ491" s="168"/>
      <c r="NSK491" s="168"/>
      <c r="NSL491" s="168"/>
      <c r="NSM491" s="168"/>
      <c r="NSN491" s="168"/>
      <c r="NSO491" s="168"/>
      <c r="NSP491" s="168"/>
      <c r="NSQ491" s="168"/>
      <c r="NSR491" s="168"/>
      <c r="NSS491" s="168"/>
      <c r="NST491" s="168"/>
      <c r="NSU491" s="168"/>
      <c r="NSV491" s="168"/>
      <c r="NSW491" s="168"/>
      <c r="NSX491" s="168"/>
      <c r="NSY491" s="168"/>
      <c r="NSZ491" s="168"/>
      <c r="NTA491" s="168"/>
      <c r="NTB491" s="168"/>
      <c r="NTC491" s="168"/>
      <c r="NTD491" s="168"/>
      <c r="NTE491" s="168"/>
      <c r="NTF491" s="168"/>
      <c r="NTG491" s="168"/>
      <c r="NTH491" s="168"/>
      <c r="NTI491" s="168"/>
      <c r="NTJ491" s="168"/>
      <c r="NTK491" s="168"/>
      <c r="NTL491" s="168"/>
      <c r="NTM491" s="168"/>
      <c r="NTN491" s="168"/>
      <c r="NTO491" s="168"/>
      <c r="NTP491" s="168"/>
      <c r="NTQ491" s="168"/>
      <c r="NTR491" s="168"/>
      <c r="NTS491" s="168"/>
      <c r="NTT491" s="168"/>
      <c r="NTU491" s="168"/>
      <c r="NTV491" s="168"/>
      <c r="NTW491" s="168"/>
      <c r="NTX491" s="168"/>
      <c r="NTY491" s="168"/>
      <c r="NTZ491" s="168"/>
      <c r="NUA491" s="168"/>
      <c r="NUB491" s="168"/>
      <c r="NUC491" s="168"/>
      <c r="NUD491" s="168"/>
      <c r="NUE491" s="168"/>
      <c r="NUF491" s="168"/>
      <c r="NUG491" s="168"/>
      <c r="NUH491" s="168"/>
      <c r="NUI491" s="168"/>
      <c r="NUJ491" s="168"/>
      <c r="NUK491" s="168"/>
      <c r="NUL491" s="168"/>
      <c r="NUM491" s="168"/>
      <c r="NUN491" s="168"/>
      <c r="NUO491" s="168"/>
      <c r="NUP491" s="168"/>
      <c r="NUQ491" s="168"/>
      <c r="NUR491" s="168"/>
      <c r="NUS491" s="168"/>
      <c r="NUT491" s="168"/>
      <c r="NUU491" s="168"/>
      <c r="NUV491" s="168"/>
      <c r="NUW491" s="168"/>
      <c r="NUX491" s="168"/>
      <c r="NUY491" s="168"/>
      <c r="NUZ491" s="168"/>
      <c r="NVA491" s="168"/>
      <c r="NVB491" s="168"/>
      <c r="NVC491" s="168"/>
      <c r="NVD491" s="168"/>
      <c r="NVE491" s="168"/>
      <c r="NVF491" s="168"/>
      <c r="NVG491" s="168"/>
      <c r="NVH491" s="168"/>
      <c r="NVI491" s="168"/>
      <c r="NVJ491" s="168"/>
      <c r="NVK491" s="168"/>
      <c r="NVL491" s="168"/>
      <c r="NVM491" s="168"/>
      <c r="NVN491" s="168"/>
      <c r="NVO491" s="168"/>
      <c r="NVP491" s="168"/>
      <c r="NVQ491" s="168"/>
      <c r="NVR491" s="168"/>
      <c r="NVS491" s="168"/>
      <c r="NVT491" s="168"/>
      <c r="NVU491" s="168"/>
      <c r="NVV491" s="168"/>
      <c r="NVW491" s="168"/>
      <c r="NVX491" s="168"/>
      <c r="NVY491" s="168"/>
      <c r="NVZ491" s="168"/>
      <c r="NWA491" s="168"/>
      <c r="NWB491" s="168"/>
      <c r="NWC491" s="168"/>
      <c r="NWD491" s="168"/>
      <c r="NWE491" s="168"/>
      <c r="NWF491" s="168"/>
      <c r="NWG491" s="168"/>
      <c r="NWH491" s="168"/>
      <c r="NWI491" s="168"/>
      <c r="NWJ491" s="168"/>
      <c r="NWK491" s="168"/>
      <c r="NWL491" s="168"/>
      <c r="NWM491" s="168"/>
      <c r="NWN491" s="168"/>
      <c r="NWO491" s="168"/>
      <c r="NWP491" s="168"/>
      <c r="NWQ491" s="168"/>
      <c r="NWR491" s="168"/>
      <c r="NWS491" s="168"/>
      <c r="NWT491" s="168"/>
      <c r="NWU491" s="168"/>
      <c r="NWV491" s="168"/>
      <c r="NWW491" s="168"/>
      <c r="NWX491" s="168"/>
      <c r="NWY491" s="168"/>
      <c r="NWZ491" s="168"/>
      <c r="NXA491" s="168"/>
      <c r="NXB491" s="168"/>
      <c r="NXC491" s="168"/>
      <c r="NXD491" s="168"/>
      <c r="NXE491" s="168"/>
      <c r="NXF491" s="168"/>
      <c r="NXG491" s="168"/>
      <c r="NXH491" s="168"/>
      <c r="NXI491" s="168"/>
      <c r="NXJ491" s="168"/>
      <c r="NXK491" s="168"/>
      <c r="NXL491" s="168"/>
      <c r="NXM491" s="168"/>
      <c r="NXN491" s="168"/>
      <c r="NXO491" s="168"/>
      <c r="NXP491" s="168"/>
      <c r="NXQ491" s="168"/>
      <c r="NXR491" s="168"/>
      <c r="NXS491" s="168"/>
      <c r="NXT491" s="168"/>
      <c r="NXU491" s="168"/>
      <c r="NXV491" s="168"/>
      <c r="NXW491" s="168"/>
      <c r="NXX491" s="168"/>
      <c r="NXY491" s="168"/>
      <c r="NXZ491" s="168"/>
      <c r="NYA491" s="168"/>
      <c r="NYB491" s="168"/>
      <c r="NYC491" s="168"/>
      <c r="NYD491" s="168"/>
      <c r="NYE491" s="168"/>
      <c r="NYF491" s="168"/>
      <c r="NYG491" s="168"/>
      <c r="NYH491" s="168"/>
      <c r="NYI491" s="168"/>
      <c r="NYJ491" s="168"/>
      <c r="NYK491" s="168"/>
      <c r="NYL491" s="168"/>
      <c r="NYM491" s="168"/>
      <c r="NYN491" s="168"/>
      <c r="NYO491" s="168"/>
      <c r="NYP491" s="168"/>
      <c r="NYQ491" s="168"/>
      <c r="NYR491" s="168"/>
      <c r="NYS491" s="168"/>
      <c r="NYT491" s="168"/>
      <c r="NYU491" s="168"/>
      <c r="NYV491" s="168"/>
      <c r="NYW491" s="168"/>
      <c r="NYX491" s="168"/>
      <c r="NYY491" s="168"/>
      <c r="NYZ491" s="168"/>
      <c r="NZA491" s="168"/>
      <c r="NZB491" s="168"/>
      <c r="NZC491" s="168"/>
      <c r="NZD491" s="168"/>
      <c r="NZE491" s="168"/>
      <c r="NZF491" s="168"/>
      <c r="NZG491" s="168"/>
      <c r="NZH491" s="168"/>
      <c r="NZI491" s="168"/>
      <c r="NZJ491" s="168"/>
      <c r="NZK491" s="168"/>
      <c r="NZL491" s="168"/>
      <c r="NZM491" s="168"/>
      <c r="NZN491" s="168"/>
      <c r="NZO491" s="168"/>
      <c r="NZP491" s="168"/>
      <c r="NZQ491" s="168"/>
      <c r="NZR491" s="168"/>
      <c r="NZS491" s="168"/>
      <c r="NZT491" s="168"/>
      <c r="NZU491" s="168"/>
      <c r="NZV491" s="168"/>
      <c r="NZW491" s="168"/>
      <c r="NZX491" s="168"/>
      <c r="NZY491" s="168"/>
      <c r="NZZ491" s="168"/>
      <c r="OAA491" s="168"/>
      <c r="OAB491" s="168"/>
      <c r="OAC491" s="168"/>
      <c r="OAD491" s="168"/>
      <c r="OAE491" s="168"/>
      <c r="OAF491" s="168"/>
      <c r="OAG491" s="168"/>
      <c r="OAH491" s="168"/>
      <c r="OAI491" s="168"/>
      <c r="OAJ491" s="168"/>
      <c r="OAK491" s="168"/>
      <c r="OAL491" s="168"/>
      <c r="OAM491" s="168"/>
      <c r="OAN491" s="168"/>
      <c r="OAO491" s="168"/>
      <c r="OAP491" s="168"/>
      <c r="OAQ491" s="168"/>
      <c r="OAR491" s="168"/>
      <c r="OAS491" s="168"/>
      <c r="OAT491" s="168"/>
      <c r="OAU491" s="168"/>
      <c r="OAV491" s="168"/>
      <c r="OAW491" s="168"/>
      <c r="OAX491" s="168"/>
      <c r="OAY491" s="168"/>
      <c r="OAZ491" s="168"/>
      <c r="OBA491" s="168"/>
      <c r="OBB491" s="168"/>
      <c r="OBC491" s="168"/>
      <c r="OBD491" s="168"/>
      <c r="OBE491" s="168"/>
      <c r="OBF491" s="168"/>
      <c r="OBG491" s="168"/>
      <c r="OBH491" s="168"/>
      <c r="OBI491" s="168"/>
      <c r="OBJ491" s="168"/>
      <c r="OBK491" s="168"/>
      <c r="OBL491" s="168"/>
      <c r="OBM491" s="168"/>
      <c r="OBN491" s="168"/>
      <c r="OBO491" s="168"/>
      <c r="OBP491" s="168"/>
      <c r="OBQ491" s="168"/>
      <c r="OBR491" s="168"/>
      <c r="OBS491" s="168"/>
      <c r="OBT491" s="168"/>
      <c r="OBU491" s="168"/>
      <c r="OBV491" s="168"/>
      <c r="OBW491" s="168"/>
      <c r="OBX491" s="168"/>
      <c r="OBY491" s="168"/>
      <c r="OBZ491" s="168"/>
      <c r="OCA491" s="168"/>
      <c r="OCB491" s="168"/>
      <c r="OCC491" s="168"/>
      <c r="OCD491" s="168"/>
      <c r="OCE491" s="168"/>
      <c r="OCF491" s="168"/>
      <c r="OCG491" s="168"/>
      <c r="OCH491" s="168"/>
      <c r="OCI491" s="168"/>
      <c r="OCJ491" s="168"/>
      <c r="OCK491" s="168"/>
      <c r="OCL491" s="168"/>
      <c r="OCM491" s="168"/>
      <c r="OCN491" s="168"/>
      <c r="OCO491" s="168"/>
      <c r="OCP491" s="168"/>
      <c r="OCQ491" s="168"/>
      <c r="OCR491" s="168"/>
      <c r="OCS491" s="168"/>
      <c r="OCT491" s="168"/>
      <c r="OCU491" s="168"/>
      <c r="OCV491" s="168"/>
      <c r="OCW491" s="168"/>
      <c r="OCX491" s="168"/>
      <c r="OCY491" s="168"/>
      <c r="OCZ491" s="168"/>
      <c r="ODA491" s="168"/>
      <c r="ODB491" s="168"/>
      <c r="ODC491" s="168"/>
      <c r="ODD491" s="168"/>
      <c r="ODE491" s="168"/>
      <c r="ODF491" s="168"/>
      <c r="ODG491" s="168"/>
      <c r="ODH491" s="168"/>
      <c r="ODI491" s="168"/>
      <c r="ODJ491" s="168"/>
      <c r="ODK491" s="168"/>
      <c r="ODL491" s="168"/>
      <c r="ODM491" s="168"/>
      <c r="ODN491" s="168"/>
      <c r="ODO491" s="168"/>
      <c r="ODP491" s="168"/>
      <c r="ODQ491" s="168"/>
      <c r="ODR491" s="168"/>
      <c r="ODS491" s="168"/>
      <c r="ODT491" s="168"/>
      <c r="ODU491" s="168"/>
      <c r="ODV491" s="168"/>
      <c r="ODW491" s="168"/>
      <c r="ODX491" s="168"/>
      <c r="ODY491" s="168"/>
      <c r="ODZ491" s="168"/>
      <c r="OEA491" s="168"/>
      <c r="OEB491" s="168"/>
      <c r="OEC491" s="168"/>
      <c r="OED491" s="168"/>
      <c r="OEE491" s="168"/>
      <c r="OEF491" s="168"/>
      <c r="OEG491" s="168"/>
      <c r="OEH491" s="168"/>
      <c r="OEI491" s="168"/>
      <c r="OEJ491" s="168"/>
      <c r="OEK491" s="168"/>
      <c r="OEL491" s="168"/>
      <c r="OEM491" s="168"/>
      <c r="OEN491" s="168"/>
      <c r="OEO491" s="168"/>
      <c r="OEP491" s="168"/>
      <c r="OEQ491" s="168"/>
      <c r="OER491" s="168"/>
      <c r="OES491" s="168"/>
      <c r="OET491" s="168"/>
      <c r="OEU491" s="168"/>
      <c r="OEV491" s="168"/>
      <c r="OEW491" s="168"/>
      <c r="OEX491" s="168"/>
      <c r="OEY491" s="168"/>
      <c r="OEZ491" s="168"/>
      <c r="OFA491" s="168"/>
      <c r="OFB491" s="168"/>
      <c r="OFC491" s="168"/>
      <c r="OFD491" s="168"/>
      <c r="OFE491" s="168"/>
      <c r="OFF491" s="168"/>
      <c r="OFG491" s="168"/>
      <c r="OFH491" s="168"/>
      <c r="OFI491" s="168"/>
      <c r="OFJ491" s="168"/>
      <c r="OFK491" s="168"/>
      <c r="OFL491" s="168"/>
      <c r="OFM491" s="168"/>
      <c r="OFN491" s="168"/>
      <c r="OFO491" s="168"/>
      <c r="OFP491" s="168"/>
      <c r="OFQ491" s="168"/>
      <c r="OFR491" s="168"/>
      <c r="OFS491" s="168"/>
      <c r="OFT491" s="168"/>
      <c r="OFU491" s="168"/>
      <c r="OFV491" s="168"/>
      <c r="OFW491" s="168"/>
      <c r="OFX491" s="168"/>
      <c r="OFY491" s="168"/>
      <c r="OFZ491" s="168"/>
      <c r="OGA491" s="168"/>
      <c r="OGB491" s="168"/>
      <c r="OGC491" s="168"/>
      <c r="OGD491" s="168"/>
      <c r="OGE491" s="168"/>
      <c r="OGF491" s="168"/>
      <c r="OGG491" s="168"/>
      <c r="OGH491" s="168"/>
      <c r="OGI491" s="168"/>
      <c r="OGJ491" s="168"/>
      <c r="OGK491" s="168"/>
      <c r="OGL491" s="168"/>
      <c r="OGM491" s="168"/>
      <c r="OGN491" s="168"/>
      <c r="OGO491" s="168"/>
      <c r="OGP491" s="168"/>
      <c r="OGQ491" s="168"/>
      <c r="OGR491" s="168"/>
      <c r="OGS491" s="168"/>
      <c r="OGT491" s="168"/>
      <c r="OGU491" s="168"/>
      <c r="OGV491" s="168"/>
      <c r="OGW491" s="168"/>
      <c r="OGX491" s="168"/>
      <c r="OGY491" s="168"/>
      <c r="OGZ491" s="168"/>
      <c r="OHA491" s="168"/>
      <c r="OHB491" s="168"/>
      <c r="OHC491" s="168"/>
      <c r="OHD491" s="168"/>
      <c r="OHE491" s="168"/>
      <c r="OHF491" s="168"/>
      <c r="OHG491" s="168"/>
      <c r="OHH491" s="168"/>
      <c r="OHI491" s="168"/>
      <c r="OHJ491" s="168"/>
      <c r="OHK491" s="168"/>
      <c r="OHL491" s="168"/>
      <c r="OHM491" s="168"/>
      <c r="OHN491" s="168"/>
      <c r="OHO491" s="168"/>
      <c r="OHP491" s="168"/>
      <c r="OHQ491" s="168"/>
      <c r="OHR491" s="168"/>
      <c r="OHS491" s="168"/>
      <c r="OHT491" s="168"/>
      <c r="OHU491" s="168"/>
      <c r="OHV491" s="168"/>
      <c r="OHW491" s="168"/>
      <c r="OHX491" s="168"/>
      <c r="OHY491" s="168"/>
      <c r="OHZ491" s="168"/>
      <c r="OIA491" s="168"/>
      <c r="OIB491" s="168"/>
      <c r="OIC491" s="168"/>
      <c r="OID491" s="168"/>
      <c r="OIE491" s="168"/>
      <c r="OIF491" s="168"/>
      <c r="OIG491" s="168"/>
      <c r="OIH491" s="168"/>
      <c r="OII491" s="168"/>
      <c r="OIJ491" s="168"/>
      <c r="OIK491" s="168"/>
      <c r="OIL491" s="168"/>
      <c r="OIM491" s="168"/>
      <c r="OIN491" s="168"/>
      <c r="OIO491" s="168"/>
      <c r="OIP491" s="168"/>
      <c r="OIQ491" s="168"/>
      <c r="OIR491" s="168"/>
      <c r="OIS491" s="168"/>
      <c r="OIT491" s="168"/>
      <c r="OIU491" s="168"/>
      <c r="OIV491" s="168"/>
      <c r="OIW491" s="168"/>
      <c r="OIX491" s="168"/>
      <c r="OIY491" s="168"/>
      <c r="OIZ491" s="168"/>
      <c r="OJA491" s="168"/>
      <c r="OJB491" s="168"/>
      <c r="OJC491" s="168"/>
      <c r="OJD491" s="168"/>
      <c r="OJE491" s="168"/>
      <c r="OJF491" s="168"/>
      <c r="OJG491" s="168"/>
      <c r="OJH491" s="168"/>
      <c r="OJI491" s="168"/>
      <c r="OJJ491" s="168"/>
      <c r="OJK491" s="168"/>
      <c r="OJL491" s="168"/>
      <c r="OJM491" s="168"/>
      <c r="OJN491" s="168"/>
      <c r="OJO491" s="168"/>
      <c r="OJP491" s="168"/>
      <c r="OJQ491" s="168"/>
      <c r="OJR491" s="168"/>
      <c r="OJS491" s="168"/>
      <c r="OJT491" s="168"/>
      <c r="OJU491" s="168"/>
      <c r="OJV491" s="168"/>
      <c r="OJW491" s="168"/>
      <c r="OJX491" s="168"/>
      <c r="OJY491" s="168"/>
      <c r="OJZ491" s="168"/>
      <c r="OKA491" s="168"/>
      <c r="OKB491" s="168"/>
      <c r="OKC491" s="168"/>
      <c r="OKD491" s="168"/>
      <c r="OKE491" s="168"/>
      <c r="OKF491" s="168"/>
      <c r="OKG491" s="168"/>
      <c r="OKH491" s="168"/>
      <c r="OKI491" s="168"/>
      <c r="OKJ491" s="168"/>
      <c r="OKK491" s="168"/>
      <c r="OKL491" s="168"/>
      <c r="OKM491" s="168"/>
      <c r="OKN491" s="168"/>
      <c r="OKO491" s="168"/>
      <c r="OKP491" s="168"/>
      <c r="OKQ491" s="168"/>
      <c r="OKR491" s="168"/>
      <c r="OKS491" s="168"/>
      <c r="OKT491" s="168"/>
      <c r="OKU491" s="168"/>
      <c r="OKV491" s="168"/>
      <c r="OKW491" s="168"/>
      <c r="OKX491" s="168"/>
      <c r="OKY491" s="168"/>
      <c r="OKZ491" s="168"/>
      <c r="OLA491" s="168"/>
      <c r="OLB491" s="168"/>
      <c r="OLC491" s="168"/>
      <c r="OLD491" s="168"/>
      <c r="OLE491" s="168"/>
      <c r="OLF491" s="168"/>
      <c r="OLG491" s="168"/>
      <c r="OLH491" s="168"/>
      <c r="OLI491" s="168"/>
      <c r="OLJ491" s="168"/>
      <c r="OLK491" s="168"/>
      <c r="OLL491" s="168"/>
      <c r="OLM491" s="168"/>
      <c r="OLN491" s="168"/>
      <c r="OLO491" s="168"/>
      <c r="OLP491" s="168"/>
      <c r="OLQ491" s="168"/>
      <c r="OLR491" s="168"/>
      <c r="OLS491" s="168"/>
      <c r="OLT491" s="168"/>
      <c r="OLU491" s="168"/>
      <c r="OLV491" s="168"/>
      <c r="OLW491" s="168"/>
      <c r="OLX491" s="168"/>
      <c r="OLY491" s="168"/>
      <c r="OLZ491" s="168"/>
      <c r="OMA491" s="168"/>
      <c r="OMB491" s="168"/>
      <c r="OMC491" s="168"/>
      <c r="OMD491" s="168"/>
      <c r="OME491" s="168"/>
      <c r="OMF491" s="168"/>
      <c r="OMG491" s="168"/>
      <c r="OMH491" s="168"/>
      <c r="OMI491" s="168"/>
      <c r="OMJ491" s="168"/>
      <c r="OMK491" s="168"/>
      <c r="OML491" s="168"/>
      <c r="OMM491" s="168"/>
      <c r="OMN491" s="168"/>
      <c r="OMO491" s="168"/>
      <c r="OMP491" s="168"/>
      <c r="OMQ491" s="168"/>
      <c r="OMR491" s="168"/>
      <c r="OMS491" s="168"/>
      <c r="OMT491" s="168"/>
      <c r="OMU491" s="168"/>
      <c r="OMV491" s="168"/>
      <c r="OMW491" s="168"/>
      <c r="OMX491" s="168"/>
      <c r="OMY491" s="168"/>
      <c r="OMZ491" s="168"/>
      <c r="ONA491" s="168"/>
      <c r="ONB491" s="168"/>
      <c r="ONC491" s="168"/>
      <c r="OND491" s="168"/>
      <c r="ONE491" s="168"/>
      <c r="ONF491" s="168"/>
      <c r="ONG491" s="168"/>
      <c r="ONH491" s="168"/>
      <c r="ONI491" s="168"/>
      <c r="ONJ491" s="168"/>
      <c r="ONK491" s="168"/>
      <c r="ONL491" s="168"/>
      <c r="ONM491" s="168"/>
      <c r="ONN491" s="168"/>
      <c r="ONO491" s="168"/>
      <c r="ONP491" s="168"/>
      <c r="ONQ491" s="168"/>
      <c r="ONR491" s="168"/>
      <c r="ONS491" s="168"/>
      <c r="ONT491" s="168"/>
      <c r="ONU491" s="168"/>
      <c r="ONV491" s="168"/>
      <c r="ONW491" s="168"/>
      <c r="ONX491" s="168"/>
      <c r="ONY491" s="168"/>
      <c r="ONZ491" s="168"/>
      <c r="OOA491" s="168"/>
      <c r="OOB491" s="168"/>
      <c r="OOC491" s="168"/>
      <c r="OOD491" s="168"/>
      <c r="OOE491" s="168"/>
      <c r="OOF491" s="168"/>
      <c r="OOG491" s="168"/>
      <c r="OOH491" s="168"/>
      <c r="OOI491" s="168"/>
      <c r="OOJ491" s="168"/>
      <c r="OOK491" s="168"/>
      <c r="OOL491" s="168"/>
      <c r="OOM491" s="168"/>
      <c r="OON491" s="168"/>
      <c r="OOO491" s="168"/>
      <c r="OOP491" s="168"/>
      <c r="OOQ491" s="168"/>
      <c r="OOR491" s="168"/>
      <c r="OOS491" s="168"/>
      <c r="OOT491" s="168"/>
      <c r="OOU491" s="168"/>
      <c r="OOV491" s="168"/>
      <c r="OOW491" s="168"/>
      <c r="OOX491" s="168"/>
      <c r="OOY491" s="168"/>
      <c r="OOZ491" s="168"/>
      <c r="OPA491" s="168"/>
      <c r="OPB491" s="168"/>
      <c r="OPC491" s="168"/>
      <c r="OPD491" s="168"/>
      <c r="OPE491" s="168"/>
      <c r="OPF491" s="168"/>
      <c r="OPG491" s="168"/>
      <c r="OPH491" s="168"/>
      <c r="OPI491" s="168"/>
      <c r="OPJ491" s="168"/>
      <c r="OPK491" s="168"/>
      <c r="OPL491" s="168"/>
      <c r="OPM491" s="168"/>
      <c r="OPN491" s="168"/>
      <c r="OPO491" s="168"/>
      <c r="OPP491" s="168"/>
      <c r="OPQ491" s="168"/>
      <c r="OPR491" s="168"/>
      <c r="OPS491" s="168"/>
      <c r="OPT491" s="168"/>
      <c r="OPU491" s="168"/>
      <c r="OPV491" s="168"/>
      <c r="OPW491" s="168"/>
      <c r="OPX491" s="168"/>
      <c r="OPY491" s="168"/>
      <c r="OPZ491" s="168"/>
      <c r="OQA491" s="168"/>
      <c r="OQB491" s="168"/>
      <c r="OQC491" s="168"/>
      <c r="OQD491" s="168"/>
      <c r="OQE491" s="168"/>
      <c r="OQF491" s="168"/>
      <c r="OQG491" s="168"/>
      <c r="OQH491" s="168"/>
      <c r="OQI491" s="168"/>
      <c r="OQJ491" s="168"/>
      <c r="OQK491" s="168"/>
      <c r="OQL491" s="168"/>
      <c r="OQM491" s="168"/>
      <c r="OQN491" s="168"/>
      <c r="OQO491" s="168"/>
      <c r="OQP491" s="168"/>
      <c r="OQQ491" s="168"/>
      <c r="OQR491" s="168"/>
      <c r="OQS491" s="168"/>
      <c r="OQT491" s="168"/>
      <c r="OQU491" s="168"/>
      <c r="OQV491" s="168"/>
      <c r="OQW491" s="168"/>
      <c r="OQX491" s="168"/>
      <c r="OQY491" s="168"/>
      <c r="OQZ491" s="168"/>
      <c r="ORA491" s="168"/>
      <c r="ORB491" s="168"/>
      <c r="ORC491" s="168"/>
      <c r="ORD491" s="168"/>
      <c r="ORE491" s="168"/>
      <c r="ORF491" s="168"/>
      <c r="ORG491" s="168"/>
      <c r="ORH491" s="168"/>
      <c r="ORI491" s="168"/>
      <c r="ORJ491" s="168"/>
      <c r="ORK491" s="168"/>
      <c r="ORL491" s="168"/>
      <c r="ORM491" s="168"/>
      <c r="ORN491" s="168"/>
      <c r="ORO491" s="168"/>
      <c r="ORP491" s="168"/>
      <c r="ORQ491" s="168"/>
      <c r="ORR491" s="168"/>
      <c r="ORS491" s="168"/>
      <c r="ORT491" s="168"/>
      <c r="ORU491" s="168"/>
      <c r="ORV491" s="168"/>
      <c r="ORW491" s="168"/>
      <c r="ORX491" s="168"/>
      <c r="ORY491" s="168"/>
      <c r="ORZ491" s="168"/>
      <c r="OSA491" s="168"/>
      <c r="OSB491" s="168"/>
      <c r="OSC491" s="168"/>
      <c r="OSD491" s="168"/>
      <c r="OSE491" s="168"/>
      <c r="OSF491" s="168"/>
      <c r="OSG491" s="168"/>
      <c r="OSH491" s="168"/>
      <c r="OSI491" s="168"/>
      <c r="OSJ491" s="168"/>
      <c r="OSK491" s="168"/>
      <c r="OSL491" s="168"/>
      <c r="OSM491" s="168"/>
      <c r="OSN491" s="168"/>
      <c r="OSO491" s="168"/>
      <c r="OSP491" s="168"/>
      <c r="OSQ491" s="168"/>
      <c r="OSR491" s="168"/>
      <c r="OSS491" s="168"/>
      <c r="OST491" s="168"/>
      <c r="OSU491" s="168"/>
      <c r="OSV491" s="168"/>
      <c r="OSW491" s="168"/>
      <c r="OSX491" s="168"/>
      <c r="OSY491" s="168"/>
      <c r="OSZ491" s="168"/>
      <c r="OTA491" s="168"/>
      <c r="OTB491" s="168"/>
      <c r="OTC491" s="168"/>
      <c r="OTD491" s="168"/>
      <c r="OTE491" s="168"/>
      <c r="OTF491" s="168"/>
      <c r="OTG491" s="168"/>
      <c r="OTH491" s="168"/>
      <c r="OTI491" s="168"/>
      <c r="OTJ491" s="168"/>
      <c r="OTK491" s="168"/>
      <c r="OTL491" s="168"/>
      <c r="OTM491" s="168"/>
      <c r="OTN491" s="168"/>
      <c r="OTO491" s="168"/>
      <c r="OTP491" s="168"/>
      <c r="OTQ491" s="168"/>
      <c r="OTR491" s="168"/>
      <c r="OTS491" s="168"/>
      <c r="OTT491" s="168"/>
      <c r="OTU491" s="168"/>
      <c r="OTV491" s="168"/>
      <c r="OTW491" s="168"/>
      <c r="OTX491" s="168"/>
      <c r="OTY491" s="168"/>
      <c r="OTZ491" s="168"/>
      <c r="OUA491" s="168"/>
      <c r="OUB491" s="168"/>
      <c r="OUC491" s="168"/>
      <c r="OUD491" s="168"/>
      <c r="OUE491" s="168"/>
      <c r="OUF491" s="168"/>
      <c r="OUG491" s="168"/>
      <c r="OUH491" s="168"/>
      <c r="OUI491" s="168"/>
      <c r="OUJ491" s="168"/>
      <c r="OUK491" s="168"/>
      <c r="OUL491" s="168"/>
      <c r="OUM491" s="168"/>
      <c r="OUN491" s="168"/>
      <c r="OUO491" s="168"/>
      <c r="OUP491" s="168"/>
      <c r="OUQ491" s="168"/>
      <c r="OUR491" s="168"/>
      <c r="OUS491" s="168"/>
      <c r="OUT491" s="168"/>
      <c r="OUU491" s="168"/>
      <c r="OUV491" s="168"/>
      <c r="OUW491" s="168"/>
      <c r="OUX491" s="168"/>
      <c r="OUY491" s="168"/>
      <c r="OUZ491" s="168"/>
      <c r="OVA491" s="168"/>
      <c r="OVB491" s="168"/>
      <c r="OVC491" s="168"/>
      <c r="OVD491" s="168"/>
      <c r="OVE491" s="168"/>
      <c r="OVF491" s="168"/>
      <c r="OVG491" s="168"/>
      <c r="OVH491" s="168"/>
      <c r="OVI491" s="168"/>
      <c r="OVJ491" s="168"/>
      <c r="OVK491" s="168"/>
      <c r="OVL491" s="168"/>
      <c r="OVM491" s="168"/>
      <c r="OVN491" s="168"/>
      <c r="OVO491" s="168"/>
      <c r="OVP491" s="168"/>
      <c r="OVQ491" s="168"/>
      <c r="OVR491" s="168"/>
      <c r="OVS491" s="168"/>
      <c r="OVT491" s="168"/>
      <c r="OVU491" s="168"/>
      <c r="OVV491" s="168"/>
      <c r="OVW491" s="168"/>
      <c r="OVX491" s="168"/>
      <c r="OVY491" s="168"/>
      <c r="OVZ491" s="168"/>
      <c r="OWA491" s="168"/>
      <c r="OWB491" s="168"/>
      <c r="OWC491" s="168"/>
      <c r="OWD491" s="168"/>
      <c r="OWE491" s="168"/>
      <c r="OWF491" s="168"/>
      <c r="OWG491" s="168"/>
      <c r="OWH491" s="168"/>
      <c r="OWI491" s="168"/>
      <c r="OWJ491" s="168"/>
      <c r="OWK491" s="168"/>
      <c r="OWL491" s="168"/>
      <c r="OWM491" s="168"/>
      <c r="OWN491" s="168"/>
      <c r="OWO491" s="168"/>
      <c r="OWP491" s="168"/>
      <c r="OWQ491" s="168"/>
      <c r="OWR491" s="168"/>
      <c r="OWS491" s="168"/>
      <c r="OWT491" s="168"/>
      <c r="OWU491" s="168"/>
      <c r="OWV491" s="168"/>
      <c r="OWW491" s="168"/>
      <c r="OWX491" s="168"/>
      <c r="OWY491" s="168"/>
      <c r="OWZ491" s="168"/>
      <c r="OXA491" s="168"/>
      <c r="OXB491" s="168"/>
      <c r="OXC491" s="168"/>
      <c r="OXD491" s="168"/>
      <c r="OXE491" s="168"/>
      <c r="OXF491" s="168"/>
      <c r="OXG491" s="168"/>
      <c r="OXH491" s="168"/>
      <c r="OXI491" s="168"/>
      <c r="OXJ491" s="168"/>
      <c r="OXK491" s="168"/>
      <c r="OXL491" s="168"/>
      <c r="OXM491" s="168"/>
      <c r="OXN491" s="168"/>
      <c r="OXO491" s="168"/>
      <c r="OXP491" s="168"/>
      <c r="OXQ491" s="168"/>
      <c r="OXR491" s="168"/>
      <c r="OXS491" s="168"/>
      <c r="OXT491" s="168"/>
      <c r="OXU491" s="168"/>
      <c r="OXV491" s="168"/>
      <c r="OXW491" s="168"/>
      <c r="OXX491" s="168"/>
      <c r="OXY491" s="168"/>
      <c r="OXZ491" s="168"/>
      <c r="OYA491" s="168"/>
      <c r="OYB491" s="168"/>
      <c r="OYC491" s="168"/>
      <c r="OYD491" s="168"/>
      <c r="OYE491" s="168"/>
      <c r="OYF491" s="168"/>
      <c r="OYG491" s="168"/>
      <c r="OYH491" s="168"/>
      <c r="OYI491" s="168"/>
      <c r="OYJ491" s="168"/>
      <c r="OYK491" s="168"/>
      <c r="OYL491" s="168"/>
      <c r="OYM491" s="168"/>
      <c r="OYN491" s="168"/>
      <c r="OYO491" s="168"/>
      <c r="OYP491" s="168"/>
      <c r="OYQ491" s="168"/>
      <c r="OYR491" s="168"/>
      <c r="OYS491" s="168"/>
      <c r="OYT491" s="168"/>
      <c r="OYU491" s="168"/>
      <c r="OYV491" s="168"/>
      <c r="OYW491" s="168"/>
      <c r="OYX491" s="168"/>
      <c r="OYY491" s="168"/>
      <c r="OYZ491" s="168"/>
      <c r="OZA491" s="168"/>
      <c r="OZB491" s="168"/>
      <c r="OZC491" s="168"/>
      <c r="OZD491" s="168"/>
      <c r="OZE491" s="168"/>
      <c r="OZF491" s="168"/>
      <c r="OZG491" s="168"/>
      <c r="OZH491" s="168"/>
      <c r="OZI491" s="168"/>
      <c r="OZJ491" s="168"/>
      <c r="OZK491" s="168"/>
      <c r="OZL491" s="168"/>
      <c r="OZM491" s="168"/>
      <c r="OZN491" s="168"/>
      <c r="OZO491" s="168"/>
      <c r="OZP491" s="168"/>
      <c r="OZQ491" s="168"/>
      <c r="OZR491" s="168"/>
      <c r="OZS491" s="168"/>
      <c r="OZT491" s="168"/>
      <c r="OZU491" s="168"/>
      <c r="OZV491" s="168"/>
      <c r="OZW491" s="168"/>
      <c r="OZX491" s="168"/>
      <c r="OZY491" s="168"/>
      <c r="OZZ491" s="168"/>
      <c r="PAA491" s="168"/>
      <c r="PAB491" s="168"/>
      <c r="PAC491" s="168"/>
      <c r="PAD491" s="168"/>
      <c r="PAE491" s="168"/>
      <c r="PAF491" s="168"/>
      <c r="PAG491" s="168"/>
      <c r="PAH491" s="168"/>
      <c r="PAI491" s="168"/>
      <c r="PAJ491" s="168"/>
      <c r="PAK491" s="168"/>
      <c r="PAL491" s="168"/>
      <c r="PAM491" s="168"/>
      <c r="PAN491" s="168"/>
      <c r="PAO491" s="168"/>
      <c r="PAP491" s="168"/>
      <c r="PAQ491" s="168"/>
      <c r="PAR491" s="168"/>
      <c r="PAS491" s="168"/>
      <c r="PAT491" s="168"/>
      <c r="PAU491" s="168"/>
      <c r="PAV491" s="168"/>
      <c r="PAW491" s="168"/>
      <c r="PAX491" s="168"/>
      <c r="PAY491" s="168"/>
      <c r="PAZ491" s="168"/>
      <c r="PBA491" s="168"/>
      <c r="PBB491" s="168"/>
      <c r="PBC491" s="168"/>
      <c r="PBD491" s="168"/>
      <c r="PBE491" s="168"/>
      <c r="PBF491" s="168"/>
      <c r="PBG491" s="168"/>
      <c r="PBH491" s="168"/>
      <c r="PBI491" s="168"/>
      <c r="PBJ491" s="168"/>
      <c r="PBK491" s="168"/>
      <c r="PBL491" s="168"/>
      <c r="PBM491" s="168"/>
      <c r="PBN491" s="168"/>
      <c r="PBO491" s="168"/>
      <c r="PBP491" s="168"/>
      <c r="PBQ491" s="168"/>
      <c r="PBR491" s="168"/>
      <c r="PBS491" s="168"/>
      <c r="PBT491" s="168"/>
      <c r="PBU491" s="168"/>
      <c r="PBV491" s="168"/>
      <c r="PBW491" s="168"/>
      <c r="PBX491" s="168"/>
      <c r="PBY491" s="168"/>
      <c r="PBZ491" s="168"/>
      <c r="PCA491" s="168"/>
      <c r="PCB491" s="168"/>
      <c r="PCC491" s="168"/>
      <c r="PCD491" s="168"/>
      <c r="PCE491" s="168"/>
      <c r="PCF491" s="168"/>
      <c r="PCG491" s="168"/>
      <c r="PCH491" s="168"/>
      <c r="PCI491" s="168"/>
      <c r="PCJ491" s="168"/>
      <c r="PCK491" s="168"/>
      <c r="PCL491" s="168"/>
      <c r="PCM491" s="168"/>
      <c r="PCN491" s="168"/>
      <c r="PCO491" s="168"/>
      <c r="PCP491" s="168"/>
      <c r="PCQ491" s="168"/>
      <c r="PCR491" s="168"/>
      <c r="PCS491" s="168"/>
      <c r="PCT491" s="168"/>
      <c r="PCU491" s="168"/>
      <c r="PCV491" s="168"/>
      <c r="PCW491" s="168"/>
      <c r="PCX491" s="168"/>
      <c r="PCY491" s="168"/>
      <c r="PCZ491" s="168"/>
      <c r="PDA491" s="168"/>
      <c r="PDB491" s="168"/>
      <c r="PDC491" s="168"/>
      <c r="PDD491" s="168"/>
      <c r="PDE491" s="168"/>
      <c r="PDF491" s="168"/>
      <c r="PDG491" s="168"/>
      <c r="PDH491" s="168"/>
      <c r="PDI491" s="168"/>
      <c r="PDJ491" s="168"/>
      <c r="PDK491" s="168"/>
      <c r="PDL491" s="168"/>
      <c r="PDM491" s="168"/>
      <c r="PDN491" s="168"/>
      <c r="PDO491" s="168"/>
      <c r="PDP491" s="168"/>
      <c r="PDQ491" s="168"/>
      <c r="PDR491" s="168"/>
      <c r="PDS491" s="168"/>
      <c r="PDT491" s="168"/>
      <c r="PDU491" s="168"/>
      <c r="PDV491" s="168"/>
      <c r="PDW491" s="168"/>
      <c r="PDX491" s="168"/>
      <c r="PDY491" s="168"/>
      <c r="PDZ491" s="168"/>
      <c r="PEA491" s="168"/>
      <c r="PEB491" s="168"/>
      <c r="PEC491" s="168"/>
      <c r="PED491" s="168"/>
      <c r="PEE491" s="168"/>
      <c r="PEF491" s="168"/>
      <c r="PEG491" s="168"/>
      <c r="PEH491" s="168"/>
      <c r="PEI491" s="168"/>
      <c r="PEJ491" s="168"/>
      <c r="PEK491" s="168"/>
      <c r="PEL491" s="168"/>
      <c r="PEM491" s="168"/>
      <c r="PEN491" s="168"/>
      <c r="PEO491" s="168"/>
      <c r="PEP491" s="168"/>
      <c r="PEQ491" s="168"/>
      <c r="PER491" s="168"/>
      <c r="PES491" s="168"/>
      <c r="PET491" s="168"/>
      <c r="PEU491" s="168"/>
      <c r="PEV491" s="168"/>
      <c r="PEW491" s="168"/>
      <c r="PEX491" s="168"/>
      <c r="PEY491" s="168"/>
      <c r="PEZ491" s="168"/>
      <c r="PFA491" s="168"/>
      <c r="PFB491" s="168"/>
      <c r="PFC491" s="168"/>
      <c r="PFD491" s="168"/>
      <c r="PFE491" s="168"/>
      <c r="PFF491" s="168"/>
      <c r="PFG491" s="168"/>
      <c r="PFH491" s="168"/>
      <c r="PFI491" s="168"/>
      <c r="PFJ491" s="168"/>
      <c r="PFK491" s="168"/>
      <c r="PFL491" s="168"/>
      <c r="PFM491" s="168"/>
      <c r="PFN491" s="168"/>
      <c r="PFO491" s="168"/>
      <c r="PFP491" s="168"/>
      <c r="PFQ491" s="168"/>
      <c r="PFR491" s="168"/>
      <c r="PFS491" s="168"/>
      <c r="PFT491" s="168"/>
      <c r="PFU491" s="168"/>
      <c r="PFV491" s="168"/>
      <c r="PFW491" s="168"/>
      <c r="PFX491" s="168"/>
      <c r="PFY491" s="168"/>
      <c r="PFZ491" s="168"/>
      <c r="PGA491" s="168"/>
      <c r="PGB491" s="168"/>
      <c r="PGC491" s="168"/>
      <c r="PGD491" s="168"/>
      <c r="PGE491" s="168"/>
      <c r="PGF491" s="168"/>
      <c r="PGG491" s="168"/>
      <c r="PGH491" s="168"/>
      <c r="PGI491" s="168"/>
      <c r="PGJ491" s="168"/>
      <c r="PGK491" s="168"/>
      <c r="PGL491" s="168"/>
      <c r="PGM491" s="168"/>
      <c r="PGN491" s="168"/>
      <c r="PGO491" s="168"/>
      <c r="PGP491" s="168"/>
      <c r="PGQ491" s="168"/>
      <c r="PGR491" s="168"/>
      <c r="PGS491" s="168"/>
      <c r="PGT491" s="168"/>
      <c r="PGU491" s="168"/>
      <c r="PGV491" s="168"/>
      <c r="PGW491" s="168"/>
      <c r="PGX491" s="168"/>
      <c r="PGY491" s="168"/>
      <c r="PGZ491" s="168"/>
      <c r="PHA491" s="168"/>
      <c r="PHB491" s="168"/>
      <c r="PHC491" s="168"/>
      <c r="PHD491" s="168"/>
      <c r="PHE491" s="168"/>
      <c r="PHF491" s="168"/>
      <c r="PHG491" s="168"/>
      <c r="PHH491" s="168"/>
      <c r="PHI491" s="168"/>
      <c r="PHJ491" s="168"/>
      <c r="PHK491" s="168"/>
      <c r="PHL491" s="168"/>
      <c r="PHM491" s="168"/>
      <c r="PHN491" s="168"/>
      <c r="PHO491" s="168"/>
      <c r="PHP491" s="168"/>
      <c r="PHQ491" s="168"/>
      <c r="PHR491" s="168"/>
      <c r="PHS491" s="168"/>
      <c r="PHT491" s="168"/>
      <c r="PHU491" s="168"/>
      <c r="PHV491" s="168"/>
      <c r="PHW491" s="168"/>
      <c r="PHX491" s="168"/>
      <c r="PHY491" s="168"/>
      <c r="PHZ491" s="168"/>
      <c r="PIA491" s="168"/>
      <c r="PIB491" s="168"/>
      <c r="PIC491" s="168"/>
      <c r="PID491" s="168"/>
      <c r="PIE491" s="168"/>
      <c r="PIF491" s="168"/>
      <c r="PIG491" s="168"/>
      <c r="PIH491" s="168"/>
      <c r="PII491" s="168"/>
      <c r="PIJ491" s="168"/>
      <c r="PIK491" s="168"/>
      <c r="PIL491" s="168"/>
      <c r="PIM491" s="168"/>
      <c r="PIN491" s="168"/>
      <c r="PIO491" s="168"/>
      <c r="PIP491" s="168"/>
      <c r="PIQ491" s="168"/>
      <c r="PIR491" s="168"/>
      <c r="PIS491" s="168"/>
      <c r="PIT491" s="168"/>
      <c r="PIU491" s="168"/>
      <c r="PIV491" s="168"/>
      <c r="PIW491" s="168"/>
      <c r="PIX491" s="168"/>
      <c r="PIY491" s="168"/>
      <c r="PIZ491" s="168"/>
      <c r="PJA491" s="168"/>
      <c r="PJB491" s="168"/>
      <c r="PJC491" s="168"/>
      <c r="PJD491" s="168"/>
      <c r="PJE491" s="168"/>
      <c r="PJF491" s="168"/>
      <c r="PJG491" s="168"/>
      <c r="PJH491" s="168"/>
      <c r="PJI491" s="168"/>
      <c r="PJJ491" s="168"/>
      <c r="PJK491" s="168"/>
      <c r="PJL491" s="168"/>
      <c r="PJM491" s="168"/>
      <c r="PJN491" s="168"/>
      <c r="PJO491" s="168"/>
      <c r="PJP491" s="168"/>
      <c r="PJQ491" s="168"/>
      <c r="PJR491" s="168"/>
      <c r="PJS491" s="168"/>
      <c r="PJT491" s="168"/>
      <c r="PJU491" s="168"/>
      <c r="PJV491" s="168"/>
      <c r="PJW491" s="168"/>
      <c r="PJX491" s="168"/>
      <c r="PJY491" s="168"/>
      <c r="PJZ491" s="168"/>
      <c r="PKA491" s="168"/>
      <c r="PKB491" s="168"/>
      <c r="PKC491" s="168"/>
      <c r="PKD491" s="168"/>
      <c r="PKE491" s="168"/>
      <c r="PKF491" s="168"/>
      <c r="PKG491" s="168"/>
      <c r="PKH491" s="168"/>
      <c r="PKI491" s="168"/>
      <c r="PKJ491" s="168"/>
      <c r="PKK491" s="168"/>
      <c r="PKL491" s="168"/>
      <c r="PKM491" s="168"/>
      <c r="PKN491" s="168"/>
      <c r="PKO491" s="168"/>
      <c r="PKP491" s="168"/>
      <c r="PKQ491" s="168"/>
      <c r="PKR491" s="168"/>
      <c r="PKS491" s="168"/>
      <c r="PKT491" s="168"/>
      <c r="PKU491" s="168"/>
      <c r="PKV491" s="168"/>
      <c r="PKW491" s="168"/>
      <c r="PKX491" s="168"/>
      <c r="PKY491" s="168"/>
      <c r="PKZ491" s="168"/>
      <c r="PLA491" s="168"/>
      <c r="PLB491" s="168"/>
      <c r="PLC491" s="168"/>
      <c r="PLD491" s="168"/>
      <c r="PLE491" s="168"/>
      <c r="PLF491" s="168"/>
      <c r="PLG491" s="168"/>
      <c r="PLH491" s="168"/>
      <c r="PLI491" s="168"/>
      <c r="PLJ491" s="168"/>
      <c r="PLK491" s="168"/>
      <c r="PLL491" s="168"/>
      <c r="PLM491" s="168"/>
      <c r="PLN491" s="168"/>
      <c r="PLO491" s="168"/>
      <c r="PLP491" s="168"/>
      <c r="PLQ491" s="168"/>
      <c r="PLR491" s="168"/>
      <c r="PLS491" s="168"/>
      <c r="PLT491" s="168"/>
      <c r="PLU491" s="168"/>
      <c r="PLV491" s="168"/>
      <c r="PLW491" s="168"/>
      <c r="PLX491" s="168"/>
      <c r="PLY491" s="168"/>
      <c r="PLZ491" s="168"/>
      <c r="PMA491" s="168"/>
      <c r="PMB491" s="168"/>
      <c r="PMC491" s="168"/>
      <c r="PMD491" s="168"/>
      <c r="PME491" s="168"/>
      <c r="PMF491" s="168"/>
      <c r="PMG491" s="168"/>
      <c r="PMH491" s="168"/>
      <c r="PMI491" s="168"/>
      <c r="PMJ491" s="168"/>
      <c r="PMK491" s="168"/>
      <c r="PML491" s="168"/>
      <c r="PMM491" s="168"/>
      <c r="PMN491" s="168"/>
      <c r="PMO491" s="168"/>
      <c r="PMP491" s="168"/>
      <c r="PMQ491" s="168"/>
      <c r="PMR491" s="168"/>
      <c r="PMS491" s="168"/>
      <c r="PMT491" s="168"/>
      <c r="PMU491" s="168"/>
      <c r="PMV491" s="168"/>
      <c r="PMW491" s="168"/>
      <c r="PMX491" s="168"/>
      <c r="PMY491" s="168"/>
      <c r="PMZ491" s="168"/>
      <c r="PNA491" s="168"/>
      <c r="PNB491" s="168"/>
      <c r="PNC491" s="168"/>
      <c r="PND491" s="168"/>
      <c r="PNE491" s="168"/>
      <c r="PNF491" s="168"/>
      <c r="PNG491" s="168"/>
      <c r="PNH491" s="168"/>
      <c r="PNI491" s="168"/>
      <c r="PNJ491" s="168"/>
      <c r="PNK491" s="168"/>
      <c r="PNL491" s="168"/>
      <c r="PNM491" s="168"/>
      <c r="PNN491" s="168"/>
      <c r="PNO491" s="168"/>
      <c r="PNP491" s="168"/>
      <c r="PNQ491" s="168"/>
      <c r="PNR491" s="168"/>
      <c r="PNS491" s="168"/>
      <c r="PNT491" s="168"/>
      <c r="PNU491" s="168"/>
      <c r="PNV491" s="168"/>
      <c r="PNW491" s="168"/>
      <c r="PNX491" s="168"/>
      <c r="PNY491" s="168"/>
      <c r="PNZ491" s="168"/>
      <c r="POA491" s="168"/>
      <c r="POB491" s="168"/>
      <c r="POC491" s="168"/>
      <c r="POD491" s="168"/>
      <c r="POE491" s="168"/>
      <c r="POF491" s="168"/>
      <c r="POG491" s="168"/>
      <c r="POH491" s="168"/>
      <c r="POI491" s="168"/>
      <c r="POJ491" s="168"/>
      <c r="POK491" s="168"/>
      <c r="POL491" s="168"/>
      <c r="POM491" s="168"/>
      <c r="PON491" s="168"/>
      <c r="POO491" s="168"/>
      <c r="POP491" s="168"/>
      <c r="POQ491" s="168"/>
      <c r="POR491" s="168"/>
      <c r="POS491" s="168"/>
      <c r="POT491" s="168"/>
      <c r="POU491" s="168"/>
      <c r="POV491" s="168"/>
      <c r="POW491" s="168"/>
      <c r="POX491" s="168"/>
      <c r="POY491" s="168"/>
      <c r="POZ491" s="168"/>
      <c r="PPA491" s="168"/>
      <c r="PPB491" s="168"/>
      <c r="PPC491" s="168"/>
      <c r="PPD491" s="168"/>
      <c r="PPE491" s="168"/>
      <c r="PPF491" s="168"/>
      <c r="PPG491" s="168"/>
      <c r="PPH491" s="168"/>
      <c r="PPI491" s="168"/>
      <c r="PPJ491" s="168"/>
      <c r="PPK491" s="168"/>
      <c r="PPL491" s="168"/>
      <c r="PPM491" s="168"/>
      <c r="PPN491" s="168"/>
      <c r="PPO491" s="168"/>
      <c r="PPP491" s="168"/>
      <c r="PPQ491" s="168"/>
      <c r="PPR491" s="168"/>
      <c r="PPS491" s="168"/>
      <c r="PPT491" s="168"/>
      <c r="PPU491" s="168"/>
      <c r="PPV491" s="168"/>
      <c r="PPW491" s="168"/>
      <c r="PPX491" s="168"/>
      <c r="PPY491" s="168"/>
      <c r="PPZ491" s="168"/>
      <c r="PQA491" s="168"/>
      <c r="PQB491" s="168"/>
      <c r="PQC491" s="168"/>
      <c r="PQD491" s="168"/>
      <c r="PQE491" s="168"/>
      <c r="PQF491" s="168"/>
      <c r="PQG491" s="168"/>
      <c r="PQH491" s="168"/>
      <c r="PQI491" s="168"/>
      <c r="PQJ491" s="168"/>
      <c r="PQK491" s="168"/>
      <c r="PQL491" s="168"/>
      <c r="PQM491" s="168"/>
      <c r="PQN491" s="168"/>
      <c r="PQO491" s="168"/>
      <c r="PQP491" s="168"/>
      <c r="PQQ491" s="168"/>
      <c r="PQR491" s="168"/>
      <c r="PQS491" s="168"/>
      <c r="PQT491" s="168"/>
      <c r="PQU491" s="168"/>
      <c r="PQV491" s="168"/>
      <c r="PQW491" s="168"/>
      <c r="PQX491" s="168"/>
      <c r="PQY491" s="168"/>
      <c r="PQZ491" s="168"/>
      <c r="PRA491" s="168"/>
      <c r="PRB491" s="168"/>
      <c r="PRC491" s="168"/>
      <c r="PRD491" s="168"/>
      <c r="PRE491" s="168"/>
      <c r="PRF491" s="168"/>
      <c r="PRG491" s="168"/>
      <c r="PRH491" s="168"/>
      <c r="PRI491" s="168"/>
      <c r="PRJ491" s="168"/>
      <c r="PRK491" s="168"/>
      <c r="PRL491" s="168"/>
      <c r="PRM491" s="168"/>
      <c r="PRN491" s="168"/>
      <c r="PRO491" s="168"/>
      <c r="PRP491" s="168"/>
      <c r="PRQ491" s="168"/>
      <c r="PRR491" s="168"/>
      <c r="PRS491" s="168"/>
      <c r="PRT491" s="168"/>
      <c r="PRU491" s="168"/>
      <c r="PRV491" s="168"/>
      <c r="PRW491" s="168"/>
      <c r="PRX491" s="168"/>
      <c r="PRY491" s="168"/>
      <c r="PRZ491" s="168"/>
      <c r="PSA491" s="168"/>
      <c r="PSB491" s="168"/>
      <c r="PSC491" s="168"/>
      <c r="PSD491" s="168"/>
      <c r="PSE491" s="168"/>
      <c r="PSF491" s="168"/>
      <c r="PSG491" s="168"/>
      <c r="PSH491" s="168"/>
      <c r="PSI491" s="168"/>
      <c r="PSJ491" s="168"/>
      <c r="PSK491" s="168"/>
      <c r="PSL491" s="168"/>
      <c r="PSM491" s="168"/>
      <c r="PSN491" s="168"/>
      <c r="PSO491" s="168"/>
      <c r="PSP491" s="168"/>
      <c r="PSQ491" s="168"/>
      <c r="PSR491" s="168"/>
      <c r="PSS491" s="168"/>
      <c r="PST491" s="168"/>
      <c r="PSU491" s="168"/>
      <c r="PSV491" s="168"/>
      <c r="PSW491" s="168"/>
      <c r="PSX491" s="168"/>
      <c r="PSY491" s="168"/>
      <c r="PSZ491" s="168"/>
      <c r="PTA491" s="168"/>
      <c r="PTB491" s="168"/>
      <c r="PTC491" s="168"/>
      <c r="PTD491" s="168"/>
      <c r="PTE491" s="168"/>
      <c r="PTF491" s="168"/>
      <c r="PTG491" s="168"/>
      <c r="PTH491" s="168"/>
      <c r="PTI491" s="168"/>
      <c r="PTJ491" s="168"/>
      <c r="PTK491" s="168"/>
      <c r="PTL491" s="168"/>
      <c r="PTM491" s="168"/>
      <c r="PTN491" s="168"/>
      <c r="PTO491" s="168"/>
      <c r="PTP491" s="168"/>
      <c r="PTQ491" s="168"/>
      <c r="PTR491" s="168"/>
      <c r="PTS491" s="168"/>
      <c r="PTT491" s="168"/>
      <c r="PTU491" s="168"/>
      <c r="PTV491" s="168"/>
      <c r="PTW491" s="168"/>
      <c r="PTX491" s="168"/>
      <c r="PTY491" s="168"/>
      <c r="PTZ491" s="168"/>
      <c r="PUA491" s="168"/>
      <c r="PUB491" s="168"/>
      <c r="PUC491" s="168"/>
      <c r="PUD491" s="168"/>
      <c r="PUE491" s="168"/>
      <c r="PUF491" s="168"/>
      <c r="PUG491" s="168"/>
      <c r="PUH491" s="168"/>
      <c r="PUI491" s="168"/>
      <c r="PUJ491" s="168"/>
      <c r="PUK491" s="168"/>
      <c r="PUL491" s="168"/>
      <c r="PUM491" s="168"/>
      <c r="PUN491" s="168"/>
      <c r="PUO491" s="168"/>
      <c r="PUP491" s="168"/>
      <c r="PUQ491" s="168"/>
      <c r="PUR491" s="168"/>
      <c r="PUS491" s="168"/>
      <c r="PUT491" s="168"/>
      <c r="PUU491" s="168"/>
      <c r="PUV491" s="168"/>
      <c r="PUW491" s="168"/>
      <c r="PUX491" s="168"/>
      <c r="PUY491" s="168"/>
      <c r="PUZ491" s="168"/>
      <c r="PVA491" s="168"/>
      <c r="PVB491" s="168"/>
      <c r="PVC491" s="168"/>
      <c r="PVD491" s="168"/>
      <c r="PVE491" s="168"/>
      <c r="PVF491" s="168"/>
      <c r="PVG491" s="168"/>
      <c r="PVH491" s="168"/>
      <c r="PVI491" s="168"/>
      <c r="PVJ491" s="168"/>
      <c r="PVK491" s="168"/>
      <c r="PVL491" s="168"/>
      <c r="PVM491" s="168"/>
      <c r="PVN491" s="168"/>
      <c r="PVO491" s="168"/>
      <c r="PVP491" s="168"/>
      <c r="PVQ491" s="168"/>
      <c r="PVR491" s="168"/>
      <c r="PVS491" s="168"/>
      <c r="PVT491" s="168"/>
      <c r="PVU491" s="168"/>
      <c r="PVV491" s="168"/>
      <c r="PVW491" s="168"/>
      <c r="PVX491" s="168"/>
      <c r="PVY491" s="168"/>
      <c r="PVZ491" s="168"/>
      <c r="PWA491" s="168"/>
      <c r="PWB491" s="168"/>
      <c r="PWC491" s="168"/>
      <c r="PWD491" s="168"/>
      <c r="PWE491" s="168"/>
      <c r="PWF491" s="168"/>
      <c r="PWG491" s="168"/>
      <c r="PWH491" s="168"/>
      <c r="PWI491" s="168"/>
      <c r="PWJ491" s="168"/>
      <c r="PWK491" s="168"/>
      <c r="PWL491" s="168"/>
      <c r="PWM491" s="168"/>
      <c r="PWN491" s="168"/>
      <c r="PWO491" s="168"/>
      <c r="PWP491" s="168"/>
      <c r="PWQ491" s="168"/>
      <c r="PWR491" s="168"/>
      <c r="PWS491" s="168"/>
      <c r="PWT491" s="168"/>
      <c r="PWU491" s="168"/>
      <c r="PWV491" s="168"/>
      <c r="PWW491" s="168"/>
      <c r="PWX491" s="168"/>
      <c r="PWY491" s="168"/>
      <c r="PWZ491" s="168"/>
      <c r="PXA491" s="168"/>
      <c r="PXB491" s="168"/>
      <c r="PXC491" s="168"/>
      <c r="PXD491" s="168"/>
      <c r="PXE491" s="168"/>
      <c r="PXF491" s="168"/>
      <c r="PXG491" s="168"/>
      <c r="PXH491" s="168"/>
      <c r="PXI491" s="168"/>
      <c r="PXJ491" s="168"/>
      <c r="PXK491" s="168"/>
      <c r="PXL491" s="168"/>
      <c r="PXM491" s="168"/>
      <c r="PXN491" s="168"/>
      <c r="PXO491" s="168"/>
      <c r="PXP491" s="168"/>
      <c r="PXQ491" s="168"/>
      <c r="PXR491" s="168"/>
      <c r="PXS491" s="168"/>
      <c r="PXT491" s="168"/>
      <c r="PXU491" s="168"/>
      <c r="PXV491" s="168"/>
      <c r="PXW491" s="168"/>
      <c r="PXX491" s="168"/>
      <c r="PXY491" s="168"/>
      <c r="PXZ491" s="168"/>
      <c r="PYA491" s="168"/>
      <c r="PYB491" s="168"/>
      <c r="PYC491" s="168"/>
      <c r="PYD491" s="168"/>
      <c r="PYE491" s="168"/>
      <c r="PYF491" s="168"/>
      <c r="PYG491" s="168"/>
      <c r="PYH491" s="168"/>
      <c r="PYI491" s="168"/>
      <c r="PYJ491" s="168"/>
      <c r="PYK491" s="168"/>
      <c r="PYL491" s="168"/>
      <c r="PYM491" s="168"/>
      <c r="PYN491" s="168"/>
      <c r="PYO491" s="168"/>
      <c r="PYP491" s="168"/>
      <c r="PYQ491" s="168"/>
      <c r="PYR491" s="168"/>
      <c r="PYS491" s="168"/>
      <c r="PYT491" s="168"/>
      <c r="PYU491" s="168"/>
      <c r="PYV491" s="168"/>
      <c r="PYW491" s="168"/>
      <c r="PYX491" s="168"/>
      <c r="PYY491" s="168"/>
      <c r="PYZ491" s="168"/>
      <c r="PZA491" s="168"/>
      <c r="PZB491" s="168"/>
      <c r="PZC491" s="168"/>
      <c r="PZD491" s="168"/>
      <c r="PZE491" s="168"/>
      <c r="PZF491" s="168"/>
      <c r="PZG491" s="168"/>
      <c r="PZH491" s="168"/>
      <c r="PZI491" s="168"/>
      <c r="PZJ491" s="168"/>
      <c r="PZK491" s="168"/>
      <c r="PZL491" s="168"/>
      <c r="PZM491" s="168"/>
      <c r="PZN491" s="168"/>
      <c r="PZO491" s="168"/>
      <c r="PZP491" s="168"/>
      <c r="PZQ491" s="168"/>
      <c r="PZR491" s="168"/>
      <c r="PZS491" s="168"/>
      <c r="PZT491" s="168"/>
      <c r="PZU491" s="168"/>
      <c r="PZV491" s="168"/>
      <c r="PZW491" s="168"/>
      <c r="PZX491" s="168"/>
      <c r="PZY491" s="168"/>
      <c r="PZZ491" s="168"/>
      <c r="QAA491" s="168"/>
      <c r="QAB491" s="168"/>
      <c r="QAC491" s="168"/>
      <c r="QAD491" s="168"/>
      <c r="QAE491" s="168"/>
      <c r="QAF491" s="168"/>
      <c r="QAG491" s="168"/>
      <c r="QAH491" s="168"/>
      <c r="QAI491" s="168"/>
      <c r="QAJ491" s="168"/>
      <c r="QAK491" s="168"/>
      <c r="QAL491" s="168"/>
      <c r="QAM491" s="168"/>
      <c r="QAN491" s="168"/>
      <c r="QAO491" s="168"/>
      <c r="QAP491" s="168"/>
      <c r="QAQ491" s="168"/>
      <c r="QAR491" s="168"/>
      <c r="QAS491" s="168"/>
      <c r="QAT491" s="168"/>
      <c r="QAU491" s="168"/>
      <c r="QAV491" s="168"/>
      <c r="QAW491" s="168"/>
      <c r="QAX491" s="168"/>
      <c r="QAY491" s="168"/>
      <c r="QAZ491" s="168"/>
      <c r="QBA491" s="168"/>
      <c r="QBB491" s="168"/>
      <c r="QBC491" s="168"/>
      <c r="QBD491" s="168"/>
      <c r="QBE491" s="168"/>
      <c r="QBF491" s="168"/>
      <c r="QBG491" s="168"/>
      <c r="QBH491" s="168"/>
      <c r="QBI491" s="168"/>
      <c r="QBJ491" s="168"/>
      <c r="QBK491" s="168"/>
      <c r="QBL491" s="168"/>
      <c r="QBM491" s="168"/>
      <c r="QBN491" s="168"/>
      <c r="QBO491" s="168"/>
      <c r="QBP491" s="168"/>
      <c r="QBQ491" s="168"/>
      <c r="QBR491" s="168"/>
      <c r="QBS491" s="168"/>
      <c r="QBT491" s="168"/>
      <c r="QBU491" s="168"/>
      <c r="QBV491" s="168"/>
      <c r="QBW491" s="168"/>
      <c r="QBX491" s="168"/>
      <c r="QBY491" s="168"/>
      <c r="QBZ491" s="168"/>
      <c r="QCA491" s="168"/>
      <c r="QCB491" s="168"/>
      <c r="QCC491" s="168"/>
      <c r="QCD491" s="168"/>
      <c r="QCE491" s="168"/>
      <c r="QCF491" s="168"/>
      <c r="QCG491" s="168"/>
      <c r="QCH491" s="168"/>
      <c r="QCI491" s="168"/>
      <c r="QCJ491" s="168"/>
      <c r="QCK491" s="168"/>
      <c r="QCL491" s="168"/>
      <c r="QCM491" s="168"/>
      <c r="QCN491" s="168"/>
      <c r="QCO491" s="168"/>
      <c r="QCP491" s="168"/>
      <c r="QCQ491" s="168"/>
      <c r="QCR491" s="168"/>
      <c r="QCS491" s="168"/>
      <c r="QCT491" s="168"/>
      <c r="QCU491" s="168"/>
      <c r="QCV491" s="168"/>
      <c r="QCW491" s="168"/>
      <c r="QCX491" s="168"/>
      <c r="QCY491" s="168"/>
      <c r="QCZ491" s="168"/>
      <c r="QDA491" s="168"/>
      <c r="QDB491" s="168"/>
      <c r="QDC491" s="168"/>
      <c r="QDD491" s="168"/>
      <c r="QDE491" s="168"/>
      <c r="QDF491" s="168"/>
      <c r="QDG491" s="168"/>
      <c r="QDH491" s="168"/>
      <c r="QDI491" s="168"/>
      <c r="QDJ491" s="168"/>
      <c r="QDK491" s="168"/>
      <c r="QDL491" s="168"/>
      <c r="QDM491" s="168"/>
      <c r="QDN491" s="168"/>
      <c r="QDO491" s="168"/>
      <c r="QDP491" s="168"/>
      <c r="QDQ491" s="168"/>
      <c r="QDR491" s="168"/>
      <c r="QDS491" s="168"/>
      <c r="QDT491" s="168"/>
      <c r="QDU491" s="168"/>
      <c r="QDV491" s="168"/>
      <c r="QDW491" s="168"/>
      <c r="QDX491" s="168"/>
      <c r="QDY491" s="168"/>
      <c r="QDZ491" s="168"/>
      <c r="QEA491" s="168"/>
      <c r="QEB491" s="168"/>
      <c r="QEC491" s="168"/>
      <c r="QED491" s="168"/>
      <c r="QEE491" s="168"/>
      <c r="QEF491" s="168"/>
      <c r="QEG491" s="168"/>
      <c r="QEH491" s="168"/>
      <c r="QEI491" s="168"/>
      <c r="QEJ491" s="168"/>
      <c r="QEK491" s="168"/>
      <c r="QEL491" s="168"/>
      <c r="QEM491" s="168"/>
      <c r="QEN491" s="168"/>
      <c r="QEO491" s="168"/>
      <c r="QEP491" s="168"/>
      <c r="QEQ491" s="168"/>
      <c r="QER491" s="168"/>
      <c r="QES491" s="168"/>
      <c r="QET491" s="168"/>
      <c r="QEU491" s="168"/>
      <c r="QEV491" s="168"/>
      <c r="QEW491" s="168"/>
      <c r="QEX491" s="168"/>
      <c r="QEY491" s="168"/>
      <c r="QEZ491" s="168"/>
      <c r="QFA491" s="168"/>
      <c r="QFB491" s="168"/>
      <c r="QFC491" s="168"/>
      <c r="QFD491" s="168"/>
      <c r="QFE491" s="168"/>
      <c r="QFF491" s="168"/>
      <c r="QFG491" s="168"/>
      <c r="QFH491" s="168"/>
      <c r="QFI491" s="168"/>
      <c r="QFJ491" s="168"/>
      <c r="QFK491" s="168"/>
      <c r="QFL491" s="168"/>
      <c r="QFM491" s="168"/>
      <c r="QFN491" s="168"/>
      <c r="QFO491" s="168"/>
      <c r="QFP491" s="168"/>
      <c r="QFQ491" s="168"/>
      <c r="QFR491" s="168"/>
      <c r="QFS491" s="168"/>
      <c r="QFT491" s="168"/>
      <c r="QFU491" s="168"/>
      <c r="QFV491" s="168"/>
      <c r="QFW491" s="168"/>
      <c r="QFX491" s="168"/>
      <c r="QFY491" s="168"/>
      <c r="QFZ491" s="168"/>
      <c r="QGA491" s="168"/>
      <c r="QGB491" s="168"/>
      <c r="QGC491" s="168"/>
      <c r="QGD491" s="168"/>
      <c r="QGE491" s="168"/>
      <c r="QGF491" s="168"/>
      <c r="QGG491" s="168"/>
      <c r="QGH491" s="168"/>
      <c r="QGI491" s="168"/>
      <c r="QGJ491" s="168"/>
      <c r="QGK491" s="168"/>
      <c r="QGL491" s="168"/>
      <c r="QGM491" s="168"/>
      <c r="QGN491" s="168"/>
      <c r="QGO491" s="168"/>
      <c r="QGP491" s="168"/>
      <c r="QGQ491" s="168"/>
      <c r="QGR491" s="168"/>
      <c r="QGS491" s="168"/>
      <c r="QGT491" s="168"/>
      <c r="QGU491" s="168"/>
      <c r="QGV491" s="168"/>
      <c r="QGW491" s="168"/>
      <c r="QGX491" s="168"/>
      <c r="QGY491" s="168"/>
      <c r="QGZ491" s="168"/>
      <c r="QHA491" s="168"/>
      <c r="QHB491" s="168"/>
      <c r="QHC491" s="168"/>
      <c r="QHD491" s="168"/>
      <c r="QHE491" s="168"/>
      <c r="QHF491" s="168"/>
      <c r="QHG491" s="168"/>
      <c r="QHH491" s="168"/>
      <c r="QHI491" s="168"/>
      <c r="QHJ491" s="168"/>
      <c r="QHK491" s="168"/>
      <c r="QHL491" s="168"/>
      <c r="QHM491" s="168"/>
      <c r="QHN491" s="168"/>
      <c r="QHO491" s="168"/>
      <c r="QHP491" s="168"/>
      <c r="QHQ491" s="168"/>
      <c r="QHR491" s="168"/>
      <c r="QHS491" s="168"/>
      <c r="QHT491" s="168"/>
      <c r="QHU491" s="168"/>
      <c r="QHV491" s="168"/>
      <c r="QHW491" s="168"/>
      <c r="QHX491" s="168"/>
      <c r="QHY491" s="168"/>
      <c r="QHZ491" s="168"/>
      <c r="QIA491" s="168"/>
      <c r="QIB491" s="168"/>
      <c r="QIC491" s="168"/>
      <c r="QID491" s="168"/>
      <c r="QIE491" s="168"/>
      <c r="QIF491" s="168"/>
      <c r="QIG491" s="168"/>
      <c r="QIH491" s="168"/>
      <c r="QII491" s="168"/>
      <c r="QIJ491" s="168"/>
      <c r="QIK491" s="168"/>
      <c r="QIL491" s="168"/>
      <c r="QIM491" s="168"/>
      <c r="QIN491" s="168"/>
      <c r="QIO491" s="168"/>
      <c r="QIP491" s="168"/>
      <c r="QIQ491" s="168"/>
      <c r="QIR491" s="168"/>
      <c r="QIS491" s="168"/>
      <c r="QIT491" s="168"/>
      <c r="QIU491" s="168"/>
      <c r="QIV491" s="168"/>
      <c r="QIW491" s="168"/>
      <c r="QIX491" s="168"/>
      <c r="QIY491" s="168"/>
      <c r="QIZ491" s="168"/>
      <c r="QJA491" s="168"/>
      <c r="QJB491" s="168"/>
      <c r="QJC491" s="168"/>
      <c r="QJD491" s="168"/>
      <c r="QJE491" s="168"/>
      <c r="QJF491" s="168"/>
      <c r="QJG491" s="168"/>
      <c r="QJH491" s="168"/>
      <c r="QJI491" s="168"/>
      <c r="QJJ491" s="168"/>
      <c r="QJK491" s="168"/>
      <c r="QJL491" s="168"/>
      <c r="QJM491" s="168"/>
      <c r="QJN491" s="168"/>
      <c r="QJO491" s="168"/>
      <c r="QJP491" s="168"/>
      <c r="QJQ491" s="168"/>
      <c r="QJR491" s="168"/>
      <c r="QJS491" s="168"/>
      <c r="QJT491" s="168"/>
      <c r="QJU491" s="168"/>
      <c r="QJV491" s="168"/>
      <c r="QJW491" s="168"/>
      <c r="QJX491" s="168"/>
      <c r="QJY491" s="168"/>
      <c r="QJZ491" s="168"/>
      <c r="QKA491" s="168"/>
      <c r="QKB491" s="168"/>
      <c r="QKC491" s="168"/>
      <c r="QKD491" s="168"/>
      <c r="QKE491" s="168"/>
      <c r="QKF491" s="168"/>
      <c r="QKG491" s="168"/>
      <c r="QKH491" s="168"/>
      <c r="QKI491" s="168"/>
      <c r="QKJ491" s="168"/>
      <c r="QKK491" s="168"/>
      <c r="QKL491" s="168"/>
      <c r="QKM491" s="168"/>
      <c r="QKN491" s="168"/>
      <c r="QKO491" s="168"/>
      <c r="QKP491" s="168"/>
      <c r="QKQ491" s="168"/>
      <c r="QKR491" s="168"/>
      <c r="QKS491" s="168"/>
      <c r="QKT491" s="168"/>
      <c r="QKU491" s="168"/>
      <c r="QKV491" s="168"/>
      <c r="QKW491" s="168"/>
      <c r="QKX491" s="168"/>
      <c r="QKY491" s="168"/>
      <c r="QKZ491" s="168"/>
      <c r="QLA491" s="168"/>
      <c r="QLB491" s="168"/>
      <c r="QLC491" s="168"/>
      <c r="QLD491" s="168"/>
      <c r="QLE491" s="168"/>
      <c r="QLF491" s="168"/>
      <c r="QLG491" s="168"/>
      <c r="QLH491" s="168"/>
      <c r="QLI491" s="168"/>
      <c r="QLJ491" s="168"/>
      <c r="QLK491" s="168"/>
      <c r="QLL491" s="168"/>
      <c r="QLM491" s="168"/>
      <c r="QLN491" s="168"/>
      <c r="QLO491" s="168"/>
      <c r="QLP491" s="168"/>
      <c r="QLQ491" s="168"/>
      <c r="QLR491" s="168"/>
      <c r="QLS491" s="168"/>
      <c r="QLT491" s="168"/>
      <c r="QLU491" s="168"/>
      <c r="QLV491" s="168"/>
      <c r="QLW491" s="168"/>
      <c r="QLX491" s="168"/>
      <c r="QLY491" s="168"/>
      <c r="QLZ491" s="168"/>
      <c r="QMA491" s="168"/>
      <c r="QMB491" s="168"/>
      <c r="QMC491" s="168"/>
      <c r="QMD491" s="168"/>
      <c r="QME491" s="168"/>
      <c r="QMF491" s="168"/>
      <c r="QMG491" s="168"/>
      <c r="QMH491" s="168"/>
      <c r="QMI491" s="168"/>
      <c r="QMJ491" s="168"/>
      <c r="QMK491" s="168"/>
      <c r="QML491" s="168"/>
      <c r="QMM491" s="168"/>
      <c r="QMN491" s="168"/>
      <c r="QMO491" s="168"/>
      <c r="QMP491" s="168"/>
      <c r="QMQ491" s="168"/>
      <c r="QMR491" s="168"/>
      <c r="QMS491" s="168"/>
      <c r="QMT491" s="168"/>
      <c r="QMU491" s="168"/>
      <c r="QMV491" s="168"/>
      <c r="QMW491" s="168"/>
      <c r="QMX491" s="168"/>
      <c r="QMY491" s="168"/>
      <c r="QMZ491" s="168"/>
      <c r="QNA491" s="168"/>
      <c r="QNB491" s="168"/>
      <c r="QNC491" s="168"/>
      <c r="QND491" s="168"/>
      <c r="QNE491" s="168"/>
      <c r="QNF491" s="168"/>
      <c r="QNG491" s="168"/>
      <c r="QNH491" s="168"/>
      <c r="QNI491" s="168"/>
      <c r="QNJ491" s="168"/>
      <c r="QNK491" s="168"/>
      <c r="QNL491" s="168"/>
      <c r="QNM491" s="168"/>
      <c r="QNN491" s="168"/>
      <c r="QNO491" s="168"/>
      <c r="QNP491" s="168"/>
      <c r="QNQ491" s="168"/>
      <c r="QNR491" s="168"/>
      <c r="QNS491" s="168"/>
      <c r="QNT491" s="168"/>
      <c r="QNU491" s="168"/>
      <c r="QNV491" s="168"/>
      <c r="QNW491" s="168"/>
      <c r="QNX491" s="168"/>
      <c r="QNY491" s="168"/>
      <c r="QNZ491" s="168"/>
      <c r="QOA491" s="168"/>
      <c r="QOB491" s="168"/>
      <c r="QOC491" s="168"/>
      <c r="QOD491" s="168"/>
      <c r="QOE491" s="168"/>
      <c r="QOF491" s="168"/>
      <c r="QOG491" s="168"/>
      <c r="QOH491" s="168"/>
      <c r="QOI491" s="168"/>
      <c r="QOJ491" s="168"/>
      <c r="QOK491" s="168"/>
      <c r="QOL491" s="168"/>
      <c r="QOM491" s="168"/>
      <c r="QON491" s="168"/>
      <c r="QOO491" s="168"/>
      <c r="QOP491" s="168"/>
      <c r="QOQ491" s="168"/>
      <c r="QOR491" s="168"/>
      <c r="QOS491" s="168"/>
      <c r="QOT491" s="168"/>
      <c r="QOU491" s="168"/>
      <c r="QOV491" s="168"/>
      <c r="QOW491" s="168"/>
      <c r="QOX491" s="168"/>
      <c r="QOY491" s="168"/>
      <c r="QOZ491" s="168"/>
      <c r="QPA491" s="168"/>
      <c r="QPB491" s="168"/>
      <c r="QPC491" s="168"/>
      <c r="QPD491" s="168"/>
      <c r="QPE491" s="168"/>
      <c r="QPF491" s="168"/>
      <c r="QPG491" s="168"/>
      <c r="QPH491" s="168"/>
      <c r="QPI491" s="168"/>
      <c r="QPJ491" s="168"/>
      <c r="QPK491" s="168"/>
      <c r="QPL491" s="168"/>
      <c r="QPM491" s="168"/>
      <c r="QPN491" s="168"/>
      <c r="QPO491" s="168"/>
      <c r="QPP491" s="168"/>
      <c r="QPQ491" s="168"/>
      <c r="QPR491" s="168"/>
      <c r="QPS491" s="168"/>
      <c r="QPT491" s="168"/>
      <c r="QPU491" s="168"/>
      <c r="QPV491" s="168"/>
      <c r="QPW491" s="168"/>
      <c r="QPX491" s="168"/>
      <c r="QPY491" s="168"/>
      <c r="QPZ491" s="168"/>
      <c r="QQA491" s="168"/>
      <c r="QQB491" s="168"/>
      <c r="QQC491" s="168"/>
      <c r="QQD491" s="168"/>
      <c r="QQE491" s="168"/>
      <c r="QQF491" s="168"/>
      <c r="QQG491" s="168"/>
      <c r="QQH491" s="168"/>
      <c r="QQI491" s="168"/>
      <c r="QQJ491" s="168"/>
      <c r="QQK491" s="168"/>
      <c r="QQL491" s="168"/>
      <c r="QQM491" s="168"/>
      <c r="QQN491" s="168"/>
      <c r="QQO491" s="168"/>
      <c r="QQP491" s="168"/>
      <c r="QQQ491" s="168"/>
      <c r="QQR491" s="168"/>
      <c r="QQS491" s="168"/>
      <c r="QQT491" s="168"/>
      <c r="QQU491" s="168"/>
      <c r="QQV491" s="168"/>
      <c r="QQW491" s="168"/>
      <c r="QQX491" s="168"/>
      <c r="QQY491" s="168"/>
      <c r="QQZ491" s="168"/>
      <c r="QRA491" s="168"/>
      <c r="QRB491" s="168"/>
      <c r="QRC491" s="168"/>
      <c r="QRD491" s="168"/>
      <c r="QRE491" s="168"/>
      <c r="QRF491" s="168"/>
      <c r="QRG491" s="168"/>
      <c r="QRH491" s="168"/>
      <c r="QRI491" s="168"/>
      <c r="QRJ491" s="168"/>
      <c r="QRK491" s="168"/>
      <c r="QRL491" s="168"/>
      <c r="QRM491" s="168"/>
      <c r="QRN491" s="168"/>
      <c r="QRO491" s="168"/>
      <c r="QRP491" s="168"/>
      <c r="QRQ491" s="168"/>
      <c r="QRR491" s="168"/>
      <c r="QRS491" s="168"/>
      <c r="QRT491" s="168"/>
      <c r="QRU491" s="168"/>
      <c r="QRV491" s="168"/>
      <c r="QRW491" s="168"/>
      <c r="QRX491" s="168"/>
      <c r="QRY491" s="168"/>
      <c r="QRZ491" s="168"/>
      <c r="QSA491" s="168"/>
      <c r="QSB491" s="168"/>
      <c r="QSC491" s="168"/>
      <c r="QSD491" s="168"/>
      <c r="QSE491" s="168"/>
      <c r="QSF491" s="168"/>
      <c r="QSG491" s="168"/>
      <c r="QSH491" s="168"/>
      <c r="QSI491" s="168"/>
      <c r="QSJ491" s="168"/>
      <c r="QSK491" s="168"/>
      <c r="QSL491" s="168"/>
      <c r="QSM491" s="168"/>
      <c r="QSN491" s="168"/>
      <c r="QSO491" s="168"/>
      <c r="QSP491" s="168"/>
      <c r="QSQ491" s="168"/>
      <c r="QSR491" s="168"/>
      <c r="QSS491" s="168"/>
      <c r="QST491" s="168"/>
      <c r="QSU491" s="168"/>
      <c r="QSV491" s="168"/>
      <c r="QSW491" s="168"/>
      <c r="QSX491" s="168"/>
      <c r="QSY491" s="168"/>
      <c r="QSZ491" s="168"/>
      <c r="QTA491" s="168"/>
      <c r="QTB491" s="168"/>
      <c r="QTC491" s="168"/>
      <c r="QTD491" s="168"/>
      <c r="QTE491" s="168"/>
      <c r="QTF491" s="168"/>
      <c r="QTG491" s="168"/>
      <c r="QTH491" s="168"/>
      <c r="QTI491" s="168"/>
      <c r="QTJ491" s="168"/>
      <c r="QTK491" s="168"/>
      <c r="QTL491" s="168"/>
      <c r="QTM491" s="168"/>
      <c r="QTN491" s="168"/>
      <c r="QTO491" s="168"/>
      <c r="QTP491" s="168"/>
      <c r="QTQ491" s="168"/>
      <c r="QTR491" s="168"/>
      <c r="QTS491" s="168"/>
      <c r="QTT491" s="168"/>
      <c r="QTU491" s="168"/>
      <c r="QTV491" s="168"/>
      <c r="QTW491" s="168"/>
      <c r="QTX491" s="168"/>
      <c r="QTY491" s="168"/>
      <c r="QTZ491" s="168"/>
      <c r="QUA491" s="168"/>
      <c r="QUB491" s="168"/>
      <c r="QUC491" s="168"/>
      <c r="QUD491" s="168"/>
      <c r="QUE491" s="168"/>
      <c r="QUF491" s="168"/>
      <c r="QUG491" s="168"/>
      <c r="QUH491" s="168"/>
      <c r="QUI491" s="168"/>
      <c r="QUJ491" s="168"/>
      <c r="QUK491" s="168"/>
      <c r="QUL491" s="168"/>
      <c r="QUM491" s="168"/>
      <c r="QUN491" s="168"/>
      <c r="QUO491" s="168"/>
      <c r="QUP491" s="168"/>
      <c r="QUQ491" s="168"/>
      <c r="QUR491" s="168"/>
      <c r="QUS491" s="168"/>
      <c r="QUT491" s="168"/>
      <c r="QUU491" s="168"/>
      <c r="QUV491" s="168"/>
      <c r="QUW491" s="168"/>
      <c r="QUX491" s="168"/>
      <c r="QUY491" s="168"/>
      <c r="QUZ491" s="168"/>
      <c r="QVA491" s="168"/>
      <c r="QVB491" s="168"/>
      <c r="QVC491" s="168"/>
      <c r="QVD491" s="168"/>
      <c r="QVE491" s="168"/>
      <c r="QVF491" s="168"/>
      <c r="QVG491" s="168"/>
      <c r="QVH491" s="168"/>
      <c r="QVI491" s="168"/>
      <c r="QVJ491" s="168"/>
      <c r="QVK491" s="168"/>
      <c r="QVL491" s="168"/>
      <c r="QVM491" s="168"/>
      <c r="QVN491" s="168"/>
      <c r="QVO491" s="168"/>
      <c r="QVP491" s="168"/>
      <c r="QVQ491" s="168"/>
      <c r="QVR491" s="168"/>
      <c r="QVS491" s="168"/>
      <c r="QVT491" s="168"/>
      <c r="QVU491" s="168"/>
      <c r="QVV491" s="168"/>
      <c r="QVW491" s="168"/>
      <c r="QVX491" s="168"/>
      <c r="QVY491" s="168"/>
      <c r="QVZ491" s="168"/>
      <c r="QWA491" s="168"/>
      <c r="QWB491" s="168"/>
      <c r="QWC491" s="168"/>
      <c r="QWD491" s="168"/>
      <c r="QWE491" s="168"/>
      <c r="QWF491" s="168"/>
      <c r="QWG491" s="168"/>
      <c r="QWH491" s="168"/>
      <c r="QWI491" s="168"/>
      <c r="QWJ491" s="168"/>
      <c r="QWK491" s="168"/>
      <c r="QWL491" s="168"/>
      <c r="QWM491" s="168"/>
      <c r="QWN491" s="168"/>
      <c r="QWO491" s="168"/>
      <c r="QWP491" s="168"/>
      <c r="QWQ491" s="168"/>
      <c r="QWR491" s="168"/>
      <c r="QWS491" s="168"/>
      <c r="QWT491" s="168"/>
      <c r="QWU491" s="168"/>
      <c r="QWV491" s="168"/>
      <c r="QWW491" s="168"/>
      <c r="QWX491" s="168"/>
      <c r="QWY491" s="168"/>
      <c r="QWZ491" s="168"/>
      <c r="QXA491" s="168"/>
      <c r="QXB491" s="168"/>
      <c r="QXC491" s="168"/>
      <c r="QXD491" s="168"/>
      <c r="QXE491" s="168"/>
      <c r="QXF491" s="168"/>
      <c r="QXG491" s="168"/>
      <c r="QXH491" s="168"/>
      <c r="QXI491" s="168"/>
      <c r="QXJ491" s="168"/>
      <c r="QXK491" s="168"/>
      <c r="QXL491" s="168"/>
      <c r="QXM491" s="168"/>
      <c r="QXN491" s="168"/>
      <c r="QXO491" s="168"/>
      <c r="QXP491" s="168"/>
      <c r="QXQ491" s="168"/>
      <c r="QXR491" s="168"/>
      <c r="QXS491" s="168"/>
      <c r="QXT491" s="168"/>
      <c r="QXU491" s="168"/>
      <c r="QXV491" s="168"/>
      <c r="QXW491" s="168"/>
      <c r="QXX491" s="168"/>
      <c r="QXY491" s="168"/>
      <c r="QXZ491" s="168"/>
      <c r="QYA491" s="168"/>
      <c r="QYB491" s="168"/>
      <c r="QYC491" s="168"/>
      <c r="QYD491" s="168"/>
      <c r="QYE491" s="168"/>
      <c r="QYF491" s="168"/>
      <c r="QYG491" s="168"/>
      <c r="QYH491" s="168"/>
      <c r="QYI491" s="168"/>
      <c r="QYJ491" s="168"/>
      <c r="QYK491" s="168"/>
      <c r="QYL491" s="168"/>
      <c r="QYM491" s="168"/>
      <c r="QYN491" s="168"/>
      <c r="QYO491" s="168"/>
      <c r="QYP491" s="168"/>
      <c r="QYQ491" s="168"/>
      <c r="QYR491" s="168"/>
      <c r="QYS491" s="168"/>
      <c r="QYT491" s="168"/>
      <c r="QYU491" s="168"/>
      <c r="QYV491" s="168"/>
      <c r="QYW491" s="168"/>
      <c r="QYX491" s="168"/>
      <c r="QYY491" s="168"/>
      <c r="QYZ491" s="168"/>
      <c r="QZA491" s="168"/>
      <c r="QZB491" s="168"/>
      <c r="QZC491" s="168"/>
      <c r="QZD491" s="168"/>
      <c r="QZE491" s="168"/>
      <c r="QZF491" s="168"/>
      <c r="QZG491" s="168"/>
      <c r="QZH491" s="168"/>
      <c r="QZI491" s="168"/>
      <c r="QZJ491" s="168"/>
      <c r="QZK491" s="168"/>
      <c r="QZL491" s="168"/>
      <c r="QZM491" s="168"/>
      <c r="QZN491" s="168"/>
      <c r="QZO491" s="168"/>
      <c r="QZP491" s="168"/>
      <c r="QZQ491" s="168"/>
      <c r="QZR491" s="168"/>
      <c r="QZS491" s="168"/>
      <c r="QZT491" s="168"/>
      <c r="QZU491" s="168"/>
      <c r="QZV491" s="168"/>
      <c r="QZW491" s="168"/>
      <c r="QZX491" s="168"/>
      <c r="QZY491" s="168"/>
      <c r="QZZ491" s="168"/>
      <c r="RAA491" s="168"/>
      <c r="RAB491" s="168"/>
      <c r="RAC491" s="168"/>
      <c r="RAD491" s="168"/>
      <c r="RAE491" s="168"/>
      <c r="RAF491" s="168"/>
      <c r="RAG491" s="168"/>
      <c r="RAH491" s="168"/>
      <c r="RAI491" s="168"/>
      <c r="RAJ491" s="168"/>
      <c r="RAK491" s="168"/>
      <c r="RAL491" s="168"/>
      <c r="RAM491" s="168"/>
      <c r="RAN491" s="168"/>
      <c r="RAO491" s="168"/>
      <c r="RAP491" s="168"/>
      <c r="RAQ491" s="168"/>
      <c r="RAR491" s="168"/>
      <c r="RAS491" s="168"/>
      <c r="RAT491" s="168"/>
      <c r="RAU491" s="168"/>
      <c r="RAV491" s="168"/>
      <c r="RAW491" s="168"/>
      <c r="RAX491" s="168"/>
      <c r="RAY491" s="168"/>
      <c r="RAZ491" s="168"/>
      <c r="RBA491" s="168"/>
      <c r="RBB491" s="168"/>
      <c r="RBC491" s="168"/>
      <c r="RBD491" s="168"/>
      <c r="RBE491" s="168"/>
      <c r="RBF491" s="168"/>
      <c r="RBG491" s="168"/>
      <c r="RBH491" s="168"/>
      <c r="RBI491" s="168"/>
      <c r="RBJ491" s="168"/>
      <c r="RBK491" s="168"/>
      <c r="RBL491" s="168"/>
      <c r="RBM491" s="168"/>
      <c r="RBN491" s="168"/>
      <c r="RBO491" s="168"/>
      <c r="RBP491" s="168"/>
      <c r="RBQ491" s="168"/>
      <c r="RBR491" s="168"/>
      <c r="RBS491" s="168"/>
      <c r="RBT491" s="168"/>
      <c r="RBU491" s="168"/>
      <c r="RBV491" s="168"/>
      <c r="RBW491" s="168"/>
      <c r="RBX491" s="168"/>
      <c r="RBY491" s="168"/>
      <c r="RBZ491" s="168"/>
      <c r="RCA491" s="168"/>
      <c r="RCB491" s="168"/>
      <c r="RCC491" s="168"/>
      <c r="RCD491" s="168"/>
      <c r="RCE491" s="168"/>
      <c r="RCF491" s="168"/>
      <c r="RCG491" s="168"/>
      <c r="RCH491" s="168"/>
      <c r="RCI491" s="168"/>
      <c r="RCJ491" s="168"/>
      <c r="RCK491" s="168"/>
      <c r="RCL491" s="168"/>
      <c r="RCM491" s="168"/>
      <c r="RCN491" s="168"/>
      <c r="RCO491" s="168"/>
      <c r="RCP491" s="168"/>
      <c r="RCQ491" s="168"/>
      <c r="RCR491" s="168"/>
      <c r="RCS491" s="168"/>
      <c r="RCT491" s="168"/>
      <c r="RCU491" s="168"/>
      <c r="RCV491" s="168"/>
      <c r="RCW491" s="168"/>
      <c r="RCX491" s="168"/>
      <c r="RCY491" s="168"/>
      <c r="RCZ491" s="168"/>
      <c r="RDA491" s="168"/>
      <c r="RDB491" s="168"/>
      <c r="RDC491" s="168"/>
      <c r="RDD491" s="168"/>
      <c r="RDE491" s="168"/>
      <c r="RDF491" s="168"/>
      <c r="RDG491" s="168"/>
      <c r="RDH491" s="168"/>
      <c r="RDI491" s="168"/>
      <c r="RDJ491" s="168"/>
      <c r="RDK491" s="168"/>
      <c r="RDL491" s="168"/>
      <c r="RDM491" s="168"/>
      <c r="RDN491" s="168"/>
      <c r="RDO491" s="168"/>
      <c r="RDP491" s="168"/>
      <c r="RDQ491" s="168"/>
      <c r="RDR491" s="168"/>
      <c r="RDS491" s="168"/>
      <c r="RDT491" s="168"/>
      <c r="RDU491" s="168"/>
      <c r="RDV491" s="168"/>
      <c r="RDW491" s="168"/>
      <c r="RDX491" s="168"/>
      <c r="RDY491" s="168"/>
      <c r="RDZ491" s="168"/>
      <c r="REA491" s="168"/>
      <c r="REB491" s="168"/>
      <c r="REC491" s="168"/>
      <c r="RED491" s="168"/>
      <c r="REE491" s="168"/>
      <c r="REF491" s="168"/>
      <c r="REG491" s="168"/>
      <c r="REH491" s="168"/>
      <c r="REI491" s="168"/>
      <c r="REJ491" s="168"/>
      <c r="REK491" s="168"/>
      <c r="REL491" s="168"/>
      <c r="REM491" s="168"/>
      <c r="REN491" s="168"/>
      <c r="REO491" s="168"/>
      <c r="REP491" s="168"/>
      <c r="REQ491" s="168"/>
      <c r="RER491" s="168"/>
      <c r="RES491" s="168"/>
      <c r="RET491" s="168"/>
      <c r="REU491" s="168"/>
      <c r="REV491" s="168"/>
      <c r="REW491" s="168"/>
      <c r="REX491" s="168"/>
      <c r="REY491" s="168"/>
      <c r="REZ491" s="168"/>
      <c r="RFA491" s="168"/>
      <c r="RFB491" s="168"/>
      <c r="RFC491" s="168"/>
      <c r="RFD491" s="168"/>
      <c r="RFE491" s="168"/>
      <c r="RFF491" s="168"/>
      <c r="RFG491" s="168"/>
      <c r="RFH491" s="168"/>
      <c r="RFI491" s="168"/>
      <c r="RFJ491" s="168"/>
      <c r="RFK491" s="168"/>
      <c r="RFL491" s="168"/>
      <c r="RFM491" s="168"/>
      <c r="RFN491" s="168"/>
      <c r="RFO491" s="168"/>
      <c r="RFP491" s="168"/>
      <c r="RFQ491" s="168"/>
      <c r="RFR491" s="168"/>
      <c r="RFS491" s="168"/>
      <c r="RFT491" s="168"/>
      <c r="RFU491" s="168"/>
      <c r="RFV491" s="168"/>
      <c r="RFW491" s="168"/>
      <c r="RFX491" s="168"/>
      <c r="RFY491" s="168"/>
      <c r="RFZ491" s="168"/>
      <c r="RGA491" s="168"/>
      <c r="RGB491" s="168"/>
      <c r="RGC491" s="168"/>
      <c r="RGD491" s="168"/>
      <c r="RGE491" s="168"/>
      <c r="RGF491" s="168"/>
      <c r="RGG491" s="168"/>
      <c r="RGH491" s="168"/>
      <c r="RGI491" s="168"/>
      <c r="RGJ491" s="168"/>
      <c r="RGK491" s="168"/>
      <c r="RGL491" s="168"/>
      <c r="RGM491" s="168"/>
      <c r="RGN491" s="168"/>
      <c r="RGO491" s="168"/>
      <c r="RGP491" s="168"/>
      <c r="RGQ491" s="168"/>
      <c r="RGR491" s="168"/>
      <c r="RGS491" s="168"/>
      <c r="RGT491" s="168"/>
      <c r="RGU491" s="168"/>
      <c r="RGV491" s="168"/>
      <c r="RGW491" s="168"/>
      <c r="RGX491" s="168"/>
      <c r="RGY491" s="168"/>
      <c r="RGZ491" s="168"/>
      <c r="RHA491" s="168"/>
      <c r="RHB491" s="168"/>
      <c r="RHC491" s="168"/>
      <c r="RHD491" s="168"/>
      <c r="RHE491" s="168"/>
      <c r="RHF491" s="168"/>
      <c r="RHG491" s="168"/>
      <c r="RHH491" s="168"/>
      <c r="RHI491" s="168"/>
      <c r="RHJ491" s="168"/>
      <c r="RHK491" s="168"/>
      <c r="RHL491" s="168"/>
      <c r="RHM491" s="168"/>
      <c r="RHN491" s="168"/>
      <c r="RHO491" s="168"/>
      <c r="RHP491" s="168"/>
      <c r="RHQ491" s="168"/>
      <c r="RHR491" s="168"/>
      <c r="RHS491" s="168"/>
      <c r="RHT491" s="168"/>
      <c r="RHU491" s="168"/>
      <c r="RHV491" s="168"/>
      <c r="RHW491" s="168"/>
      <c r="RHX491" s="168"/>
      <c r="RHY491" s="168"/>
      <c r="RHZ491" s="168"/>
      <c r="RIA491" s="168"/>
      <c r="RIB491" s="168"/>
      <c r="RIC491" s="168"/>
      <c r="RID491" s="168"/>
      <c r="RIE491" s="168"/>
      <c r="RIF491" s="168"/>
      <c r="RIG491" s="168"/>
      <c r="RIH491" s="168"/>
      <c r="RII491" s="168"/>
      <c r="RIJ491" s="168"/>
      <c r="RIK491" s="168"/>
      <c r="RIL491" s="168"/>
      <c r="RIM491" s="168"/>
      <c r="RIN491" s="168"/>
      <c r="RIO491" s="168"/>
      <c r="RIP491" s="168"/>
      <c r="RIQ491" s="168"/>
      <c r="RIR491" s="168"/>
      <c r="RIS491" s="168"/>
      <c r="RIT491" s="168"/>
      <c r="RIU491" s="168"/>
      <c r="RIV491" s="168"/>
      <c r="RIW491" s="168"/>
      <c r="RIX491" s="168"/>
      <c r="RIY491" s="168"/>
      <c r="RIZ491" s="168"/>
      <c r="RJA491" s="168"/>
      <c r="RJB491" s="168"/>
      <c r="RJC491" s="168"/>
      <c r="RJD491" s="168"/>
      <c r="RJE491" s="168"/>
      <c r="RJF491" s="168"/>
      <c r="RJG491" s="168"/>
      <c r="RJH491" s="168"/>
      <c r="RJI491" s="168"/>
      <c r="RJJ491" s="168"/>
      <c r="RJK491" s="168"/>
      <c r="RJL491" s="168"/>
      <c r="RJM491" s="168"/>
      <c r="RJN491" s="168"/>
      <c r="RJO491" s="168"/>
      <c r="RJP491" s="168"/>
      <c r="RJQ491" s="168"/>
      <c r="RJR491" s="168"/>
      <c r="RJS491" s="168"/>
      <c r="RJT491" s="168"/>
      <c r="RJU491" s="168"/>
      <c r="RJV491" s="168"/>
      <c r="RJW491" s="168"/>
      <c r="RJX491" s="168"/>
      <c r="RJY491" s="168"/>
      <c r="RJZ491" s="168"/>
      <c r="RKA491" s="168"/>
      <c r="RKB491" s="168"/>
      <c r="RKC491" s="168"/>
      <c r="RKD491" s="168"/>
      <c r="RKE491" s="168"/>
      <c r="RKF491" s="168"/>
      <c r="RKG491" s="168"/>
      <c r="RKH491" s="168"/>
      <c r="RKI491" s="168"/>
      <c r="RKJ491" s="168"/>
      <c r="RKK491" s="168"/>
      <c r="RKL491" s="168"/>
      <c r="RKM491" s="168"/>
      <c r="RKN491" s="168"/>
      <c r="RKO491" s="168"/>
      <c r="RKP491" s="168"/>
      <c r="RKQ491" s="168"/>
      <c r="RKR491" s="168"/>
      <c r="RKS491" s="168"/>
      <c r="RKT491" s="168"/>
      <c r="RKU491" s="168"/>
      <c r="RKV491" s="168"/>
      <c r="RKW491" s="168"/>
      <c r="RKX491" s="168"/>
      <c r="RKY491" s="168"/>
      <c r="RKZ491" s="168"/>
      <c r="RLA491" s="168"/>
      <c r="RLB491" s="168"/>
      <c r="RLC491" s="168"/>
      <c r="RLD491" s="168"/>
      <c r="RLE491" s="168"/>
      <c r="RLF491" s="168"/>
      <c r="RLG491" s="168"/>
      <c r="RLH491" s="168"/>
      <c r="RLI491" s="168"/>
      <c r="RLJ491" s="168"/>
      <c r="RLK491" s="168"/>
      <c r="RLL491" s="168"/>
      <c r="RLM491" s="168"/>
      <c r="RLN491" s="168"/>
      <c r="RLO491" s="168"/>
      <c r="RLP491" s="168"/>
      <c r="RLQ491" s="168"/>
      <c r="RLR491" s="168"/>
      <c r="RLS491" s="168"/>
      <c r="RLT491" s="168"/>
      <c r="RLU491" s="168"/>
      <c r="RLV491" s="168"/>
      <c r="RLW491" s="168"/>
      <c r="RLX491" s="168"/>
      <c r="RLY491" s="168"/>
      <c r="RLZ491" s="168"/>
      <c r="RMA491" s="168"/>
      <c r="RMB491" s="168"/>
      <c r="RMC491" s="168"/>
      <c r="RMD491" s="168"/>
      <c r="RME491" s="168"/>
      <c r="RMF491" s="168"/>
      <c r="RMG491" s="168"/>
      <c r="RMH491" s="168"/>
      <c r="RMI491" s="168"/>
      <c r="RMJ491" s="168"/>
      <c r="RMK491" s="168"/>
      <c r="RML491" s="168"/>
      <c r="RMM491" s="168"/>
      <c r="RMN491" s="168"/>
      <c r="RMO491" s="168"/>
      <c r="RMP491" s="168"/>
      <c r="RMQ491" s="168"/>
      <c r="RMR491" s="168"/>
      <c r="RMS491" s="168"/>
      <c r="RMT491" s="168"/>
      <c r="RMU491" s="168"/>
      <c r="RMV491" s="168"/>
      <c r="RMW491" s="168"/>
      <c r="RMX491" s="168"/>
      <c r="RMY491" s="168"/>
      <c r="RMZ491" s="168"/>
      <c r="RNA491" s="168"/>
      <c r="RNB491" s="168"/>
      <c r="RNC491" s="168"/>
      <c r="RND491" s="168"/>
      <c r="RNE491" s="168"/>
      <c r="RNF491" s="168"/>
      <c r="RNG491" s="168"/>
      <c r="RNH491" s="168"/>
      <c r="RNI491" s="168"/>
      <c r="RNJ491" s="168"/>
      <c r="RNK491" s="168"/>
      <c r="RNL491" s="168"/>
      <c r="RNM491" s="168"/>
      <c r="RNN491" s="168"/>
      <c r="RNO491" s="168"/>
      <c r="RNP491" s="168"/>
      <c r="RNQ491" s="168"/>
      <c r="RNR491" s="168"/>
      <c r="RNS491" s="168"/>
      <c r="RNT491" s="168"/>
      <c r="RNU491" s="168"/>
      <c r="RNV491" s="168"/>
      <c r="RNW491" s="168"/>
      <c r="RNX491" s="168"/>
      <c r="RNY491" s="168"/>
      <c r="RNZ491" s="168"/>
      <c r="ROA491" s="168"/>
      <c r="ROB491" s="168"/>
      <c r="ROC491" s="168"/>
      <c r="ROD491" s="168"/>
      <c r="ROE491" s="168"/>
      <c r="ROF491" s="168"/>
      <c r="ROG491" s="168"/>
      <c r="ROH491" s="168"/>
      <c r="ROI491" s="168"/>
      <c r="ROJ491" s="168"/>
      <c r="ROK491" s="168"/>
      <c r="ROL491" s="168"/>
      <c r="ROM491" s="168"/>
      <c r="RON491" s="168"/>
      <c r="ROO491" s="168"/>
      <c r="ROP491" s="168"/>
      <c r="ROQ491" s="168"/>
      <c r="ROR491" s="168"/>
      <c r="ROS491" s="168"/>
      <c r="ROT491" s="168"/>
      <c r="ROU491" s="168"/>
      <c r="ROV491" s="168"/>
      <c r="ROW491" s="168"/>
      <c r="ROX491" s="168"/>
      <c r="ROY491" s="168"/>
      <c r="ROZ491" s="168"/>
      <c r="RPA491" s="168"/>
      <c r="RPB491" s="168"/>
      <c r="RPC491" s="168"/>
      <c r="RPD491" s="168"/>
      <c r="RPE491" s="168"/>
      <c r="RPF491" s="168"/>
      <c r="RPG491" s="168"/>
      <c r="RPH491" s="168"/>
      <c r="RPI491" s="168"/>
      <c r="RPJ491" s="168"/>
      <c r="RPK491" s="168"/>
      <c r="RPL491" s="168"/>
      <c r="RPM491" s="168"/>
      <c r="RPN491" s="168"/>
      <c r="RPO491" s="168"/>
      <c r="RPP491" s="168"/>
      <c r="RPQ491" s="168"/>
      <c r="RPR491" s="168"/>
      <c r="RPS491" s="168"/>
      <c r="RPT491" s="168"/>
      <c r="RPU491" s="168"/>
      <c r="RPV491" s="168"/>
      <c r="RPW491" s="168"/>
      <c r="RPX491" s="168"/>
      <c r="RPY491" s="168"/>
      <c r="RPZ491" s="168"/>
      <c r="RQA491" s="168"/>
      <c r="RQB491" s="168"/>
      <c r="RQC491" s="168"/>
      <c r="RQD491" s="168"/>
      <c r="RQE491" s="168"/>
      <c r="RQF491" s="168"/>
      <c r="RQG491" s="168"/>
      <c r="RQH491" s="168"/>
      <c r="RQI491" s="168"/>
      <c r="RQJ491" s="168"/>
      <c r="RQK491" s="168"/>
      <c r="RQL491" s="168"/>
      <c r="RQM491" s="168"/>
      <c r="RQN491" s="168"/>
      <c r="RQO491" s="168"/>
      <c r="RQP491" s="168"/>
      <c r="RQQ491" s="168"/>
      <c r="RQR491" s="168"/>
      <c r="RQS491" s="168"/>
      <c r="RQT491" s="168"/>
      <c r="RQU491" s="168"/>
      <c r="RQV491" s="168"/>
      <c r="RQW491" s="168"/>
      <c r="RQX491" s="168"/>
      <c r="RQY491" s="168"/>
      <c r="RQZ491" s="168"/>
      <c r="RRA491" s="168"/>
      <c r="RRB491" s="168"/>
      <c r="RRC491" s="168"/>
      <c r="RRD491" s="168"/>
      <c r="RRE491" s="168"/>
      <c r="RRF491" s="168"/>
      <c r="RRG491" s="168"/>
      <c r="RRH491" s="168"/>
      <c r="RRI491" s="168"/>
      <c r="RRJ491" s="168"/>
      <c r="RRK491" s="168"/>
      <c r="RRL491" s="168"/>
      <c r="RRM491" s="168"/>
      <c r="RRN491" s="168"/>
      <c r="RRO491" s="168"/>
      <c r="RRP491" s="168"/>
      <c r="RRQ491" s="168"/>
      <c r="RRR491" s="168"/>
      <c r="RRS491" s="168"/>
      <c r="RRT491" s="168"/>
      <c r="RRU491" s="168"/>
      <c r="RRV491" s="168"/>
      <c r="RRW491" s="168"/>
      <c r="RRX491" s="168"/>
      <c r="RRY491" s="168"/>
      <c r="RRZ491" s="168"/>
      <c r="RSA491" s="168"/>
      <c r="RSB491" s="168"/>
      <c r="RSC491" s="168"/>
      <c r="RSD491" s="168"/>
      <c r="RSE491" s="168"/>
      <c r="RSF491" s="168"/>
      <c r="RSG491" s="168"/>
      <c r="RSH491" s="168"/>
      <c r="RSI491" s="168"/>
      <c r="RSJ491" s="168"/>
      <c r="RSK491" s="168"/>
      <c r="RSL491" s="168"/>
      <c r="RSM491" s="168"/>
      <c r="RSN491" s="168"/>
      <c r="RSO491" s="168"/>
      <c r="RSP491" s="168"/>
      <c r="RSQ491" s="168"/>
      <c r="RSR491" s="168"/>
      <c r="RSS491" s="168"/>
      <c r="RST491" s="168"/>
      <c r="RSU491" s="168"/>
      <c r="RSV491" s="168"/>
      <c r="RSW491" s="168"/>
      <c r="RSX491" s="168"/>
      <c r="RSY491" s="168"/>
      <c r="RSZ491" s="168"/>
      <c r="RTA491" s="168"/>
      <c r="RTB491" s="168"/>
      <c r="RTC491" s="168"/>
      <c r="RTD491" s="168"/>
      <c r="RTE491" s="168"/>
      <c r="RTF491" s="168"/>
      <c r="RTG491" s="168"/>
      <c r="RTH491" s="168"/>
      <c r="RTI491" s="168"/>
      <c r="RTJ491" s="168"/>
      <c r="RTK491" s="168"/>
      <c r="RTL491" s="168"/>
      <c r="RTM491" s="168"/>
      <c r="RTN491" s="168"/>
      <c r="RTO491" s="168"/>
      <c r="RTP491" s="168"/>
      <c r="RTQ491" s="168"/>
      <c r="RTR491" s="168"/>
      <c r="RTS491" s="168"/>
      <c r="RTT491" s="168"/>
      <c r="RTU491" s="168"/>
      <c r="RTV491" s="168"/>
      <c r="RTW491" s="168"/>
      <c r="RTX491" s="168"/>
      <c r="RTY491" s="168"/>
      <c r="RTZ491" s="168"/>
      <c r="RUA491" s="168"/>
      <c r="RUB491" s="168"/>
      <c r="RUC491" s="168"/>
      <c r="RUD491" s="168"/>
      <c r="RUE491" s="168"/>
      <c r="RUF491" s="168"/>
      <c r="RUG491" s="168"/>
      <c r="RUH491" s="168"/>
      <c r="RUI491" s="168"/>
      <c r="RUJ491" s="168"/>
      <c r="RUK491" s="168"/>
      <c r="RUL491" s="168"/>
      <c r="RUM491" s="168"/>
      <c r="RUN491" s="168"/>
      <c r="RUO491" s="168"/>
      <c r="RUP491" s="168"/>
      <c r="RUQ491" s="168"/>
      <c r="RUR491" s="168"/>
      <c r="RUS491" s="168"/>
      <c r="RUT491" s="168"/>
      <c r="RUU491" s="168"/>
      <c r="RUV491" s="168"/>
      <c r="RUW491" s="168"/>
      <c r="RUX491" s="168"/>
      <c r="RUY491" s="168"/>
      <c r="RUZ491" s="168"/>
      <c r="RVA491" s="168"/>
      <c r="RVB491" s="168"/>
      <c r="RVC491" s="168"/>
      <c r="RVD491" s="168"/>
      <c r="RVE491" s="168"/>
      <c r="RVF491" s="168"/>
      <c r="RVG491" s="168"/>
      <c r="RVH491" s="168"/>
      <c r="RVI491" s="168"/>
      <c r="RVJ491" s="168"/>
      <c r="RVK491" s="168"/>
      <c r="RVL491" s="168"/>
      <c r="RVM491" s="168"/>
      <c r="RVN491" s="168"/>
      <c r="RVO491" s="168"/>
      <c r="RVP491" s="168"/>
      <c r="RVQ491" s="168"/>
      <c r="RVR491" s="168"/>
      <c r="RVS491" s="168"/>
      <c r="RVT491" s="168"/>
      <c r="RVU491" s="168"/>
      <c r="RVV491" s="168"/>
      <c r="RVW491" s="168"/>
      <c r="RVX491" s="168"/>
      <c r="RVY491" s="168"/>
      <c r="RVZ491" s="168"/>
      <c r="RWA491" s="168"/>
      <c r="RWB491" s="168"/>
      <c r="RWC491" s="168"/>
      <c r="RWD491" s="168"/>
      <c r="RWE491" s="168"/>
      <c r="RWF491" s="168"/>
      <c r="RWG491" s="168"/>
      <c r="RWH491" s="168"/>
      <c r="RWI491" s="168"/>
      <c r="RWJ491" s="168"/>
      <c r="RWK491" s="168"/>
      <c r="RWL491" s="168"/>
      <c r="RWM491" s="168"/>
      <c r="RWN491" s="168"/>
      <c r="RWO491" s="168"/>
      <c r="RWP491" s="168"/>
      <c r="RWQ491" s="168"/>
      <c r="RWR491" s="168"/>
      <c r="RWS491" s="168"/>
      <c r="RWT491" s="168"/>
      <c r="RWU491" s="168"/>
      <c r="RWV491" s="168"/>
      <c r="RWW491" s="168"/>
      <c r="RWX491" s="168"/>
      <c r="RWY491" s="168"/>
      <c r="RWZ491" s="168"/>
      <c r="RXA491" s="168"/>
      <c r="RXB491" s="168"/>
      <c r="RXC491" s="168"/>
      <c r="RXD491" s="168"/>
      <c r="RXE491" s="168"/>
      <c r="RXF491" s="168"/>
      <c r="RXG491" s="168"/>
      <c r="RXH491" s="168"/>
      <c r="RXI491" s="168"/>
      <c r="RXJ491" s="168"/>
      <c r="RXK491" s="168"/>
      <c r="RXL491" s="168"/>
      <c r="RXM491" s="168"/>
      <c r="RXN491" s="168"/>
      <c r="RXO491" s="168"/>
      <c r="RXP491" s="168"/>
      <c r="RXQ491" s="168"/>
      <c r="RXR491" s="168"/>
      <c r="RXS491" s="168"/>
      <c r="RXT491" s="168"/>
      <c r="RXU491" s="168"/>
      <c r="RXV491" s="168"/>
      <c r="RXW491" s="168"/>
      <c r="RXX491" s="168"/>
      <c r="RXY491" s="168"/>
      <c r="RXZ491" s="168"/>
      <c r="RYA491" s="168"/>
      <c r="RYB491" s="168"/>
      <c r="RYC491" s="168"/>
      <c r="RYD491" s="168"/>
      <c r="RYE491" s="168"/>
      <c r="RYF491" s="168"/>
      <c r="RYG491" s="168"/>
      <c r="RYH491" s="168"/>
      <c r="RYI491" s="168"/>
      <c r="RYJ491" s="168"/>
      <c r="RYK491" s="168"/>
      <c r="RYL491" s="168"/>
      <c r="RYM491" s="168"/>
      <c r="RYN491" s="168"/>
      <c r="RYO491" s="168"/>
      <c r="RYP491" s="168"/>
      <c r="RYQ491" s="168"/>
      <c r="RYR491" s="168"/>
      <c r="RYS491" s="168"/>
      <c r="RYT491" s="168"/>
      <c r="RYU491" s="168"/>
      <c r="RYV491" s="168"/>
      <c r="RYW491" s="168"/>
      <c r="RYX491" s="168"/>
      <c r="RYY491" s="168"/>
      <c r="RYZ491" s="168"/>
      <c r="RZA491" s="168"/>
      <c r="RZB491" s="168"/>
      <c r="RZC491" s="168"/>
      <c r="RZD491" s="168"/>
      <c r="RZE491" s="168"/>
      <c r="RZF491" s="168"/>
      <c r="RZG491" s="168"/>
      <c r="RZH491" s="168"/>
      <c r="RZI491" s="168"/>
      <c r="RZJ491" s="168"/>
      <c r="RZK491" s="168"/>
      <c r="RZL491" s="168"/>
      <c r="RZM491" s="168"/>
      <c r="RZN491" s="168"/>
      <c r="RZO491" s="168"/>
      <c r="RZP491" s="168"/>
      <c r="RZQ491" s="168"/>
      <c r="RZR491" s="168"/>
      <c r="RZS491" s="168"/>
      <c r="RZT491" s="168"/>
      <c r="RZU491" s="168"/>
      <c r="RZV491" s="168"/>
      <c r="RZW491" s="168"/>
      <c r="RZX491" s="168"/>
      <c r="RZY491" s="168"/>
      <c r="RZZ491" s="168"/>
      <c r="SAA491" s="168"/>
      <c r="SAB491" s="168"/>
      <c r="SAC491" s="168"/>
      <c r="SAD491" s="168"/>
      <c r="SAE491" s="168"/>
      <c r="SAF491" s="168"/>
      <c r="SAG491" s="168"/>
      <c r="SAH491" s="168"/>
      <c r="SAI491" s="168"/>
      <c r="SAJ491" s="168"/>
      <c r="SAK491" s="168"/>
      <c r="SAL491" s="168"/>
      <c r="SAM491" s="168"/>
      <c r="SAN491" s="168"/>
      <c r="SAO491" s="168"/>
      <c r="SAP491" s="168"/>
      <c r="SAQ491" s="168"/>
      <c r="SAR491" s="168"/>
      <c r="SAS491" s="168"/>
      <c r="SAT491" s="168"/>
      <c r="SAU491" s="168"/>
      <c r="SAV491" s="168"/>
      <c r="SAW491" s="168"/>
      <c r="SAX491" s="168"/>
      <c r="SAY491" s="168"/>
      <c r="SAZ491" s="168"/>
      <c r="SBA491" s="168"/>
      <c r="SBB491" s="168"/>
      <c r="SBC491" s="168"/>
      <c r="SBD491" s="168"/>
      <c r="SBE491" s="168"/>
      <c r="SBF491" s="168"/>
      <c r="SBG491" s="168"/>
      <c r="SBH491" s="168"/>
      <c r="SBI491" s="168"/>
      <c r="SBJ491" s="168"/>
      <c r="SBK491" s="168"/>
      <c r="SBL491" s="168"/>
      <c r="SBM491" s="168"/>
      <c r="SBN491" s="168"/>
      <c r="SBO491" s="168"/>
      <c r="SBP491" s="168"/>
      <c r="SBQ491" s="168"/>
      <c r="SBR491" s="168"/>
      <c r="SBS491" s="168"/>
      <c r="SBT491" s="168"/>
      <c r="SBU491" s="168"/>
      <c r="SBV491" s="168"/>
      <c r="SBW491" s="168"/>
      <c r="SBX491" s="168"/>
      <c r="SBY491" s="168"/>
      <c r="SBZ491" s="168"/>
      <c r="SCA491" s="168"/>
      <c r="SCB491" s="168"/>
      <c r="SCC491" s="168"/>
      <c r="SCD491" s="168"/>
      <c r="SCE491" s="168"/>
      <c r="SCF491" s="168"/>
      <c r="SCG491" s="168"/>
      <c r="SCH491" s="168"/>
      <c r="SCI491" s="168"/>
      <c r="SCJ491" s="168"/>
      <c r="SCK491" s="168"/>
      <c r="SCL491" s="168"/>
      <c r="SCM491" s="168"/>
      <c r="SCN491" s="168"/>
      <c r="SCO491" s="168"/>
      <c r="SCP491" s="168"/>
      <c r="SCQ491" s="168"/>
      <c r="SCR491" s="168"/>
      <c r="SCS491" s="168"/>
      <c r="SCT491" s="168"/>
      <c r="SCU491" s="168"/>
      <c r="SCV491" s="168"/>
      <c r="SCW491" s="168"/>
      <c r="SCX491" s="168"/>
      <c r="SCY491" s="168"/>
      <c r="SCZ491" s="168"/>
      <c r="SDA491" s="168"/>
      <c r="SDB491" s="168"/>
      <c r="SDC491" s="168"/>
      <c r="SDD491" s="168"/>
      <c r="SDE491" s="168"/>
      <c r="SDF491" s="168"/>
      <c r="SDG491" s="168"/>
      <c r="SDH491" s="168"/>
      <c r="SDI491" s="168"/>
      <c r="SDJ491" s="168"/>
      <c r="SDK491" s="168"/>
      <c r="SDL491" s="168"/>
      <c r="SDM491" s="168"/>
      <c r="SDN491" s="168"/>
      <c r="SDO491" s="168"/>
      <c r="SDP491" s="168"/>
      <c r="SDQ491" s="168"/>
      <c r="SDR491" s="168"/>
      <c r="SDS491" s="168"/>
      <c r="SDT491" s="168"/>
      <c r="SDU491" s="168"/>
      <c r="SDV491" s="168"/>
      <c r="SDW491" s="168"/>
      <c r="SDX491" s="168"/>
      <c r="SDY491" s="168"/>
      <c r="SDZ491" s="168"/>
      <c r="SEA491" s="168"/>
      <c r="SEB491" s="168"/>
      <c r="SEC491" s="168"/>
      <c r="SED491" s="168"/>
      <c r="SEE491" s="168"/>
      <c r="SEF491" s="168"/>
      <c r="SEG491" s="168"/>
      <c r="SEH491" s="168"/>
      <c r="SEI491" s="168"/>
      <c r="SEJ491" s="168"/>
      <c r="SEK491" s="168"/>
      <c r="SEL491" s="168"/>
      <c r="SEM491" s="168"/>
      <c r="SEN491" s="168"/>
      <c r="SEO491" s="168"/>
      <c r="SEP491" s="168"/>
      <c r="SEQ491" s="168"/>
      <c r="SER491" s="168"/>
      <c r="SES491" s="168"/>
      <c r="SET491" s="168"/>
      <c r="SEU491" s="168"/>
      <c r="SEV491" s="168"/>
      <c r="SEW491" s="168"/>
      <c r="SEX491" s="168"/>
      <c r="SEY491" s="168"/>
      <c r="SEZ491" s="168"/>
      <c r="SFA491" s="168"/>
      <c r="SFB491" s="168"/>
      <c r="SFC491" s="168"/>
      <c r="SFD491" s="168"/>
      <c r="SFE491" s="168"/>
      <c r="SFF491" s="168"/>
      <c r="SFG491" s="168"/>
      <c r="SFH491" s="168"/>
      <c r="SFI491" s="168"/>
      <c r="SFJ491" s="168"/>
      <c r="SFK491" s="168"/>
      <c r="SFL491" s="168"/>
      <c r="SFM491" s="168"/>
      <c r="SFN491" s="168"/>
      <c r="SFO491" s="168"/>
      <c r="SFP491" s="168"/>
      <c r="SFQ491" s="168"/>
      <c r="SFR491" s="168"/>
      <c r="SFS491" s="168"/>
      <c r="SFT491" s="168"/>
      <c r="SFU491" s="168"/>
      <c r="SFV491" s="168"/>
      <c r="SFW491" s="168"/>
      <c r="SFX491" s="168"/>
      <c r="SFY491" s="168"/>
      <c r="SFZ491" s="168"/>
      <c r="SGA491" s="168"/>
      <c r="SGB491" s="168"/>
      <c r="SGC491" s="168"/>
      <c r="SGD491" s="168"/>
      <c r="SGE491" s="168"/>
      <c r="SGF491" s="168"/>
      <c r="SGG491" s="168"/>
      <c r="SGH491" s="168"/>
      <c r="SGI491" s="168"/>
      <c r="SGJ491" s="168"/>
      <c r="SGK491" s="168"/>
      <c r="SGL491" s="168"/>
      <c r="SGM491" s="168"/>
      <c r="SGN491" s="168"/>
      <c r="SGO491" s="168"/>
      <c r="SGP491" s="168"/>
      <c r="SGQ491" s="168"/>
      <c r="SGR491" s="168"/>
      <c r="SGS491" s="168"/>
      <c r="SGT491" s="168"/>
      <c r="SGU491" s="168"/>
      <c r="SGV491" s="168"/>
      <c r="SGW491" s="168"/>
      <c r="SGX491" s="168"/>
      <c r="SGY491" s="168"/>
      <c r="SGZ491" s="168"/>
      <c r="SHA491" s="168"/>
      <c r="SHB491" s="168"/>
      <c r="SHC491" s="168"/>
      <c r="SHD491" s="168"/>
      <c r="SHE491" s="168"/>
      <c r="SHF491" s="168"/>
      <c r="SHG491" s="168"/>
      <c r="SHH491" s="168"/>
      <c r="SHI491" s="168"/>
      <c r="SHJ491" s="168"/>
      <c r="SHK491" s="168"/>
      <c r="SHL491" s="168"/>
      <c r="SHM491" s="168"/>
      <c r="SHN491" s="168"/>
      <c r="SHO491" s="168"/>
      <c r="SHP491" s="168"/>
      <c r="SHQ491" s="168"/>
      <c r="SHR491" s="168"/>
      <c r="SHS491" s="168"/>
      <c r="SHT491" s="168"/>
      <c r="SHU491" s="168"/>
      <c r="SHV491" s="168"/>
      <c r="SHW491" s="168"/>
      <c r="SHX491" s="168"/>
      <c r="SHY491" s="168"/>
      <c r="SHZ491" s="168"/>
      <c r="SIA491" s="168"/>
      <c r="SIB491" s="168"/>
      <c r="SIC491" s="168"/>
      <c r="SID491" s="168"/>
      <c r="SIE491" s="168"/>
      <c r="SIF491" s="168"/>
      <c r="SIG491" s="168"/>
      <c r="SIH491" s="168"/>
      <c r="SII491" s="168"/>
      <c r="SIJ491" s="168"/>
      <c r="SIK491" s="168"/>
      <c r="SIL491" s="168"/>
      <c r="SIM491" s="168"/>
      <c r="SIN491" s="168"/>
      <c r="SIO491" s="168"/>
      <c r="SIP491" s="168"/>
      <c r="SIQ491" s="168"/>
      <c r="SIR491" s="168"/>
      <c r="SIS491" s="168"/>
      <c r="SIT491" s="168"/>
      <c r="SIU491" s="168"/>
      <c r="SIV491" s="168"/>
      <c r="SIW491" s="168"/>
      <c r="SIX491" s="168"/>
      <c r="SIY491" s="168"/>
      <c r="SIZ491" s="168"/>
      <c r="SJA491" s="168"/>
      <c r="SJB491" s="168"/>
      <c r="SJC491" s="168"/>
      <c r="SJD491" s="168"/>
      <c r="SJE491" s="168"/>
      <c r="SJF491" s="168"/>
      <c r="SJG491" s="168"/>
      <c r="SJH491" s="168"/>
      <c r="SJI491" s="168"/>
      <c r="SJJ491" s="168"/>
      <c r="SJK491" s="168"/>
      <c r="SJL491" s="168"/>
      <c r="SJM491" s="168"/>
      <c r="SJN491" s="168"/>
      <c r="SJO491" s="168"/>
      <c r="SJP491" s="168"/>
      <c r="SJQ491" s="168"/>
      <c r="SJR491" s="168"/>
      <c r="SJS491" s="168"/>
      <c r="SJT491" s="168"/>
      <c r="SJU491" s="168"/>
      <c r="SJV491" s="168"/>
      <c r="SJW491" s="168"/>
      <c r="SJX491" s="168"/>
      <c r="SJY491" s="168"/>
      <c r="SJZ491" s="168"/>
      <c r="SKA491" s="168"/>
      <c r="SKB491" s="168"/>
      <c r="SKC491" s="168"/>
      <c r="SKD491" s="168"/>
      <c r="SKE491" s="168"/>
      <c r="SKF491" s="168"/>
      <c r="SKG491" s="168"/>
      <c r="SKH491" s="168"/>
      <c r="SKI491" s="168"/>
      <c r="SKJ491" s="168"/>
      <c r="SKK491" s="168"/>
      <c r="SKL491" s="168"/>
      <c r="SKM491" s="168"/>
      <c r="SKN491" s="168"/>
      <c r="SKO491" s="168"/>
      <c r="SKP491" s="168"/>
      <c r="SKQ491" s="168"/>
      <c r="SKR491" s="168"/>
      <c r="SKS491" s="168"/>
      <c r="SKT491" s="168"/>
      <c r="SKU491" s="168"/>
      <c r="SKV491" s="168"/>
      <c r="SKW491" s="168"/>
      <c r="SKX491" s="168"/>
      <c r="SKY491" s="168"/>
      <c r="SKZ491" s="168"/>
      <c r="SLA491" s="168"/>
      <c r="SLB491" s="168"/>
      <c r="SLC491" s="168"/>
      <c r="SLD491" s="168"/>
      <c r="SLE491" s="168"/>
      <c r="SLF491" s="168"/>
      <c r="SLG491" s="168"/>
      <c r="SLH491" s="168"/>
      <c r="SLI491" s="168"/>
      <c r="SLJ491" s="168"/>
      <c r="SLK491" s="168"/>
      <c r="SLL491" s="168"/>
      <c r="SLM491" s="168"/>
      <c r="SLN491" s="168"/>
      <c r="SLO491" s="168"/>
      <c r="SLP491" s="168"/>
      <c r="SLQ491" s="168"/>
      <c r="SLR491" s="168"/>
      <c r="SLS491" s="168"/>
      <c r="SLT491" s="168"/>
      <c r="SLU491" s="168"/>
      <c r="SLV491" s="168"/>
      <c r="SLW491" s="168"/>
      <c r="SLX491" s="168"/>
      <c r="SLY491" s="168"/>
      <c r="SLZ491" s="168"/>
      <c r="SMA491" s="168"/>
      <c r="SMB491" s="168"/>
      <c r="SMC491" s="168"/>
      <c r="SMD491" s="168"/>
      <c r="SME491" s="168"/>
      <c r="SMF491" s="168"/>
      <c r="SMG491" s="168"/>
      <c r="SMH491" s="168"/>
      <c r="SMI491" s="168"/>
      <c r="SMJ491" s="168"/>
      <c r="SMK491" s="168"/>
      <c r="SML491" s="168"/>
      <c r="SMM491" s="168"/>
      <c r="SMN491" s="168"/>
      <c r="SMO491" s="168"/>
      <c r="SMP491" s="168"/>
      <c r="SMQ491" s="168"/>
      <c r="SMR491" s="168"/>
      <c r="SMS491" s="168"/>
      <c r="SMT491" s="168"/>
      <c r="SMU491" s="168"/>
      <c r="SMV491" s="168"/>
      <c r="SMW491" s="168"/>
      <c r="SMX491" s="168"/>
      <c r="SMY491" s="168"/>
      <c r="SMZ491" s="168"/>
      <c r="SNA491" s="168"/>
      <c r="SNB491" s="168"/>
      <c r="SNC491" s="168"/>
      <c r="SND491" s="168"/>
      <c r="SNE491" s="168"/>
      <c r="SNF491" s="168"/>
      <c r="SNG491" s="168"/>
      <c r="SNH491" s="168"/>
      <c r="SNI491" s="168"/>
      <c r="SNJ491" s="168"/>
      <c r="SNK491" s="168"/>
      <c r="SNL491" s="168"/>
      <c r="SNM491" s="168"/>
      <c r="SNN491" s="168"/>
      <c r="SNO491" s="168"/>
      <c r="SNP491" s="168"/>
      <c r="SNQ491" s="168"/>
      <c r="SNR491" s="168"/>
      <c r="SNS491" s="168"/>
      <c r="SNT491" s="168"/>
      <c r="SNU491" s="168"/>
      <c r="SNV491" s="168"/>
      <c r="SNW491" s="168"/>
      <c r="SNX491" s="168"/>
      <c r="SNY491" s="168"/>
      <c r="SNZ491" s="168"/>
      <c r="SOA491" s="168"/>
      <c r="SOB491" s="168"/>
      <c r="SOC491" s="168"/>
      <c r="SOD491" s="168"/>
      <c r="SOE491" s="168"/>
      <c r="SOF491" s="168"/>
      <c r="SOG491" s="168"/>
      <c r="SOH491" s="168"/>
      <c r="SOI491" s="168"/>
      <c r="SOJ491" s="168"/>
      <c r="SOK491" s="168"/>
      <c r="SOL491" s="168"/>
      <c r="SOM491" s="168"/>
      <c r="SON491" s="168"/>
      <c r="SOO491" s="168"/>
      <c r="SOP491" s="168"/>
      <c r="SOQ491" s="168"/>
      <c r="SOR491" s="168"/>
      <c r="SOS491" s="168"/>
      <c r="SOT491" s="168"/>
      <c r="SOU491" s="168"/>
      <c r="SOV491" s="168"/>
      <c r="SOW491" s="168"/>
      <c r="SOX491" s="168"/>
      <c r="SOY491" s="168"/>
      <c r="SOZ491" s="168"/>
      <c r="SPA491" s="168"/>
      <c r="SPB491" s="168"/>
      <c r="SPC491" s="168"/>
      <c r="SPD491" s="168"/>
      <c r="SPE491" s="168"/>
      <c r="SPF491" s="168"/>
      <c r="SPG491" s="168"/>
      <c r="SPH491" s="168"/>
      <c r="SPI491" s="168"/>
      <c r="SPJ491" s="168"/>
      <c r="SPK491" s="168"/>
      <c r="SPL491" s="168"/>
      <c r="SPM491" s="168"/>
      <c r="SPN491" s="168"/>
      <c r="SPO491" s="168"/>
      <c r="SPP491" s="168"/>
      <c r="SPQ491" s="168"/>
      <c r="SPR491" s="168"/>
      <c r="SPS491" s="168"/>
      <c r="SPT491" s="168"/>
      <c r="SPU491" s="168"/>
      <c r="SPV491" s="168"/>
      <c r="SPW491" s="168"/>
      <c r="SPX491" s="168"/>
      <c r="SPY491" s="168"/>
      <c r="SPZ491" s="168"/>
      <c r="SQA491" s="168"/>
      <c r="SQB491" s="168"/>
      <c r="SQC491" s="168"/>
      <c r="SQD491" s="168"/>
      <c r="SQE491" s="168"/>
      <c r="SQF491" s="168"/>
      <c r="SQG491" s="168"/>
      <c r="SQH491" s="168"/>
      <c r="SQI491" s="168"/>
      <c r="SQJ491" s="168"/>
      <c r="SQK491" s="168"/>
      <c r="SQL491" s="168"/>
      <c r="SQM491" s="168"/>
      <c r="SQN491" s="168"/>
      <c r="SQO491" s="168"/>
      <c r="SQP491" s="168"/>
      <c r="SQQ491" s="168"/>
      <c r="SQR491" s="168"/>
      <c r="SQS491" s="168"/>
      <c r="SQT491" s="168"/>
      <c r="SQU491" s="168"/>
      <c r="SQV491" s="168"/>
      <c r="SQW491" s="168"/>
      <c r="SQX491" s="168"/>
      <c r="SQY491" s="168"/>
      <c r="SQZ491" s="168"/>
      <c r="SRA491" s="168"/>
      <c r="SRB491" s="168"/>
      <c r="SRC491" s="168"/>
      <c r="SRD491" s="168"/>
      <c r="SRE491" s="168"/>
      <c r="SRF491" s="168"/>
      <c r="SRG491" s="168"/>
      <c r="SRH491" s="168"/>
      <c r="SRI491" s="168"/>
      <c r="SRJ491" s="168"/>
      <c r="SRK491" s="168"/>
      <c r="SRL491" s="168"/>
      <c r="SRM491" s="168"/>
      <c r="SRN491" s="168"/>
      <c r="SRO491" s="168"/>
      <c r="SRP491" s="168"/>
      <c r="SRQ491" s="168"/>
      <c r="SRR491" s="168"/>
      <c r="SRS491" s="168"/>
      <c r="SRT491" s="168"/>
      <c r="SRU491" s="168"/>
      <c r="SRV491" s="168"/>
      <c r="SRW491" s="168"/>
      <c r="SRX491" s="168"/>
      <c r="SRY491" s="168"/>
      <c r="SRZ491" s="168"/>
      <c r="SSA491" s="168"/>
      <c r="SSB491" s="168"/>
      <c r="SSC491" s="168"/>
      <c r="SSD491" s="168"/>
      <c r="SSE491" s="168"/>
      <c r="SSF491" s="168"/>
      <c r="SSG491" s="168"/>
      <c r="SSH491" s="168"/>
      <c r="SSI491" s="168"/>
      <c r="SSJ491" s="168"/>
      <c r="SSK491" s="168"/>
      <c r="SSL491" s="168"/>
      <c r="SSM491" s="168"/>
      <c r="SSN491" s="168"/>
      <c r="SSO491" s="168"/>
      <c r="SSP491" s="168"/>
      <c r="SSQ491" s="168"/>
      <c r="SSR491" s="168"/>
      <c r="SSS491" s="168"/>
      <c r="SST491" s="168"/>
      <c r="SSU491" s="168"/>
      <c r="SSV491" s="168"/>
      <c r="SSW491" s="168"/>
      <c r="SSX491" s="168"/>
      <c r="SSY491" s="168"/>
      <c r="SSZ491" s="168"/>
      <c r="STA491" s="168"/>
      <c r="STB491" s="168"/>
      <c r="STC491" s="168"/>
      <c r="STD491" s="168"/>
      <c r="STE491" s="168"/>
      <c r="STF491" s="168"/>
      <c r="STG491" s="168"/>
      <c r="STH491" s="168"/>
      <c r="STI491" s="168"/>
      <c r="STJ491" s="168"/>
      <c r="STK491" s="168"/>
      <c r="STL491" s="168"/>
      <c r="STM491" s="168"/>
      <c r="STN491" s="168"/>
      <c r="STO491" s="168"/>
      <c r="STP491" s="168"/>
      <c r="STQ491" s="168"/>
      <c r="STR491" s="168"/>
      <c r="STS491" s="168"/>
      <c r="STT491" s="168"/>
      <c r="STU491" s="168"/>
      <c r="STV491" s="168"/>
      <c r="STW491" s="168"/>
      <c r="STX491" s="168"/>
      <c r="STY491" s="168"/>
      <c r="STZ491" s="168"/>
      <c r="SUA491" s="168"/>
      <c r="SUB491" s="168"/>
      <c r="SUC491" s="168"/>
      <c r="SUD491" s="168"/>
      <c r="SUE491" s="168"/>
      <c r="SUF491" s="168"/>
      <c r="SUG491" s="168"/>
      <c r="SUH491" s="168"/>
      <c r="SUI491" s="168"/>
      <c r="SUJ491" s="168"/>
      <c r="SUK491" s="168"/>
      <c r="SUL491" s="168"/>
      <c r="SUM491" s="168"/>
      <c r="SUN491" s="168"/>
      <c r="SUO491" s="168"/>
      <c r="SUP491" s="168"/>
      <c r="SUQ491" s="168"/>
      <c r="SUR491" s="168"/>
      <c r="SUS491" s="168"/>
      <c r="SUT491" s="168"/>
      <c r="SUU491" s="168"/>
      <c r="SUV491" s="168"/>
      <c r="SUW491" s="168"/>
      <c r="SUX491" s="168"/>
      <c r="SUY491" s="168"/>
      <c r="SUZ491" s="168"/>
      <c r="SVA491" s="168"/>
      <c r="SVB491" s="168"/>
      <c r="SVC491" s="168"/>
      <c r="SVD491" s="168"/>
      <c r="SVE491" s="168"/>
      <c r="SVF491" s="168"/>
      <c r="SVG491" s="168"/>
      <c r="SVH491" s="168"/>
      <c r="SVI491" s="168"/>
      <c r="SVJ491" s="168"/>
      <c r="SVK491" s="168"/>
      <c r="SVL491" s="168"/>
      <c r="SVM491" s="168"/>
      <c r="SVN491" s="168"/>
      <c r="SVO491" s="168"/>
      <c r="SVP491" s="168"/>
      <c r="SVQ491" s="168"/>
      <c r="SVR491" s="168"/>
      <c r="SVS491" s="168"/>
      <c r="SVT491" s="168"/>
      <c r="SVU491" s="168"/>
      <c r="SVV491" s="168"/>
      <c r="SVW491" s="168"/>
      <c r="SVX491" s="168"/>
      <c r="SVY491" s="168"/>
      <c r="SVZ491" s="168"/>
      <c r="SWA491" s="168"/>
      <c r="SWB491" s="168"/>
      <c r="SWC491" s="168"/>
      <c r="SWD491" s="168"/>
      <c r="SWE491" s="168"/>
      <c r="SWF491" s="168"/>
      <c r="SWG491" s="168"/>
      <c r="SWH491" s="168"/>
      <c r="SWI491" s="168"/>
      <c r="SWJ491" s="168"/>
      <c r="SWK491" s="168"/>
      <c r="SWL491" s="168"/>
      <c r="SWM491" s="168"/>
      <c r="SWN491" s="168"/>
      <c r="SWO491" s="168"/>
      <c r="SWP491" s="168"/>
      <c r="SWQ491" s="168"/>
      <c r="SWR491" s="168"/>
      <c r="SWS491" s="168"/>
      <c r="SWT491" s="168"/>
      <c r="SWU491" s="168"/>
      <c r="SWV491" s="168"/>
      <c r="SWW491" s="168"/>
      <c r="SWX491" s="168"/>
      <c r="SWY491" s="168"/>
      <c r="SWZ491" s="168"/>
      <c r="SXA491" s="168"/>
      <c r="SXB491" s="168"/>
      <c r="SXC491" s="168"/>
      <c r="SXD491" s="168"/>
      <c r="SXE491" s="168"/>
      <c r="SXF491" s="168"/>
      <c r="SXG491" s="168"/>
      <c r="SXH491" s="168"/>
      <c r="SXI491" s="168"/>
      <c r="SXJ491" s="168"/>
      <c r="SXK491" s="168"/>
      <c r="SXL491" s="168"/>
      <c r="SXM491" s="168"/>
      <c r="SXN491" s="168"/>
      <c r="SXO491" s="168"/>
      <c r="SXP491" s="168"/>
      <c r="SXQ491" s="168"/>
      <c r="SXR491" s="168"/>
      <c r="SXS491" s="168"/>
      <c r="SXT491" s="168"/>
      <c r="SXU491" s="168"/>
      <c r="SXV491" s="168"/>
      <c r="SXW491" s="168"/>
      <c r="SXX491" s="168"/>
      <c r="SXY491" s="168"/>
      <c r="SXZ491" s="168"/>
      <c r="SYA491" s="168"/>
      <c r="SYB491" s="168"/>
      <c r="SYC491" s="168"/>
      <c r="SYD491" s="168"/>
      <c r="SYE491" s="168"/>
      <c r="SYF491" s="168"/>
      <c r="SYG491" s="168"/>
      <c r="SYH491" s="168"/>
      <c r="SYI491" s="168"/>
      <c r="SYJ491" s="168"/>
      <c r="SYK491" s="168"/>
      <c r="SYL491" s="168"/>
      <c r="SYM491" s="168"/>
      <c r="SYN491" s="168"/>
      <c r="SYO491" s="168"/>
      <c r="SYP491" s="168"/>
      <c r="SYQ491" s="168"/>
      <c r="SYR491" s="168"/>
      <c r="SYS491" s="168"/>
      <c r="SYT491" s="168"/>
      <c r="SYU491" s="168"/>
      <c r="SYV491" s="168"/>
      <c r="SYW491" s="168"/>
      <c r="SYX491" s="168"/>
      <c r="SYY491" s="168"/>
      <c r="SYZ491" s="168"/>
      <c r="SZA491" s="168"/>
      <c r="SZB491" s="168"/>
      <c r="SZC491" s="168"/>
      <c r="SZD491" s="168"/>
      <c r="SZE491" s="168"/>
      <c r="SZF491" s="168"/>
      <c r="SZG491" s="168"/>
      <c r="SZH491" s="168"/>
      <c r="SZI491" s="168"/>
      <c r="SZJ491" s="168"/>
      <c r="SZK491" s="168"/>
      <c r="SZL491" s="168"/>
      <c r="SZM491" s="168"/>
      <c r="SZN491" s="168"/>
      <c r="SZO491" s="168"/>
      <c r="SZP491" s="168"/>
      <c r="SZQ491" s="168"/>
      <c r="SZR491" s="168"/>
      <c r="SZS491" s="168"/>
      <c r="SZT491" s="168"/>
      <c r="SZU491" s="168"/>
      <c r="SZV491" s="168"/>
      <c r="SZW491" s="168"/>
      <c r="SZX491" s="168"/>
      <c r="SZY491" s="168"/>
      <c r="SZZ491" s="168"/>
      <c r="TAA491" s="168"/>
      <c r="TAB491" s="168"/>
      <c r="TAC491" s="168"/>
      <c r="TAD491" s="168"/>
      <c r="TAE491" s="168"/>
      <c r="TAF491" s="168"/>
      <c r="TAG491" s="168"/>
      <c r="TAH491" s="168"/>
      <c r="TAI491" s="168"/>
      <c r="TAJ491" s="168"/>
      <c r="TAK491" s="168"/>
      <c r="TAL491" s="168"/>
      <c r="TAM491" s="168"/>
      <c r="TAN491" s="168"/>
      <c r="TAO491" s="168"/>
      <c r="TAP491" s="168"/>
      <c r="TAQ491" s="168"/>
      <c r="TAR491" s="168"/>
      <c r="TAS491" s="168"/>
      <c r="TAT491" s="168"/>
      <c r="TAU491" s="168"/>
      <c r="TAV491" s="168"/>
      <c r="TAW491" s="168"/>
      <c r="TAX491" s="168"/>
      <c r="TAY491" s="168"/>
      <c r="TAZ491" s="168"/>
      <c r="TBA491" s="168"/>
      <c r="TBB491" s="168"/>
      <c r="TBC491" s="168"/>
      <c r="TBD491" s="168"/>
      <c r="TBE491" s="168"/>
      <c r="TBF491" s="168"/>
      <c r="TBG491" s="168"/>
      <c r="TBH491" s="168"/>
      <c r="TBI491" s="168"/>
      <c r="TBJ491" s="168"/>
      <c r="TBK491" s="168"/>
      <c r="TBL491" s="168"/>
      <c r="TBM491" s="168"/>
      <c r="TBN491" s="168"/>
      <c r="TBO491" s="168"/>
      <c r="TBP491" s="168"/>
      <c r="TBQ491" s="168"/>
      <c r="TBR491" s="168"/>
      <c r="TBS491" s="168"/>
      <c r="TBT491" s="168"/>
      <c r="TBU491" s="168"/>
      <c r="TBV491" s="168"/>
      <c r="TBW491" s="168"/>
      <c r="TBX491" s="168"/>
      <c r="TBY491" s="168"/>
      <c r="TBZ491" s="168"/>
      <c r="TCA491" s="168"/>
      <c r="TCB491" s="168"/>
      <c r="TCC491" s="168"/>
      <c r="TCD491" s="168"/>
      <c r="TCE491" s="168"/>
      <c r="TCF491" s="168"/>
      <c r="TCG491" s="168"/>
      <c r="TCH491" s="168"/>
      <c r="TCI491" s="168"/>
      <c r="TCJ491" s="168"/>
      <c r="TCK491" s="168"/>
      <c r="TCL491" s="168"/>
      <c r="TCM491" s="168"/>
      <c r="TCN491" s="168"/>
      <c r="TCO491" s="168"/>
      <c r="TCP491" s="168"/>
      <c r="TCQ491" s="168"/>
      <c r="TCR491" s="168"/>
      <c r="TCS491" s="168"/>
      <c r="TCT491" s="168"/>
      <c r="TCU491" s="168"/>
      <c r="TCV491" s="168"/>
      <c r="TCW491" s="168"/>
      <c r="TCX491" s="168"/>
      <c r="TCY491" s="168"/>
      <c r="TCZ491" s="168"/>
      <c r="TDA491" s="168"/>
      <c r="TDB491" s="168"/>
      <c r="TDC491" s="168"/>
      <c r="TDD491" s="168"/>
      <c r="TDE491" s="168"/>
      <c r="TDF491" s="168"/>
      <c r="TDG491" s="168"/>
      <c r="TDH491" s="168"/>
      <c r="TDI491" s="168"/>
      <c r="TDJ491" s="168"/>
      <c r="TDK491" s="168"/>
      <c r="TDL491" s="168"/>
      <c r="TDM491" s="168"/>
      <c r="TDN491" s="168"/>
      <c r="TDO491" s="168"/>
      <c r="TDP491" s="168"/>
      <c r="TDQ491" s="168"/>
      <c r="TDR491" s="168"/>
      <c r="TDS491" s="168"/>
      <c r="TDT491" s="168"/>
      <c r="TDU491" s="168"/>
      <c r="TDV491" s="168"/>
      <c r="TDW491" s="168"/>
      <c r="TDX491" s="168"/>
      <c r="TDY491" s="168"/>
      <c r="TDZ491" s="168"/>
      <c r="TEA491" s="168"/>
      <c r="TEB491" s="168"/>
      <c r="TEC491" s="168"/>
      <c r="TED491" s="168"/>
      <c r="TEE491" s="168"/>
      <c r="TEF491" s="168"/>
      <c r="TEG491" s="168"/>
      <c r="TEH491" s="168"/>
      <c r="TEI491" s="168"/>
      <c r="TEJ491" s="168"/>
      <c r="TEK491" s="168"/>
      <c r="TEL491" s="168"/>
      <c r="TEM491" s="168"/>
      <c r="TEN491" s="168"/>
      <c r="TEO491" s="168"/>
      <c r="TEP491" s="168"/>
      <c r="TEQ491" s="168"/>
      <c r="TER491" s="168"/>
      <c r="TES491" s="168"/>
      <c r="TET491" s="168"/>
      <c r="TEU491" s="168"/>
      <c r="TEV491" s="168"/>
      <c r="TEW491" s="168"/>
      <c r="TEX491" s="168"/>
      <c r="TEY491" s="168"/>
      <c r="TEZ491" s="168"/>
      <c r="TFA491" s="168"/>
      <c r="TFB491" s="168"/>
      <c r="TFC491" s="168"/>
      <c r="TFD491" s="168"/>
      <c r="TFE491" s="168"/>
      <c r="TFF491" s="168"/>
      <c r="TFG491" s="168"/>
      <c r="TFH491" s="168"/>
      <c r="TFI491" s="168"/>
      <c r="TFJ491" s="168"/>
      <c r="TFK491" s="168"/>
      <c r="TFL491" s="168"/>
      <c r="TFM491" s="168"/>
      <c r="TFN491" s="168"/>
      <c r="TFO491" s="168"/>
      <c r="TFP491" s="168"/>
      <c r="TFQ491" s="168"/>
      <c r="TFR491" s="168"/>
      <c r="TFS491" s="168"/>
      <c r="TFT491" s="168"/>
      <c r="TFU491" s="168"/>
      <c r="TFV491" s="168"/>
      <c r="TFW491" s="168"/>
      <c r="TFX491" s="168"/>
      <c r="TFY491" s="168"/>
      <c r="TFZ491" s="168"/>
      <c r="TGA491" s="168"/>
      <c r="TGB491" s="168"/>
      <c r="TGC491" s="168"/>
      <c r="TGD491" s="168"/>
      <c r="TGE491" s="168"/>
      <c r="TGF491" s="168"/>
      <c r="TGG491" s="168"/>
      <c r="TGH491" s="168"/>
      <c r="TGI491" s="168"/>
      <c r="TGJ491" s="168"/>
      <c r="TGK491" s="168"/>
      <c r="TGL491" s="168"/>
      <c r="TGM491" s="168"/>
      <c r="TGN491" s="168"/>
      <c r="TGO491" s="168"/>
      <c r="TGP491" s="168"/>
      <c r="TGQ491" s="168"/>
      <c r="TGR491" s="168"/>
      <c r="TGS491" s="168"/>
      <c r="TGT491" s="168"/>
      <c r="TGU491" s="168"/>
      <c r="TGV491" s="168"/>
      <c r="TGW491" s="168"/>
      <c r="TGX491" s="168"/>
      <c r="TGY491" s="168"/>
      <c r="TGZ491" s="168"/>
      <c r="THA491" s="168"/>
      <c r="THB491" s="168"/>
      <c r="THC491" s="168"/>
      <c r="THD491" s="168"/>
      <c r="THE491" s="168"/>
      <c r="THF491" s="168"/>
      <c r="THG491" s="168"/>
      <c r="THH491" s="168"/>
      <c r="THI491" s="168"/>
      <c r="THJ491" s="168"/>
      <c r="THK491" s="168"/>
      <c r="THL491" s="168"/>
      <c r="THM491" s="168"/>
      <c r="THN491" s="168"/>
      <c r="THO491" s="168"/>
      <c r="THP491" s="168"/>
      <c r="THQ491" s="168"/>
      <c r="THR491" s="168"/>
      <c r="THS491" s="168"/>
      <c r="THT491" s="168"/>
      <c r="THU491" s="168"/>
      <c r="THV491" s="168"/>
      <c r="THW491" s="168"/>
      <c r="THX491" s="168"/>
      <c r="THY491" s="168"/>
      <c r="THZ491" s="168"/>
      <c r="TIA491" s="168"/>
      <c r="TIB491" s="168"/>
      <c r="TIC491" s="168"/>
      <c r="TID491" s="168"/>
      <c r="TIE491" s="168"/>
      <c r="TIF491" s="168"/>
      <c r="TIG491" s="168"/>
      <c r="TIH491" s="168"/>
      <c r="TII491" s="168"/>
      <c r="TIJ491" s="168"/>
      <c r="TIK491" s="168"/>
      <c r="TIL491" s="168"/>
      <c r="TIM491" s="168"/>
      <c r="TIN491" s="168"/>
      <c r="TIO491" s="168"/>
      <c r="TIP491" s="168"/>
      <c r="TIQ491" s="168"/>
      <c r="TIR491" s="168"/>
      <c r="TIS491" s="168"/>
      <c r="TIT491" s="168"/>
      <c r="TIU491" s="168"/>
      <c r="TIV491" s="168"/>
      <c r="TIW491" s="168"/>
      <c r="TIX491" s="168"/>
      <c r="TIY491" s="168"/>
      <c r="TIZ491" s="168"/>
      <c r="TJA491" s="168"/>
      <c r="TJB491" s="168"/>
      <c r="TJC491" s="168"/>
      <c r="TJD491" s="168"/>
      <c r="TJE491" s="168"/>
      <c r="TJF491" s="168"/>
      <c r="TJG491" s="168"/>
      <c r="TJH491" s="168"/>
      <c r="TJI491" s="168"/>
      <c r="TJJ491" s="168"/>
      <c r="TJK491" s="168"/>
      <c r="TJL491" s="168"/>
      <c r="TJM491" s="168"/>
      <c r="TJN491" s="168"/>
      <c r="TJO491" s="168"/>
      <c r="TJP491" s="168"/>
      <c r="TJQ491" s="168"/>
      <c r="TJR491" s="168"/>
      <c r="TJS491" s="168"/>
      <c r="TJT491" s="168"/>
      <c r="TJU491" s="168"/>
      <c r="TJV491" s="168"/>
      <c r="TJW491" s="168"/>
      <c r="TJX491" s="168"/>
      <c r="TJY491" s="168"/>
      <c r="TJZ491" s="168"/>
      <c r="TKA491" s="168"/>
      <c r="TKB491" s="168"/>
      <c r="TKC491" s="168"/>
      <c r="TKD491" s="168"/>
      <c r="TKE491" s="168"/>
      <c r="TKF491" s="168"/>
      <c r="TKG491" s="168"/>
      <c r="TKH491" s="168"/>
      <c r="TKI491" s="168"/>
      <c r="TKJ491" s="168"/>
      <c r="TKK491" s="168"/>
      <c r="TKL491" s="168"/>
      <c r="TKM491" s="168"/>
      <c r="TKN491" s="168"/>
      <c r="TKO491" s="168"/>
      <c r="TKP491" s="168"/>
      <c r="TKQ491" s="168"/>
      <c r="TKR491" s="168"/>
      <c r="TKS491" s="168"/>
      <c r="TKT491" s="168"/>
      <c r="TKU491" s="168"/>
      <c r="TKV491" s="168"/>
      <c r="TKW491" s="168"/>
      <c r="TKX491" s="168"/>
      <c r="TKY491" s="168"/>
      <c r="TKZ491" s="168"/>
      <c r="TLA491" s="168"/>
      <c r="TLB491" s="168"/>
      <c r="TLC491" s="168"/>
      <c r="TLD491" s="168"/>
      <c r="TLE491" s="168"/>
      <c r="TLF491" s="168"/>
      <c r="TLG491" s="168"/>
      <c r="TLH491" s="168"/>
      <c r="TLI491" s="168"/>
      <c r="TLJ491" s="168"/>
      <c r="TLK491" s="168"/>
      <c r="TLL491" s="168"/>
      <c r="TLM491" s="168"/>
      <c r="TLN491" s="168"/>
      <c r="TLO491" s="168"/>
      <c r="TLP491" s="168"/>
      <c r="TLQ491" s="168"/>
      <c r="TLR491" s="168"/>
      <c r="TLS491" s="168"/>
      <c r="TLT491" s="168"/>
      <c r="TLU491" s="168"/>
      <c r="TLV491" s="168"/>
      <c r="TLW491" s="168"/>
      <c r="TLX491" s="168"/>
      <c r="TLY491" s="168"/>
      <c r="TLZ491" s="168"/>
      <c r="TMA491" s="168"/>
      <c r="TMB491" s="168"/>
      <c r="TMC491" s="168"/>
      <c r="TMD491" s="168"/>
      <c r="TME491" s="168"/>
      <c r="TMF491" s="168"/>
      <c r="TMG491" s="168"/>
      <c r="TMH491" s="168"/>
      <c r="TMI491" s="168"/>
      <c r="TMJ491" s="168"/>
      <c r="TMK491" s="168"/>
      <c r="TML491" s="168"/>
      <c r="TMM491" s="168"/>
      <c r="TMN491" s="168"/>
      <c r="TMO491" s="168"/>
      <c r="TMP491" s="168"/>
      <c r="TMQ491" s="168"/>
      <c r="TMR491" s="168"/>
      <c r="TMS491" s="168"/>
      <c r="TMT491" s="168"/>
      <c r="TMU491" s="168"/>
      <c r="TMV491" s="168"/>
      <c r="TMW491" s="168"/>
      <c r="TMX491" s="168"/>
      <c r="TMY491" s="168"/>
      <c r="TMZ491" s="168"/>
      <c r="TNA491" s="168"/>
      <c r="TNB491" s="168"/>
      <c r="TNC491" s="168"/>
      <c r="TND491" s="168"/>
      <c r="TNE491" s="168"/>
      <c r="TNF491" s="168"/>
      <c r="TNG491" s="168"/>
      <c r="TNH491" s="168"/>
      <c r="TNI491" s="168"/>
      <c r="TNJ491" s="168"/>
      <c r="TNK491" s="168"/>
      <c r="TNL491" s="168"/>
      <c r="TNM491" s="168"/>
      <c r="TNN491" s="168"/>
      <c r="TNO491" s="168"/>
      <c r="TNP491" s="168"/>
      <c r="TNQ491" s="168"/>
      <c r="TNR491" s="168"/>
      <c r="TNS491" s="168"/>
      <c r="TNT491" s="168"/>
      <c r="TNU491" s="168"/>
      <c r="TNV491" s="168"/>
      <c r="TNW491" s="168"/>
      <c r="TNX491" s="168"/>
      <c r="TNY491" s="168"/>
      <c r="TNZ491" s="168"/>
      <c r="TOA491" s="168"/>
      <c r="TOB491" s="168"/>
      <c r="TOC491" s="168"/>
      <c r="TOD491" s="168"/>
      <c r="TOE491" s="168"/>
      <c r="TOF491" s="168"/>
      <c r="TOG491" s="168"/>
      <c r="TOH491" s="168"/>
      <c r="TOI491" s="168"/>
      <c r="TOJ491" s="168"/>
      <c r="TOK491" s="168"/>
      <c r="TOL491" s="168"/>
      <c r="TOM491" s="168"/>
      <c r="TON491" s="168"/>
      <c r="TOO491" s="168"/>
      <c r="TOP491" s="168"/>
      <c r="TOQ491" s="168"/>
      <c r="TOR491" s="168"/>
      <c r="TOS491" s="168"/>
      <c r="TOT491" s="168"/>
      <c r="TOU491" s="168"/>
      <c r="TOV491" s="168"/>
      <c r="TOW491" s="168"/>
      <c r="TOX491" s="168"/>
      <c r="TOY491" s="168"/>
      <c r="TOZ491" s="168"/>
      <c r="TPA491" s="168"/>
      <c r="TPB491" s="168"/>
      <c r="TPC491" s="168"/>
      <c r="TPD491" s="168"/>
      <c r="TPE491" s="168"/>
      <c r="TPF491" s="168"/>
      <c r="TPG491" s="168"/>
      <c r="TPH491" s="168"/>
      <c r="TPI491" s="168"/>
      <c r="TPJ491" s="168"/>
      <c r="TPK491" s="168"/>
      <c r="TPL491" s="168"/>
      <c r="TPM491" s="168"/>
      <c r="TPN491" s="168"/>
      <c r="TPO491" s="168"/>
      <c r="TPP491" s="168"/>
      <c r="TPQ491" s="168"/>
      <c r="TPR491" s="168"/>
      <c r="TPS491" s="168"/>
      <c r="TPT491" s="168"/>
      <c r="TPU491" s="168"/>
      <c r="TPV491" s="168"/>
      <c r="TPW491" s="168"/>
      <c r="TPX491" s="168"/>
      <c r="TPY491" s="168"/>
      <c r="TPZ491" s="168"/>
      <c r="TQA491" s="168"/>
      <c r="TQB491" s="168"/>
      <c r="TQC491" s="168"/>
      <c r="TQD491" s="168"/>
      <c r="TQE491" s="168"/>
      <c r="TQF491" s="168"/>
      <c r="TQG491" s="168"/>
      <c r="TQH491" s="168"/>
      <c r="TQI491" s="168"/>
      <c r="TQJ491" s="168"/>
      <c r="TQK491" s="168"/>
      <c r="TQL491" s="168"/>
      <c r="TQM491" s="168"/>
      <c r="TQN491" s="168"/>
      <c r="TQO491" s="168"/>
      <c r="TQP491" s="168"/>
      <c r="TQQ491" s="168"/>
      <c r="TQR491" s="168"/>
      <c r="TQS491" s="168"/>
      <c r="TQT491" s="168"/>
      <c r="TQU491" s="168"/>
      <c r="TQV491" s="168"/>
      <c r="TQW491" s="168"/>
      <c r="TQX491" s="168"/>
      <c r="TQY491" s="168"/>
      <c r="TQZ491" s="168"/>
      <c r="TRA491" s="168"/>
      <c r="TRB491" s="168"/>
      <c r="TRC491" s="168"/>
      <c r="TRD491" s="168"/>
      <c r="TRE491" s="168"/>
      <c r="TRF491" s="168"/>
      <c r="TRG491" s="168"/>
      <c r="TRH491" s="168"/>
      <c r="TRI491" s="168"/>
      <c r="TRJ491" s="168"/>
      <c r="TRK491" s="168"/>
      <c r="TRL491" s="168"/>
      <c r="TRM491" s="168"/>
      <c r="TRN491" s="168"/>
      <c r="TRO491" s="168"/>
      <c r="TRP491" s="168"/>
      <c r="TRQ491" s="168"/>
      <c r="TRR491" s="168"/>
      <c r="TRS491" s="168"/>
      <c r="TRT491" s="168"/>
      <c r="TRU491" s="168"/>
      <c r="TRV491" s="168"/>
      <c r="TRW491" s="168"/>
      <c r="TRX491" s="168"/>
      <c r="TRY491" s="168"/>
      <c r="TRZ491" s="168"/>
      <c r="TSA491" s="168"/>
      <c r="TSB491" s="168"/>
      <c r="TSC491" s="168"/>
      <c r="TSD491" s="168"/>
      <c r="TSE491" s="168"/>
      <c r="TSF491" s="168"/>
      <c r="TSG491" s="168"/>
      <c r="TSH491" s="168"/>
      <c r="TSI491" s="168"/>
      <c r="TSJ491" s="168"/>
      <c r="TSK491" s="168"/>
      <c r="TSL491" s="168"/>
      <c r="TSM491" s="168"/>
      <c r="TSN491" s="168"/>
      <c r="TSO491" s="168"/>
      <c r="TSP491" s="168"/>
      <c r="TSQ491" s="168"/>
      <c r="TSR491" s="168"/>
      <c r="TSS491" s="168"/>
      <c r="TST491" s="168"/>
      <c r="TSU491" s="168"/>
      <c r="TSV491" s="168"/>
      <c r="TSW491" s="168"/>
      <c r="TSX491" s="168"/>
      <c r="TSY491" s="168"/>
      <c r="TSZ491" s="168"/>
      <c r="TTA491" s="168"/>
      <c r="TTB491" s="168"/>
      <c r="TTC491" s="168"/>
      <c r="TTD491" s="168"/>
      <c r="TTE491" s="168"/>
      <c r="TTF491" s="168"/>
      <c r="TTG491" s="168"/>
      <c r="TTH491" s="168"/>
      <c r="TTI491" s="168"/>
      <c r="TTJ491" s="168"/>
      <c r="TTK491" s="168"/>
      <c r="TTL491" s="168"/>
      <c r="TTM491" s="168"/>
      <c r="TTN491" s="168"/>
      <c r="TTO491" s="168"/>
      <c r="TTP491" s="168"/>
      <c r="TTQ491" s="168"/>
      <c r="TTR491" s="168"/>
      <c r="TTS491" s="168"/>
      <c r="TTT491" s="168"/>
      <c r="TTU491" s="168"/>
      <c r="TTV491" s="168"/>
      <c r="TTW491" s="168"/>
      <c r="TTX491" s="168"/>
      <c r="TTY491" s="168"/>
      <c r="TTZ491" s="168"/>
      <c r="TUA491" s="168"/>
      <c r="TUB491" s="168"/>
      <c r="TUC491" s="168"/>
      <c r="TUD491" s="168"/>
      <c r="TUE491" s="168"/>
      <c r="TUF491" s="168"/>
      <c r="TUG491" s="168"/>
      <c r="TUH491" s="168"/>
      <c r="TUI491" s="168"/>
      <c r="TUJ491" s="168"/>
      <c r="TUK491" s="168"/>
      <c r="TUL491" s="168"/>
      <c r="TUM491" s="168"/>
      <c r="TUN491" s="168"/>
      <c r="TUO491" s="168"/>
      <c r="TUP491" s="168"/>
      <c r="TUQ491" s="168"/>
      <c r="TUR491" s="168"/>
      <c r="TUS491" s="168"/>
      <c r="TUT491" s="168"/>
      <c r="TUU491" s="168"/>
      <c r="TUV491" s="168"/>
      <c r="TUW491" s="168"/>
      <c r="TUX491" s="168"/>
      <c r="TUY491" s="168"/>
      <c r="TUZ491" s="168"/>
      <c r="TVA491" s="168"/>
      <c r="TVB491" s="168"/>
      <c r="TVC491" s="168"/>
      <c r="TVD491" s="168"/>
      <c r="TVE491" s="168"/>
      <c r="TVF491" s="168"/>
      <c r="TVG491" s="168"/>
      <c r="TVH491" s="168"/>
      <c r="TVI491" s="168"/>
      <c r="TVJ491" s="168"/>
      <c r="TVK491" s="168"/>
      <c r="TVL491" s="168"/>
      <c r="TVM491" s="168"/>
      <c r="TVN491" s="168"/>
      <c r="TVO491" s="168"/>
      <c r="TVP491" s="168"/>
      <c r="TVQ491" s="168"/>
      <c r="TVR491" s="168"/>
      <c r="TVS491" s="168"/>
      <c r="TVT491" s="168"/>
      <c r="TVU491" s="168"/>
      <c r="TVV491" s="168"/>
      <c r="TVW491" s="168"/>
      <c r="TVX491" s="168"/>
      <c r="TVY491" s="168"/>
      <c r="TVZ491" s="168"/>
      <c r="TWA491" s="168"/>
      <c r="TWB491" s="168"/>
      <c r="TWC491" s="168"/>
      <c r="TWD491" s="168"/>
      <c r="TWE491" s="168"/>
      <c r="TWF491" s="168"/>
      <c r="TWG491" s="168"/>
      <c r="TWH491" s="168"/>
      <c r="TWI491" s="168"/>
      <c r="TWJ491" s="168"/>
      <c r="TWK491" s="168"/>
      <c r="TWL491" s="168"/>
      <c r="TWM491" s="168"/>
      <c r="TWN491" s="168"/>
      <c r="TWO491" s="168"/>
      <c r="TWP491" s="168"/>
      <c r="TWQ491" s="168"/>
      <c r="TWR491" s="168"/>
      <c r="TWS491" s="168"/>
      <c r="TWT491" s="168"/>
      <c r="TWU491" s="168"/>
      <c r="TWV491" s="168"/>
      <c r="TWW491" s="168"/>
      <c r="TWX491" s="168"/>
      <c r="TWY491" s="168"/>
      <c r="TWZ491" s="168"/>
      <c r="TXA491" s="168"/>
      <c r="TXB491" s="168"/>
      <c r="TXC491" s="168"/>
      <c r="TXD491" s="168"/>
      <c r="TXE491" s="168"/>
      <c r="TXF491" s="168"/>
      <c r="TXG491" s="168"/>
      <c r="TXH491" s="168"/>
      <c r="TXI491" s="168"/>
      <c r="TXJ491" s="168"/>
      <c r="TXK491" s="168"/>
      <c r="TXL491" s="168"/>
      <c r="TXM491" s="168"/>
      <c r="TXN491" s="168"/>
      <c r="TXO491" s="168"/>
      <c r="TXP491" s="168"/>
      <c r="TXQ491" s="168"/>
      <c r="TXR491" s="168"/>
      <c r="TXS491" s="168"/>
      <c r="TXT491" s="168"/>
      <c r="TXU491" s="168"/>
      <c r="TXV491" s="168"/>
      <c r="TXW491" s="168"/>
      <c r="TXX491" s="168"/>
      <c r="TXY491" s="168"/>
      <c r="TXZ491" s="168"/>
      <c r="TYA491" s="168"/>
      <c r="TYB491" s="168"/>
      <c r="TYC491" s="168"/>
      <c r="TYD491" s="168"/>
      <c r="TYE491" s="168"/>
      <c r="TYF491" s="168"/>
      <c r="TYG491" s="168"/>
      <c r="TYH491" s="168"/>
      <c r="TYI491" s="168"/>
      <c r="TYJ491" s="168"/>
      <c r="TYK491" s="168"/>
      <c r="TYL491" s="168"/>
      <c r="TYM491" s="168"/>
      <c r="TYN491" s="168"/>
      <c r="TYO491" s="168"/>
      <c r="TYP491" s="168"/>
      <c r="TYQ491" s="168"/>
      <c r="TYR491" s="168"/>
      <c r="TYS491" s="168"/>
      <c r="TYT491" s="168"/>
      <c r="TYU491" s="168"/>
      <c r="TYV491" s="168"/>
      <c r="TYW491" s="168"/>
      <c r="TYX491" s="168"/>
      <c r="TYY491" s="168"/>
      <c r="TYZ491" s="168"/>
      <c r="TZA491" s="168"/>
      <c r="TZB491" s="168"/>
      <c r="TZC491" s="168"/>
      <c r="TZD491" s="168"/>
      <c r="TZE491" s="168"/>
      <c r="TZF491" s="168"/>
      <c r="TZG491" s="168"/>
      <c r="TZH491" s="168"/>
      <c r="TZI491" s="168"/>
      <c r="TZJ491" s="168"/>
      <c r="TZK491" s="168"/>
      <c r="TZL491" s="168"/>
      <c r="TZM491" s="168"/>
      <c r="TZN491" s="168"/>
      <c r="TZO491" s="168"/>
      <c r="TZP491" s="168"/>
      <c r="TZQ491" s="168"/>
      <c r="TZR491" s="168"/>
      <c r="TZS491" s="168"/>
      <c r="TZT491" s="168"/>
      <c r="TZU491" s="168"/>
      <c r="TZV491" s="168"/>
      <c r="TZW491" s="168"/>
      <c r="TZX491" s="168"/>
      <c r="TZY491" s="168"/>
      <c r="TZZ491" s="168"/>
      <c r="UAA491" s="168"/>
      <c r="UAB491" s="168"/>
      <c r="UAC491" s="168"/>
      <c r="UAD491" s="168"/>
      <c r="UAE491" s="168"/>
      <c r="UAF491" s="168"/>
      <c r="UAG491" s="168"/>
      <c r="UAH491" s="168"/>
      <c r="UAI491" s="168"/>
      <c r="UAJ491" s="168"/>
      <c r="UAK491" s="168"/>
      <c r="UAL491" s="168"/>
      <c r="UAM491" s="168"/>
      <c r="UAN491" s="168"/>
      <c r="UAO491" s="168"/>
      <c r="UAP491" s="168"/>
      <c r="UAQ491" s="168"/>
      <c r="UAR491" s="168"/>
      <c r="UAS491" s="168"/>
      <c r="UAT491" s="168"/>
      <c r="UAU491" s="168"/>
      <c r="UAV491" s="168"/>
      <c r="UAW491" s="168"/>
      <c r="UAX491" s="168"/>
      <c r="UAY491" s="168"/>
      <c r="UAZ491" s="168"/>
      <c r="UBA491" s="168"/>
      <c r="UBB491" s="168"/>
      <c r="UBC491" s="168"/>
      <c r="UBD491" s="168"/>
      <c r="UBE491" s="168"/>
      <c r="UBF491" s="168"/>
      <c r="UBG491" s="168"/>
      <c r="UBH491" s="168"/>
      <c r="UBI491" s="168"/>
      <c r="UBJ491" s="168"/>
      <c r="UBK491" s="168"/>
      <c r="UBL491" s="168"/>
      <c r="UBM491" s="168"/>
      <c r="UBN491" s="168"/>
      <c r="UBO491" s="168"/>
      <c r="UBP491" s="168"/>
      <c r="UBQ491" s="168"/>
      <c r="UBR491" s="168"/>
      <c r="UBS491" s="168"/>
      <c r="UBT491" s="168"/>
      <c r="UBU491" s="168"/>
      <c r="UBV491" s="168"/>
      <c r="UBW491" s="168"/>
      <c r="UBX491" s="168"/>
      <c r="UBY491" s="168"/>
      <c r="UBZ491" s="168"/>
      <c r="UCA491" s="168"/>
      <c r="UCB491" s="168"/>
      <c r="UCC491" s="168"/>
      <c r="UCD491" s="168"/>
      <c r="UCE491" s="168"/>
      <c r="UCF491" s="168"/>
      <c r="UCG491" s="168"/>
      <c r="UCH491" s="168"/>
      <c r="UCI491" s="168"/>
      <c r="UCJ491" s="168"/>
      <c r="UCK491" s="168"/>
      <c r="UCL491" s="168"/>
      <c r="UCM491" s="168"/>
      <c r="UCN491" s="168"/>
      <c r="UCO491" s="168"/>
      <c r="UCP491" s="168"/>
      <c r="UCQ491" s="168"/>
      <c r="UCR491" s="168"/>
      <c r="UCS491" s="168"/>
      <c r="UCT491" s="168"/>
      <c r="UCU491" s="168"/>
      <c r="UCV491" s="168"/>
      <c r="UCW491" s="168"/>
      <c r="UCX491" s="168"/>
      <c r="UCY491" s="168"/>
      <c r="UCZ491" s="168"/>
      <c r="UDA491" s="168"/>
      <c r="UDB491" s="168"/>
      <c r="UDC491" s="168"/>
      <c r="UDD491" s="168"/>
      <c r="UDE491" s="168"/>
      <c r="UDF491" s="168"/>
      <c r="UDG491" s="168"/>
      <c r="UDH491" s="168"/>
      <c r="UDI491" s="168"/>
      <c r="UDJ491" s="168"/>
      <c r="UDK491" s="168"/>
      <c r="UDL491" s="168"/>
      <c r="UDM491" s="168"/>
      <c r="UDN491" s="168"/>
      <c r="UDO491" s="168"/>
      <c r="UDP491" s="168"/>
      <c r="UDQ491" s="168"/>
      <c r="UDR491" s="168"/>
      <c r="UDS491" s="168"/>
      <c r="UDT491" s="168"/>
      <c r="UDU491" s="168"/>
      <c r="UDV491" s="168"/>
      <c r="UDW491" s="168"/>
      <c r="UDX491" s="168"/>
      <c r="UDY491" s="168"/>
      <c r="UDZ491" s="168"/>
      <c r="UEA491" s="168"/>
      <c r="UEB491" s="168"/>
      <c r="UEC491" s="168"/>
      <c r="UED491" s="168"/>
      <c r="UEE491" s="168"/>
      <c r="UEF491" s="168"/>
      <c r="UEG491" s="168"/>
      <c r="UEH491" s="168"/>
      <c r="UEI491" s="168"/>
      <c r="UEJ491" s="168"/>
      <c r="UEK491" s="168"/>
      <c r="UEL491" s="168"/>
      <c r="UEM491" s="168"/>
      <c r="UEN491" s="168"/>
      <c r="UEO491" s="168"/>
      <c r="UEP491" s="168"/>
      <c r="UEQ491" s="168"/>
      <c r="UER491" s="168"/>
      <c r="UES491" s="168"/>
      <c r="UET491" s="168"/>
      <c r="UEU491" s="168"/>
      <c r="UEV491" s="168"/>
      <c r="UEW491" s="168"/>
      <c r="UEX491" s="168"/>
      <c r="UEY491" s="168"/>
      <c r="UEZ491" s="168"/>
      <c r="UFA491" s="168"/>
      <c r="UFB491" s="168"/>
      <c r="UFC491" s="168"/>
      <c r="UFD491" s="168"/>
      <c r="UFE491" s="168"/>
      <c r="UFF491" s="168"/>
      <c r="UFG491" s="168"/>
      <c r="UFH491" s="168"/>
      <c r="UFI491" s="168"/>
      <c r="UFJ491" s="168"/>
      <c r="UFK491" s="168"/>
      <c r="UFL491" s="168"/>
      <c r="UFM491" s="168"/>
      <c r="UFN491" s="168"/>
      <c r="UFO491" s="168"/>
      <c r="UFP491" s="168"/>
      <c r="UFQ491" s="168"/>
      <c r="UFR491" s="168"/>
      <c r="UFS491" s="168"/>
      <c r="UFT491" s="168"/>
      <c r="UFU491" s="168"/>
      <c r="UFV491" s="168"/>
      <c r="UFW491" s="168"/>
      <c r="UFX491" s="168"/>
      <c r="UFY491" s="168"/>
      <c r="UFZ491" s="168"/>
      <c r="UGA491" s="168"/>
      <c r="UGB491" s="168"/>
      <c r="UGC491" s="168"/>
      <c r="UGD491" s="168"/>
      <c r="UGE491" s="168"/>
      <c r="UGF491" s="168"/>
      <c r="UGG491" s="168"/>
      <c r="UGH491" s="168"/>
      <c r="UGI491" s="168"/>
      <c r="UGJ491" s="168"/>
      <c r="UGK491" s="168"/>
      <c r="UGL491" s="168"/>
      <c r="UGM491" s="168"/>
      <c r="UGN491" s="168"/>
      <c r="UGO491" s="168"/>
      <c r="UGP491" s="168"/>
      <c r="UGQ491" s="168"/>
      <c r="UGR491" s="168"/>
      <c r="UGS491" s="168"/>
      <c r="UGT491" s="168"/>
      <c r="UGU491" s="168"/>
      <c r="UGV491" s="168"/>
      <c r="UGW491" s="168"/>
      <c r="UGX491" s="168"/>
      <c r="UGY491" s="168"/>
      <c r="UGZ491" s="168"/>
      <c r="UHA491" s="168"/>
      <c r="UHB491" s="168"/>
      <c r="UHC491" s="168"/>
      <c r="UHD491" s="168"/>
      <c r="UHE491" s="168"/>
      <c r="UHF491" s="168"/>
      <c r="UHG491" s="168"/>
      <c r="UHH491" s="168"/>
      <c r="UHI491" s="168"/>
      <c r="UHJ491" s="168"/>
      <c r="UHK491" s="168"/>
      <c r="UHL491" s="168"/>
      <c r="UHM491" s="168"/>
      <c r="UHN491" s="168"/>
      <c r="UHO491" s="168"/>
      <c r="UHP491" s="168"/>
      <c r="UHQ491" s="168"/>
      <c r="UHR491" s="168"/>
      <c r="UHS491" s="168"/>
      <c r="UHT491" s="168"/>
      <c r="UHU491" s="168"/>
      <c r="UHV491" s="168"/>
      <c r="UHW491" s="168"/>
      <c r="UHX491" s="168"/>
      <c r="UHY491" s="168"/>
      <c r="UHZ491" s="168"/>
      <c r="UIA491" s="168"/>
      <c r="UIB491" s="168"/>
      <c r="UIC491" s="168"/>
      <c r="UID491" s="168"/>
      <c r="UIE491" s="168"/>
      <c r="UIF491" s="168"/>
      <c r="UIG491" s="168"/>
      <c r="UIH491" s="168"/>
      <c r="UII491" s="168"/>
      <c r="UIJ491" s="168"/>
      <c r="UIK491" s="168"/>
      <c r="UIL491" s="168"/>
      <c r="UIM491" s="168"/>
      <c r="UIN491" s="168"/>
      <c r="UIO491" s="168"/>
      <c r="UIP491" s="168"/>
      <c r="UIQ491" s="168"/>
      <c r="UIR491" s="168"/>
      <c r="UIS491" s="168"/>
      <c r="UIT491" s="168"/>
      <c r="UIU491" s="168"/>
      <c r="UIV491" s="168"/>
      <c r="UIW491" s="168"/>
      <c r="UIX491" s="168"/>
      <c r="UIY491" s="168"/>
      <c r="UIZ491" s="168"/>
      <c r="UJA491" s="168"/>
      <c r="UJB491" s="168"/>
      <c r="UJC491" s="168"/>
      <c r="UJD491" s="168"/>
      <c r="UJE491" s="168"/>
      <c r="UJF491" s="168"/>
      <c r="UJG491" s="168"/>
      <c r="UJH491" s="168"/>
      <c r="UJI491" s="168"/>
      <c r="UJJ491" s="168"/>
      <c r="UJK491" s="168"/>
      <c r="UJL491" s="168"/>
      <c r="UJM491" s="168"/>
      <c r="UJN491" s="168"/>
      <c r="UJO491" s="168"/>
      <c r="UJP491" s="168"/>
      <c r="UJQ491" s="168"/>
      <c r="UJR491" s="168"/>
      <c r="UJS491" s="168"/>
      <c r="UJT491" s="168"/>
      <c r="UJU491" s="168"/>
      <c r="UJV491" s="168"/>
      <c r="UJW491" s="168"/>
      <c r="UJX491" s="168"/>
      <c r="UJY491" s="168"/>
      <c r="UJZ491" s="168"/>
      <c r="UKA491" s="168"/>
      <c r="UKB491" s="168"/>
      <c r="UKC491" s="168"/>
      <c r="UKD491" s="168"/>
      <c r="UKE491" s="168"/>
      <c r="UKF491" s="168"/>
      <c r="UKG491" s="168"/>
      <c r="UKH491" s="168"/>
      <c r="UKI491" s="168"/>
      <c r="UKJ491" s="168"/>
      <c r="UKK491" s="168"/>
      <c r="UKL491" s="168"/>
      <c r="UKM491" s="168"/>
      <c r="UKN491" s="168"/>
      <c r="UKO491" s="168"/>
      <c r="UKP491" s="168"/>
      <c r="UKQ491" s="168"/>
      <c r="UKR491" s="168"/>
      <c r="UKS491" s="168"/>
      <c r="UKT491" s="168"/>
      <c r="UKU491" s="168"/>
      <c r="UKV491" s="168"/>
      <c r="UKW491" s="168"/>
      <c r="UKX491" s="168"/>
      <c r="UKY491" s="168"/>
      <c r="UKZ491" s="168"/>
      <c r="ULA491" s="168"/>
      <c r="ULB491" s="168"/>
      <c r="ULC491" s="168"/>
      <c r="ULD491" s="168"/>
      <c r="ULE491" s="168"/>
      <c r="ULF491" s="168"/>
      <c r="ULG491" s="168"/>
      <c r="ULH491" s="168"/>
      <c r="ULI491" s="168"/>
      <c r="ULJ491" s="168"/>
      <c r="ULK491" s="168"/>
      <c r="ULL491" s="168"/>
      <c r="ULM491" s="168"/>
      <c r="ULN491" s="168"/>
      <c r="ULO491" s="168"/>
      <c r="ULP491" s="168"/>
      <c r="ULQ491" s="168"/>
      <c r="ULR491" s="168"/>
      <c r="ULS491" s="168"/>
      <c r="ULT491" s="168"/>
      <c r="ULU491" s="168"/>
      <c r="ULV491" s="168"/>
      <c r="ULW491" s="168"/>
      <c r="ULX491" s="168"/>
      <c r="ULY491" s="168"/>
      <c r="ULZ491" s="168"/>
      <c r="UMA491" s="168"/>
      <c r="UMB491" s="168"/>
      <c r="UMC491" s="168"/>
      <c r="UMD491" s="168"/>
      <c r="UME491" s="168"/>
      <c r="UMF491" s="168"/>
      <c r="UMG491" s="168"/>
      <c r="UMH491" s="168"/>
      <c r="UMI491" s="168"/>
      <c r="UMJ491" s="168"/>
      <c r="UMK491" s="168"/>
      <c r="UML491" s="168"/>
      <c r="UMM491" s="168"/>
      <c r="UMN491" s="168"/>
      <c r="UMO491" s="168"/>
      <c r="UMP491" s="168"/>
      <c r="UMQ491" s="168"/>
      <c r="UMR491" s="168"/>
      <c r="UMS491" s="168"/>
      <c r="UMT491" s="168"/>
      <c r="UMU491" s="168"/>
      <c r="UMV491" s="168"/>
      <c r="UMW491" s="168"/>
      <c r="UMX491" s="168"/>
      <c r="UMY491" s="168"/>
      <c r="UMZ491" s="168"/>
      <c r="UNA491" s="168"/>
      <c r="UNB491" s="168"/>
      <c r="UNC491" s="168"/>
      <c r="UND491" s="168"/>
      <c r="UNE491" s="168"/>
      <c r="UNF491" s="168"/>
      <c r="UNG491" s="168"/>
      <c r="UNH491" s="168"/>
      <c r="UNI491" s="168"/>
      <c r="UNJ491" s="168"/>
      <c r="UNK491" s="168"/>
      <c r="UNL491" s="168"/>
      <c r="UNM491" s="168"/>
      <c r="UNN491" s="168"/>
      <c r="UNO491" s="168"/>
      <c r="UNP491" s="168"/>
      <c r="UNQ491" s="168"/>
      <c r="UNR491" s="168"/>
      <c r="UNS491" s="168"/>
      <c r="UNT491" s="168"/>
      <c r="UNU491" s="168"/>
      <c r="UNV491" s="168"/>
      <c r="UNW491" s="168"/>
      <c r="UNX491" s="168"/>
      <c r="UNY491" s="168"/>
      <c r="UNZ491" s="168"/>
      <c r="UOA491" s="168"/>
      <c r="UOB491" s="168"/>
      <c r="UOC491" s="168"/>
      <c r="UOD491" s="168"/>
      <c r="UOE491" s="168"/>
      <c r="UOF491" s="168"/>
      <c r="UOG491" s="168"/>
      <c r="UOH491" s="168"/>
      <c r="UOI491" s="168"/>
      <c r="UOJ491" s="168"/>
      <c r="UOK491" s="168"/>
      <c r="UOL491" s="168"/>
      <c r="UOM491" s="168"/>
      <c r="UON491" s="168"/>
      <c r="UOO491" s="168"/>
      <c r="UOP491" s="168"/>
      <c r="UOQ491" s="168"/>
      <c r="UOR491" s="168"/>
      <c r="UOS491" s="168"/>
      <c r="UOT491" s="168"/>
      <c r="UOU491" s="168"/>
      <c r="UOV491" s="168"/>
      <c r="UOW491" s="168"/>
      <c r="UOX491" s="168"/>
      <c r="UOY491" s="168"/>
      <c r="UOZ491" s="168"/>
      <c r="UPA491" s="168"/>
      <c r="UPB491" s="168"/>
      <c r="UPC491" s="168"/>
      <c r="UPD491" s="168"/>
      <c r="UPE491" s="168"/>
      <c r="UPF491" s="168"/>
      <c r="UPG491" s="168"/>
      <c r="UPH491" s="168"/>
      <c r="UPI491" s="168"/>
      <c r="UPJ491" s="168"/>
      <c r="UPK491" s="168"/>
      <c r="UPL491" s="168"/>
      <c r="UPM491" s="168"/>
      <c r="UPN491" s="168"/>
      <c r="UPO491" s="168"/>
      <c r="UPP491" s="168"/>
      <c r="UPQ491" s="168"/>
      <c r="UPR491" s="168"/>
      <c r="UPS491" s="168"/>
      <c r="UPT491" s="168"/>
      <c r="UPU491" s="168"/>
      <c r="UPV491" s="168"/>
      <c r="UPW491" s="168"/>
      <c r="UPX491" s="168"/>
      <c r="UPY491" s="168"/>
      <c r="UPZ491" s="168"/>
      <c r="UQA491" s="168"/>
      <c r="UQB491" s="168"/>
      <c r="UQC491" s="168"/>
      <c r="UQD491" s="168"/>
      <c r="UQE491" s="168"/>
      <c r="UQF491" s="168"/>
      <c r="UQG491" s="168"/>
      <c r="UQH491" s="168"/>
      <c r="UQI491" s="168"/>
      <c r="UQJ491" s="168"/>
      <c r="UQK491" s="168"/>
      <c r="UQL491" s="168"/>
      <c r="UQM491" s="168"/>
      <c r="UQN491" s="168"/>
      <c r="UQO491" s="168"/>
      <c r="UQP491" s="168"/>
      <c r="UQQ491" s="168"/>
      <c r="UQR491" s="168"/>
      <c r="UQS491" s="168"/>
      <c r="UQT491" s="168"/>
      <c r="UQU491" s="168"/>
      <c r="UQV491" s="168"/>
      <c r="UQW491" s="168"/>
      <c r="UQX491" s="168"/>
      <c r="UQY491" s="168"/>
      <c r="UQZ491" s="168"/>
      <c r="URA491" s="168"/>
      <c r="URB491" s="168"/>
      <c r="URC491" s="168"/>
      <c r="URD491" s="168"/>
      <c r="URE491" s="168"/>
      <c r="URF491" s="168"/>
      <c r="URG491" s="168"/>
      <c r="URH491" s="168"/>
      <c r="URI491" s="168"/>
      <c r="URJ491" s="168"/>
      <c r="URK491" s="168"/>
      <c r="URL491" s="168"/>
      <c r="URM491" s="168"/>
      <c r="URN491" s="168"/>
      <c r="URO491" s="168"/>
      <c r="URP491" s="168"/>
      <c r="URQ491" s="168"/>
      <c r="URR491" s="168"/>
      <c r="URS491" s="168"/>
      <c r="URT491" s="168"/>
      <c r="URU491" s="168"/>
      <c r="URV491" s="168"/>
      <c r="URW491" s="168"/>
      <c r="URX491" s="168"/>
      <c r="URY491" s="168"/>
      <c r="URZ491" s="168"/>
      <c r="USA491" s="168"/>
      <c r="USB491" s="168"/>
      <c r="USC491" s="168"/>
      <c r="USD491" s="168"/>
      <c r="USE491" s="168"/>
      <c r="USF491" s="168"/>
      <c r="USG491" s="168"/>
      <c r="USH491" s="168"/>
      <c r="USI491" s="168"/>
      <c r="USJ491" s="168"/>
      <c r="USK491" s="168"/>
      <c r="USL491" s="168"/>
      <c r="USM491" s="168"/>
      <c r="USN491" s="168"/>
      <c r="USO491" s="168"/>
      <c r="USP491" s="168"/>
      <c r="USQ491" s="168"/>
      <c r="USR491" s="168"/>
      <c r="USS491" s="168"/>
      <c r="UST491" s="168"/>
      <c r="USU491" s="168"/>
      <c r="USV491" s="168"/>
      <c r="USW491" s="168"/>
      <c r="USX491" s="168"/>
      <c r="USY491" s="168"/>
      <c r="USZ491" s="168"/>
      <c r="UTA491" s="168"/>
      <c r="UTB491" s="168"/>
      <c r="UTC491" s="168"/>
      <c r="UTD491" s="168"/>
      <c r="UTE491" s="168"/>
      <c r="UTF491" s="168"/>
      <c r="UTG491" s="168"/>
      <c r="UTH491" s="168"/>
      <c r="UTI491" s="168"/>
      <c r="UTJ491" s="168"/>
      <c r="UTK491" s="168"/>
      <c r="UTL491" s="168"/>
      <c r="UTM491" s="168"/>
      <c r="UTN491" s="168"/>
      <c r="UTO491" s="168"/>
      <c r="UTP491" s="168"/>
      <c r="UTQ491" s="168"/>
      <c r="UTR491" s="168"/>
      <c r="UTS491" s="168"/>
      <c r="UTT491" s="168"/>
      <c r="UTU491" s="168"/>
      <c r="UTV491" s="168"/>
      <c r="UTW491" s="168"/>
      <c r="UTX491" s="168"/>
      <c r="UTY491" s="168"/>
      <c r="UTZ491" s="168"/>
      <c r="UUA491" s="168"/>
      <c r="UUB491" s="168"/>
      <c r="UUC491" s="168"/>
      <c r="UUD491" s="168"/>
      <c r="UUE491" s="168"/>
      <c r="UUF491" s="168"/>
      <c r="UUG491" s="168"/>
      <c r="UUH491" s="168"/>
      <c r="UUI491" s="168"/>
      <c r="UUJ491" s="168"/>
      <c r="UUK491" s="168"/>
      <c r="UUL491" s="168"/>
      <c r="UUM491" s="168"/>
      <c r="UUN491" s="168"/>
      <c r="UUO491" s="168"/>
      <c r="UUP491" s="168"/>
      <c r="UUQ491" s="168"/>
      <c r="UUR491" s="168"/>
      <c r="UUS491" s="168"/>
      <c r="UUT491" s="168"/>
      <c r="UUU491" s="168"/>
      <c r="UUV491" s="168"/>
      <c r="UUW491" s="168"/>
      <c r="UUX491" s="168"/>
      <c r="UUY491" s="168"/>
      <c r="UUZ491" s="168"/>
      <c r="UVA491" s="168"/>
      <c r="UVB491" s="168"/>
      <c r="UVC491" s="168"/>
      <c r="UVD491" s="168"/>
      <c r="UVE491" s="168"/>
      <c r="UVF491" s="168"/>
      <c r="UVG491" s="168"/>
      <c r="UVH491" s="168"/>
      <c r="UVI491" s="168"/>
      <c r="UVJ491" s="168"/>
      <c r="UVK491" s="168"/>
      <c r="UVL491" s="168"/>
      <c r="UVM491" s="168"/>
      <c r="UVN491" s="168"/>
      <c r="UVO491" s="168"/>
      <c r="UVP491" s="168"/>
      <c r="UVQ491" s="168"/>
      <c r="UVR491" s="168"/>
      <c r="UVS491" s="168"/>
      <c r="UVT491" s="168"/>
      <c r="UVU491" s="168"/>
      <c r="UVV491" s="168"/>
      <c r="UVW491" s="168"/>
      <c r="UVX491" s="168"/>
      <c r="UVY491" s="168"/>
      <c r="UVZ491" s="168"/>
      <c r="UWA491" s="168"/>
      <c r="UWB491" s="168"/>
      <c r="UWC491" s="168"/>
      <c r="UWD491" s="168"/>
      <c r="UWE491" s="168"/>
      <c r="UWF491" s="168"/>
      <c r="UWG491" s="168"/>
      <c r="UWH491" s="168"/>
      <c r="UWI491" s="168"/>
      <c r="UWJ491" s="168"/>
      <c r="UWK491" s="168"/>
      <c r="UWL491" s="168"/>
      <c r="UWM491" s="168"/>
      <c r="UWN491" s="168"/>
      <c r="UWO491" s="168"/>
      <c r="UWP491" s="168"/>
      <c r="UWQ491" s="168"/>
      <c r="UWR491" s="168"/>
      <c r="UWS491" s="168"/>
      <c r="UWT491" s="168"/>
      <c r="UWU491" s="168"/>
      <c r="UWV491" s="168"/>
      <c r="UWW491" s="168"/>
      <c r="UWX491" s="168"/>
      <c r="UWY491" s="168"/>
      <c r="UWZ491" s="168"/>
      <c r="UXA491" s="168"/>
      <c r="UXB491" s="168"/>
      <c r="UXC491" s="168"/>
      <c r="UXD491" s="168"/>
      <c r="UXE491" s="168"/>
      <c r="UXF491" s="168"/>
      <c r="UXG491" s="168"/>
      <c r="UXH491" s="168"/>
      <c r="UXI491" s="168"/>
      <c r="UXJ491" s="168"/>
      <c r="UXK491" s="168"/>
      <c r="UXL491" s="168"/>
      <c r="UXM491" s="168"/>
      <c r="UXN491" s="168"/>
      <c r="UXO491" s="168"/>
      <c r="UXP491" s="168"/>
      <c r="UXQ491" s="168"/>
      <c r="UXR491" s="168"/>
      <c r="UXS491" s="168"/>
      <c r="UXT491" s="168"/>
      <c r="UXU491" s="168"/>
      <c r="UXV491" s="168"/>
      <c r="UXW491" s="168"/>
      <c r="UXX491" s="168"/>
      <c r="UXY491" s="168"/>
      <c r="UXZ491" s="168"/>
      <c r="UYA491" s="168"/>
      <c r="UYB491" s="168"/>
      <c r="UYC491" s="168"/>
      <c r="UYD491" s="168"/>
      <c r="UYE491" s="168"/>
      <c r="UYF491" s="168"/>
      <c r="UYG491" s="168"/>
      <c r="UYH491" s="168"/>
      <c r="UYI491" s="168"/>
      <c r="UYJ491" s="168"/>
      <c r="UYK491" s="168"/>
      <c r="UYL491" s="168"/>
      <c r="UYM491" s="168"/>
      <c r="UYN491" s="168"/>
      <c r="UYO491" s="168"/>
      <c r="UYP491" s="168"/>
      <c r="UYQ491" s="168"/>
      <c r="UYR491" s="168"/>
      <c r="UYS491" s="168"/>
      <c r="UYT491" s="168"/>
      <c r="UYU491" s="168"/>
      <c r="UYV491" s="168"/>
      <c r="UYW491" s="168"/>
      <c r="UYX491" s="168"/>
      <c r="UYY491" s="168"/>
      <c r="UYZ491" s="168"/>
      <c r="UZA491" s="168"/>
      <c r="UZB491" s="168"/>
      <c r="UZC491" s="168"/>
      <c r="UZD491" s="168"/>
      <c r="UZE491" s="168"/>
      <c r="UZF491" s="168"/>
      <c r="UZG491" s="168"/>
      <c r="UZH491" s="168"/>
      <c r="UZI491" s="168"/>
      <c r="UZJ491" s="168"/>
      <c r="UZK491" s="168"/>
      <c r="UZL491" s="168"/>
      <c r="UZM491" s="168"/>
      <c r="UZN491" s="168"/>
      <c r="UZO491" s="168"/>
      <c r="UZP491" s="168"/>
      <c r="UZQ491" s="168"/>
      <c r="UZR491" s="168"/>
      <c r="UZS491" s="168"/>
      <c r="UZT491" s="168"/>
      <c r="UZU491" s="168"/>
      <c r="UZV491" s="168"/>
      <c r="UZW491" s="168"/>
      <c r="UZX491" s="168"/>
      <c r="UZY491" s="168"/>
      <c r="UZZ491" s="168"/>
      <c r="VAA491" s="168"/>
      <c r="VAB491" s="168"/>
      <c r="VAC491" s="168"/>
      <c r="VAD491" s="168"/>
      <c r="VAE491" s="168"/>
      <c r="VAF491" s="168"/>
      <c r="VAG491" s="168"/>
      <c r="VAH491" s="168"/>
      <c r="VAI491" s="168"/>
      <c r="VAJ491" s="168"/>
      <c r="VAK491" s="168"/>
      <c r="VAL491" s="168"/>
      <c r="VAM491" s="168"/>
      <c r="VAN491" s="168"/>
      <c r="VAO491" s="168"/>
      <c r="VAP491" s="168"/>
      <c r="VAQ491" s="168"/>
      <c r="VAR491" s="168"/>
      <c r="VAS491" s="168"/>
      <c r="VAT491" s="168"/>
      <c r="VAU491" s="168"/>
      <c r="VAV491" s="168"/>
      <c r="VAW491" s="168"/>
      <c r="VAX491" s="168"/>
      <c r="VAY491" s="168"/>
      <c r="VAZ491" s="168"/>
      <c r="VBA491" s="168"/>
      <c r="VBB491" s="168"/>
      <c r="VBC491" s="168"/>
      <c r="VBD491" s="168"/>
      <c r="VBE491" s="168"/>
      <c r="VBF491" s="168"/>
      <c r="VBG491" s="168"/>
      <c r="VBH491" s="168"/>
      <c r="VBI491" s="168"/>
      <c r="VBJ491" s="168"/>
      <c r="VBK491" s="168"/>
      <c r="VBL491" s="168"/>
      <c r="VBM491" s="168"/>
      <c r="VBN491" s="168"/>
      <c r="VBO491" s="168"/>
      <c r="VBP491" s="168"/>
      <c r="VBQ491" s="168"/>
      <c r="VBR491" s="168"/>
      <c r="VBS491" s="168"/>
      <c r="VBT491" s="168"/>
      <c r="VBU491" s="168"/>
      <c r="VBV491" s="168"/>
      <c r="VBW491" s="168"/>
      <c r="VBX491" s="168"/>
      <c r="VBY491" s="168"/>
      <c r="VBZ491" s="168"/>
      <c r="VCA491" s="168"/>
      <c r="VCB491" s="168"/>
      <c r="VCC491" s="168"/>
      <c r="VCD491" s="168"/>
      <c r="VCE491" s="168"/>
      <c r="VCF491" s="168"/>
      <c r="VCG491" s="168"/>
      <c r="VCH491" s="168"/>
      <c r="VCI491" s="168"/>
      <c r="VCJ491" s="168"/>
      <c r="VCK491" s="168"/>
      <c r="VCL491" s="168"/>
      <c r="VCM491" s="168"/>
      <c r="VCN491" s="168"/>
      <c r="VCO491" s="168"/>
      <c r="VCP491" s="168"/>
      <c r="VCQ491" s="168"/>
      <c r="VCR491" s="168"/>
      <c r="VCS491" s="168"/>
      <c r="VCT491" s="168"/>
      <c r="VCU491" s="168"/>
      <c r="VCV491" s="168"/>
      <c r="VCW491" s="168"/>
      <c r="VCX491" s="168"/>
      <c r="VCY491" s="168"/>
      <c r="VCZ491" s="168"/>
      <c r="VDA491" s="168"/>
      <c r="VDB491" s="168"/>
      <c r="VDC491" s="168"/>
      <c r="VDD491" s="168"/>
      <c r="VDE491" s="168"/>
      <c r="VDF491" s="168"/>
      <c r="VDG491" s="168"/>
      <c r="VDH491" s="168"/>
      <c r="VDI491" s="168"/>
      <c r="VDJ491" s="168"/>
      <c r="VDK491" s="168"/>
      <c r="VDL491" s="168"/>
      <c r="VDM491" s="168"/>
      <c r="VDN491" s="168"/>
      <c r="VDO491" s="168"/>
      <c r="VDP491" s="168"/>
      <c r="VDQ491" s="168"/>
      <c r="VDR491" s="168"/>
      <c r="VDS491" s="168"/>
      <c r="VDT491" s="168"/>
      <c r="VDU491" s="168"/>
      <c r="VDV491" s="168"/>
      <c r="VDW491" s="168"/>
      <c r="VDX491" s="168"/>
      <c r="VDY491" s="168"/>
      <c r="VDZ491" s="168"/>
      <c r="VEA491" s="168"/>
      <c r="VEB491" s="168"/>
      <c r="VEC491" s="168"/>
      <c r="VED491" s="168"/>
      <c r="VEE491" s="168"/>
      <c r="VEF491" s="168"/>
      <c r="VEG491" s="168"/>
      <c r="VEH491" s="168"/>
      <c r="VEI491" s="168"/>
      <c r="VEJ491" s="168"/>
      <c r="VEK491" s="168"/>
      <c r="VEL491" s="168"/>
      <c r="VEM491" s="168"/>
      <c r="VEN491" s="168"/>
      <c r="VEO491" s="168"/>
      <c r="VEP491" s="168"/>
      <c r="VEQ491" s="168"/>
      <c r="VER491" s="168"/>
      <c r="VES491" s="168"/>
      <c r="VET491" s="168"/>
      <c r="VEU491" s="168"/>
      <c r="VEV491" s="168"/>
      <c r="VEW491" s="168"/>
      <c r="VEX491" s="168"/>
      <c r="VEY491" s="168"/>
      <c r="VEZ491" s="168"/>
      <c r="VFA491" s="168"/>
      <c r="VFB491" s="168"/>
      <c r="VFC491" s="168"/>
      <c r="VFD491" s="168"/>
      <c r="VFE491" s="168"/>
      <c r="VFF491" s="168"/>
      <c r="VFG491" s="168"/>
      <c r="VFH491" s="168"/>
      <c r="VFI491" s="168"/>
      <c r="VFJ491" s="168"/>
      <c r="VFK491" s="168"/>
      <c r="VFL491" s="168"/>
      <c r="VFM491" s="168"/>
      <c r="VFN491" s="168"/>
      <c r="VFO491" s="168"/>
      <c r="VFP491" s="168"/>
      <c r="VFQ491" s="168"/>
      <c r="VFR491" s="168"/>
      <c r="VFS491" s="168"/>
      <c r="VFT491" s="168"/>
      <c r="VFU491" s="168"/>
      <c r="VFV491" s="168"/>
      <c r="VFW491" s="168"/>
      <c r="VFX491" s="168"/>
      <c r="VFY491" s="168"/>
      <c r="VFZ491" s="168"/>
      <c r="VGA491" s="168"/>
      <c r="VGB491" s="168"/>
      <c r="VGC491" s="168"/>
      <c r="VGD491" s="168"/>
      <c r="VGE491" s="168"/>
      <c r="VGF491" s="168"/>
      <c r="VGG491" s="168"/>
      <c r="VGH491" s="168"/>
      <c r="VGI491" s="168"/>
      <c r="VGJ491" s="168"/>
      <c r="VGK491" s="168"/>
      <c r="VGL491" s="168"/>
      <c r="VGM491" s="168"/>
      <c r="VGN491" s="168"/>
      <c r="VGO491" s="168"/>
      <c r="VGP491" s="168"/>
      <c r="VGQ491" s="168"/>
      <c r="VGR491" s="168"/>
      <c r="VGS491" s="168"/>
      <c r="VGT491" s="168"/>
      <c r="VGU491" s="168"/>
      <c r="VGV491" s="168"/>
      <c r="VGW491" s="168"/>
      <c r="VGX491" s="168"/>
      <c r="VGY491" s="168"/>
      <c r="VGZ491" s="168"/>
      <c r="VHA491" s="168"/>
      <c r="VHB491" s="168"/>
      <c r="VHC491" s="168"/>
      <c r="VHD491" s="168"/>
      <c r="VHE491" s="168"/>
      <c r="VHF491" s="168"/>
      <c r="VHG491" s="168"/>
      <c r="VHH491" s="168"/>
      <c r="VHI491" s="168"/>
      <c r="VHJ491" s="168"/>
      <c r="VHK491" s="168"/>
      <c r="VHL491" s="168"/>
      <c r="VHM491" s="168"/>
      <c r="VHN491" s="168"/>
      <c r="VHO491" s="168"/>
      <c r="VHP491" s="168"/>
      <c r="VHQ491" s="168"/>
      <c r="VHR491" s="168"/>
      <c r="VHS491" s="168"/>
      <c r="VHT491" s="168"/>
      <c r="VHU491" s="168"/>
      <c r="VHV491" s="168"/>
      <c r="VHW491" s="168"/>
      <c r="VHX491" s="168"/>
      <c r="VHY491" s="168"/>
      <c r="VHZ491" s="168"/>
      <c r="VIA491" s="168"/>
      <c r="VIB491" s="168"/>
      <c r="VIC491" s="168"/>
      <c r="VID491" s="168"/>
      <c r="VIE491" s="168"/>
      <c r="VIF491" s="168"/>
      <c r="VIG491" s="168"/>
      <c r="VIH491" s="168"/>
      <c r="VII491" s="168"/>
      <c r="VIJ491" s="168"/>
      <c r="VIK491" s="168"/>
      <c r="VIL491" s="168"/>
      <c r="VIM491" s="168"/>
      <c r="VIN491" s="168"/>
      <c r="VIO491" s="168"/>
      <c r="VIP491" s="168"/>
      <c r="VIQ491" s="168"/>
      <c r="VIR491" s="168"/>
      <c r="VIS491" s="168"/>
      <c r="VIT491" s="168"/>
      <c r="VIU491" s="168"/>
      <c r="VIV491" s="168"/>
      <c r="VIW491" s="168"/>
      <c r="VIX491" s="168"/>
      <c r="VIY491" s="168"/>
      <c r="VIZ491" s="168"/>
      <c r="VJA491" s="168"/>
      <c r="VJB491" s="168"/>
      <c r="VJC491" s="168"/>
      <c r="VJD491" s="168"/>
      <c r="VJE491" s="168"/>
      <c r="VJF491" s="168"/>
      <c r="VJG491" s="168"/>
      <c r="VJH491" s="168"/>
      <c r="VJI491" s="168"/>
      <c r="VJJ491" s="168"/>
      <c r="VJK491" s="168"/>
      <c r="VJL491" s="168"/>
      <c r="VJM491" s="168"/>
      <c r="VJN491" s="168"/>
      <c r="VJO491" s="168"/>
      <c r="VJP491" s="168"/>
      <c r="VJQ491" s="168"/>
      <c r="VJR491" s="168"/>
      <c r="VJS491" s="168"/>
      <c r="VJT491" s="168"/>
      <c r="VJU491" s="168"/>
      <c r="VJV491" s="168"/>
      <c r="VJW491" s="168"/>
      <c r="VJX491" s="168"/>
      <c r="VJY491" s="168"/>
      <c r="VJZ491" s="168"/>
      <c r="VKA491" s="168"/>
      <c r="VKB491" s="168"/>
      <c r="VKC491" s="168"/>
      <c r="VKD491" s="168"/>
      <c r="VKE491" s="168"/>
      <c r="VKF491" s="168"/>
      <c r="VKG491" s="168"/>
      <c r="VKH491" s="168"/>
      <c r="VKI491" s="168"/>
      <c r="VKJ491" s="168"/>
      <c r="VKK491" s="168"/>
      <c r="VKL491" s="168"/>
      <c r="VKM491" s="168"/>
      <c r="VKN491" s="168"/>
      <c r="VKO491" s="168"/>
      <c r="VKP491" s="168"/>
      <c r="VKQ491" s="168"/>
      <c r="VKR491" s="168"/>
      <c r="VKS491" s="168"/>
      <c r="VKT491" s="168"/>
      <c r="VKU491" s="168"/>
      <c r="VKV491" s="168"/>
      <c r="VKW491" s="168"/>
      <c r="VKX491" s="168"/>
      <c r="VKY491" s="168"/>
      <c r="VKZ491" s="168"/>
      <c r="VLA491" s="168"/>
      <c r="VLB491" s="168"/>
      <c r="VLC491" s="168"/>
      <c r="VLD491" s="168"/>
      <c r="VLE491" s="168"/>
      <c r="VLF491" s="168"/>
      <c r="VLG491" s="168"/>
      <c r="VLH491" s="168"/>
      <c r="VLI491" s="168"/>
      <c r="VLJ491" s="168"/>
      <c r="VLK491" s="168"/>
      <c r="VLL491" s="168"/>
      <c r="VLM491" s="168"/>
      <c r="VLN491" s="168"/>
      <c r="VLO491" s="168"/>
      <c r="VLP491" s="168"/>
      <c r="VLQ491" s="168"/>
      <c r="VLR491" s="168"/>
      <c r="VLS491" s="168"/>
      <c r="VLT491" s="168"/>
      <c r="VLU491" s="168"/>
      <c r="VLV491" s="168"/>
      <c r="VLW491" s="168"/>
      <c r="VLX491" s="168"/>
      <c r="VLY491" s="168"/>
      <c r="VLZ491" s="168"/>
      <c r="VMA491" s="168"/>
      <c r="VMB491" s="168"/>
      <c r="VMC491" s="168"/>
      <c r="VMD491" s="168"/>
      <c r="VME491" s="168"/>
      <c r="VMF491" s="168"/>
      <c r="VMG491" s="168"/>
      <c r="VMH491" s="168"/>
      <c r="VMI491" s="168"/>
      <c r="VMJ491" s="168"/>
      <c r="VMK491" s="168"/>
      <c r="VML491" s="168"/>
      <c r="VMM491" s="168"/>
      <c r="VMN491" s="168"/>
      <c r="VMO491" s="168"/>
      <c r="VMP491" s="168"/>
      <c r="VMQ491" s="168"/>
      <c r="VMR491" s="168"/>
      <c r="VMS491" s="168"/>
      <c r="VMT491" s="168"/>
      <c r="VMU491" s="168"/>
      <c r="VMV491" s="168"/>
      <c r="VMW491" s="168"/>
      <c r="VMX491" s="168"/>
      <c r="VMY491" s="168"/>
      <c r="VMZ491" s="168"/>
      <c r="VNA491" s="168"/>
      <c r="VNB491" s="168"/>
      <c r="VNC491" s="168"/>
      <c r="VND491" s="168"/>
      <c r="VNE491" s="168"/>
      <c r="VNF491" s="168"/>
      <c r="VNG491" s="168"/>
      <c r="VNH491" s="168"/>
      <c r="VNI491" s="168"/>
      <c r="VNJ491" s="168"/>
      <c r="VNK491" s="168"/>
      <c r="VNL491" s="168"/>
      <c r="VNM491" s="168"/>
      <c r="VNN491" s="168"/>
      <c r="VNO491" s="168"/>
      <c r="VNP491" s="168"/>
      <c r="VNQ491" s="168"/>
      <c r="VNR491" s="168"/>
      <c r="VNS491" s="168"/>
      <c r="VNT491" s="168"/>
      <c r="VNU491" s="168"/>
      <c r="VNV491" s="168"/>
      <c r="VNW491" s="168"/>
      <c r="VNX491" s="168"/>
      <c r="VNY491" s="168"/>
      <c r="VNZ491" s="168"/>
      <c r="VOA491" s="168"/>
      <c r="VOB491" s="168"/>
      <c r="VOC491" s="168"/>
      <c r="VOD491" s="168"/>
      <c r="VOE491" s="168"/>
      <c r="VOF491" s="168"/>
      <c r="VOG491" s="168"/>
      <c r="VOH491" s="168"/>
      <c r="VOI491" s="168"/>
      <c r="VOJ491" s="168"/>
      <c r="VOK491" s="168"/>
      <c r="VOL491" s="168"/>
      <c r="VOM491" s="168"/>
      <c r="VON491" s="168"/>
      <c r="VOO491" s="168"/>
      <c r="VOP491" s="168"/>
      <c r="VOQ491" s="168"/>
      <c r="VOR491" s="168"/>
      <c r="VOS491" s="168"/>
      <c r="VOT491" s="168"/>
      <c r="VOU491" s="168"/>
      <c r="VOV491" s="168"/>
      <c r="VOW491" s="168"/>
      <c r="VOX491" s="168"/>
      <c r="VOY491" s="168"/>
      <c r="VOZ491" s="168"/>
      <c r="VPA491" s="168"/>
      <c r="VPB491" s="168"/>
      <c r="VPC491" s="168"/>
      <c r="VPD491" s="168"/>
      <c r="VPE491" s="168"/>
      <c r="VPF491" s="168"/>
      <c r="VPG491" s="168"/>
      <c r="VPH491" s="168"/>
      <c r="VPI491" s="168"/>
      <c r="VPJ491" s="168"/>
      <c r="VPK491" s="168"/>
      <c r="VPL491" s="168"/>
      <c r="VPM491" s="168"/>
      <c r="VPN491" s="168"/>
      <c r="VPO491" s="168"/>
      <c r="VPP491" s="168"/>
      <c r="VPQ491" s="168"/>
      <c r="VPR491" s="168"/>
      <c r="VPS491" s="168"/>
      <c r="VPT491" s="168"/>
      <c r="VPU491" s="168"/>
      <c r="VPV491" s="168"/>
      <c r="VPW491" s="168"/>
      <c r="VPX491" s="168"/>
      <c r="VPY491" s="168"/>
      <c r="VPZ491" s="168"/>
      <c r="VQA491" s="168"/>
      <c r="VQB491" s="168"/>
      <c r="VQC491" s="168"/>
      <c r="VQD491" s="168"/>
      <c r="VQE491" s="168"/>
      <c r="VQF491" s="168"/>
      <c r="VQG491" s="168"/>
      <c r="VQH491" s="168"/>
      <c r="VQI491" s="168"/>
      <c r="VQJ491" s="168"/>
      <c r="VQK491" s="168"/>
      <c r="VQL491" s="168"/>
      <c r="VQM491" s="168"/>
      <c r="VQN491" s="168"/>
      <c r="VQO491" s="168"/>
      <c r="VQP491" s="168"/>
      <c r="VQQ491" s="168"/>
      <c r="VQR491" s="168"/>
      <c r="VQS491" s="168"/>
      <c r="VQT491" s="168"/>
      <c r="VQU491" s="168"/>
      <c r="VQV491" s="168"/>
      <c r="VQW491" s="168"/>
      <c r="VQX491" s="168"/>
      <c r="VQY491" s="168"/>
      <c r="VQZ491" s="168"/>
      <c r="VRA491" s="168"/>
      <c r="VRB491" s="168"/>
      <c r="VRC491" s="168"/>
      <c r="VRD491" s="168"/>
      <c r="VRE491" s="168"/>
      <c r="VRF491" s="168"/>
      <c r="VRG491" s="168"/>
      <c r="VRH491" s="168"/>
      <c r="VRI491" s="168"/>
      <c r="VRJ491" s="168"/>
      <c r="VRK491" s="168"/>
      <c r="VRL491" s="168"/>
      <c r="VRM491" s="168"/>
      <c r="VRN491" s="168"/>
      <c r="VRO491" s="168"/>
      <c r="VRP491" s="168"/>
      <c r="VRQ491" s="168"/>
      <c r="VRR491" s="168"/>
      <c r="VRS491" s="168"/>
      <c r="VRT491" s="168"/>
      <c r="VRU491" s="168"/>
      <c r="VRV491" s="168"/>
      <c r="VRW491" s="168"/>
      <c r="VRX491" s="168"/>
      <c r="VRY491" s="168"/>
      <c r="VRZ491" s="168"/>
      <c r="VSA491" s="168"/>
      <c r="VSB491" s="168"/>
      <c r="VSC491" s="168"/>
      <c r="VSD491" s="168"/>
      <c r="VSE491" s="168"/>
      <c r="VSF491" s="168"/>
      <c r="VSG491" s="168"/>
      <c r="VSH491" s="168"/>
      <c r="VSI491" s="168"/>
      <c r="VSJ491" s="168"/>
      <c r="VSK491" s="168"/>
      <c r="VSL491" s="168"/>
      <c r="VSM491" s="168"/>
      <c r="VSN491" s="168"/>
      <c r="VSO491" s="168"/>
      <c r="VSP491" s="168"/>
      <c r="VSQ491" s="168"/>
      <c r="VSR491" s="168"/>
      <c r="VSS491" s="168"/>
      <c r="VST491" s="168"/>
      <c r="VSU491" s="168"/>
      <c r="VSV491" s="168"/>
      <c r="VSW491" s="168"/>
      <c r="VSX491" s="168"/>
      <c r="VSY491" s="168"/>
      <c r="VSZ491" s="168"/>
      <c r="VTA491" s="168"/>
      <c r="VTB491" s="168"/>
      <c r="VTC491" s="168"/>
      <c r="VTD491" s="168"/>
      <c r="VTE491" s="168"/>
      <c r="VTF491" s="168"/>
      <c r="VTG491" s="168"/>
      <c r="VTH491" s="168"/>
      <c r="VTI491" s="168"/>
      <c r="VTJ491" s="168"/>
      <c r="VTK491" s="168"/>
      <c r="VTL491" s="168"/>
      <c r="VTM491" s="168"/>
      <c r="VTN491" s="168"/>
      <c r="VTO491" s="168"/>
      <c r="VTP491" s="168"/>
      <c r="VTQ491" s="168"/>
      <c r="VTR491" s="168"/>
      <c r="VTS491" s="168"/>
      <c r="VTT491" s="168"/>
      <c r="VTU491" s="168"/>
      <c r="VTV491" s="168"/>
      <c r="VTW491" s="168"/>
      <c r="VTX491" s="168"/>
      <c r="VTY491" s="168"/>
      <c r="VTZ491" s="168"/>
      <c r="VUA491" s="168"/>
      <c r="VUB491" s="168"/>
      <c r="VUC491" s="168"/>
      <c r="VUD491" s="168"/>
      <c r="VUE491" s="168"/>
      <c r="VUF491" s="168"/>
      <c r="VUG491" s="168"/>
      <c r="VUH491" s="168"/>
      <c r="VUI491" s="168"/>
      <c r="VUJ491" s="168"/>
      <c r="VUK491" s="168"/>
      <c r="VUL491" s="168"/>
      <c r="VUM491" s="168"/>
      <c r="VUN491" s="168"/>
      <c r="VUO491" s="168"/>
      <c r="VUP491" s="168"/>
      <c r="VUQ491" s="168"/>
      <c r="VUR491" s="168"/>
      <c r="VUS491" s="168"/>
      <c r="VUT491" s="168"/>
      <c r="VUU491" s="168"/>
      <c r="VUV491" s="168"/>
      <c r="VUW491" s="168"/>
      <c r="VUX491" s="168"/>
      <c r="VUY491" s="168"/>
      <c r="VUZ491" s="168"/>
      <c r="VVA491" s="168"/>
      <c r="VVB491" s="168"/>
      <c r="VVC491" s="168"/>
      <c r="VVD491" s="168"/>
      <c r="VVE491" s="168"/>
      <c r="VVF491" s="168"/>
      <c r="VVG491" s="168"/>
      <c r="VVH491" s="168"/>
      <c r="VVI491" s="168"/>
      <c r="VVJ491" s="168"/>
      <c r="VVK491" s="168"/>
      <c r="VVL491" s="168"/>
      <c r="VVM491" s="168"/>
      <c r="VVN491" s="168"/>
      <c r="VVO491" s="168"/>
      <c r="VVP491" s="168"/>
      <c r="VVQ491" s="168"/>
      <c r="VVR491" s="168"/>
      <c r="VVS491" s="168"/>
      <c r="VVT491" s="168"/>
      <c r="VVU491" s="168"/>
      <c r="VVV491" s="168"/>
      <c r="VVW491" s="168"/>
      <c r="VVX491" s="168"/>
      <c r="VVY491" s="168"/>
      <c r="VVZ491" s="168"/>
      <c r="VWA491" s="168"/>
      <c r="VWB491" s="168"/>
      <c r="VWC491" s="168"/>
      <c r="VWD491" s="168"/>
      <c r="VWE491" s="168"/>
      <c r="VWF491" s="168"/>
      <c r="VWG491" s="168"/>
      <c r="VWH491" s="168"/>
      <c r="VWI491" s="168"/>
      <c r="VWJ491" s="168"/>
      <c r="VWK491" s="168"/>
      <c r="VWL491" s="168"/>
      <c r="VWM491" s="168"/>
      <c r="VWN491" s="168"/>
      <c r="VWO491" s="168"/>
      <c r="VWP491" s="168"/>
      <c r="VWQ491" s="168"/>
      <c r="VWR491" s="168"/>
      <c r="VWS491" s="168"/>
      <c r="VWT491" s="168"/>
      <c r="VWU491" s="168"/>
      <c r="VWV491" s="168"/>
      <c r="VWW491" s="168"/>
      <c r="VWX491" s="168"/>
      <c r="VWY491" s="168"/>
      <c r="VWZ491" s="168"/>
      <c r="VXA491" s="168"/>
      <c r="VXB491" s="168"/>
      <c r="VXC491" s="168"/>
      <c r="VXD491" s="168"/>
      <c r="VXE491" s="168"/>
      <c r="VXF491" s="168"/>
      <c r="VXG491" s="168"/>
      <c r="VXH491" s="168"/>
      <c r="VXI491" s="168"/>
      <c r="VXJ491" s="168"/>
      <c r="VXK491" s="168"/>
      <c r="VXL491" s="168"/>
      <c r="VXM491" s="168"/>
      <c r="VXN491" s="168"/>
      <c r="VXO491" s="168"/>
      <c r="VXP491" s="168"/>
      <c r="VXQ491" s="168"/>
      <c r="VXR491" s="168"/>
      <c r="VXS491" s="168"/>
      <c r="VXT491" s="168"/>
      <c r="VXU491" s="168"/>
      <c r="VXV491" s="168"/>
      <c r="VXW491" s="168"/>
      <c r="VXX491" s="168"/>
      <c r="VXY491" s="168"/>
      <c r="VXZ491" s="168"/>
      <c r="VYA491" s="168"/>
      <c r="VYB491" s="168"/>
      <c r="VYC491" s="168"/>
      <c r="VYD491" s="168"/>
      <c r="VYE491" s="168"/>
      <c r="VYF491" s="168"/>
      <c r="VYG491" s="168"/>
      <c r="VYH491" s="168"/>
      <c r="VYI491" s="168"/>
      <c r="VYJ491" s="168"/>
      <c r="VYK491" s="168"/>
      <c r="VYL491" s="168"/>
      <c r="VYM491" s="168"/>
      <c r="VYN491" s="168"/>
      <c r="VYO491" s="168"/>
      <c r="VYP491" s="168"/>
      <c r="VYQ491" s="168"/>
      <c r="VYR491" s="168"/>
      <c r="VYS491" s="168"/>
      <c r="VYT491" s="168"/>
      <c r="VYU491" s="168"/>
      <c r="VYV491" s="168"/>
      <c r="VYW491" s="168"/>
      <c r="VYX491" s="168"/>
      <c r="VYY491" s="168"/>
      <c r="VYZ491" s="168"/>
      <c r="VZA491" s="168"/>
      <c r="VZB491" s="168"/>
      <c r="VZC491" s="168"/>
      <c r="VZD491" s="168"/>
      <c r="VZE491" s="168"/>
      <c r="VZF491" s="168"/>
      <c r="VZG491" s="168"/>
      <c r="VZH491" s="168"/>
      <c r="VZI491" s="168"/>
      <c r="VZJ491" s="168"/>
      <c r="VZK491" s="168"/>
      <c r="VZL491" s="168"/>
      <c r="VZM491" s="168"/>
      <c r="VZN491" s="168"/>
      <c r="VZO491" s="168"/>
      <c r="VZP491" s="168"/>
      <c r="VZQ491" s="168"/>
      <c r="VZR491" s="168"/>
      <c r="VZS491" s="168"/>
      <c r="VZT491" s="168"/>
      <c r="VZU491" s="168"/>
      <c r="VZV491" s="168"/>
      <c r="VZW491" s="168"/>
      <c r="VZX491" s="168"/>
      <c r="VZY491" s="168"/>
      <c r="VZZ491" s="168"/>
      <c r="WAA491" s="168"/>
      <c r="WAB491" s="168"/>
      <c r="WAC491" s="168"/>
      <c r="WAD491" s="168"/>
      <c r="WAE491" s="168"/>
      <c r="WAF491" s="168"/>
      <c r="WAG491" s="168"/>
      <c r="WAH491" s="168"/>
      <c r="WAI491" s="168"/>
      <c r="WAJ491" s="168"/>
      <c r="WAK491" s="168"/>
      <c r="WAL491" s="168"/>
      <c r="WAM491" s="168"/>
      <c r="WAN491" s="168"/>
      <c r="WAO491" s="168"/>
      <c r="WAP491" s="168"/>
      <c r="WAQ491" s="168"/>
      <c r="WAR491" s="168"/>
      <c r="WAS491" s="168"/>
      <c r="WAT491" s="168"/>
      <c r="WAU491" s="168"/>
      <c r="WAV491" s="168"/>
      <c r="WAW491" s="168"/>
      <c r="WAX491" s="168"/>
      <c r="WAY491" s="168"/>
      <c r="WAZ491" s="168"/>
      <c r="WBA491" s="168"/>
      <c r="WBB491" s="168"/>
      <c r="WBC491" s="168"/>
      <c r="WBD491" s="168"/>
      <c r="WBE491" s="168"/>
      <c r="WBF491" s="168"/>
      <c r="WBG491" s="168"/>
      <c r="WBH491" s="168"/>
      <c r="WBI491" s="168"/>
      <c r="WBJ491" s="168"/>
      <c r="WBK491" s="168"/>
      <c r="WBL491" s="168"/>
      <c r="WBM491" s="168"/>
      <c r="WBN491" s="168"/>
      <c r="WBO491" s="168"/>
      <c r="WBP491" s="168"/>
      <c r="WBQ491" s="168"/>
      <c r="WBR491" s="168"/>
      <c r="WBS491" s="168"/>
      <c r="WBT491" s="168"/>
      <c r="WBU491" s="168"/>
      <c r="WBV491" s="168"/>
      <c r="WBW491" s="168"/>
      <c r="WBX491" s="168"/>
      <c r="WBY491" s="168"/>
      <c r="WBZ491" s="168"/>
      <c r="WCA491" s="168"/>
      <c r="WCB491" s="168"/>
      <c r="WCC491" s="168"/>
      <c r="WCD491" s="168"/>
      <c r="WCE491" s="168"/>
      <c r="WCF491" s="168"/>
      <c r="WCG491" s="168"/>
      <c r="WCH491" s="168"/>
      <c r="WCI491" s="168"/>
      <c r="WCJ491" s="168"/>
      <c r="WCK491" s="168"/>
      <c r="WCL491" s="168"/>
      <c r="WCM491" s="168"/>
      <c r="WCN491" s="168"/>
      <c r="WCO491" s="168"/>
      <c r="WCP491" s="168"/>
      <c r="WCQ491" s="168"/>
      <c r="WCR491" s="168"/>
      <c r="WCS491" s="168"/>
      <c r="WCT491" s="168"/>
      <c r="WCU491" s="168"/>
      <c r="WCV491" s="168"/>
      <c r="WCW491" s="168"/>
      <c r="WCX491" s="168"/>
      <c r="WCY491" s="168"/>
      <c r="WCZ491" s="168"/>
      <c r="WDA491" s="168"/>
      <c r="WDB491" s="168"/>
      <c r="WDC491" s="168"/>
      <c r="WDD491" s="168"/>
      <c r="WDE491" s="168"/>
      <c r="WDF491" s="168"/>
      <c r="WDG491" s="168"/>
      <c r="WDH491" s="168"/>
      <c r="WDI491" s="168"/>
      <c r="WDJ491" s="168"/>
      <c r="WDK491" s="168"/>
      <c r="WDL491" s="168"/>
      <c r="WDM491" s="168"/>
      <c r="WDN491" s="168"/>
      <c r="WDO491" s="168"/>
      <c r="WDP491" s="168"/>
      <c r="WDQ491" s="168"/>
      <c r="WDR491" s="168"/>
      <c r="WDS491" s="168"/>
      <c r="WDT491" s="168"/>
      <c r="WDU491" s="168"/>
      <c r="WDV491" s="168"/>
      <c r="WDW491" s="168"/>
      <c r="WDX491" s="168"/>
      <c r="WDY491" s="168"/>
      <c r="WDZ491" s="168"/>
      <c r="WEA491" s="168"/>
      <c r="WEB491" s="168"/>
      <c r="WEC491" s="168"/>
      <c r="WED491" s="168"/>
      <c r="WEE491" s="168"/>
      <c r="WEF491" s="168"/>
      <c r="WEG491" s="168"/>
      <c r="WEH491" s="168"/>
      <c r="WEI491" s="168"/>
      <c r="WEJ491" s="168"/>
      <c r="WEK491" s="168"/>
      <c r="WEL491" s="168"/>
      <c r="WEM491" s="168"/>
      <c r="WEN491" s="168"/>
      <c r="WEO491" s="168"/>
      <c r="WEP491" s="168"/>
      <c r="WEQ491" s="168"/>
      <c r="WER491" s="168"/>
      <c r="WES491" s="168"/>
      <c r="WET491" s="168"/>
      <c r="WEU491" s="168"/>
      <c r="WEV491" s="168"/>
      <c r="WEW491" s="168"/>
      <c r="WEX491" s="168"/>
      <c r="WEY491" s="168"/>
      <c r="WEZ491" s="168"/>
      <c r="WFA491" s="168"/>
      <c r="WFB491" s="168"/>
      <c r="WFC491" s="168"/>
      <c r="WFD491" s="168"/>
      <c r="WFE491" s="168"/>
      <c r="WFF491" s="168"/>
      <c r="WFG491" s="168"/>
      <c r="WFH491" s="168"/>
      <c r="WFI491" s="168"/>
      <c r="WFJ491" s="168"/>
      <c r="WFK491" s="168"/>
      <c r="WFL491" s="168"/>
      <c r="WFM491" s="168"/>
      <c r="WFN491" s="168"/>
      <c r="WFO491" s="168"/>
      <c r="WFP491" s="168"/>
      <c r="WFQ491" s="168"/>
      <c r="WFR491" s="168"/>
      <c r="WFS491" s="168"/>
      <c r="WFT491" s="168"/>
      <c r="WFU491" s="168"/>
      <c r="WFV491" s="168"/>
      <c r="WFW491" s="168"/>
      <c r="WFX491" s="168"/>
      <c r="WFY491" s="168"/>
      <c r="WFZ491" s="168"/>
      <c r="WGA491" s="168"/>
      <c r="WGB491" s="168"/>
      <c r="WGC491" s="168"/>
      <c r="WGD491" s="168"/>
      <c r="WGE491" s="168"/>
      <c r="WGF491" s="168"/>
      <c r="WGG491" s="168"/>
      <c r="WGH491" s="168"/>
      <c r="WGI491" s="168"/>
      <c r="WGJ491" s="168"/>
      <c r="WGK491" s="168"/>
      <c r="WGL491" s="168"/>
      <c r="WGM491" s="168"/>
      <c r="WGN491" s="168"/>
      <c r="WGO491" s="168"/>
      <c r="WGP491" s="168"/>
      <c r="WGQ491" s="168"/>
      <c r="WGR491" s="168"/>
      <c r="WGS491" s="168"/>
      <c r="WGT491" s="168"/>
      <c r="WGU491" s="168"/>
      <c r="WGV491" s="168"/>
      <c r="WGW491" s="168"/>
      <c r="WGX491" s="168"/>
      <c r="WGY491" s="168"/>
      <c r="WGZ491" s="168"/>
      <c r="WHA491" s="168"/>
      <c r="WHB491" s="168"/>
      <c r="WHC491" s="168"/>
      <c r="WHD491" s="168"/>
      <c r="WHE491" s="168"/>
      <c r="WHF491" s="168"/>
      <c r="WHG491" s="168"/>
      <c r="WHH491" s="168"/>
      <c r="WHI491" s="168"/>
      <c r="WHJ491" s="168"/>
      <c r="WHK491" s="168"/>
      <c r="WHL491" s="168"/>
      <c r="WHM491" s="168"/>
      <c r="WHN491" s="168"/>
      <c r="WHO491" s="168"/>
      <c r="WHP491" s="168"/>
      <c r="WHQ491" s="168"/>
      <c r="WHR491" s="168"/>
      <c r="WHS491" s="168"/>
      <c r="WHT491" s="168"/>
      <c r="WHU491" s="168"/>
      <c r="WHV491" s="168"/>
      <c r="WHW491" s="168"/>
      <c r="WHX491" s="168"/>
      <c r="WHY491" s="168"/>
      <c r="WHZ491" s="168"/>
      <c r="WIA491" s="168"/>
      <c r="WIB491" s="168"/>
      <c r="WIC491" s="168"/>
      <c r="WID491" s="168"/>
      <c r="WIE491" s="168"/>
      <c r="WIF491" s="168"/>
      <c r="WIG491" s="168"/>
      <c r="WIH491" s="168"/>
      <c r="WII491" s="168"/>
      <c r="WIJ491" s="168"/>
      <c r="WIK491" s="168"/>
      <c r="WIL491" s="168"/>
      <c r="WIM491" s="168"/>
      <c r="WIN491" s="168"/>
      <c r="WIO491" s="168"/>
      <c r="WIP491" s="168"/>
      <c r="WIQ491" s="168"/>
      <c r="WIR491" s="168"/>
      <c r="WIS491" s="168"/>
      <c r="WIT491" s="168"/>
      <c r="WIU491" s="168"/>
      <c r="WIV491" s="168"/>
      <c r="WIW491" s="168"/>
      <c r="WIX491" s="168"/>
      <c r="WIY491" s="168"/>
      <c r="WIZ491" s="168"/>
      <c r="WJA491" s="168"/>
      <c r="WJB491" s="168"/>
      <c r="WJC491" s="168"/>
      <c r="WJD491" s="168"/>
      <c r="WJE491" s="168"/>
      <c r="WJF491" s="168"/>
      <c r="WJG491" s="168"/>
      <c r="WJH491" s="168"/>
      <c r="WJI491" s="168"/>
      <c r="WJJ491" s="168"/>
      <c r="WJK491" s="168"/>
      <c r="WJL491" s="168"/>
      <c r="WJM491" s="168"/>
      <c r="WJN491" s="168"/>
      <c r="WJO491" s="168"/>
      <c r="WJP491" s="168"/>
      <c r="WJQ491" s="168"/>
      <c r="WJR491" s="168"/>
      <c r="WJS491" s="168"/>
      <c r="WJT491" s="168"/>
      <c r="WJU491" s="168"/>
      <c r="WJV491" s="168"/>
      <c r="WJW491" s="168"/>
      <c r="WJX491" s="168"/>
      <c r="WJY491" s="168"/>
      <c r="WJZ491" s="168"/>
      <c r="WKA491" s="168"/>
      <c r="WKB491" s="168"/>
      <c r="WKC491" s="168"/>
      <c r="WKD491" s="168"/>
      <c r="WKE491" s="168"/>
      <c r="WKF491" s="168"/>
      <c r="WKG491" s="168"/>
      <c r="WKH491" s="168"/>
      <c r="WKI491" s="168"/>
      <c r="WKJ491" s="168"/>
      <c r="WKK491" s="168"/>
      <c r="WKL491" s="168"/>
      <c r="WKM491" s="168"/>
      <c r="WKN491" s="168"/>
      <c r="WKO491" s="168"/>
      <c r="WKP491" s="168"/>
      <c r="WKQ491" s="168"/>
      <c r="WKR491" s="168"/>
      <c r="WKS491" s="168"/>
      <c r="WKT491" s="168"/>
      <c r="WKU491" s="168"/>
      <c r="WKV491" s="168"/>
      <c r="WKW491" s="168"/>
      <c r="WKX491" s="168"/>
      <c r="WKY491" s="168"/>
      <c r="WKZ491" s="168"/>
      <c r="WLA491" s="168"/>
      <c r="WLB491" s="168"/>
      <c r="WLC491" s="168"/>
      <c r="WLD491" s="168"/>
      <c r="WLE491" s="168"/>
      <c r="WLF491" s="168"/>
      <c r="WLG491" s="168"/>
      <c r="WLH491" s="168"/>
      <c r="WLI491" s="168"/>
      <c r="WLJ491" s="168"/>
      <c r="WLK491" s="168"/>
      <c r="WLL491" s="168"/>
      <c r="WLM491" s="168"/>
      <c r="WLN491" s="168"/>
      <c r="WLO491" s="168"/>
      <c r="WLP491" s="168"/>
      <c r="WLQ491" s="168"/>
      <c r="WLR491" s="168"/>
      <c r="WLS491" s="168"/>
      <c r="WLT491" s="168"/>
      <c r="WLU491" s="168"/>
      <c r="WLV491" s="168"/>
      <c r="WLW491" s="168"/>
      <c r="WLX491" s="168"/>
      <c r="WLY491" s="168"/>
      <c r="WLZ491" s="168"/>
      <c r="WMA491" s="168"/>
      <c r="WMB491" s="168"/>
      <c r="WMC491" s="168"/>
      <c r="WMD491" s="168"/>
      <c r="WME491" s="168"/>
      <c r="WMF491" s="168"/>
      <c r="WMG491" s="168"/>
      <c r="WMH491" s="168"/>
      <c r="WMI491" s="168"/>
      <c r="WMJ491" s="168"/>
      <c r="WMK491" s="168"/>
      <c r="WML491" s="168"/>
      <c r="WMM491" s="168"/>
      <c r="WMN491" s="168"/>
      <c r="WMO491" s="168"/>
      <c r="WMP491" s="168"/>
      <c r="WMQ491" s="168"/>
      <c r="WMR491" s="168"/>
      <c r="WMS491" s="168"/>
      <c r="WMT491" s="168"/>
      <c r="WMU491" s="168"/>
      <c r="WMV491" s="168"/>
      <c r="WMW491" s="168"/>
      <c r="WMX491" s="168"/>
      <c r="WMY491" s="168"/>
      <c r="WMZ491" s="168"/>
      <c r="WNA491" s="168"/>
      <c r="WNB491" s="168"/>
      <c r="WNC491" s="168"/>
      <c r="WND491" s="168"/>
      <c r="WNE491" s="168"/>
      <c r="WNF491" s="168"/>
      <c r="WNG491" s="168"/>
      <c r="WNH491" s="168"/>
      <c r="WNI491" s="168"/>
      <c r="WNJ491" s="168"/>
      <c r="WNK491" s="168"/>
      <c r="WNL491" s="168"/>
      <c r="WNM491" s="168"/>
      <c r="WNN491" s="168"/>
      <c r="WNO491" s="168"/>
      <c r="WNP491" s="168"/>
      <c r="WNQ491" s="168"/>
      <c r="WNR491" s="168"/>
      <c r="WNS491" s="168"/>
      <c r="WNT491" s="168"/>
      <c r="WNU491" s="168"/>
      <c r="WNV491" s="168"/>
      <c r="WNW491" s="168"/>
      <c r="WNX491" s="168"/>
      <c r="WNY491" s="168"/>
      <c r="WNZ491" s="168"/>
      <c r="WOA491" s="168"/>
      <c r="WOB491" s="168"/>
      <c r="WOC491" s="168"/>
      <c r="WOD491" s="168"/>
      <c r="WOE491" s="168"/>
      <c r="WOF491" s="168"/>
      <c r="WOG491" s="168"/>
      <c r="WOH491" s="168"/>
      <c r="WOI491" s="168"/>
      <c r="WOJ491" s="168"/>
      <c r="WOK491" s="168"/>
      <c r="WOL491" s="168"/>
      <c r="WOM491" s="168"/>
      <c r="WON491" s="168"/>
      <c r="WOO491" s="168"/>
      <c r="WOP491" s="168"/>
      <c r="WOQ491" s="168"/>
      <c r="WOR491" s="168"/>
      <c r="WOS491" s="168"/>
      <c r="WOT491" s="168"/>
      <c r="WOU491" s="168"/>
      <c r="WOV491" s="168"/>
      <c r="WOW491" s="168"/>
      <c r="WOX491" s="168"/>
      <c r="WOY491" s="168"/>
      <c r="WOZ491" s="168"/>
      <c r="WPA491" s="168"/>
      <c r="WPB491" s="168"/>
      <c r="WPC491" s="168"/>
      <c r="WPD491" s="168"/>
      <c r="WPE491" s="168"/>
      <c r="WPF491" s="168"/>
      <c r="WPG491" s="168"/>
      <c r="WPH491" s="168"/>
      <c r="WPI491" s="168"/>
      <c r="WPJ491" s="168"/>
      <c r="WPK491" s="168"/>
      <c r="WPL491" s="168"/>
      <c r="WPM491" s="168"/>
      <c r="WPN491" s="168"/>
      <c r="WPO491" s="168"/>
      <c r="WPP491" s="168"/>
      <c r="WPQ491" s="168"/>
      <c r="WPR491" s="168"/>
      <c r="WPS491" s="168"/>
      <c r="WPT491" s="168"/>
      <c r="WPU491" s="168"/>
      <c r="WPV491" s="168"/>
      <c r="WPW491" s="168"/>
      <c r="WPX491" s="168"/>
      <c r="WPY491" s="168"/>
      <c r="WPZ491" s="168"/>
      <c r="WQA491" s="168"/>
      <c r="WQB491" s="168"/>
      <c r="WQC491" s="168"/>
      <c r="WQD491" s="168"/>
      <c r="WQE491" s="168"/>
      <c r="WQF491" s="168"/>
      <c r="WQG491" s="168"/>
      <c r="WQH491" s="168"/>
      <c r="WQI491" s="168"/>
      <c r="WQJ491" s="168"/>
      <c r="WQK491" s="168"/>
      <c r="WQL491" s="168"/>
      <c r="WQM491" s="168"/>
      <c r="WQN491" s="168"/>
      <c r="WQO491" s="168"/>
      <c r="WQP491" s="168"/>
      <c r="WQQ491" s="168"/>
      <c r="WQR491" s="168"/>
      <c r="WQS491" s="168"/>
      <c r="WQT491" s="168"/>
      <c r="WQU491" s="168"/>
      <c r="WQV491" s="168"/>
      <c r="WQW491" s="168"/>
      <c r="WQX491" s="168"/>
      <c r="WQY491" s="168"/>
      <c r="WQZ491" s="168"/>
      <c r="WRA491" s="168"/>
      <c r="WRB491" s="168"/>
      <c r="WRC491" s="168"/>
      <c r="WRD491" s="168"/>
      <c r="WRE491" s="168"/>
      <c r="WRF491" s="168"/>
      <c r="WRG491" s="168"/>
      <c r="WRH491" s="168"/>
      <c r="WRI491" s="168"/>
      <c r="WRJ491" s="168"/>
      <c r="WRK491" s="168"/>
      <c r="WRL491" s="168"/>
      <c r="WRM491" s="168"/>
      <c r="WRN491" s="168"/>
      <c r="WRO491" s="168"/>
      <c r="WRP491" s="168"/>
      <c r="WRQ491" s="168"/>
      <c r="WRR491" s="168"/>
      <c r="WRS491" s="168"/>
      <c r="WRT491" s="168"/>
      <c r="WRU491" s="168"/>
      <c r="WRV491" s="168"/>
      <c r="WRW491" s="168"/>
      <c r="WRX491" s="168"/>
      <c r="WRY491" s="168"/>
      <c r="WRZ491" s="168"/>
      <c r="WSA491" s="168"/>
      <c r="WSB491" s="168"/>
      <c r="WSC491" s="168"/>
      <c r="WSD491" s="168"/>
      <c r="WSE491" s="168"/>
      <c r="WSF491" s="168"/>
      <c r="WSG491" s="168"/>
      <c r="WSH491" s="168"/>
      <c r="WSI491" s="168"/>
      <c r="WSJ491" s="168"/>
      <c r="WSK491" s="168"/>
      <c r="WSL491" s="168"/>
      <c r="WSM491" s="168"/>
      <c r="WSN491" s="168"/>
      <c r="WSO491" s="168"/>
      <c r="WSP491" s="168"/>
      <c r="WSQ491" s="168"/>
      <c r="WSR491" s="168"/>
      <c r="WSS491" s="168"/>
      <c r="WST491" s="168"/>
      <c r="WSU491" s="168"/>
      <c r="WSV491" s="168"/>
      <c r="WSW491" s="168"/>
      <c r="WSX491" s="168"/>
      <c r="WSY491" s="168"/>
      <c r="WSZ491" s="168"/>
      <c r="WTA491" s="168"/>
      <c r="WTB491" s="168"/>
      <c r="WTC491" s="168"/>
      <c r="WTD491" s="168"/>
      <c r="WTE491" s="168"/>
      <c r="WTF491" s="168"/>
      <c r="WTG491" s="168"/>
      <c r="WTH491" s="168"/>
      <c r="WTI491" s="168"/>
      <c r="WTJ491" s="168"/>
      <c r="WTK491" s="168"/>
      <c r="WTL491" s="168"/>
      <c r="WTM491" s="168"/>
      <c r="WTN491" s="168"/>
      <c r="WTO491" s="168"/>
      <c r="WTP491" s="168"/>
      <c r="WTQ491" s="168"/>
      <c r="WTR491" s="168"/>
      <c r="WTS491" s="168"/>
      <c r="WTT491" s="168"/>
      <c r="WTU491" s="168"/>
      <c r="WTV491" s="168"/>
      <c r="WTW491" s="168"/>
      <c r="WTX491" s="168"/>
      <c r="WTY491" s="168"/>
      <c r="WTZ491" s="168"/>
      <c r="WUA491" s="168"/>
      <c r="WUB491" s="168"/>
      <c r="WUC491" s="168"/>
      <c r="WUD491" s="168"/>
      <c r="WUE491" s="168"/>
      <c r="WUF491" s="168"/>
      <c r="WUG491" s="168"/>
      <c r="WUH491" s="168"/>
      <c r="WUI491" s="168"/>
      <c r="WUJ491" s="168"/>
      <c r="WUK491" s="168"/>
      <c r="WUL491" s="168"/>
      <c r="WUM491" s="168"/>
      <c r="WUN491" s="168"/>
      <c r="WUO491" s="168"/>
      <c r="WUP491" s="168"/>
      <c r="WUQ491" s="168"/>
      <c r="WUR491" s="168"/>
      <c r="WUS491" s="168"/>
      <c r="WUT491" s="168"/>
      <c r="WUU491" s="168"/>
      <c r="WUV491" s="168"/>
      <c r="WUW491" s="168"/>
      <c r="WUX491" s="168"/>
      <c r="WUY491" s="168"/>
      <c r="WUZ491" s="168"/>
      <c r="WVA491" s="168"/>
      <c r="WVB491" s="168"/>
      <c r="WVC491" s="168"/>
      <c r="WVD491" s="168"/>
      <c r="WVE491" s="168"/>
      <c r="WVF491" s="168"/>
      <c r="WVG491" s="168"/>
      <c r="WVH491" s="168"/>
      <c r="WVI491" s="168"/>
      <c r="WVJ491" s="168"/>
      <c r="WVK491" s="168"/>
      <c r="WVL491" s="168"/>
      <c r="WVM491" s="168"/>
      <c r="WVN491" s="168"/>
      <c r="WVO491" s="168"/>
      <c r="WVP491" s="168"/>
      <c r="WVQ491" s="168"/>
      <c r="WVR491" s="168"/>
      <c r="WVS491" s="168"/>
      <c r="WVT491" s="168"/>
      <c r="WVU491" s="168"/>
      <c r="WVV491" s="168"/>
      <c r="WVW491" s="168"/>
      <c r="WVX491" s="168"/>
      <c r="WVY491" s="168"/>
      <c r="WVZ491" s="168"/>
      <c r="WWA491" s="168"/>
      <c r="WWB491" s="168"/>
      <c r="WWC491" s="168"/>
      <c r="WWD491" s="168"/>
      <c r="WWE491" s="168"/>
      <c r="WWF491" s="168"/>
      <c r="WWG491" s="168"/>
      <c r="WWH491" s="168"/>
      <c r="WWI491" s="168"/>
      <c r="WWJ491" s="168"/>
      <c r="WWK491" s="168"/>
      <c r="WWL491" s="168"/>
      <c r="WWM491" s="168"/>
      <c r="WWN491" s="168"/>
      <c r="WWO491" s="168"/>
      <c r="WWP491" s="168"/>
      <c r="WWQ491" s="168"/>
      <c r="WWR491" s="168"/>
      <c r="WWS491" s="168"/>
      <c r="WWT491" s="168"/>
      <c r="WWU491" s="168"/>
      <c r="WWV491" s="168"/>
      <c r="WWW491" s="168"/>
      <c r="WWX491" s="168"/>
      <c r="WWY491" s="168"/>
      <c r="WWZ491" s="168"/>
      <c r="WXA491" s="168"/>
      <c r="WXB491" s="168"/>
      <c r="WXC491" s="168"/>
      <c r="WXD491" s="168"/>
      <c r="WXE491" s="168"/>
      <c r="WXF491" s="168"/>
      <c r="WXG491" s="168"/>
      <c r="WXH491" s="168"/>
      <c r="WXI491" s="168"/>
      <c r="WXJ491" s="168"/>
      <c r="WXK491" s="168"/>
      <c r="WXL491" s="168"/>
      <c r="WXM491" s="168"/>
      <c r="WXN491" s="168"/>
      <c r="WXO491" s="168"/>
      <c r="WXP491" s="168"/>
      <c r="WXQ491" s="168"/>
      <c r="WXR491" s="168"/>
      <c r="WXS491" s="168"/>
      <c r="WXT491" s="168"/>
      <c r="WXU491" s="168"/>
      <c r="WXV491" s="168"/>
      <c r="WXW491" s="168"/>
      <c r="WXX491" s="168"/>
      <c r="WXY491" s="168"/>
      <c r="WXZ491" s="168"/>
      <c r="WYA491" s="168"/>
      <c r="WYB491" s="168"/>
      <c r="WYC491" s="168"/>
      <c r="WYD491" s="168"/>
      <c r="WYE491" s="168"/>
      <c r="WYF491" s="168"/>
      <c r="WYG491" s="168"/>
      <c r="WYH491" s="168"/>
      <c r="WYI491" s="168"/>
      <c r="WYJ491" s="168"/>
      <c r="WYK491" s="168"/>
      <c r="WYL491" s="168"/>
      <c r="WYM491" s="168"/>
      <c r="WYN491" s="168"/>
      <c r="WYO491" s="168"/>
      <c r="WYP491" s="168"/>
      <c r="WYQ491" s="168"/>
      <c r="WYR491" s="168"/>
      <c r="WYS491" s="168"/>
      <c r="WYT491" s="168"/>
      <c r="WYU491" s="168"/>
      <c r="WYV491" s="168"/>
      <c r="WYW491" s="168"/>
      <c r="WYX491" s="168"/>
      <c r="WYY491" s="168"/>
      <c r="WYZ491" s="168"/>
      <c r="WZA491" s="168"/>
      <c r="WZB491" s="168"/>
      <c r="WZC491" s="168"/>
      <c r="WZD491" s="168"/>
      <c r="WZE491" s="168"/>
      <c r="WZF491" s="168"/>
      <c r="WZG491" s="168"/>
      <c r="WZH491" s="168"/>
      <c r="WZI491" s="168"/>
      <c r="WZJ491" s="168"/>
      <c r="WZK491" s="168"/>
      <c r="WZL491" s="168"/>
      <c r="WZM491" s="168"/>
      <c r="WZN491" s="168"/>
      <c r="WZO491" s="168"/>
      <c r="WZP491" s="168"/>
      <c r="WZQ491" s="168"/>
      <c r="WZR491" s="168"/>
      <c r="WZS491" s="168"/>
      <c r="WZT491" s="168"/>
      <c r="WZU491" s="168"/>
      <c r="WZV491" s="168"/>
      <c r="WZW491" s="168"/>
      <c r="WZX491" s="168"/>
      <c r="WZY491" s="168"/>
      <c r="WZZ491" s="168"/>
      <c r="XAA491" s="168"/>
      <c r="XAB491" s="168"/>
      <c r="XAC491" s="168"/>
      <c r="XAD491" s="168"/>
      <c r="XAE491" s="168"/>
      <c r="XAF491" s="168"/>
      <c r="XAG491" s="168"/>
      <c r="XAH491" s="168"/>
      <c r="XAI491" s="168"/>
      <c r="XAJ491" s="168"/>
      <c r="XAK491" s="168"/>
      <c r="XAL491" s="168"/>
      <c r="XAM491" s="168"/>
      <c r="XAN491" s="168"/>
      <c r="XAO491" s="168"/>
      <c r="XAP491" s="168"/>
      <c r="XAQ491" s="168"/>
      <c r="XAR491" s="168"/>
      <c r="XAS491" s="168"/>
      <c r="XAT491" s="168"/>
      <c r="XAU491" s="168"/>
      <c r="XAV491" s="168"/>
      <c r="XAW491" s="168"/>
      <c r="XAX491" s="168"/>
      <c r="XAY491" s="168"/>
      <c r="XAZ491" s="168"/>
      <c r="XBA491" s="168"/>
      <c r="XBB491" s="168"/>
      <c r="XBC491" s="168"/>
      <c r="XBD491" s="168"/>
      <c r="XBE491" s="168"/>
      <c r="XBF491" s="168"/>
      <c r="XBG491" s="168"/>
      <c r="XBH491" s="168"/>
      <c r="XBI491" s="168"/>
      <c r="XBJ491" s="168"/>
      <c r="XBK491" s="168"/>
      <c r="XBL491" s="168"/>
      <c r="XBM491" s="168"/>
      <c r="XBN491" s="168"/>
      <c r="XBO491" s="168"/>
      <c r="XBP491" s="168"/>
      <c r="XBQ491" s="168"/>
      <c r="XBR491" s="168"/>
      <c r="XBS491" s="168"/>
      <c r="XBT491" s="168"/>
      <c r="XBU491" s="168"/>
      <c r="XBV491" s="168"/>
      <c r="XBW491" s="168"/>
      <c r="XBX491" s="168"/>
      <c r="XBY491" s="168"/>
      <c r="XBZ491" s="168"/>
      <c r="XCA491" s="168"/>
      <c r="XCB491" s="168"/>
      <c r="XCC491" s="168"/>
      <c r="XCD491" s="168"/>
      <c r="XCE491" s="168"/>
      <c r="XCF491" s="168"/>
      <c r="XCG491" s="168"/>
      <c r="XCH491" s="168"/>
      <c r="XCI491" s="168"/>
      <c r="XCJ491" s="168"/>
      <c r="XCK491" s="168"/>
      <c r="XCL491" s="168"/>
      <c r="XCM491" s="168"/>
      <c r="XCN491" s="168"/>
      <c r="XCO491" s="168"/>
      <c r="XCP491" s="168"/>
      <c r="XCQ491" s="168"/>
      <c r="XCR491" s="168"/>
      <c r="XCS491" s="168"/>
      <c r="XCT491" s="168"/>
      <c r="XCU491" s="168"/>
      <c r="XCV491" s="168"/>
      <c r="XCW491" s="168"/>
      <c r="XCX491" s="168"/>
      <c r="XCY491" s="168"/>
      <c r="XCZ491" s="168"/>
      <c r="XDA491" s="168"/>
      <c r="XDB491" s="168"/>
      <c r="XDC491" s="168"/>
      <c r="XDD491" s="168"/>
      <c r="XDE491" s="168"/>
      <c r="XDF491" s="168"/>
      <c r="XDG491" s="168"/>
      <c r="XDH491" s="168"/>
      <c r="XDI491" s="168"/>
      <c r="XDJ491" s="168"/>
      <c r="XDK491" s="168"/>
      <c r="XDL491" s="168"/>
      <c r="XDM491" s="168"/>
      <c r="XDN491" s="168"/>
      <c r="XDO491" s="168"/>
      <c r="XDP491" s="168"/>
      <c r="XDQ491" s="168"/>
      <c r="XDR491" s="168"/>
      <c r="XDS491" s="168"/>
      <c r="XDT491" s="168"/>
      <c r="XDU491" s="168"/>
      <c r="XDV491" s="168"/>
      <c r="XDW491" s="168"/>
      <c r="XDX491" s="168"/>
      <c r="XDY491" s="168"/>
      <c r="XDZ491" s="168"/>
      <c r="XEA491" s="168"/>
      <c r="XEB491" s="168"/>
      <c r="XEC491" s="168"/>
      <c r="XED491" s="168"/>
      <c r="XEE491" s="168"/>
      <c r="XEF491" s="168"/>
      <c r="XEG491" s="168"/>
      <c r="XEH491" s="168"/>
      <c r="XEI491" s="168"/>
      <c r="XEJ491" s="168"/>
      <c r="XEK491" s="168"/>
      <c r="XEL491" s="168"/>
      <c r="XEM491" s="168"/>
      <c r="XEN491" s="168"/>
      <c r="XEO491" s="168"/>
      <c r="XEP491" s="168"/>
      <c r="XEQ491" s="168"/>
      <c r="XER491" s="168"/>
      <c r="XES491" s="168"/>
      <c r="XET491" s="168"/>
      <c r="XEU491" s="168"/>
      <c r="XEV491" s="168"/>
      <c r="XEW491" s="168"/>
      <c r="XEX491" s="168"/>
      <c r="XEY491" s="168"/>
      <c r="XEZ491" s="168"/>
      <c r="XFA491" s="168"/>
      <c r="XFB491" s="168"/>
      <c r="XFC491" s="168"/>
      <c r="XFD491" s="168"/>
    </row>
    <row r="492" spans="1:16384" s="1091" customFormat="1" ht="24.95" customHeight="1">
      <c r="A492" s="351">
        <v>130</v>
      </c>
      <c r="B492" s="168" t="s">
        <v>1247</v>
      </c>
      <c r="C492" s="351" t="s">
        <v>4568</v>
      </c>
      <c r="D492" s="168" t="s">
        <v>1165</v>
      </c>
      <c r="E492" s="351">
        <v>7</v>
      </c>
      <c r="F492" s="351"/>
      <c r="G492" s="168" t="s">
        <v>32</v>
      </c>
      <c r="H492" s="168" t="s">
        <v>33</v>
      </c>
      <c r="I492" s="351"/>
      <c r="J492" s="168" t="s">
        <v>4157</v>
      </c>
      <c r="K492" s="168" t="s">
        <v>4566</v>
      </c>
      <c r="L492" s="351">
        <v>74158.42</v>
      </c>
      <c r="M492" s="446">
        <v>14831.683999999999</v>
      </c>
      <c r="N492" s="561">
        <v>2022.02</v>
      </c>
      <c r="O492" s="1834" t="s">
        <v>4348</v>
      </c>
      <c r="P492" s="168" t="s">
        <v>4349</v>
      </c>
      <c r="Q492" s="351">
        <v>19987808108</v>
      </c>
      <c r="R492" s="168" t="s">
        <v>4350</v>
      </c>
      <c r="S492" s="168" t="s">
        <v>4043</v>
      </c>
      <c r="T492" s="351"/>
    </row>
    <row r="493" spans="1:16384" s="1091" customFormat="1" ht="24.95" customHeight="1">
      <c r="A493" s="351">
        <v>131</v>
      </c>
      <c r="B493" s="168" t="s">
        <v>4569</v>
      </c>
      <c r="C493" s="351" t="s">
        <v>4570</v>
      </c>
      <c r="D493" s="168" t="s">
        <v>888</v>
      </c>
      <c r="E493" s="351"/>
      <c r="F493" s="351">
        <v>540</v>
      </c>
      <c r="G493" s="168" t="s">
        <v>32</v>
      </c>
      <c r="H493" s="168" t="s">
        <v>33</v>
      </c>
      <c r="I493" s="351"/>
      <c r="J493" s="168" t="s">
        <v>4157</v>
      </c>
      <c r="K493" s="168" t="s">
        <v>4571</v>
      </c>
      <c r="L493" s="351">
        <v>96530.97</v>
      </c>
      <c r="M493" s="446">
        <v>19306.194</v>
      </c>
      <c r="N493" s="561">
        <v>2022.02</v>
      </c>
      <c r="O493" s="1835"/>
      <c r="P493" s="168" t="s">
        <v>4349</v>
      </c>
      <c r="Q493" s="351">
        <v>19987808108</v>
      </c>
      <c r="R493" s="168" t="s">
        <v>4350</v>
      </c>
      <c r="S493" s="168" t="s">
        <v>4043</v>
      </c>
      <c r="T493" s="351"/>
    </row>
    <row r="494" spans="1:16384" s="1091" customFormat="1" ht="24.95" customHeight="1">
      <c r="A494" s="351">
        <v>132</v>
      </c>
      <c r="B494" s="168" t="s">
        <v>1412</v>
      </c>
      <c r="C494" s="351" t="s">
        <v>4572</v>
      </c>
      <c r="D494" s="168" t="s">
        <v>888</v>
      </c>
      <c r="E494" s="351"/>
      <c r="F494" s="351">
        <v>991</v>
      </c>
      <c r="G494" s="168" t="s">
        <v>32</v>
      </c>
      <c r="H494" s="168" t="s">
        <v>33</v>
      </c>
      <c r="I494" s="351"/>
      <c r="J494" s="168" t="s">
        <v>4157</v>
      </c>
      <c r="K494" s="168" t="s">
        <v>4571</v>
      </c>
      <c r="L494" s="351">
        <v>177152.21</v>
      </c>
      <c r="M494" s="446">
        <v>35430.442000000003</v>
      </c>
      <c r="N494" s="561">
        <v>2022.02</v>
      </c>
      <c r="O494" s="1836"/>
      <c r="P494" s="168" t="s">
        <v>4349</v>
      </c>
      <c r="Q494" s="351">
        <v>19987808108</v>
      </c>
      <c r="R494" s="168" t="s">
        <v>4350</v>
      </c>
      <c r="S494" s="168" t="s">
        <v>4043</v>
      </c>
      <c r="T494" s="351"/>
    </row>
    <row r="495" spans="1:16384" s="507" customFormat="1" ht="24.95" customHeight="1">
      <c r="A495" s="351">
        <v>133</v>
      </c>
      <c r="B495" s="1174" t="s">
        <v>3296</v>
      </c>
      <c r="C495" s="1175" t="s">
        <v>34</v>
      </c>
      <c r="D495" s="222" t="s">
        <v>888</v>
      </c>
      <c r="F495" s="222">
        <v>550</v>
      </c>
      <c r="G495" s="168" t="s">
        <v>32</v>
      </c>
      <c r="H495" s="168" t="s">
        <v>33</v>
      </c>
      <c r="I495" s="168"/>
      <c r="J495" s="279" t="s">
        <v>4157</v>
      </c>
      <c r="K495" s="1174" t="s">
        <v>4571</v>
      </c>
      <c r="L495" s="277">
        <v>98318.58</v>
      </c>
      <c r="M495" s="1122">
        <v>19663.716</v>
      </c>
      <c r="N495" s="174">
        <v>2022.02</v>
      </c>
      <c r="O495" s="279" t="s">
        <v>4196</v>
      </c>
      <c r="P495" s="168" t="s">
        <v>4197</v>
      </c>
      <c r="Q495" s="1104">
        <v>18935151265</v>
      </c>
      <c r="R495" s="168" t="s">
        <v>4198</v>
      </c>
      <c r="S495" s="168" t="s">
        <v>4043</v>
      </c>
      <c r="T495" s="168"/>
    </row>
    <row r="496" spans="1:16384" s="1179" customFormat="1" ht="24.95" customHeight="1">
      <c r="A496" s="328" t="s">
        <v>1439</v>
      </c>
      <c r="B496" s="328" t="s">
        <v>4590</v>
      </c>
      <c r="C496" s="328"/>
      <c r="D496" s="328"/>
      <c r="E496" s="328"/>
      <c r="F496" s="328"/>
      <c r="G496" s="328"/>
      <c r="H496" s="328"/>
      <c r="I496" s="1176"/>
      <c r="J496" s="328"/>
      <c r="K496" s="328"/>
      <c r="L496" s="1177"/>
      <c r="M496" s="1177"/>
      <c r="N496" s="1178"/>
      <c r="O496" s="328"/>
      <c r="P496" s="328"/>
      <c r="Q496" s="328"/>
      <c r="R496" s="328"/>
      <c r="S496" s="328"/>
      <c r="T496" s="328"/>
    </row>
    <row r="497" spans="1:20" s="250" customFormat="1" ht="24.95" customHeight="1">
      <c r="A497" s="147">
        <v>1</v>
      </c>
      <c r="B497" s="168" t="s">
        <v>2815</v>
      </c>
      <c r="C497" s="174"/>
      <c r="D497" s="174" t="s">
        <v>161</v>
      </c>
      <c r="E497" s="168">
        <v>100</v>
      </c>
      <c r="F497" s="168"/>
      <c r="G497" s="222" t="s">
        <v>32</v>
      </c>
      <c r="H497" s="222" t="s">
        <v>41</v>
      </c>
      <c r="I497" s="1096" t="s">
        <v>4319</v>
      </c>
      <c r="J497" s="404" t="s">
        <v>4128</v>
      </c>
      <c r="K497" s="1097" t="s">
        <v>4591</v>
      </c>
      <c r="L497" s="168">
        <v>97345.13</v>
      </c>
      <c r="M497" s="168">
        <v>29203.54</v>
      </c>
      <c r="N497" s="1075">
        <v>43922</v>
      </c>
      <c r="O497" s="1918" t="s">
        <v>4130</v>
      </c>
      <c r="P497" s="1073" t="s">
        <v>4131</v>
      </c>
      <c r="Q497" s="103">
        <v>17373170973</v>
      </c>
      <c r="R497" s="103" t="s">
        <v>4132</v>
      </c>
      <c r="S497" s="1060" t="s">
        <v>4043</v>
      </c>
      <c r="T497" s="147"/>
    </row>
    <row r="498" spans="1:20" s="250" customFormat="1" ht="24.95" customHeight="1">
      <c r="A498" s="147">
        <v>2</v>
      </c>
      <c r="B498" s="168" t="s">
        <v>2815</v>
      </c>
      <c r="C498" s="174" t="s">
        <v>4592</v>
      </c>
      <c r="D498" s="174" t="s">
        <v>161</v>
      </c>
      <c r="E498" s="168">
        <v>300</v>
      </c>
      <c r="F498" s="168"/>
      <c r="G498" s="222" t="s">
        <v>32</v>
      </c>
      <c r="H498" s="222" t="s">
        <v>41</v>
      </c>
      <c r="I498" s="1096" t="s">
        <v>4319</v>
      </c>
      <c r="J498" s="404" t="s">
        <v>4128</v>
      </c>
      <c r="K498" s="1097" t="s">
        <v>4591</v>
      </c>
      <c r="L498" s="168">
        <v>286725.67</v>
      </c>
      <c r="M498" s="168">
        <v>86017.7</v>
      </c>
      <c r="N498" s="1075">
        <v>43922</v>
      </c>
      <c r="O498" s="1918"/>
      <c r="P498" s="1073" t="s">
        <v>4131</v>
      </c>
      <c r="Q498" s="103">
        <v>17373170973</v>
      </c>
      <c r="R498" s="103" t="s">
        <v>4132</v>
      </c>
      <c r="S498" s="1060" t="s">
        <v>4043</v>
      </c>
      <c r="T498" s="147"/>
    </row>
    <row r="499" spans="1:20" s="250" customFormat="1" ht="24.95" customHeight="1">
      <c r="A499" s="147">
        <v>3</v>
      </c>
      <c r="B499" s="168" t="s">
        <v>4593</v>
      </c>
      <c r="C499" s="174" t="s">
        <v>4594</v>
      </c>
      <c r="D499" s="174" t="s">
        <v>79</v>
      </c>
      <c r="E499" s="168">
        <v>3</v>
      </c>
      <c r="F499" s="168"/>
      <c r="G499" s="222" t="s">
        <v>32</v>
      </c>
      <c r="H499" s="222" t="s">
        <v>41</v>
      </c>
      <c r="I499" s="1096" t="s">
        <v>4319</v>
      </c>
      <c r="J499" s="404" t="s">
        <v>4128</v>
      </c>
      <c r="K499" s="1097" t="s">
        <v>4591</v>
      </c>
      <c r="L499" s="168">
        <v>71076.11</v>
      </c>
      <c r="M499" s="168">
        <v>21322.83</v>
      </c>
      <c r="N499" s="1075">
        <v>43922</v>
      </c>
      <c r="O499" s="1918"/>
      <c r="P499" s="1073" t="s">
        <v>4131</v>
      </c>
      <c r="Q499" s="103">
        <v>17373170973</v>
      </c>
      <c r="R499" s="103" t="s">
        <v>4132</v>
      </c>
      <c r="S499" s="1060" t="s">
        <v>4043</v>
      </c>
      <c r="T499" s="147"/>
    </row>
    <row r="500" spans="1:20" s="250" customFormat="1" ht="24.95" customHeight="1">
      <c r="A500" s="147">
        <v>4</v>
      </c>
      <c r="B500" s="168" t="s">
        <v>4593</v>
      </c>
      <c r="C500" s="174" t="s">
        <v>4594</v>
      </c>
      <c r="D500" s="174" t="s">
        <v>79</v>
      </c>
      <c r="E500" s="168">
        <v>2</v>
      </c>
      <c r="F500" s="168"/>
      <c r="G500" s="222" t="s">
        <v>32</v>
      </c>
      <c r="H500" s="222" t="s">
        <v>41</v>
      </c>
      <c r="I500" s="1096" t="s">
        <v>4319</v>
      </c>
      <c r="J500" s="404" t="s">
        <v>4128</v>
      </c>
      <c r="K500" s="1097" t="s">
        <v>4591</v>
      </c>
      <c r="L500" s="168">
        <v>47384.07</v>
      </c>
      <c r="M500" s="168">
        <v>14215.22</v>
      </c>
      <c r="N500" s="1075">
        <v>43922</v>
      </c>
      <c r="O500" s="1918"/>
      <c r="P500" s="1073" t="s">
        <v>4131</v>
      </c>
      <c r="Q500" s="103">
        <v>17373170973</v>
      </c>
      <c r="R500" s="103" t="s">
        <v>4132</v>
      </c>
      <c r="S500" s="1060" t="s">
        <v>4043</v>
      </c>
      <c r="T500" s="147"/>
    </row>
    <row r="501" spans="1:20" s="250" customFormat="1" ht="24.95" customHeight="1">
      <c r="A501" s="147">
        <v>5</v>
      </c>
      <c r="B501" s="168" t="s">
        <v>4590</v>
      </c>
      <c r="C501" s="174" t="s">
        <v>34</v>
      </c>
      <c r="D501" s="174" t="s">
        <v>62</v>
      </c>
      <c r="E501" s="168"/>
      <c r="F501" s="168">
        <v>17.239999999999998</v>
      </c>
      <c r="G501" s="222" t="s">
        <v>32</v>
      </c>
      <c r="H501" s="222" t="s">
        <v>41</v>
      </c>
      <c r="I501" s="1096" t="s">
        <v>4319</v>
      </c>
      <c r="J501" s="404" t="s">
        <v>4128</v>
      </c>
      <c r="K501" s="1097" t="s">
        <v>4184</v>
      </c>
      <c r="L501" s="168">
        <v>25638.98</v>
      </c>
      <c r="M501" s="168">
        <v>7691.69</v>
      </c>
      <c r="N501" s="1075">
        <v>43922</v>
      </c>
      <c r="O501" s="1918"/>
      <c r="P501" s="1073" t="s">
        <v>4131</v>
      </c>
      <c r="Q501" s="103">
        <v>17373170973</v>
      </c>
      <c r="R501" s="103" t="s">
        <v>4132</v>
      </c>
      <c r="S501" s="1060" t="s">
        <v>4043</v>
      </c>
      <c r="T501" s="147"/>
    </row>
    <row r="502" spans="1:20" s="250" customFormat="1" ht="24.95" customHeight="1">
      <c r="A502" s="147">
        <v>6</v>
      </c>
      <c r="B502" s="168" t="s">
        <v>2806</v>
      </c>
      <c r="C502" s="174" t="s">
        <v>34</v>
      </c>
      <c r="D502" s="174" t="s">
        <v>62</v>
      </c>
      <c r="E502" s="168"/>
      <c r="F502" s="168">
        <v>16.670000000000002</v>
      </c>
      <c r="G502" s="222" t="s">
        <v>32</v>
      </c>
      <c r="H502" s="222" t="s">
        <v>41</v>
      </c>
      <c r="I502" s="1096" t="s">
        <v>4319</v>
      </c>
      <c r="J502" s="404" t="s">
        <v>4128</v>
      </c>
      <c r="K502" s="1097" t="s">
        <v>4184</v>
      </c>
      <c r="L502" s="168">
        <v>25646.15</v>
      </c>
      <c r="M502" s="168">
        <v>7693.85</v>
      </c>
      <c r="N502" s="1075">
        <v>43922</v>
      </c>
      <c r="O502" s="1918"/>
      <c r="P502" s="1073" t="s">
        <v>4131</v>
      </c>
      <c r="Q502" s="103">
        <v>17373170973</v>
      </c>
      <c r="R502" s="103" t="s">
        <v>4132</v>
      </c>
      <c r="S502" s="1060" t="s">
        <v>4043</v>
      </c>
      <c r="T502" s="147"/>
    </row>
    <row r="503" spans="1:20" s="250" customFormat="1" ht="24.95" customHeight="1">
      <c r="A503" s="147">
        <v>7</v>
      </c>
      <c r="B503" s="168" t="s">
        <v>4590</v>
      </c>
      <c r="C503" s="174" t="s">
        <v>34</v>
      </c>
      <c r="D503" s="174" t="s">
        <v>62</v>
      </c>
      <c r="E503" s="168"/>
      <c r="F503" s="168">
        <v>20.797999999999998</v>
      </c>
      <c r="G503" s="222" t="s">
        <v>32</v>
      </c>
      <c r="H503" s="222" t="s">
        <v>41</v>
      </c>
      <c r="I503" s="1096" t="s">
        <v>4319</v>
      </c>
      <c r="J503" s="404" t="s">
        <v>4128</v>
      </c>
      <c r="K503" s="1097" t="s">
        <v>4184</v>
      </c>
      <c r="L503" s="168">
        <v>30930.36</v>
      </c>
      <c r="M503" s="168">
        <v>9279.11</v>
      </c>
      <c r="N503" s="1075">
        <v>43922</v>
      </c>
      <c r="O503" s="1918"/>
      <c r="P503" s="1073" t="s">
        <v>4131</v>
      </c>
      <c r="Q503" s="103">
        <v>17373170973</v>
      </c>
      <c r="R503" s="103" t="s">
        <v>4132</v>
      </c>
      <c r="S503" s="1060" t="s">
        <v>4043</v>
      </c>
      <c r="T503" s="147"/>
    </row>
    <row r="504" spans="1:20" s="250" customFormat="1" ht="24.95" customHeight="1">
      <c r="A504" s="147">
        <v>8</v>
      </c>
      <c r="B504" s="168" t="s">
        <v>2806</v>
      </c>
      <c r="C504" s="174" t="s">
        <v>34</v>
      </c>
      <c r="D504" s="174" t="s">
        <v>62</v>
      </c>
      <c r="E504" s="168"/>
      <c r="F504" s="168">
        <v>26.33</v>
      </c>
      <c r="G504" s="222" t="s">
        <v>32</v>
      </c>
      <c r="H504" s="222" t="s">
        <v>41</v>
      </c>
      <c r="I504" s="1096" t="s">
        <v>4319</v>
      </c>
      <c r="J504" s="404" t="s">
        <v>4128</v>
      </c>
      <c r="K504" s="1097" t="s">
        <v>4184</v>
      </c>
      <c r="L504" s="168">
        <v>40507.69</v>
      </c>
      <c r="M504" s="168">
        <v>12152.31</v>
      </c>
      <c r="N504" s="1075">
        <v>43922</v>
      </c>
      <c r="O504" s="1918"/>
      <c r="P504" s="1073" t="s">
        <v>4131</v>
      </c>
      <c r="Q504" s="103">
        <v>17373170973</v>
      </c>
      <c r="R504" s="103" t="s">
        <v>4132</v>
      </c>
      <c r="S504" s="1060" t="s">
        <v>4043</v>
      </c>
      <c r="T504" s="147"/>
    </row>
    <row r="505" spans="1:20" s="250" customFormat="1" ht="24.95" customHeight="1">
      <c r="A505" s="147">
        <v>9</v>
      </c>
      <c r="B505" s="168" t="s">
        <v>2806</v>
      </c>
      <c r="C505" s="174"/>
      <c r="D505" s="174" t="s">
        <v>161</v>
      </c>
      <c r="E505" s="168">
        <v>300</v>
      </c>
      <c r="F505" s="168"/>
      <c r="G505" s="222" t="s">
        <v>32</v>
      </c>
      <c r="H505" s="222" t="s">
        <v>41</v>
      </c>
      <c r="I505" s="1096" t="s">
        <v>4319</v>
      </c>
      <c r="J505" s="404" t="s">
        <v>4128</v>
      </c>
      <c r="K505" s="1097" t="s">
        <v>4184</v>
      </c>
      <c r="L505" s="168">
        <v>50000</v>
      </c>
      <c r="M505" s="168">
        <v>15000</v>
      </c>
      <c r="N505" s="1075">
        <v>43922</v>
      </c>
      <c r="O505" s="1918"/>
      <c r="P505" s="1073" t="s">
        <v>4131</v>
      </c>
      <c r="Q505" s="103">
        <v>17373170973</v>
      </c>
      <c r="R505" s="103" t="s">
        <v>4132</v>
      </c>
      <c r="S505" s="1060" t="s">
        <v>4043</v>
      </c>
      <c r="T505" s="147"/>
    </row>
    <row r="506" spans="1:20" s="250" customFormat="1" ht="24.95" customHeight="1">
      <c r="A506" s="147">
        <v>10</v>
      </c>
      <c r="B506" s="168" t="s">
        <v>2806</v>
      </c>
      <c r="C506" s="174"/>
      <c r="D506" s="174" t="s">
        <v>161</v>
      </c>
      <c r="E506" s="168">
        <v>220</v>
      </c>
      <c r="F506" s="168"/>
      <c r="G506" s="222" t="s">
        <v>32</v>
      </c>
      <c r="H506" s="222" t="s">
        <v>41</v>
      </c>
      <c r="I506" s="1096" t="s">
        <v>4319</v>
      </c>
      <c r="J506" s="404" t="s">
        <v>4128</v>
      </c>
      <c r="K506" s="1097" t="s">
        <v>4184</v>
      </c>
      <c r="L506" s="168">
        <v>14454</v>
      </c>
      <c r="M506" s="168">
        <v>4336.2</v>
      </c>
      <c r="N506" s="1075">
        <v>43922</v>
      </c>
      <c r="O506" s="1918"/>
      <c r="P506" s="1073" t="s">
        <v>4131</v>
      </c>
      <c r="Q506" s="103">
        <v>17373170973</v>
      </c>
      <c r="R506" s="103" t="s">
        <v>4132</v>
      </c>
      <c r="S506" s="1060" t="s">
        <v>4043</v>
      </c>
      <c r="T506" s="147"/>
    </row>
    <row r="507" spans="1:20" s="250" customFormat="1" ht="24.95" customHeight="1">
      <c r="A507" s="147">
        <v>11</v>
      </c>
      <c r="B507" s="168" t="s">
        <v>4590</v>
      </c>
      <c r="C507" s="174" t="s">
        <v>34</v>
      </c>
      <c r="D507" s="174" t="s">
        <v>1193</v>
      </c>
      <c r="E507" s="168">
        <v>68</v>
      </c>
      <c r="F507" s="168"/>
      <c r="G507" s="222" t="s">
        <v>32</v>
      </c>
      <c r="H507" s="222" t="s">
        <v>41</v>
      </c>
      <c r="I507" s="1096" t="s">
        <v>4319</v>
      </c>
      <c r="J507" s="404" t="s">
        <v>4128</v>
      </c>
      <c r="K507" s="1097" t="s">
        <v>4184</v>
      </c>
      <c r="L507" s="168">
        <v>104615.29</v>
      </c>
      <c r="M507" s="168">
        <v>31384.59</v>
      </c>
      <c r="N507" s="1075">
        <v>43922</v>
      </c>
      <c r="O507" s="1918"/>
      <c r="P507" s="1073" t="s">
        <v>4131</v>
      </c>
      <c r="Q507" s="103">
        <v>17373170973</v>
      </c>
      <c r="R507" s="103" t="s">
        <v>4132</v>
      </c>
      <c r="S507" s="1060" t="s">
        <v>4043</v>
      </c>
      <c r="T507" s="147"/>
    </row>
    <row r="508" spans="1:20" s="250" customFormat="1" ht="24.95" customHeight="1">
      <c r="A508" s="147">
        <v>12</v>
      </c>
      <c r="B508" s="168" t="s">
        <v>2806</v>
      </c>
      <c r="C508" s="174" t="s">
        <v>34</v>
      </c>
      <c r="D508" s="174" t="s">
        <v>1193</v>
      </c>
      <c r="E508" s="168">
        <v>68.489999999999995</v>
      </c>
      <c r="F508" s="168"/>
      <c r="G508" s="222" t="s">
        <v>32</v>
      </c>
      <c r="H508" s="222" t="s">
        <v>41</v>
      </c>
      <c r="I508" s="1096" t="s">
        <v>4319</v>
      </c>
      <c r="J508" s="404" t="s">
        <v>4128</v>
      </c>
      <c r="K508" s="1097" t="s">
        <v>4184</v>
      </c>
      <c r="L508" s="168">
        <v>105370.72</v>
      </c>
      <c r="M508" s="168">
        <v>31611.22</v>
      </c>
      <c r="N508" s="1075">
        <v>43922</v>
      </c>
      <c r="O508" s="1918"/>
      <c r="P508" s="1073" t="s">
        <v>4131</v>
      </c>
      <c r="Q508" s="103">
        <v>17373170973</v>
      </c>
      <c r="R508" s="103" t="s">
        <v>4132</v>
      </c>
      <c r="S508" s="1060" t="s">
        <v>4043</v>
      </c>
      <c r="T508" s="147"/>
    </row>
    <row r="509" spans="1:20" s="250" customFormat="1" ht="24.95" customHeight="1">
      <c r="A509" s="147">
        <v>13</v>
      </c>
      <c r="B509" s="125" t="s">
        <v>4595</v>
      </c>
      <c r="C509" s="125" t="s">
        <v>4596</v>
      </c>
      <c r="D509" s="125" t="s">
        <v>161</v>
      </c>
      <c r="E509" s="125"/>
      <c r="F509" s="147">
        <v>112</v>
      </c>
      <c r="G509" s="1055" t="s">
        <v>32</v>
      </c>
      <c r="H509" s="1055" t="s">
        <v>33</v>
      </c>
      <c r="I509" s="1055"/>
      <c r="J509" s="1912" t="s">
        <v>4088</v>
      </c>
      <c r="K509" s="340" t="s">
        <v>4597</v>
      </c>
      <c r="L509" s="147">
        <v>315339.81</v>
      </c>
      <c r="M509" s="343">
        <v>94601.942999999999</v>
      </c>
      <c r="N509" s="147" t="s">
        <v>4598</v>
      </c>
      <c r="O509" s="1862" t="s">
        <v>4090</v>
      </c>
      <c r="P509" s="103" t="s">
        <v>4091</v>
      </c>
      <c r="Q509" s="103">
        <v>19906957772</v>
      </c>
      <c r="R509" s="103" t="s">
        <v>4092</v>
      </c>
      <c r="S509" s="125" t="s">
        <v>4043</v>
      </c>
      <c r="T509" s="147"/>
    </row>
    <row r="510" spans="1:20" s="250" customFormat="1" ht="24.95" customHeight="1">
      <c r="A510" s="147">
        <v>14</v>
      </c>
      <c r="B510" s="103" t="s">
        <v>4595</v>
      </c>
      <c r="C510" s="103" t="s">
        <v>4596</v>
      </c>
      <c r="D510" s="125" t="s">
        <v>161</v>
      </c>
      <c r="E510" s="125"/>
      <c r="F510" s="125">
        <v>388</v>
      </c>
      <c r="G510" s="1055" t="s">
        <v>32</v>
      </c>
      <c r="H510" s="1055" t="s">
        <v>33</v>
      </c>
      <c r="I510" s="1055"/>
      <c r="J510" s="1913"/>
      <c r="K510" s="340" t="s">
        <v>4543</v>
      </c>
      <c r="L510" s="343">
        <v>1092427.19</v>
      </c>
      <c r="M510" s="343">
        <v>327728.15700000001</v>
      </c>
      <c r="N510" s="147" t="s">
        <v>4110</v>
      </c>
      <c r="O510" s="1863"/>
      <c r="P510" s="103" t="s">
        <v>4091</v>
      </c>
      <c r="Q510" s="103">
        <v>19906957772</v>
      </c>
      <c r="R510" s="103" t="s">
        <v>4092</v>
      </c>
      <c r="S510" s="125" t="s">
        <v>4043</v>
      </c>
      <c r="T510" s="147"/>
    </row>
    <row r="511" spans="1:20" s="250" customFormat="1" ht="24.95" customHeight="1">
      <c r="A511" s="147">
        <v>15</v>
      </c>
      <c r="B511" s="103" t="s">
        <v>4595</v>
      </c>
      <c r="C511" s="103" t="s">
        <v>4596</v>
      </c>
      <c r="D511" s="125"/>
      <c r="E511" s="125"/>
      <c r="F511" s="125">
        <v>60</v>
      </c>
      <c r="G511" s="1055" t="s">
        <v>32</v>
      </c>
      <c r="H511" s="1055" t="s">
        <v>33</v>
      </c>
      <c r="I511" s="1055"/>
      <c r="J511" s="1914"/>
      <c r="K511" s="340" t="s">
        <v>4543</v>
      </c>
      <c r="L511" s="343">
        <v>168932.04</v>
      </c>
      <c r="M511" s="343">
        <v>50679.612000000001</v>
      </c>
      <c r="N511" s="147" t="s">
        <v>4110</v>
      </c>
      <c r="O511" s="1863"/>
      <c r="P511" s="103" t="s">
        <v>4091</v>
      </c>
      <c r="Q511" s="103">
        <v>19906957772</v>
      </c>
      <c r="R511" s="103" t="s">
        <v>4092</v>
      </c>
      <c r="S511" s="125" t="s">
        <v>4043</v>
      </c>
      <c r="T511" s="147"/>
    </row>
    <row r="512" spans="1:20" s="250" customFormat="1" ht="24.95" customHeight="1">
      <c r="A512" s="147">
        <v>16</v>
      </c>
      <c r="B512" s="103" t="s">
        <v>2806</v>
      </c>
      <c r="C512" s="103" t="s">
        <v>4596</v>
      </c>
      <c r="D512" s="125" t="s">
        <v>161</v>
      </c>
      <c r="E512" s="125"/>
      <c r="F512" s="125">
        <v>170</v>
      </c>
      <c r="G512" s="1055" t="s">
        <v>32</v>
      </c>
      <c r="H512" s="1055" t="s">
        <v>33</v>
      </c>
      <c r="I512" s="1055"/>
      <c r="J512" s="290" t="s">
        <v>4088</v>
      </c>
      <c r="K512" s="340" t="s">
        <v>1017</v>
      </c>
      <c r="L512" s="343">
        <v>299380.53999999998</v>
      </c>
      <c r="M512" s="343">
        <v>89814.161999999997</v>
      </c>
      <c r="N512" s="147" t="s">
        <v>4112</v>
      </c>
      <c r="O512" s="1863"/>
      <c r="P512" s="103" t="s">
        <v>4091</v>
      </c>
      <c r="Q512" s="103">
        <v>17775760169</v>
      </c>
      <c r="R512" s="103" t="s">
        <v>4092</v>
      </c>
      <c r="S512" s="125" t="s">
        <v>4043</v>
      </c>
      <c r="T512" s="147"/>
    </row>
    <row r="513" spans="1:20" s="250" customFormat="1" ht="24.95" customHeight="1">
      <c r="A513" s="147">
        <v>17</v>
      </c>
      <c r="B513" s="103" t="s">
        <v>2806</v>
      </c>
      <c r="C513" s="103" t="s">
        <v>4596</v>
      </c>
      <c r="D513" s="125" t="s">
        <v>161</v>
      </c>
      <c r="E513" s="125"/>
      <c r="F513" s="125">
        <v>80</v>
      </c>
      <c r="G513" s="1055" t="s">
        <v>32</v>
      </c>
      <c r="H513" s="1055" t="s">
        <v>33</v>
      </c>
      <c r="I513" s="1055"/>
      <c r="J513" s="290" t="s">
        <v>4088</v>
      </c>
      <c r="K513" s="340" t="s">
        <v>1017</v>
      </c>
      <c r="L513" s="343">
        <v>140884.96</v>
      </c>
      <c r="M513" s="343">
        <v>42265.487999999998</v>
      </c>
      <c r="N513" s="147" t="s">
        <v>4599</v>
      </c>
      <c r="O513" s="1864"/>
      <c r="P513" s="103" t="s">
        <v>4091</v>
      </c>
      <c r="Q513" s="103">
        <v>17775760169</v>
      </c>
      <c r="R513" s="103" t="s">
        <v>4092</v>
      </c>
      <c r="S513" s="125" t="s">
        <v>4043</v>
      </c>
      <c r="T513" s="147"/>
    </row>
    <row r="514" spans="1:20" s="250" customFormat="1" ht="24.95" customHeight="1">
      <c r="A514" s="328" t="s">
        <v>1617</v>
      </c>
      <c r="B514" s="1132" t="s">
        <v>4600</v>
      </c>
      <c r="C514" s="1140"/>
      <c r="D514" s="147"/>
      <c r="E514" s="147"/>
      <c r="F514" s="147"/>
      <c r="G514" s="147"/>
      <c r="H514" s="147"/>
      <c r="I514" s="140"/>
      <c r="J514" s="147"/>
      <c r="K514" s="147"/>
      <c r="L514" s="1130"/>
      <c r="M514" s="1130"/>
      <c r="N514" s="1167"/>
      <c r="O514" s="147"/>
      <c r="P514" s="147"/>
      <c r="Q514" s="147"/>
      <c r="R514" s="147"/>
      <c r="S514" s="147"/>
      <c r="T514" s="147"/>
    </row>
    <row r="515" spans="1:20" s="250" customFormat="1" ht="24.95" customHeight="1">
      <c r="A515" s="351">
        <v>1</v>
      </c>
      <c r="B515" s="168" t="s">
        <v>4601</v>
      </c>
      <c r="C515" s="174" t="s">
        <v>4602</v>
      </c>
      <c r="D515" s="174" t="s">
        <v>161</v>
      </c>
      <c r="E515" s="168">
        <v>100</v>
      </c>
      <c r="F515" s="168"/>
      <c r="G515" s="222" t="s">
        <v>32</v>
      </c>
      <c r="H515" s="222" t="s">
        <v>33</v>
      </c>
      <c r="I515" s="1096" t="s">
        <v>404</v>
      </c>
      <c r="J515" s="404" t="s">
        <v>4128</v>
      </c>
      <c r="K515" s="1097" t="s">
        <v>4184</v>
      </c>
      <c r="L515" s="1162">
        <v>107.69</v>
      </c>
      <c r="M515" s="168">
        <v>32.31</v>
      </c>
      <c r="N515" s="1075">
        <v>43922</v>
      </c>
      <c r="O515" s="1919" t="s">
        <v>4130</v>
      </c>
      <c r="P515" s="1073" t="s">
        <v>4131</v>
      </c>
      <c r="Q515" s="103">
        <v>17373170973</v>
      </c>
      <c r="R515" s="103" t="s">
        <v>4132</v>
      </c>
      <c r="S515" s="1060" t="s">
        <v>4043</v>
      </c>
      <c r="T515" s="147"/>
    </row>
    <row r="516" spans="1:20" s="250" customFormat="1" ht="24.95" customHeight="1">
      <c r="A516" s="351">
        <v>2</v>
      </c>
      <c r="B516" s="168" t="s">
        <v>4601</v>
      </c>
      <c r="C516" s="174" t="s">
        <v>4603</v>
      </c>
      <c r="D516" s="174" t="s">
        <v>161</v>
      </c>
      <c r="E516" s="168">
        <v>300</v>
      </c>
      <c r="F516" s="168"/>
      <c r="G516" s="222" t="s">
        <v>32</v>
      </c>
      <c r="H516" s="222" t="s">
        <v>33</v>
      </c>
      <c r="I516" s="1096" t="s">
        <v>404</v>
      </c>
      <c r="J516" s="404" t="s">
        <v>4128</v>
      </c>
      <c r="K516" s="1097" t="s">
        <v>4184</v>
      </c>
      <c r="L516" s="1162">
        <v>884.62</v>
      </c>
      <c r="M516" s="168">
        <v>265.39</v>
      </c>
      <c r="N516" s="1075">
        <v>43922</v>
      </c>
      <c r="O516" s="1919"/>
      <c r="P516" s="1073" t="s">
        <v>4131</v>
      </c>
      <c r="Q516" s="103">
        <v>17373170973</v>
      </c>
      <c r="R516" s="103" t="s">
        <v>4132</v>
      </c>
      <c r="S516" s="1060" t="s">
        <v>4043</v>
      </c>
      <c r="T516" s="147"/>
    </row>
    <row r="517" spans="1:20" s="250" customFormat="1" ht="24.95" customHeight="1">
      <c r="A517" s="351">
        <v>3</v>
      </c>
      <c r="B517" s="168" t="s">
        <v>4601</v>
      </c>
      <c r="C517" s="174" t="s">
        <v>4604</v>
      </c>
      <c r="D517" s="174" t="s">
        <v>161</v>
      </c>
      <c r="E517" s="168">
        <v>200</v>
      </c>
      <c r="F517" s="168"/>
      <c r="G517" s="222" t="s">
        <v>32</v>
      </c>
      <c r="H517" s="222" t="s">
        <v>33</v>
      </c>
      <c r="I517" s="1096" t="s">
        <v>404</v>
      </c>
      <c r="J517" s="404" t="s">
        <v>4128</v>
      </c>
      <c r="K517" s="1097" t="s">
        <v>4184</v>
      </c>
      <c r="L517" s="1162">
        <v>102.56</v>
      </c>
      <c r="M517" s="168">
        <v>30.77</v>
      </c>
      <c r="N517" s="1075">
        <v>43922</v>
      </c>
      <c r="O517" s="1919"/>
      <c r="P517" s="1073" t="s">
        <v>4131</v>
      </c>
      <c r="Q517" s="103">
        <v>17373170973</v>
      </c>
      <c r="R517" s="103" t="s">
        <v>4132</v>
      </c>
      <c r="S517" s="1060" t="s">
        <v>4043</v>
      </c>
      <c r="T517" s="147"/>
    </row>
    <row r="518" spans="1:20" s="250" customFormat="1" ht="24.95" customHeight="1">
      <c r="A518" s="351">
        <v>4</v>
      </c>
      <c r="B518" s="168" t="s">
        <v>4601</v>
      </c>
      <c r="C518" s="174" t="s">
        <v>4605</v>
      </c>
      <c r="D518" s="174" t="s">
        <v>161</v>
      </c>
      <c r="E518" s="168">
        <v>900</v>
      </c>
      <c r="F518" s="168"/>
      <c r="G518" s="222" t="s">
        <v>32</v>
      </c>
      <c r="H518" s="222" t="s">
        <v>33</v>
      </c>
      <c r="I518" s="1096" t="s">
        <v>404</v>
      </c>
      <c r="J518" s="404" t="s">
        <v>4128</v>
      </c>
      <c r="K518" s="1097" t="s">
        <v>4184</v>
      </c>
      <c r="L518" s="1162">
        <v>1961.54</v>
      </c>
      <c r="M518" s="168">
        <v>588.46</v>
      </c>
      <c r="N518" s="1075">
        <v>43922</v>
      </c>
      <c r="O518" s="1919"/>
      <c r="P518" s="1073" t="s">
        <v>4131</v>
      </c>
      <c r="Q518" s="103">
        <v>17373170973</v>
      </c>
      <c r="R518" s="103" t="s">
        <v>4132</v>
      </c>
      <c r="S518" s="1060" t="s">
        <v>4043</v>
      </c>
      <c r="T518" s="147"/>
    </row>
    <row r="519" spans="1:20" s="250" customFormat="1" ht="24.95" customHeight="1">
      <c r="A519" s="351">
        <v>5</v>
      </c>
      <c r="B519" s="168" t="s">
        <v>4606</v>
      </c>
      <c r="C519" s="174" t="s">
        <v>4412</v>
      </c>
      <c r="D519" s="174" t="s">
        <v>161</v>
      </c>
      <c r="E519" s="168">
        <v>600</v>
      </c>
      <c r="F519" s="168"/>
      <c r="G519" s="222" t="s">
        <v>32</v>
      </c>
      <c r="H519" s="222" t="s">
        <v>33</v>
      </c>
      <c r="I519" s="1096" t="s">
        <v>404</v>
      </c>
      <c r="J519" s="404" t="s">
        <v>4128</v>
      </c>
      <c r="K519" s="1097" t="s">
        <v>4184</v>
      </c>
      <c r="L519" s="1162">
        <v>1046.1500000000001</v>
      </c>
      <c r="M519" s="168">
        <v>313.85000000000002</v>
      </c>
      <c r="N519" s="1075">
        <v>43922</v>
      </c>
      <c r="O519" s="1919"/>
      <c r="P519" s="1073" t="s">
        <v>4131</v>
      </c>
      <c r="Q519" s="103">
        <v>17373170973</v>
      </c>
      <c r="R519" s="103" t="s">
        <v>4132</v>
      </c>
      <c r="S519" s="1060" t="s">
        <v>4043</v>
      </c>
      <c r="T519" s="147"/>
    </row>
    <row r="520" spans="1:20" s="250" customFormat="1" ht="24.95" customHeight="1">
      <c r="A520" s="351">
        <v>6</v>
      </c>
      <c r="B520" s="168" t="s">
        <v>4607</v>
      </c>
      <c r="C520" s="174" t="s">
        <v>4608</v>
      </c>
      <c r="D520" s="174" t="s">
        <v>161</v>
      </c>
      <c r="E520" s="168">
        <v>100</v>
      </c>
      <c r="F520" s="168"/>
      <c r="G520" s="222" t="s">
        <v>32</v>
      </c>
      <c r="H520" s="222" t="s">
        <v>33</v>
      </c>
      <c r="I520" s="1096" t="s">
        <v>404</v>
      </c>
      <c r="J520" s="404" t="s">
        <v>4128</v>
      </c>
      <c r="K520" s="1097" t="s">
        <v>4184</v>
      </c>
      <c r="L520" s="1162">
        <v>974.36</v>
      </c>
      <c r="M520" s="168">
        <v>292.31</v>
      </c>
      <c r="N520" s="1075">
        <v>43922</v>
      </c>
      <c r="O520" s="1919"/>
      <c r="P520" s="1073" t="s">
        <v>4131</v>
      </c>
      <c r="Q520" s="103">
        <v>17373170973</v>
      </c>
      <c r="R520" s="103" t="s">
        <v>4132</v>
      </c>
      <c r="S520" s="1060" t="s">
        <v>4043</v>
      </c>
      <c r="T520" s="147"/>
    </row>
    <row r="521" spans="1:20" s="250" customFormat="1" ht="24.95" customHeight="1">
      <c r="A521" s="351">
        <v>7</v>
      </c>
      <c r="B521" s="168" t="s">
        <v>4607</v>
      </c>
      <c r="C521" s="174" t="s">
        <v>4609</v>
      </c>
      <c r="D521" s="174" t="s">
        <v>161</v>
      </c>
      <c r="E521" s="168">
        <v>200</v>
      </c>
      <c r="F521" s="168"/>
      <c r="G521" s="222" t="s">
        <v>32</v>
      </c>
      <c r="H521" s="222" t="s">
        <v>33</v>
      </c>
      <c r="I521" s="1096" t="s">
        <v>404</v>
      </c>
      <c r="J521" s="404" t="s">
        <v>4128</v>
      </c>
      <c r="K521" s="1097" t="s">
        <v>4184</v>
      </c>
      <c r="L521" s="1162">
        <v>707.69</v>
      </c>
      <c r="M521" s="168">
        <v>212.31</v>
      </c>
      <c r="N521" s="1075">
        <v>43922</v>
      </c>
      <c r="O521" s="1919"/>
      <c r="P521" s="1073" t="s">
        <v>4131</v>
      </c>
      <c r="Q521" s="103">
        <v>17373170973</v>
      </c>
      <c r="R521" s="103" t="s">
        <v>4132</v>
      </c>
      <c r="S521" s="1060" t="s">
        <v>4043</v>
      </c>
      <c r="T521" s="147"/>
    </row>
    <row r="522" spans="1:20" s="250" customFormat="1" ht="24.95" customHeight="1">
      <c r="A522" s="351">
        <v>8</v>
      </c>
      <c r="B522" s="168" t="s">
        <v>4607</v>
      </c>
      <c r="C522" s="174" t="s">
        <v>4610</v>
      </c>
      <c r="D522" s="174" t="s">
        <v>161</v>
      </c>
      <c r="E522" s="168">
        <v>50</v>
      </c>
      <c r="F522" s="168"/>
      <c r="G522" s="222" t="s">
        <v>32</v>
      </c>
      <c r="H522" s="222" t="s">
        <v>33</v>
      </c>
      <c r="I522" s="1096" t="s">
        <v>404</v>
      </c>
      <c r="J522" s="404" t="s">
        <v>4128</v>
      </c>
      <c r="K522" s="1097" t="s">
        <v>4184</v>
      </c>
      <c r="L522" s="1162">
        <v>2846.15</v>
      </c>
      <c r="M522" s="168">
        <v>853.85</v>
      </c>
      <c r="N522" s="1075">
        <v>43922</v>
      </c>
      <c r="O522" s="1919"/>
      <c r="P522" s="1073" t="s">
        <v>4131</v>
      </c>
      <c r="Q522" s="103">
        <v>17373170973</v>
      </c>
      <c r="R522" s="103" t="s">
        <v>4132</v>
      </c>
      <c r="S522" s="1060" t="s">
        <v>4043</v>
      </c>
      <c r="T522" s="147"/>
    </row>
    <row r="523" spans="1:20" s="250" customFormat="1" ht="24.95" customHeight="1">
      <c r="A523" s="351">
        <v>9</v>
      </c>
      <c r="B523" s="168" t="s">
        <v>4611</v>
      </c>
      <c r="C523" s="174" t="s">
        <v>4612</v>
      </c>
      <c r="D523" s="174" t="s">
        <v>161</v>
      </c>
      <c r="E523" s="168">
        <v>10</v>
      </c>
      <c r="F523" s="168"/>
      <c r="G523" s="222" t="s">
        <v>32</v>
      </c>
      <c r="H523" s="222" t="s">
        <v>33</v>
      </c>
      <c r="I523" s="1096" t="s">
        <v>404</v>
      </c>
      <c r="J523" s="404" t="s">
        <v>4128</v>
      </c>
      <c r="K523" s="1097" t="s">
        <v>4184</v>
      </c>
      <c r="L523" s="1162">
        <v>192.31</v>
      </c>
      <c r="M523" s="168">
        <v>57.69</v>
      </c>
      <c r="N523" s="1075">
        <v>43922</v>
      </c>
      <c r="O523" s="1919"/>
      <c r="P523" s="1073" t="s">
        <v>4131</v>
      </c>
      <c r="Q523" s="103">
        <v>17373170973</v>
      </c>
      <c r="R523" s="103" t="s">
        <v>4132</v>
      </c>
      <c r="S523" s="1060" t="s">
        <v>4043</v>
      </c>
      <c r="T523" s="147"/>
    </row>
    <row r="524" spans="1:20" s="250" customFormat="1" ht="24.95" customHeight="1">
      <c r="A524" s="351">
        <v>10</v>
      </c>
      <c r="B524" s="168" t="s">
        <v>4613</v>
      </c>
      <c r="C524" s="174" t="s">
        <v>4614</v>
      </c>
      <c r="D524" s="174" t="s">
        <v>161</v>
      </c>
      <c r="E524" s="168">
        <v>300</v>
      </c>
      <c r="F524" s="168"/>
      <c r="G524" s="222" t="s">
        <v>32</v>
      </c>
      <c r="H524" s="222" t="s">
        <v>33</v>
      </c>
      <c r="I524" s="1096" t="s">
        <v>404</v>
      </c>
      <c r="J524" s="404" t="s">
        <v>4128</v>
      </c>
      <c r="K524" s="1097" t="s">
        <v>4184</v>
      </c>
      <c r="L524" s="1162">
        <v>153.85</v>
      </c>
      <c r="M524" s="168">
        <v>46.16</v>
      </c>
      <c r="N524" s="1075">
        <v>43922</v>
      </c>
      <c r="O524" s="1919"/>
      <c r="P524" s="1073" t="s">
        <v>4131</v>
      </c>
      <c r="Q524" s="103">
        <v>17373170973</v>
      </c>
      <c r="R524" s="103" t="s">
        <v>4132</v>
      </c>
      <c r="S524" s="1060" t="s">
        <v>4043</v>
      </c>
      <c r="T524" s="147"/>
    </row>
    <row r="525" spans="1:20" s="250" customFormat="1" ht="24.95" customHeight="1">
      <c r="A525" s="351">
        <v>11</v>
      </c>
      <c r="B525" s="168" t="s">
        <v>4607</v>
      </c>
      <c r="C525" s="174" t="s">
        <v>4615</v>
      </c>
      <c r="D525" s="174" t="s">
        <v>161</v>
      </c>
      <c r="E525" s="168">
        <v>300</v>
      </c>
      <c r="F525" s="168"/>
      <c r="G525" s="222" t="s">
        <v>32</v>
      </c>
      <c r="H525" s="222" t="s">
        <v>33</v>
      </c>
      <c r="I525" s="1096" t="s">
        <v>404</v>
      </c>
      <c r="J525" s="404" t="s">
        <v>4128</v>
      </c>
      <c r="K525" s="1097" t="s">
        <v>4184</v>
      </c>
      <c r="L525" s="1162">
        <v>746.15</v>
      </c>
      <c r="M525" s="168">
        <v>223.85</v>
      </c>
      <c r="N525" s="1075">
        <v>43922</v>
      </c>
      <c r="O525" s="1919"/>
      <c r="P525" s="1073" t="s">
        <v>4131</v>
      </c>
      <c r="Q525" s="103">
        <v>17373170973</v>
      </c>
      <c r="R525" s="103" t="s">
        <v>4132</v>
      </c>
      <c r="S525" s="1060" t="s">
        <v>4043</v>
      </c>
      <c r="T525" s="147"/>
    </row>
    <row r="526" spans="1:20" s="250" customFormat="1" ht="24.95" customHeight="1">
      <c r="A526" s="351">
        <v>12</v>
      </c>
      <c r="B526" s="168" t="s">
        <v>4607</v>
      </c>
      <c r="C526" s="174" t="s">
        <v>4616</v>
      </c>
      <c r="D526" s="174" t="s">
        <v>4617</v>
      </c>
      <c r="E526" s="168">
        <v>30</v>
      </c>
      <c r="F526" s="168"/>
      <c r="G526" s="222" t="s">
        <v>32</v>
      </c>
      <c r="H526" s="222" t="s">
        <v>33</v>
      </c>
      <c r="I526" s="1096" t="s">
        <v>404</v>
      </c>
      <c r="J526" s="404" t="s">
        <v>4128</v>
      </c>
      <c r="K526" s="1097" t="s">
        <v>4184</v>
      </c>
      <c r="L526" s="1162">
        <v>269.23</v>
      </c>
      <c r="M526" s="168">
        <v>80.77</v>
      </c>
      <c r="N526" s="1075">
        <v>43922</v>
      </c>
      <c r="O526" s="1919"/>
      <c r="P526" s="1073" t="s">
        <v>4131</v>
      </c>
      <c r="Q526" s="103">
        <v>17373170973</v>
      </c>
      <c r="R526" s="103" t="s">
        <v>4132</v>
      </c>
      <c r="S526" s="1060" t="s">
        <v>4043</v>
      </c>
      <c r="T526" s="147"/>
    </row>
    <row r="527" spans="1:20" s="250" customFormat="1" ht="24.95" customHeight="1">
      <c r="A527" s="351">
        <v>13</v>
      </c>
      <c r="B527" s="168" t="s">
        <v>4607</v>
      </c>
      <c r="C527" s="174" t="s">
        <v>4615</v>
      </c>
      <c r="D527" s="174" t="s">
        <v>161</v>
      </c>
      <c r="E527" s="168">
        <v>100</v>
      </c>
      <c r="F527" s="168"/>
      <c r="G527" s="222" t="s">
        <v>32</v>
      </c>
      <c r="H527" s="222" t="s">
        <v>33</v>
      </c>
      <c r="I527" s="1096" t="s">
        <v>404</v>
      </c>
      <c r="J527" s="404" t="s">
        <v>4128</v>
      </c>
      <c r="K527" s="1097" t="s">
        <v>4184</v>
      </c>
      <c r="L527" s="1162">
        <v>269.23</v>
      </c>
      <c r="M527" s="168">
        <v>80.77</v>
      </c>
      <c r="N527" s="1075">
        <v>43922</v>
      </c>
      <c r="O527" s="1919"/>
      <c r="P527" s="1073" t="s">
        <v>4131</v>
      </c>
      <c r="Q527" s="103">
        <v>17373170973</v>
      </c>
      <c r="R527" s="103" t="s">
        <v>4132</v>
      </c>
      <c r="S527" s="1060" t="s">
        <v>4043</v>
      </c>
      <c r="T527" s="147"/>
    </row>
    <row r="528" spans="1:20" s="250" customFormat="1" ht="24.95" customHeight="1">
      <c r="A528" s="351">
        <v>14</v>
      </c>
      <c r="B528" s="168" t="s">
        <v>4607</v>
      </c>
      <c r="C528" s="174" t="s">
        <v>4618</v>
      </c>
      <c r="D528" s="174" t="s">
        <v>161</v>
      </c>
      <c r="E528" s="168">
        <v>100</v>
      </c>
      <c r="F528" s="168"/>
      <c r="G528" s="222" t="s">
        <v>32</v>
      </c>
      <c r="H528" s="222" t="s">
        <v>33</v>
      </c>
      <c r="I528" s="1096" t="s">
        <v>404</v>
      </c>
      <c r="J528" s="404" t="s">
        <v>4128</v>
      </c>
      <c r="K528" s="1097" t="s">
        <v>4184</v>
      </c>
      <c r="L528" s="1162">
        <v>1923.08</v>
      </c>
      <c r="M528" s="168">
        <v>576.91999999999996</v>
      </c>
      <c r="N528" s="1075">
        <v>43922</v>
      </c>
      <c r="O528" s="1919"/>
      <c r="P528" s="1073" t="s">
        <v>4131</v>
      </c>
      <c r="Q528" s="103">
        <v>17373170973</v>
      </c>
      <c r="R528" s="103" t="s">
        <v>4132</v>
      </c>
      <c r="S528" s="1060" t="s">
        <v>4043</v>
      </c>
      <c r="T528" s="147"/>
    </row>
    <row r="529" spans="1:20" s="1076" customFormat="1" ht="24.95" customHeight="1">
      <c r="A529" s="351">
        <v>15</v>
      </c>
      <c r="B529" s="1140" t="s">
        <v>4606</v>
      </c>
      <c r="C529" s="1140" t="s">
        <v>4619</v>
      </c>
      <c r="D529" s="103" t="s">
        <v>161</v>
      </c>
      <c r="E529" s="103"/>
      <c r="F529" s="103">
        <v>200</v>
      </c>
      <c r="G529" s="103" t="s">
        <v>32</v>
      </c>
      <c r="H529" s="103" t="s">
        <v>33</v>
      </c>
      <c r="I529" s="1055"/>
      <c r="J529" s="1903" t="s">
        <v>4038</v>
      </c>
      <c r="K529" s="1149" t="s">
        <v>4620</v>
      </c>
      <c r="L529" s="1130">
        <v>22000</v>
      </c>
      <c r="M529" s="1130">
        <v>6600</v>
      </c>
      <c r="N529" s="1130">
        <v>2019.5</v>
      </c>
      <c r="O529" s="1862" t="s">
        <v>4501</v>
      </c>
      <c r="P529" s="147" t="s">
        <v>4041</v>
      </c>
      <c r="Q529" s="147">
        <v>18881106155</v>
      </c>
      <c r="R529" s="147" t="s">
        <v>4042</v>
      </c>
      <c r="S529" s="125" t="s">
        <v>4043</v>
      </c>
      <c r="T529" s="1150"/>
    </row>
    <row r="530" spans="1:20" s="1076" customFormat="1" ht="24.95" customHeight="1">
      <c r="A530" s="351">
        <v>16</v>
      </c>
      <c r="B530" s="1140" t="s">
        <v>4607</v>
      </c>
      <c r="C530" s="1140" t="s">
        <v>4621</v>
      </c>
      <c r="D530" s="103" t="s">
        <v>161</v>
      </c>
      <c r="E530" s="103"/>
      <c r="F530" s="103">
        <v>80</v>
      </c>
      <c r="G530" s="103" t="s">
        <v>32</v>
      </c>
      <c r="H530" s="103" t="s">
        <v>33</v>
      </c>
      <c r="I530" s="1055"/>
      <c r="J530" s="1903"/>
      <c r="K530" s="1149" t="s">
        <v>4620</v>
      </c>
      <c r="L530" s="1130">
        <v>70400</v>
      </c>
      <c r="M530" s="1130">
        <v>21120</v>
      </c>
      <c r="N530" s="1130">
        <v>2019.5</v>
      </c>
      <c r="O530" s="1863"/>
      <c r="P530" s="147" t="s">
        <v>4041</v>
      </c>
      <c r="Q530" s="147">
        <v>18881106155</v>
      </c>
      <c r="R530" s="147" t="s">
        <v>4042</v>
      </c>
      <c r="S530" s="125" t="s">
        <v>4043</v>
      </c>
      <c r="T530" s="1150"/>
    </row>
    <row r="531" spans="1:20" s="1076" customFormat="1" ht="24.95" customHeight="1">
      <c r="A531" s="351">
        <v>17</v>
      </c>
      <c r="B531" s="1140" t="s">
        <v>4606</v>
      </c>
      <c r="C531" s="1140" t="s">
        <v>4619</v>
      </c>
      <c r="D531" s="103" t="s">
        <v>161</v>
      </c>
      <c r="E531" s="103"/>
      <c r="F531" s="103">
        <v>340</v>
      </c>
      <c r="G531" s="103" t="s">
        <v>32</v>
      </c>
      <c r="H531" s="103" t="s">
        <v>33</v>
      </c>
      <c r="I531" s="1055"/>
      <c r="J531" s="1903"/>
      <c r="K531" s="1149" t="s">
        <v>4622</v>
      </c>
      <c r="L531" s="1130">
        <v>46410</v>
      </c>
      <c r="M531" s="1130">
        <v>13923</v>
      </c>
      <c r="N531" s="1130">
        <v>2019.5</v>
      </c>
      <c r="O531" s="1863"/>
      <c r="P531" s="147" t="s">
        <v>4041</v>
      </c>
      <c r="Q531" s="147">
        <v>18881106155</v>
      </c>
      <c r="R531" s="147" t="s">
        <v>4042</v>
      </c>
      <c r="S531" s="125" t="s">
        <v>4043</v>
      </c>
      <c r="T531" s="1150"/>
    </row>
    <row r="532" spans="1:20" s="1076" customFormat="1" ht="24.95" customHeight="1">
      <c r="A532" s="351">
        <v>18</v>
      </c>
      <c r="B532" s="1140" t="s">
        <v>1516</v>
      </c>
      <c r="C532" s="1140">
        <v>120</v>
      </c>
      <c r="D532" s="103" t="s">
        <v>161</v>
      </c>
      <c r="E532" s="103"/>
      <c r="F532" s="103">
        <v>650</v>
      </c>
      <c r="G532" s="103" t="s">
        <v>32</v>
      </c>
      <c r="H532" s="103" t="s">
        <v>33</v>
      </c>
      <c r="I532" s="1055"/>
      <c r="J532" s="1055" t="s">
        <v>4038</v>
      </c>
      <c r="K532" s="1149"/>
      <c r="L532" s="1130">
        <v>92300</v>
      </c>
      <c r="M532" s="1130">
        <v>27690</v>
      </c>
      <c r="N532" s="1130">
        <v>2018.5</v>
      </c>
      <c r="O532" s="1864"/>
      <c r="P532" s="147" t="s">
        <v>4041</v>
      </c>
      <c r="Q532" s="147">
        <v>18881106155</v>
      </c>
      <c r="R532" s="147" t="s">
        <v>4042</v>
      </c>
      <c r="S532" s="125" t="s">
        <v>4043</v>
      </c>
      <c r="T532" s="1150" t="s">
        <v>4338</v>
      </c>
    </row>
    <row r="533" spans="1:20" s="1078" customFormat="1" ht="24.95" customHeight="1">
      <c r="A533" s="351">
        <v>19</v>
      </c>
      <c r="B533" s="1055" t="s">
        <v>4623</v>
      </c>
      <c r="C533" s="340" t="s">
        <v>4624</v>
      </c>
      <c r="D533" s="488" t="s">
        <v>161</v>
      </c>
      <c r="E533" s="1055">
        <v>200</v>
      </c>
      <c r="F533" s="1143"/>
      <c r="G533" s="1055" t="s">
        <v>32</v>
      </c>
      <c r="H533" s="792" t="s">
        <v>33</v>
      </c>
      <c r="I533" s="893"/>
      <c r="J533" s="222" t="s">
        <v>4329</v>
      </c>
      <c r="K533" s="1055" t="s">
        <v>4625</v>
      </c>
      <c r="L533" s="951">
        <v>1359.22</v>
      </c>
      <c r="M533" s="103">
        <v>407.77</v>
      </c>
      <c r="N533" s="1114">
        <v>2019.11</v>
      </c>
      <c r="O533" s="1923" t="s">
        <v>4489</v>
      </c>
      <c r="P533" s="893" t="s">
        <v>4332</v>
      </c>
      <c r="Q533" s="934">
        <v>17335084560</v>
      </c>
      <c r="R533" s="1079" t="s">
        <v>4333</v>
      </c>
      <c r="S533" s="792" t="s">
        <v>4043</v>
      </c>
      <c r="T533" s="125"/>
    </row>
    <row r="534" spans="1:20" s="1078" customFormat="1" ht="24.95" customHeight="1">
      <c r="A534" s="351">
        <v>20</v>
      </c>
      <c r="B534" s="1055" t="s">
        <v>4626</v>
      </c>
      <c r="C534" s="340" t="s">
        <v>4609</v>
      </c>
      <c r="D534" s="488" t="s">
        <v>161</v>
      </c>
      <c r="E534" s="1055">
        <v>4</v>
      </c>
      <c r="F534" s="1143"/>
      <c r="G534" s="1055" t="s">
        <v>32</v>
      </c>
      <c r="H534" s="792" t="s">
        <v>33</v>
      </c>
      <c r="I534" s="893"/>
      <c r="J534" s="222" t="s">
        <v>4329</v>
      </c>
      <c r="K534" s="1055" t="s">
        <v>4627</v>
      </c>
      <c r="L534" s="951">
        <v>81.55</v>
      </c>
      <c r="M534" s="103">
        <v>24.47</v>
      </c>
      <c r="N534" s="1114">
        <v>2020.4</v>
      </c>
      <c r="O534" s="1932"/>
      <c r="P534" s="893" t="s">
        <v>4332</v>
      </c>
      <c r="Q534" s="934">
        <v>17335084560</v>
      </c>
      <c r="R534" s="1079" t="s">
        <v>4333</v>
      </c>
      <c r="S534" s="792" t="s">
        <v>4043</v>
      </c>
      <c r="T534" s="125"/>
    </row>
    <row r="535" spans="1:20" s="1078" customFormat="1" ht="24.95" customHeight="1">
      <c r="A535" s="351">
        <v>21</v>
      </c>
      <c r="B535" s="1055" t="s">
        <v>4623</v>
      </c>
      <c r="C535" s="340" t="s">
        <v>4624</v>
      </c>
      <c r="D535" s="488" t="s">
        <v>161</v>
      </c>
      <c r="E535" s="1055">
        <v>120</v>
      </c>
      <c r="F535" s="1143"/>
      <c r="G535" s="1055" t="s">
        <v>32</v>
      </c>
      <c r="H535" s="792" t="s">
        <v>33</v>
      </c>
      <c r="I535" s="893"/>
      <c r="J535" s="222" t="s">
        <v>4329</v>
      </c>
      <c r="K535" s="1055" t="s">
        <v>4627</v>
      </c>
      <c r="L535" s="951">
        <v>10135.92</v>
      </c>
      <c r="M535" s="103">
        <v>3040.78</v>
      </c>
      <c r="N535" s="1114">
        <v>2020.4</v>
      </c>
      <c r="O535" s="1932"/>
      <c r="P535" s="893" t="s">
        <v>4332</v>
      </c>
      <c r="Q535" s="934">
        <v>17335084560</v>
      </c>
      <c r="R535" s="1079" t="s">
        <v>4333</v>
      </c>
      <c r="S535" s="792" t="s">
        <v>4043</v>
      </c>
      <c r="T535" s="125"/>
    </row>
    <row r="536" spans="1:20" s="1078" customFormat="1" ht="24.95" customHeight="1">
      <c r="A536" s="351">
        <v>22</v>
      </c>
      <c r="B536" s="1055" t="s">
        <v>1516</v>
      </c>
      <c r="C536" s="340" t="s">
        <v>4628</v>
      </c>
      <c r="D536" s="488" t="s">
        <v>161</v>
      </c>
      <c r="E536" s="1055">
        <v>1</v>
      </c>
      <c r="F536" s="1143"/>
      <c r="G536" s="1055" t="s">
        <v>32</v>
      </c>
      <c r="H536" s="792" t="s">
        <v>33</v>
      </c>
      <c r="I536" s="893"/>
      <c r="J536" s="222" t="s">
        <v>4329</v>
      </c>
      <c r="K536" s="1055" t="s">
        <v>4625</v>
      </c>
      <c r="L536" s="951">
        <v>3762.38</v>
      </c>
      <c r="M536" s="103">
        <v>1128.71</v>
      </c>
      <c r="N536" s="1114">
        <v>2020.11</v>
      </c>
      <c r="O536" s="1932"/>
      <c r="P536" s="893" t="s">
        <v>4332</v>
      </c>
      <c r="Q536" s="934">
        <v>17335084560</v>
      </c>
      <c r="R536" s="1079" t="s">
        <v>4333</v>
      </c>
      <c r="S536" s="792" t="s">
        <v>4043</v>
      </c>
      <c r="T536" s="125"/>
    </row>
    <row r="537" spans="1:20" s="1078" customFormat="1" ht="24.95" customHeight="1">
      <c r="A537" s="351">
        <v>23</v>
      </c>
      <c r="B537" s="1055" t="s">
        <v>4626</v>
      </c>
      <c r="C537" s="340" t="s">
        <v>4629</v>
      </c>
      <c r="D537" s="488" t="s">
        <v>4487</v>
      </c>
      <c r="E537" s="1055">
        <v>8</v>
      </c>
      <c r="F537" s="1143"/>
      <c r="G537" s="1055" t="s">
        <v>32</v>
      </c>
      <c r="H537" s="792" t="s">
        <v>33</v>
      </c>
      <c r="I537" s="893"/>
      <c r="J537" s="222" t="s">
        <v>4329</v>
      </c>
      <c r="K537" s="1055" t="s">
        <v>4625</v>
      </c>
      <c r="L537" s="951">
        <v>277.23</v>
      </c>
      <c r="M537" s="103">
        <v>83.17</v>
      </c>
      <c r="N537" s="1114">
        <v>2020.11</v>
      </c>
      <c r="O537" s="1932"/>
      <c r="P537" s="893" t="s">
        <v>4332</v>
      </c>
      <c r="Q537" s="934">
        <v>17335084560</v>
      </c>
      <c r="R537" s="1079" t="s">
        <v>4333</v>
      </c>
      <c r="S537" s="792" t="s">
        <v>4043</v>
      </c>
      <c r="T537" s="125"/>
    </row>
    <row r="538" spans="1:20" s="1078" customFormat="1" ht="24.95" customHeight="1">
      <c r="A538" s="351">
        <v>24</v>
      </c>
      <c r="B538" s="1055" t="s">
        <v>4600</v>
      </c>
      <c r="C538" s="340" t="s">
        <v>4630</v>
      </c>
      <c r="D538" s="488" t="s">
        <v>161</v>
      </c>
      <c r="E538" s="1055">
        <v>3</v>
      </c>
      <c r="F538" s="1143"/>
      <c r="G538" s="1055" t="s">
        <v>32</v>
      </c>
      <c r="H538" s="792" t="s">
        <v>33</v>
      </c>
      <c r="I538" s="893"/>
      <c r="J538" s="222" t="s">
        <v>4329</v>
      </c>
      <c r="K538" s="1055" t="s">
        <v>4625</v>
      </c>
      <c r="L538" s="951">
        <v>3118.81</v>
      </c>
      <c r="M538" s="103">
        <v>935.64</v>
      </c>
      <c r="N538" s="1114">
        <v>2020.11</v>
      </c>
      <c r="O538" s="1924"/>
      <c r="P538" s="893" t="s">
        <v>4332</v>
      </c>
      <c r="Q538" s="934">
        <v>17335084560</v>
      </c>
      <c r="R538" s="1079" t="s">
        <v>4333</v>
      </c>
      <c r="S538" s="792" t="s">
        <v>4043</v>
      </c>
      <c r="T538" s="125"/>
    </row>
    <row r="539" spans="1:20" s="250" customFormat="1" ht="24.95" customHeight="1">
      <c r="A539" s="328" t="s">
        <v>3919</v>
      </c>
      <c r="B539" s="328" t="s">
        <v>1479</v>
      </c>
      <c r="C539" s="140"/>
      <c r="D539" s="140"/>
      <c r="E539" s="147"/>
      <c r="F539" s="147"/>
      <c r="G539" s="103"/>
      <c r="H539" s="103"/>
      <c r="I539" s="1073"/>
      <c r="J539" s="160"/>
      <c r="K539" s="1139"/>
      <c r="L539" s="1060"/>
      <c r="M539" s="1060"/>
      <c r="N539" s="1166"/>
      <c r="O539" s="1166"/>
      <c r="P539" s="1073"/>
      <c r="Q539" s="103"/>
      <c r="R539" s="103"/>
      <c r="S539" s="1060"/>
      <c r="T539" s="147"/>
    </row>
    <row r="540" spans="1:20" s="1147" customFormat="1" ht="24.95" customHeight="1">
      <c r="A540" s="147">
        <v>1</v>
      </c>
      <c r="B540" s="1180" t="s">
        <v>1479</v>
      </c>
      <c r="C540" s="1180" t="s">
        <v>34</v>
      </c>
      <c r="D540" s="438" t="s">
        <v>2544</v>
      </c>
      <c r="E540" s="125">
        <v>1</v>
      </c>
      <c r="F540" s="147" t="s">
        <v>34</v>
      </c>
      <c r="G540" s="147" t="s">
        <v>32</v>
      </c>
      <c r="H540" s="147" t="s">
        <v>33</v>
      </c>
      <c r="I540" s="1110"/>
      <c r="J540" s="1101" t="s">
        <v>4038</v>
      </c>
      <c r="K540" s="438" t="s">
        <v>4631</v>
      </c>
      <c r="L540" s="1111">
        <v>112910</v>
      </c>
      <c r="M540" s="1111">
        <v>33873</v>
      </c>
      <c r="N540" s="125">
        <v>2018.5</v>
      </c>
      <c r="O540" s="140" t="s">
        <v>4417</v>
      </c>
      <c r="P540" s="168" t="s">
        <v>4041</v>
      </c>
      <c r="Q540" s="147">
        <v>18881106155</v>
      </c>
      <c r="R540" s="168" t="s">
        <v>4042</v>
      </c>
      <c r="S540" s="1067" t="s">
        <v>4043</v>
      </c>
      <c r="T540" s="1110"/>
    </row>
    <row r="541" spans="1:20" s="1147" customFormat="1" ht="24.95" customHeight="1">
      <c r="A541" s="147">
        <v>2</v>
      </c>
      <c r="B541" s="568" t="s">
        <v>1479</v>
      </c>
      <c r="C541" s="568" t="s">
        <v>34</v>
      </c>
      <c r="D541" s="568" t="s">
        <v>2544</v>
      </c>
      <c r="E541" s="550">
        <v>1</v>
      </c>
      <c r="F541" s="568" t="s">
        <v>34</v>
      </c>
      <c r="G541" s="568" t="s">
        <v>32</v>
      </c>
      <c r="H541" s="568" t="s">
        <v>33</v>
      </c>
      <c r="I541" s="1181"/>
      <c r="J541" s="1182" t="s">
        <v>4038</v>
      </c>
      <c r="K541" s="1183" t="s">
        <v>4632</v>
      </c>
      <c r="L541" s="1184">
        <v>31050</v>
      </c>
      <c r="M541" s="1184">
        <v>9315</v>
      </c>
      <c r="N541" s="572">
        <v>2018.5</v>
      </c>
      <c r="O541" s="153" t="s">
        <v>4417</v>
      </c>
      <c r="P541" s="352" t="s">
        <v>4041</v>
      </c>
      <c r="Q541" s="568">
        <v>18881106155</v>
      </c>
      <c r="R541" s="352" t="s">
        <v>4042</v>
      </c>
      <c r="S541" s="1067" t="s">
        <v>4043</v>
      </c>
      <c r="T541" s="1181"/>
    </row>
    <row r="542" spans="1:20" s="1076" customFormat="1" ht="24.95" customHeight="1">
      <c r="A542" s="147">
        <v>3</v>
      </c>
      <c r="B542" s="147" t="s">
        <v>1479</v>
      </c>
      <c r="C542" s="140" t="s">
        <v>34</v>
      </c>
      <c r="D542" s="140" t="s">
        <v>2544</v>
      </c>
      <c r="E542" s="147">
        <v>1</v>
      </c>
      <c r="F542" s="147" t="s">
        <v>34</v>
      </c>
      <c r="G542" s="147" t="s">
        <v>32</v>
      </c>
      <c r="H542" s="147" t="s">
        <v>33</v>
      </c>
      <c r="I542" s="1073"/>
      <c r="J542" s="160" t="s">
        <v>4038</v>
      </c>
      <c r="K542" s="147" t="s">
        <v>4632</v>
      </c>
      <c r="L542" s="356">
        <v>31050</v>
      </c>
      <c r="M542" s="356">
        <v>9315</v>
      </c>
      <c r="N542" s="572">
        <v>2018.5</v>
      </c>
      <c r="O542" s="153" t="s">
        <v>4417</v>
      </c>
      <c r="P542" s="352" t="s">
        <v>4041</v>
      </c>
      <c r="Q542" s="568">
        <v>18881106155</v>
      </c>
      <c r="R542" s="352" t="s">
        <v>4042</v>
      </c>
      <c r="S542" s="1067" t="s">
        <v>4043</v>
      </c>
      <c r="T542" s="147"/>
    </row>
    <row r="543" spans="1:20" s="876" customFormat="1" ht="24.95" customHeight="1">
      <c r="A543" s="147">
        <v>4</v>
      </c>
      <c r="B543" s="168" t="s">
        <v>1479</v>
      </c>
      <c r="C543" s="168" t="s">
        <v>34</v>
      </c>
      <c r="D543" s="168" t="s">
        <v>888</v>
      </c>
      <c r="E543" s="351"/>
      <c r="F543" s="351">
        <v>1560</v>
      </c>
      <c r="G543" s="168" t="s">
        <v>32</v>
      </c>
      <c r="H543" s="168" t="s">
        <v>33</v>
      </c>
      <c r="I543" s="351"/>
      <c r="J543" s="174" t="s">
        <v>4157</v>
      </c>
      <c r="K543" s="174" t="s">
        <v>4633</v>
      </c>
      <c r="L543" s="446">
        <v>123564.36</v>
      </c>
      <c r="M543" s="446">
        <v>24712.871999999999</v>
      </c>
      <c r="N543" s="351">
        <v>2022.01</v>
      </c>
      <c r="O543" s="227" t="s">
        <v>4158</v>
      </c>
      <c r="P543" s="168" t="s">
        <v>4159</v>
      </c>
      <c r="Q543" s="351">
        <v>18035204008</v>
      </c>
      <c r="R543" s="174" t="s">
        <v>4160</v>
      </c>
      <c r="S543" s="174" t="s">
        <v>4043</v>
      </c>
      <c r="T543" s="351"/>
    </row>
    <row r="544" spans="1:20" s="876" customFormat="1" ht="24.95" customHeight="1">
      <c r="A544" s="147">
        <v>5</v>
      </c>
      <c r="B544" s="168" t="s">
        <v>4634</v>
      </c>
      <c r="C544" s="351" t="s">
        <v>4635</v>
      </c>
      <c r="D544" s="168" t="s">
        <v>888</v>
      </c>
      <c r="E544" s="351"/>
      <c r="F544" s="351">
        <v>2800</v>
      </c>
      <c r="G544" s="168" t="s">
        <v>32</v>
      </c>
      <c r="H544" s="168" t="s">
        <v>33</v>
      </c>
      <c r="I544" s="351"/>
      <c r="J544" s="174" t="s">
        <v>4157</v>
      </c>
      <c r="K544" s="174" t="s">
        <v>4633</v>
      </c>
      <c r="L544" s="351">
        <v>465742.55</v>
      </c>
      <c r="M544" s="446">
        <v>93148.51</v>
      </c>
      <c r="N544" s="446">
        <v>2020.1</v>
      </c>
      <c r="O544" s="227" t="s">
        <v>4158</v>
      </c>
      <c r="P544" s="168" t="s">
        <v>4159</v>
      </c>
      <c r="Q544" s="351">
        <v>18035204008</v>
      </c>
      <c r="R544" s="174" t="s">
        <v>4160</v>
      </c>
      <c r="S544" s="174" t="s">
        <v>4043</v>
      </c>
      <c r="T544" s="351"/>
    </row>
    <row r="545" spans="1:22" s="1093" customFormat="1" ht="24.95" customHeight="1">
      <c r="A545" s="147">
        <v>6</v>
      </c>
      <c r="B545" s="168" t="s">
        <v>1479</v>
      </c>
      <c r="C545" s="174"/>
      <c r="D545" s="174" t="s">
        <v>1193</v>
      </c>
      <c r="E545" s="168">
        <v>4776.8500000000004</v>
      </c>
      <c r="F545" s="168"/>
      <c r="G545" s="222" t="s">
        <v>32</v>
      </c>
      <c r="H545" s="222" t="s">
        <v>33</v>
      </c>
      <c r="I545" s="1096" t="s">
        <v>404</v>
      </c>
      <c r="J545" s="404" t="s">
        <v>4128</v>
      </c>
      <c r="K545" s="1097" t="s">
        <v>4184</v>
      </c>
      <c r="L545" s="1162">
        <v>104519.11</v>
      </c>
      <c r="M545" s="168">
        <v>31355.73</v>
      </c>
      <c r="N545" s="1075">
        <v>43922</v>
      </c>
      <c r="O545" s="1161" t="s">
        <v>4130</v>
      </c>
      <c r="P545" s="1073" t="s">
        <v>4131</v>
      </c>
      <c r="Q545" s="103">
        <v>17373170973</v>
      </c>
      <c r="R545" s="103" t="s">
        <v>4132</v>
      </c>
      <c r="S545" s="1060" t="s">
        <v>4043</v>
      </c>
      <c r="T545" s="147"/>
    </row>
    <row r="546" spans="1:22" s="1093" customFormat="1" ht="24.95" customHeight="1">
      <c r="A546" s="147">
        <v>7</v>
      </c>
      <c r="B546" s="168" t="s">
        <v>1479</v>
      </c>
      <c r="C546" s="174"/>
      <c r="D546" s="174" t="s">
        <v>1193</v>
      </c>
      <c r="E546" s="168">
        <v>3186.5699</v>
      </c>
      <c r="F546" s="168"/>
      <c r="G546" s="222" t="s">
        <v>32</v>
      </c>
      <c r="H546" s="222" t="s">
        <v>33</v>
      </c>
      <c r="I546" s="1096" t="s">
        <v>404</v>
      </c>
      <c r="J546" s="404" t="s">
        <v>4128</v>
      </c>
      <c r="K546" s="1097" t="s">
        <v>4184</v>
      </c>
      <c r="L546" s="1162">
        <v>185204.84</v>
      </c>
      <c r="M546" s="168">
        <v>55561.45</v>
      </c>
      <c r="N546" s="1075">
        <v>43922</v>
      </c>
      <c r="O546" s="1161" t="s">
        <v>4130</v>
      </c>
      <c r="P546" s="1073" t="s">
        <v>4131</v>
      </c>
      <c r="Q546" s="103">
        <v>17373170973</v>
      </c>
      <c r="R546" s="103" t="s">
        <v>4132</v>
      </c>
      <c r="S546" s="1060" t="s">
        <v>4043</v>
      </c>
      <c r="T546" s="147"/>
    </row>
    <row r="547" spans="1:22" s="1076" customFormat="1" ht="24.95" customHeight="1">
      <c r="A547" s="147">
        <v>8</v>
      </c>
      <c r="B547" s="1163" t="s">
        <v>1479</v>
      </c>
      <c r="C547" s="1164"/>
      <c r="D547" s="174" t="s">
        <v>1193</v>
      </c>
      <c r="E547" s="1163">
        <v>2730.88</v>
      </c>
      <c r="F547" s="1163"/>
      <c r="G547" s="222" t="s">
        <v>32</v>
      </c>
      <c r="H547" s="222" t="s">
        <v>33</v>
      </c>
      <c r="I547" s="1096" t="s">
        <v>404</v>
      </c>
      <c r="J547" s="404" t="s">
        <v>4128</v>
      </c>
      <c r="K547" s="1097" t="s">
        <v>4184</v>
      </c>
      <c r="L547" s="1162">
        <v>175056.18</v>
      </c>
      <c r="M547" s="168">
        <v>52516.85</v>
      </c>
      <c r="N547" s="1075">
        <v>43922</v>
      </c>
      <c r="O547" s="1161" t="s">
        <v>4130</v>
      </c>
      <c r="P547" s="1073" t="s">
        <v>4131</v>
      </c>
      <c r="Q547" s="103">
        <v>17373170973</v>
      </c>
      <c r="R547" s="103" t="s">
        <v>4132</v>
      </c>
      <c r="S547" s="1060" t="s">
        <v>4043</v>
      </c>
      <c r="T547" s="147"/>
    </row>
    <row r="548" spans="1:22" s="1076" customFormat="1" ht="24.95" customHeight="1">
      <c r="A548" s="147">
        <v>9</v>
      </c>
      <c r="B548" s="1163" t="s">
        <v>1479</v>
      </c>
      <c r="C548" s="1164"/>
      <c r="D548" s="174" t="s">
        <v>1193</v>
      </c>
      <c r="E548" s="1163">
        <v>95.7</v>
      </c>
      <c r="F548" s="1163"/>
      <c r="G548" s="222" t="s">
        <v>32</v>
      </c>
      <c r="H548" s="222" t="s">
        <v>33</v>
      </c>
      <c r="I548" s="1096" t="s">
        <v>404</v>
      </c>
      <c r="J548" s="404" t="s">
        <v>4128</v>
      </c>
      <c r="K548" s="1097" t="s">
        <v>4184</v>
      </c>
      <c r="L548" s="1162">
        <v>6134.61</v>
      </c>
      <c r="M548" s="168">
        <v>1840.38</v>
      </c>
      <c r="N548" s="1075">
        <v>43922</v>
      </c>
      <c r="O548" s="1161" t="s">
        <v>4130</v>
      </c>
      <c r="P548" s="1073" t="s">
        <v>4131</v>
      </c>
      <c r="Q548" s="103">
        <v>17373170973</v>
      </c>
      <c r="R548" s="103" t="s">
        <v>4132</v>
      </c>
      <c r="S548" s="1060" t="s">
        <v>4043</v>
      </c>
      <c r="T548" s="147"/>
    </row>
    <row r="549" spans="1:22" s="250" customFormat="1" ht="24.95" customHeight="1">
      <c r="A549" s="147">
        <v>10</v>
      </c>
      <c r="B549" s="168" t="s">
        <v>1479</v>
      </c>
      <c r="C549" s="174"/>
      <c r="D549" s="174" t="s">
        <v>1193</v>
      </c>
      <c r="E549" s="168">
        <v>11061.25</v>
      </c>
      <c r="F549" s="168"/>
      <c r="G549" s="222" t="s">
        <v>32</v>
      </c>
      <c r="H549" s="222" t="s">
        <v>33</v>
      </c>
      <c r="I549" s="1096" t="s">
        <v>404</v>
      </c>
      <c r="J549" s="404" t="s">
        <v>4128</v>
      </c>
      <c r="K549" s="1097" t="s">
        <v>4184</v>
      </c>
      <c r="L549" s="1162">
        <v>771451.48</v>
      </c>
      <c r="M549" s="168">
        <v>231435.44</v>
      </c>
      <c r="N549" s="1075">
        <v>43922</v>
      </c>
      <c r="O549" s="1161" t="s">
        <v>4130</v>
      </c>
      <c r="P549" s="1073" t="s">
        <v>4131</v>
      </c>
      <c r="Q549" s="103">
        <v>17373170973</v>
      </c>
      <c r="R549" s="103" t="s">
        <v>4132</v>
      </c>
      <c r="S549" s="1060" t="s">
        <v>4043</v>
      </c>
      <c r="T549" s="147"/>
    </row>
    <row r="550" spans="1:22" s="250" customFormat="1" ht="24.95" customHeight="1">
      <c r="A550" s="147">
        <v>11</v>
      </c>
      <c r="B550" s="168" t="s">
        <v>1479</v>
      </c>
      <c r="C550" s="174" t="s">
        <v>3165</v>
      </c>
      <c r="D550" s="174" t="s">
        <v>1193</v>
      </c>
      <c r="E550" s="168">
        <v>1855.89</v>
      </c>
      <c r="F550" s="168"/>
      <c r="G550" s="222" t="s">
        <v>32</v>
      </c>
      <c r="H550" s="222" t="s">
        <v>33</v>
      </c>
      <c r="I550" s="1096" t="s">
        <v>404</v>
      </c>
      <c r="J550" s="404" t="s">
        <v>4128</v>
      </c>
      <c r="K550" s="1097" t="s">
        <v>4184</v>
      </c>
      <c r="L550" s="1162">
        <v>107863.56</v>
      </c>
      <c r="M550" s="168">
        <v>32359.07</v>
      </c>
      <c r="N550" s="1075">
        <v>43922</v>
      </c>
      <c r="O550" s="1161" t="s">
        <v>4130</v>
      </c>
      <c r="P550" s="1073" t="s">
        <v>4131</v>
      </c>
      <c r="Q550" s="103">
        <v>17373170973</v>
      </c>
      <c r="R550" s="103" t="s">
        <v>4132</v>
      </c>
      <c r="S550" s="1060" t="s">
        <v>4043</v>
      </c>
      <c r="T550" s="147"/>
    </row>
    <row r="551" spans="1:22" s="1076" customFormat="1" ht="24.95" customHeight="1">
      <c r="A551" s="147">
        <v>12</v>
      </c>
      <c r="B551" s="1163" t="s">
        <v>1479</v>
      </c>
      <c r="C551" s="1164"/>
      <c r="D551" s="174" t="s">
        <v>1193</v>
      </c>
      <c r="E551" s="1163">
        <v>9413.4300999999996</v>
      </c>
      <c r="F551" s="1163"/>
      <c r="G551" s="222" t="s">
        <v>32</v>
      </c>
      <c r="H551" s="222" t="s">
        <v>33</v>
      </c>
      <c r="I551" s="1096" t="s">
        <v>404</v>
      </c>
      <c r="J551" s="404" t="s">
        <v>4128</v>
      </c>
      <c r="K551" s="1097" t="s">
        <v>4184</v>
      </c>
      <c r="L551" s="1162">
        <v>603424.39</v>
      </c>
      <c r="M551" s="168">
        <v>181027.32</v>
      </c>
      <c r="N551" s="1075">
        <v>43922</v>
      </c>
      <c r="O551" s="1161" t="s">
        <v>4130</v>
      </c>
      <c r="P551" s="1073" t="s">
        <v>4131</v>
      </c>
      <c r="Q551" s="103">
        <v>17373170973</v>
      </c>
      <c r="R551" s="103" t="s">
        <v>4132</v>
      </c>
      <c r="S551" s="1060" t="s">
        <v>4043</v>
      </c>
      <c r="T551" s="147"/>
    </row>
    <row r="552" spans="1:22" s="250" customFormat="1" ht="24.95" customHeight="1">
      <c r="A552" s="147">
        <v>13</v>
      </c>
      <c r="B552" s="1140" t="s">
        <v>1479</v>
      </c>
      <c r="C552" s="1140"/>
      <c r="D552" s="1144" t="s">
        <v>888</v>
      </c>
      <c r="E552" s="1144"/>
      <c r="F552" s="1144">
        <v>5176.7299999999996</v>
      </c>
      <c r="G552" s="1144" t="s">
        <v>32</v>
      </c>
      <c r="H552" s="1144" t="s">
        <v>33</v>
      </c>
      <c r="I552" s="1144"/>
      <c r="J552" s="1168" t="s">
        <v>2186</v>
      </c>
      <c r="K552" s="953"/>
      <c r="L552" s="1144">
        <v>375656.513274336</v>
      </c>
      <c r="M552" s="1144">
        <v>211306.770058997</v>
      </c>
      <c r="N552" s="1144">
        <v>2020.04</v>
      </c>
      <c r="O552" s="1169" t="s">
        <v>4196</v>
      </c>
      <c r="P552" s="168" t="s">
        <v>4197</v>
      </c>
      <c r="Q552" s="1077">
        <v>18935151265</v>
      </c>
      <c r="R552" s="1055" t="s">
        <v>4198</v>
      </c>
      <c r="S552" s="125" t="s">
        <v>4043</v>
      </c>
      <c r="T552" s="147"/>
    </row>
    <row r="553" spans="1:22" s="250" customFormat="1" ht="24.95" customHeight="1">
      <c r="A553" s="147">
        <v>14</v>
      </c>
      <c r="B553" s="356" t="s">
        <v>4636</v>
      </c>
      <c r="C553" s="356" t="s">
        <v>4637</v>
      </c>
      <c r="D553" s="305" t="s">
        <v>2724</v>
      </c>
      <c r="E553" s="147"/>
      <c r="F553" s="356">
        <v>3000</v>
      </c>
      <c r="G553" s="147" t="s">
        <v>32</v>
      </c>
      <c r="H553" s="147" t="s">
        <v>33</v>
      </c>
      <c r="I553" s="1055" t="s">
        <v>34</v>
      </c>
      <c r="J553" s="1058" t="s">
        <v>4138</v>
      </c>
      <c r="K553" s="290" t="s">
        <v>4638</v>
      </c>
      <c r="L553" s="343">
        <v>438053.1</v>
      </c>
      <c r="M553" s="343">
        <v>87610.62</v>
      </c>
      <c r="N553" s="1095">
        <v>43695</v>
      </c>
      <c r="O553" s="1092" t="s">
        <v>4140</v>
      </c>
      <c r="P553" s="147" t="s">
        <v>4141</v>
      </c>
      <c r="Q553" s="147">
        <v>18535240344</v>
      </c>
      <c r="R553" s="147" t="s">
        <v>4142</v>
      </c>
      <c r="S553" s="125" t="s">
        <v>4043</v>
      </c>
      <c r="T553" s="147"/>
      <c r="U553" s="1056"/>
    </row>
    <row r="554" spans="1:22" s="250" customFormat="1" ht="24.95" customHeight="1">
      <c r="A554" s="147">
        <v>15</v>
      </c>
      <c r="B554" s="356" t="s">
        <v>4636</v>
      </c>
      <c r="C554" s="356" t="s">
        <v>4637</v>
      </c>
      <c r="D554" s="305" t="s">
        <v>2724</v>
      </c>
      <c r="E554" s="147"/>
      <c r="F554" s="356">
        <v>2000</v>
      </c>
      <c r="G554" s="147" t="s">
        <v>32</v>
      </c>
      <c r="H554" s="147" t="s">
        <v>33</v>
      </c>
      <c r="I554" s="1055" t="s">
        <v>34</v>
      </c>
      <c r="J554" s="1058"/>
      <c r="K554" s="290" t="s">
        <v>4639</v>
      </c>
      <c r="L554" s="343">
        <v>310679.61</v>
      </c>
      <c r="M554" s="343">
        <v>62135.921999999999</v>
      </c>
      <c r="N554" s="1095">
        <v>43820</v>
      </c>
      <c r="O554" s="1092" t="s">
        <v>4140</v>
      </c>
      <c r="P554" s="147" t="s">
        <v>4141</v>
      </c>
      <c r="Q554" s="147">
        <v>18535240344</v>
      </c>
      <c r="R554" s="147" t="s">
        <v>4142</v>
      </c>
      <c r="S554" s="125" t="s">
        <v>4043</v>
      </c>
      <c r="T554" s="147"/>
      <c r="U554" s="1056"/>
    </row>
    <row r="555" spans="1:22" s="507" customFormat="1" ht="24.95" customHeight="1">
      <c r="A555" s="1107" t="s">
        <v>3919</v>
      </c>
      <c r="B555" s="1185" t="s">
        <v>3366</v>
      </c>
      <c r="C555" s="1175"/>
      <c r="D555" s="222"/>
      <c r="F555" s="222"/>
      <c r="G555" s="168"/>
      <c r="H555" s="168"/>
      <c r="I555" s="168"/>
      <c r="J555" s="279"/>
      <c r="K555" s="1174"/>
      <c r="L555" s="277"/>
      <c r="M555" s="1122"/>
      <c r="N555" s="174"/>
      <c r="O555" s="279"/>
      <c r="P555" s="168"/>
      <c r="Q555" s="1104"/>
      <c r="R555" s="168"/>
      <c r="S555" s="168"/>
      <c r="T555" s="168"/>
    </row>
    <row r="556" spans="1:22" s="1093" customFormat="1" ht="24.95" customHeight="1">
      <c r="A556" s="147">
        <v>1</v>
      </c>
      <c r="B556" s="168" t="s">
        <v>4640</v>
      </c>
      <c r="C556" s="174" t="s">
        <v>4641</v>
      </c>
      <c r="D556" s="174" t="s">
        <v>464</v>
      </c>
      <c r="E556" s="168">
        <v>285</v>
      </c>
      <c r="F556" s="168"/>
      <c r="G556" s="222" t="s">
        <v>32</v>
      </c>
      <c r="H556" s="222" t="s">
        <v>33</v>
      </c>
      <c r="I556" s="1096" t="s">
        <v>4319</v>
      </c>
      <c r="J556" s="404" t="s">
        <v>4128</v>
      </c>
      <c r="K556" s="488" t="s">
        <v>4423</v>
      </c>
      <c r="L556" s="168">
        <v>8550</v>
      </c>
      <c r="M556" s="168"/>
      <c r="N556" s="1075">
        <v>43922</v>
      </c>
      <c r="O556" s="1919" t="s">
        <v>4130</v>
      </c>
      <c r="P556" s="1073" t="s">
        <v>4131</v>
      </c>
      <c r="Q556" s="103">
        <v>17373170973</v>
      </c>
      <c r="R556" s="103" t="s">
        <v>4132</v>
      </c>
      <c r="S556" s="1060" t="s">
        <v>4043</v>
      </c>
      <c r="T556" s="147"/>
    </row>
    <row r="557" spans="1:22" s="1076" customFormat="1" ht="24.95" customHeight="1">
      <c r="A557" s="147">
        <v>2</v>
      </c>
      <c r="B557" s="168" t="s">
        <v>4642</v>
      </c>
      <c r="C557" s="174" t="s">
        <v>1226</v>
      </c>
      <c r="D557" s="174" t="s">
        <v>1477</v>
      </c>
      <c r="E557" s="168">
        <v>2</v>
      </c>
      <c r="F557" s="168"/>
      <c r="G557" s="168" t="s">
        <v>32</v>
      </c>
      <c r="H557" s="222" t="s">
        <v>41</v>
      </c>
      <c r="I557" s="1096" t="s">
        <v>404</v>
      </c>
      <c r="J557" s="404" t="s">
        <v>4128</v>
      </c>
      <c r="K557" s="168" t="s">
        <v>4643</v>
      </c>
      <c r="L557" s="168">
        <v>86000</v>
      </c>
      <c r="M557" s="168">
        <v>25800</v>
      </c>
      <c r="N557" s="1075">
        <v>43922</v>
      </c>
      <c r="O557" s="1919"/>
      <c r="P557" s="1073" t="s">
        <v>4131</v>
      </c>
      <c r="Q557" s="103">
        <v>17373170973</v>
      </c>
      <c r="R557" s="103" t="s">
        <v>4132</v>
      </c>
      <c r="S557" s="1060" t="s">
        <v>4043</v>
      </c>
      <c r="T557" s="147"/>
    </row>
    <row r="558" spans="1:22" s="1076" customFormat="1" ht="24.95" customHeight="1">
      <c r="A558" s="147">
        <v>3</v>
      </c>
      <c r="B558" s="147" t="s">
        <v>4644</v>
      </c>
      <c r="C558" s="140" t="s">
        <v>4645</v>
      </c>
      <c r="D558" s="140" t="s">
        <v>161</v>
      </c>
      <c r="E558" s="147"/>
      <c r="F558" s="147">
        <v>300</v>
      </c>
      <c r="G558" s="147" t="s">
        <v>32</v>
      </c>
      <c r="H558" s="147" t="s">
        <v>33</v>
      </c>
      <c r="I558" s="1073"/>
      <c r="J558" s="160" t="s">
        <v>4038</v>
      </c>
      <c r="K558" s="147"/>
      <c r="L558" s="356">
        <v>15000</v>
      </c>
      <c r="M558" s="356">
        <v>4500</v>
      </c>
      <c r="N558" s="572">
        <v>2018.5</v>
      </c>
      <c r="O558" s="153" t="s">
        <v>4417</v>
      </c>
      <c r="P558" s="352" t="s">
        <v>4041</v>
      </c>
      <c r="Q558" s="568">
        <v>18881106155</v>
      </c>
      <c r="R558" s="352" t="s">
        <v>4042</v>
      </c>
      <c r="S558" s="1067" t="s">
        <v>4043</v>
      </c>
      <c r="T558" s="147"/>
    </row>
    <row r="559" spans="1:22" s="1110" customFormat="1" ht="24.95" customHeight="1">
      <c r="A559" s="147">
        <v>4</v>
      </c>
      <c r="B559" s="147" t="s">
        <v>4644</v>
      </c>
      <c r="C559" s="147" t="s">
        <v>4645</v>
      </c>
      <c r="D559" s="147" t="s">
        <v>161</v>
      </c>
      <c r="E559" s="1109"/>
      <c r="F559" s="147">
        <v>300</v>
      </c>
      <c r="G559" s="147" t="s">
        <v>32</v>
      </c>
      <c r="H559" s="147" t="s">
        <v>33</v>
      </c>
      <c r="J559" s="1101" t="s">
        <v>4038</v>
      </c>
      <c r="K559" s="438"/>
      <c r="L559" s="1111">
        <v>15000</v>
      </c>
      <c r="M559" s="1111">
        <v>4500</v>
      </c>
      <c r="N559" s="125">
        <v>2018.5</v>
      </c>
      <c r="O559" s="153" t="s">
        <v>4417</v>
      </c>
      <c r="P559" s="168" t="s">
        <v>4041</v>
      </c>
      <c r="Q559" s="147">
        <v>18881106155</v>
      </c>
      <c r="R559" s="168" t="s">
        <v>4042</v>
      </c>
      <c r="S559" s="1067" t="s">
        <v>4043</v>
      </c>
      <c r="T559" s="168" t="s">
        <v>4338</v>
      </c>
      <c r="U559" s="1147"/>
      <c r="V559" s="1147"/>
    </row>
    <row r="560" spans="1:22" s="1110" customFormat="1" ht="24.95" customHeight="1">
      <c r="A560" s="147">
        <v>5</v>
      </c>
      <c r="B560" s="147" t="s">
        <v>4646</v>
      </c>
      <c r="C560" s="147" t="s">
        <v>34</v>
      </c>
      <c r="D560" s="147" t="s">
        <v>161</v>
      </c>
      <c r="E560" s="1109"/>
      <c r="F560" s="147">
        <v>159</v>
      </c>
      <c r="G560" s="147" t="s">
        <v>32</v>
      </c>
      <c r="H560" s="147" t="s">
        <v>33</v>
      </c>
      <c r="J560" s="1101" t="s">
        <v>4038</v>
      </c>
      <c r="K560" s="438"/>
      <c r="L560" s="1111">
        <v>20670</v>
      </c>
      <c r="M560" s="1111">
        <v>6201</v>
      </c>
      <c r="N560" s="125">
        <v>2018.5</v>
      </c>
      <c r="O560" s="153" t="s">
        <v>4417</v>
      </c>
      <c r="P560" s="168" t="s">
        <v>4041</v>
      </c>
      <c r="Q560" s="147">
        <v>18881106155</v>
      </c>
      <c r="R560" s="168" t="s">
        <v>4042</v>
      </c>
      <c r="S560" s="1067" t="s">
        <v>4043</v>
      </c>
      <c r="T560" s="168" t="s">
        <v>4338</v>
      </c>
      <c r="U560" s="1147"/>
      <c r="V560" s="1147"/>
    </row>
    <row r="561" spans="1:20" s="1147" customFormat="1" ht="24.95" customHeight="1">
      <c r="A561" s="147">
        <v>6</v>
      </c>
      <c r="B561" s="1186" t="s">
        <v>4647</v>
      </c>
      <c r="C561" s="1180" t="s">
        <v>4648</v>
      </c>
      <c r="D561" s="147" t="s">
        <v>79</v>
      </c>
      <c r="E561" s="351">
        <v>8000</v>
      </c>
      <c r="F561" s="147" t="s">
        <v>34</v>
      </c>
      <c r="G561" s="147" t="s">
        <v>32</v>
      </c>
      <c r="H561" s="147" t="s">
        <v>33</v>
      </c>
      <c r="I561" s="1110"/>
      <c r="J561" s="1101" t="s">
        <v>4038</v>
      </c>
      <c r="K561" s="438" t="s">
        <v>4045</v>
      </c>
      <c r="L561" s="1111">
        <v>16000</v>
      </c>
      <c r="M561" s="1111">
        <v>12800</v>
      </c>
      <c r="N561" s="125">
        <v>2021.8</v>
      </c>
      <c r="O561" s="153" t="s">
        <v>4417</v>
      </c>
      <c r="P561" s="168" t="s">
        <v>4041</v>
      </c>
      <c r="Q561" s="147">
        <v>18881106155</v>
      </c>
      <c r="R561" s="168" t="s">
        <v>4042</v>
      </c>
      <c r="S561" s="1067" t="s">
        <v>4043</v>
      </c>
      <c r="T561" s="351"/>
    </row>
    <row r="562" spans="1:20" s="250" customFormat="1" ht="24.95" customHeight="1">
      <c r="A562" s="147">
        <v>7</v>
      </c>
      <c r="B562" s="1140" t="s">
        <v>3063</v>
      </c>
      <c r="C562" s="147"/>
      <c r="D562" s="103" t="s">
        <v>131</v>
      </c>
      <c r="E562" s="103">
        <v>16</v>
      </c>
      <c r="F562" s="147"/>
      <c r="G562" s="1055" t="s">
        <v>32</v>
      </c>
      <c r="H562" s="1055" t="s">
        <v>41</v>
      </c>
      <c r="I562" s="147"/>
      <c r="J562" s="1152" t="s">
        <v>2413</v>
      </c>
      <c r="K562" s="1153" t="s">
        <v>3062</v>
      </c>
      <c r="L562" s="148">
        <v>6837.6</v>
      </c>
      <c r="M562" s="1061">
        <v>2051.2800000000002</v>
      </c>
      <c r="N562" s="1158" t="s">
        <v>4516</v>
      </c>
      <c r="O562" s="1058" t="s">
        <v>4047</v>
      </c>
      <c r="P562" s="1053" t="s">
        <v>4048</v>
      </c>
      <c r="Q562" s="1055">
        <v>19902766690</v>
      </c>
      <c r="R562" s="1055" t="s">
        <v>4049</v>
      </c>
      <c r="S562" s="125" t="s">
        <v>4043</v>
      </c>
      <c r="T562" s="147"/>
    </row>
    <row r="563" spans="1:20" s="250" customFormat="1" ht="24.95" customHeight="1">
      <c r="A563" s="147">
        <v>8</v>
      </c>
      <c r="B563" s="1140" t="s">
        <v>4649</v>
      </c>
      <c r="C563" s="147"/>
      <c r="D563" s="103" t="s">
        <v>888</v>
      </c>
      <c r="E563" s="103">
        <v>184</v>
      </c>
      <c r="F563" s="147"/>
      <c r="G563" s="1055" t="s">
        <v>32</v>
      </c>
      <c r="H563" s="1055" t="s">
        <v>41</v>
      </c>
      <c r="I563" s="147"/>
      <c r="J563" s="1152" t="s">
        <v>2413</v>
      </c>
      <c r="K563" s="1153" t="s">
        <v>3062</v>
      </c>
      <c r="L563" s="148">
        <v>27364.21</v>
      </c>
      <c r="M563" s="1061">
        <v>8209.26</v>
      </c>
      <c r="N563" s="1158" t="s">
        <v>4516</v>
      </c>
      <c r="O563" s="1058" t="s">
        <v>4047</v>
      </c>
      <c r="P563" s="1053" t="s">
        <v>4048</v>
      </c>
      <c r="Q563" s="1055">
        <v>19902766690</v>
      </c>
      <c r="R563" s="1055" t="s">
        <v>4049</v>
      </c>
      <c r="S563" s="125" t="s">
        <v>4043</v>
      </c>
      <c r="T563" s="147"/>
    </row>
    <row r="564" spans="1:20" s="250" customFormat="1" ht="24.95" customHeight="1">
      <c r="A564" s="147">
        <v>9</v>
      </c>
      <c r="B564" s="1140" t="s">
        <v>4650</v>
      </c>
      <c r="C564" s="103" t="s">
        <v>4651</v>
      </c>
      <c r="D564" s="103" t="s">
        <v>131</v>
      </c>
      <c r="E564" s="103">
        <v>10</v>
      </c>
      <c r="F564" s="147"/>
      <c r="G564" s="1055" t="s">
        <v>32</v>
      </c>
      <c r="H564" s="1055" t="s">
        <v>41</v>
      </c>
      <c r="I564" s="147"/>
      <c r="J564" s="1152" t="s">
        <v>2413</v>
      </c>
      <c r="K564" s="1153" t="s">
        <v>3062</v>
      </c>
      <c r="L564" s="148">
        <v>15384.62</v>
      </c>
      <c r="M564" s="1061">
        <v>4615.3860000000004</v>
      </c>
      <c r="N564" s="1158" t="s">
        <v>4516</v>
      </c>
      <c r="O564" s="1058" t="s">
        <v>4047</v>
      </c>
      <c r="P564" s="1053" t="s">
        <v>4048</v>
      </c>
      <c r="Q564" s="1055">
        <v>19902766690</v>
      </c>
      <c r="R564" s="1055" t="s">
        <v>4049</v>
      </c>
      <c r="S564" s="125" t="s">
        <v>4043</v>
      </c>
      <c r="T564" s="147"/>
    </row>
    <row r="565" spans="1:20" s="250" customFormat="1" ht="24.95" customHeight="1">
      <c r="A565" s="147">
        <v>10</v>
      </c>
      <c r="B565" s="1140" t="s">
        <v>722</v>
      </c>
      <c r="C565" s="1060" t="s">
        <v>4652</v>
      </c>
      <c r="D565" s="147"/>
      <c r="E565" s="147"/>
      <c r="F565" s="147"/>
      <c r="G565" s="1055" t="s">
        <v>32</v>
      </c>
      <c r="H565" s="1055" t="s">
        <v>41</v>
      </c>
      <c r="I565" s="147"/>
      <c r="J565" s="1152" t="s">
        <v>2413</v>
      </c>
      <c r="K565" s="140" t="s">
        <v>4653</v>
      </c>
      <c r="L565" s="293">
        <v>679611.02</v>
      </c>
      <c r="M565" s="1061">
        <v>203883.30599999899</v>
      </c>
      <c r="N565" s="264">
        <v>2019.8</v>
      </c>
      <c r="O565" s="1058" t="s">
        <v>4047</v>
      </c>
      <c r="P565" s="1053" t="s">
        <v>4048</v>
      </c>
      <c r="Q565" s="1055">
        <v>19902766690</v>
      </c>
      <c r="R565" s="1055" t="s">
        <v>4049</v>
      </c>
      <c r="S565" s="125" t="s">
        <v>4043</v>
      </c>
      <c r="T565" s="147"/>
    </row>
    <row r="566" spans="1:20" s="876" customFormat="1" ht="24.95" customHeight="1">
      <c r="A566" s="147">
        <v>11</v>
      </c>
      <c r="B566" s="168" t="s">
        <v>4654</v>
      </c>
      <c r="C566" s="168" t="s">
        <v>4655</v>
      </c>
      <c r="D566" s="168" t="s">
        <v>79</v>
      </c>
      <c r="E566" s="351">
        <v>1</v>
      </c>
      <c r="F566" s="351"/>
      <c r="G566" s="168" t="s">
        <v>32</v>
      </c>
      <c r="H566" s="168" t="s">
        <v>33</v>
      </c>
      <c r="I566" s="351"/>
      <c r="J566" s="174" t="s">
        <v>4157</v>
      </c>
      <c r="K566" s="174" t="s">
        <v>4656</v>
      </c>
      <c r="L566" s="446">
        <v>178217.82</v>
      </c>
      <c r="M566" s="446">
        <v>35643.563999999998</v>
      </c>
      <c r="N566" s="351">
        <v>2022.02</v>
      </c>
      <c r="O566" s="227" t="s">
        <v>4158</v>
      </c>
      <c r="P566" s="168" t="s">
        <v>4159</v>
      </c>
      <c r="Q566" s="351">
        <v>18035204008</v>
      </c>
      <c r="R566" s="174" t="s">
        <v>4160</v>
      </c>
      <c r="S566" s="174" t="s">
        <v>4043</v>
      </c>
      <c r="T566" s="351"/>
    </row>
    <row r="567" spans="1:20" s="250" customFormat="1" ht="24.95" customHeight="1">
      <c r="A567" s="147">
        <v>12</v>
      </c>
      <c r="B567" s="147" t="s">
        <v>722</v>
      </c>
      <c r="C567" s="147" t="s">
        <v>3472</v>
      </c>
      <c r="D567" s="147" t="s">
        <v>131</v>
      </c>
      <c r="E567" s="147">
        <v>1</v>
      </c>
      <c r="F567" s="147"/>
      <c r="G567" s="1055" t="s">
        <v>32</v>
      </c>
      <c r="H567" s="1055" t="s">
        <v>33</v>
      </c>
      <c r="I567" s="1055"/>
      <c r="J567" s="290" t="s">
        <v>4088</v>
      </c>
      <c r="K567" s="140" t="s">
        <v>4657</v>
      </c>
      <c r="L567" s="147">
        <v>233122.76</v>
      </c>
      <c r="M567" s="343">
        <v>69936.827999999994</v>
      </c>
      <c r="N567" s="147" t="s">
        <v>4112</v>
      </c>
      <c r="O567" s="1106" t="s">
        <v>4090</v>
      </c>
      <c r="P567" s="103" t="s">
        <v>4091</v>
      </c>
      <c r="Q567" s="103">
        <v>17775760169</v>
      </c>
      <c r="R567" s="103" t="s">
        <v>4092</v>
      </c>
      <c r="S567" s="125" t="s">
        <v>4043</v>
      </c>
      <c r="T567" s="147"/>
    </row>
    <row r="568" spans="1:20" s="250" customFormat="1" ht="24.95" customHeight="1">
      <c r="A568" s="147"/>
      <c r="B568" s="103"/>
      <c r="C568" s="125"/>
      <c r="D568" s="1170"/>
      <c r="E568" s="147"/>
      <c r="F568" s="147"/>
      <c r="G568" s="147"/>
      <c r="H568" s="147"/>
      <c r="I568" s="1055"/>
      <c r="J568" s="1055"/>
      <c r="K568" s="140"/>
      <c r="L568" s="1171">
        <f>SUM(L4:L567)</f>
        <v>134059320.66581155</v>
      </c>
      <c r="M568" s="1171">
        <f>SUM(M4:M567)</f>
        <v>40679057.929347388</v>
      </c>
      <c r="N568" s="1187"/>
      <c r="O568" s="140"/>
      <c r="P568" s="147"/>
      <c r="Q568" s="147"/>
      <c r="R568" s="147"/>
      <c r="S568" s="147"/>
      <c r="T568" s="147"/>
    </row>
    <row r="569" spans="1:20" ht="12">
      <c r="A569" s="1928" t="s">
        <v>5776</v>
      </c>
      <c r="B569" s="1928"/>
      <c r="C569" s="1928"/>
      <c r="D569" s="1928"/>
      <c r="E569" s="1928"/>
      <c r="F569" s="1928"/>
      <c r="G569" s="1928"/>
      <c r="H569" s="1928"/>
      <c r="I569" s="1928"/>
      <c r="J569" s="1928"/>
      <c r="K569" s="1928"/>
      <c r="L569" s="1929"/>
      <c r="M569" s="1929"/>
      <c r="N569" s="1930"/>
      <c r="O569" s="1928"/>
      <c r="P569" s="1928"/>
      <c r="Q569" s="1928"/>
      <c r="R569" s="1928"/>
      <c r="S569" s="1928"/>
      <c r="T569" s="1928"/>
    </row>
    <row r="570" spans="1:20" ht="12"/>
    <row r="571" spans="1:20" ht="12">
      <c r="M571" s="1191"/>
    </row>
    <row r="572" spans="1:20" ht="12"/>
    <row r="573" spans="1:20" ht="12"/>
    <row r="574" spans="1:20" ht="12"/>
    <row r="575" spans="1:20" ht="12"/>
    <row r="576" spans="1:20" ht="12"/>
    <row r="577" spans="11:11" ht="12"/>
    <row r="578" spans="11:11" ht="12"/>
    <row r="579" spans="11:11" ht="12"/>
    <row r="580" spans="11:11" ht="12"/>
    <row r="581" spans="11:11" ht="12"/>
    <row r="582" spans="11:11" ht="12"/>
    <row r="583" spans="11:11" ht="12"/>
    <row r="584" spans="11:11" ht="12"/>
    <row r="585" spans="11:11" ht="12"/>
    <row r="586" spans="11:11" ht="12"/>
    <row r="587" spans="11:11" ht="12">
      <c r="K587" s="1188"/>
    </row>
    <row r="588" spans="11:11" ht="12">
      <c r="K588" s="1188"/>
    </row>
    <row r="589" spans="11:11" ht="12">
      <c r="K589" s="1188"/>
    </row>
    <row r="590" spans="11:11" ht="12">
      <c r="K590" s="1188"/>
    </row>
    <row r="591" spans="11:11" ht="12">
      <c r="K591" s="1188"/>
    </row>
    <row r="592" spans="11:11" ht="12">
      <c r="K592" s="1188"/>
    </row>
    <row r="593" spans="3:11" ht="12">
      <c r="K593" s="1188"/>
    </row>
    <row r="594" spans="3:11" ht="12">
      <c r="K594" s="1188"/>
    </row>
    <row r="595" spans="3:11" ht="12">
      <c r="K595" s="1188"/>
    </row>
    <row r="596" spans="3:11" ht="12">
      <c r="C596" s="1931"/>
      <c r="D596" s="1931"/>
      <c r="E596" s="1931"/>
    </row>
  </sheetData>
  <autoFilter ref="A5:XFD5"/>
  <mergeCells count="84">
    <mergeCell ref="O556:O557"/>
    <mergeCell ref="A569:T569"/>
    <mergeCell ref="C596:E596"/>
    <mergeCell ref="J509:J511"/>
    <mergeCell ref="O509:O513"/>
    <mergeCell ref="O515:O528"/>
    <mergeCell ref="J529:J531"/>
    <mergeCell ref="O529:O532"/>
    <mergeCell ref="O533:O538"/>
    <mergeCell ref="O497:O508"/>
    <mergeCell ref="J352:J353"/>
    <mergeCell ref="K352:K353"/>
    <mergeCell ref="O352:O353"/>
    <mergeCell ref="O354:O355"/>
    <mergeCell ref="O359:O360"/>
    <mergeCell ref="K365:K367"/>
    <mergeCell ref="O368:O377"/>
    <mergeCell ref="J436:J443"/>
    <mergeCell ref="O461:O462"/>
    <mergeCell ref="O465:O466"/>
    <mergeCell ref="O492:O494"/>
    <mergeCell ref="O324:O328"/>
    <mergeCell ref="O336:O347"/>
    <mergeCell ref="D344:D345"/>
    <mergeCell ref="E344:E345"/>
    <mergeCell ref="O348:O351"/>
    <mergeCell ref="J349:J351"/>
    <mergeCell ref="J317:J319"/>
    <mergeCell ref="O317:O319"/>
    <mergeCell ref="K277:K278"/>
    <mergeCell ref="K279:K280"/>
    <mergeCell ref="K281:K282"/>
    <mergeCell ref="J283:J285"/>
    <mergeCell ref="K283:K285"/>
    <mergeCell ref="O283:O285"/>
    <mergeCell ref="O290:O294"/>
    <mergeCell ref="O296:O297"/>
    <mergeCell ref="J311:J316"/>
    <mergeCell ref="K311:K316"/>
    <mergeCell ref="O311:O316"/>
    <mergeCell ref="O202:O209"/>
    <mergeCell ref="K217:K223"/>
    <mergeCell ref="O230:O231"/>
    <mergeCell ref="O233:O264"/>
    <mergeCell ref="J265:J267"/>
    <mergeCell ref="O266:O282"/>
    <mergeCell ref="J268:J274"/>
    <mergeCell ref="K268:K274"/>
    <mergeCell ref="J275:J282"/>
    <mergeCell ref="K275:K276"/>
    <mergeCell ref="O197:O199"/>
    <mergeCell ref="O64:O83"/>
    <mergeCell ref="O85:O88"/>
    <mergeCell ref="O89:O91"/>
    <mergeCell ref="O92:O95"/>
    <mergeCell ref="O96:O99"/>
    <mergeCell ref="O105:O106"/>
    <mergeCell ref="O107:O179"/>
    <mergeCell ref="O181:O183"/>
    <mergeCell ref="O185:O188"/>
    <mergeCell ref="O190:O191"/>
    <mergeCell ref="O195:O196"/>
    <mergeCell ref="O61:O63"/>
    <mergeCell ref="N4:N5"/>
    <mergeCell ref="O4:O5"/>
    <mergeCell ref="P4:P5"/>
    <mergeCell ref="Q4:Q5"/>
    <mergeCell ref="O8:O9"/>
    <mergeCell ref="O10:O31"/>
    <mergeCell ref="O55:O57"/>
    <mergeCell ref="O58:O60"/>
    <mergeCell ref="A2:T2"/>
    <mergeCell ref="A3:T3"/>
    <mergeCell ref="A4:A5"/>
    <mergeCell ref="B4:B5"/>
    <mergeCell ref="C4:C5"/>
    <mergeCell ref="D4:D5"/>
    <mergeCell ref="E4:E5"/>
    <mergeCell ref="G4:G5"/>
    <mergeCell ref="H4:H5"/>
    <mergeCell ref="J4:J5"/>
    <mergeCell ref="T4:T5"/>
    <mergeCell ref="R4:R5"/>
    <mergeCell ref="S4:S5"/>
  </mergeCells>
  <phoneticPr fontId="1" type="noConversion"/>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dimension ref="A1:T114"/>
  <sheetViews>
    <sheetView workbookViewId="0">
      <selection activeCell="E20" sqref="E20"/>
    </sheetView>
  </sheetViews>
  <sheetFormatPr defaultColWidth="7.875" defaultRowHeight="14.25"/>
  <cols>
    <col min="1" max="1" width="6" style="1018" customWidth="1"/>
    <col min="2" max="2" width="15.5" style="1018" customWidth="1"/>
    <col min="3" max="3" width="13" style="1018" customWidth="1"/>
    <col min="4" max="10" width="7.875" style="1018"/>
    <col min="11" max="11" width="22" style="1018" customWidth="1"/>
    <col min="12" max="12" width="10.875" style="1018" customWidth="1"/>
    <col min="13" max="13" width="10.5" style="1018" customWidth="1"/>
    <col min="14" max="14" width="12.375" style="1560" customWidth="1"/>
    <col min="15" max="15" width="12.375" style="1018" customWidth="1"/>
    <col min="16" max="17" width="7.875" style="1018"/>
    <col min="18" max="18" width="14.375" style="1018" customWidth="1"/>
    <col min="19" max="19" width="17.75" style="1018" customWidth="1"/>
    <col min="20" max="16384" width="7.875" style="1018"/>
  </cols>
  <sheetData>
    <row r="1" spans="1:20" ht="18" customHeight="1">
      <c r="A1" s="96" t="s">
        <v>0</v>
      </c>
      <c r="B1" s="97"/>
      <c r="C1" s="97"/>
      <c r="D1" s="97"/>
      <c r="E1" s="97"/>
      <c r="F1" s="97"/>
      <c r="G1" s="97"/>
      <c r="H1" s="97"/>
      <c r="I1" s="97"/>
      <c r="J1" s="97"/>
      <c r="K1" s="97"/>
      <c r="L1" s="97"/>
      <c r="M1" s="1015"/>
      <c r="N1" s="1520"/>
      <c r="O1" s="99"/>
      <c r="P1" s="97"/>
      <c r="Q1" s="97"/>
      <c r="R1" s="97"/>
      <c r="S1" s="1017"/>
    </row>
    <row r="2" spans="1:20" s="1019" customFormat="1" ht="27">
      <c r="A2" s="1799" t="s">
        <v>6840</v>
      </c>
      <c r="B2" s="1799"/>
      <c r="C2" s="1799"/>
      <c r="D2" s="1799"/>
      <c r="E2" s="1799"/>
      <c r="F2" s="1799"/>
      <c r="G2" s="1799"/>
      <c r="H2" s="1799"/>
      <c r="I2" s="1799"/>
      <c r="J2" s="1799"/>
      <c r="K2" s="1799"/>
      <c r="L2" s="1799"/>
      <c r="M2" s="1799"/>
      <c r="N2" s="1933"/>
      <c r="O2" s="1799"/>
      <c r="P2" s="1799"/>
      <c r="Q2" s="1799"/>
      <c r="R2" s="1799"/>
      <c r="S2" s="1799"/>
      <c r="T2" s="1799"/>
    </row>
    <row r="3" spans="1:20" s="1019" customFormat="1" ht="24.75" customHeight="1">
      <c r="A3" s="1934">
        <v>44317</v>
      </c>
      <c r="B3" s="1935"/>
      <c r="C3" s="1935"/>
      <c r="D3" s="1935"/>
      <c r="E3" s="1935"/>
      <c r="F3" s="1935"/>
      <c r="G3" s="1935"/>
      <c r="H3" s="1935"/>
      <c r="I3" s="1935"/>
      <c r="J3" s="1935"/>
      <c r="K3" s="1935"/>
      <c r="L3" s="1935"/>
      <c r="M3" s="1935"/>
      <c r="N3" s="1936"/>
      <c r="O3" s="1935"/>
      <c r="P3" s="1935"/>
      <c r="Q3" s="1935"/>
      <c r="R3" s="1935"/>
      <c r="S3" s="1935"/>
      <c r="T3" s="1935"/>
    </row>
    <row r="4" spans="1:20" ht="19.5" customHeight="1">
      <c r="A4" s="1937" t="s">
        <v>2</v>
      </c>
      <c r="B4" s="1938" t="s">
        <v>3</v>
      </c>
      <c r="C4" s="1938" t="s">
        <v>4</v>
      </c>
      <c r="D4" s="1937" t="s">
        <v>5</v>
      </c>
      <c r="E4" s="1938" t="s">
        <v>1729</v>
      </c>
      <c r="F4" s="1289" t="s">
        <v>1730</v>
      </c>
      <c r="G4" s="1938" t="s">
        <v>8</v>
      </c>
      <c r="H4" s="1939" t="s">
        <v>9</v>
      </c>
      <c r="I4" s="1290" t="s">
        <v>10</v>
      </c>
      <c r="J4" s="1938" t="s">
        <v>11</v>
      </c>
      <c r="K4" s="1289" t="s">
        <v>12</v>
      </c>
      <c r="L4" s="1289" t="s">
        <v>13</v>
      </c>
      <c r="M4" s="1291" t="s">
        <v>14</v>
      </c>
      <c r="N4" s="1944" t="s">
        <v>15</v>
      </c>
      <c r="O4" s="1938" t="s">
        <v>16</v>
      </c>
      <c r="P4" s="1937" t="s">
        <v>17</v>
      </c>
      <c r="Q4" s="1938" t="s">
        <v>18</v>
      </c>
      <c r="R4" s="1945" t="s">
        <v>19</v>
      </c>
      <c r="S4" s="1941" t="s">
        <v>20</v>
      </c>
      <c r="T4" s="1941" t="s">
        <v>21</v>
      </c>
    </row>
    <row r="5" spans="1:20" ht="18" customHeight="1">
      <c r="A5" s="1937"/>
      <c r="B5" s="1938"/>
      <c r="C5" s="1938"/>
      <c r="D5" s="1937"/>
      <c r="E5" s="1938"/>
      <c r="F5" s="1289" t="s">
        <v>22</v>
      </c>
      <c r="G5" s="1938"/>
      <c r="H5" s="1940"/>
      <c r="I5" s="1290" t="s">
        <v>23</v>
      </c>
      <c r="J5" s="1938"/>
      <c r="K5" s="1289" t="s">
        <v>24</v>
      </c>
      <c r="L5" s="1291" t="s">
        <v>25</v>
      </c>
      <c r="M5" s="1291" t="s">
        <v>25</v>
      </c>
      <c r="N5" s="1944"/>
      <c r="O5" s="1938"/>
      <c r="P5" s="1937"/>
      <c r="Q5" s="1938"/>
      <c r="R5" s="1945"/>
      <c r="S5" s="1941"/>
      <c r="T5" s="1941"/>
    </row>
    <row r="6" spans="1:20" ht="20.100000000000001" customHeight="1">
      <c r="A6" s="1293" t="s">
        <v>26</v>
      </c>
      <c r="B6" s="1294" t="s">
        <v>27</v>
      </c>
      <c r="C6" s="1289"/>
      <c r="D6" s="1290"/>
      <c r="E6" s="1289"/>
      <c r="F6" s="1289"/>
      <c r="G6" s="1289"/>
      <c r="H6" s="1237"/>
      <c r="I6" s="1290"/>
      <c r="J6" s="1289"/>
      <c r="K6" s="1289"/>
      <c r="L6" s="1289"/>
      <c r="M6" s="1291"/>
      <c r="N6" s="1522"/>
      <c r="O6" s="1289"/>
      <c r="P6" s="1290"/>
      <c r="Q6" s="1289"/>
      <c r="R6" s="1296"/>
      <c r="S6" s="1297"/>
      <c r="T6" s="1297"/>
    </row>
    <row r="7" spans="1:20" ht="20.100000000000001" customHeight="1">
      <c r="A7" s="1290">
        <v>1</v>
      </c>
      <c r="B7" s="1289" t="s">
        <v>28</v>
      </c>
      <c r="C7" s="1289"/>
      <c r="D7" s="1290"/>
      <c r="E7" s="1289"/>
      <c r="F7" s="1289"/>
      <c r="G7" s="1289"/>
      <c r="H7" s="1237"/>
      <c r="I7" s="1290"/>
      <c r="J7" s="1289"/>
      <c r="K7" s="1289"/>
      <c r="L7" s="1289"/>
      <c r="M7" s="1291"/>
      <c r="N7" s="1522"/>
      <c r="O7" s="1289"/>
      <c r="P7" s="1290"/>
      <c r="Q7" s="1289"/>
      <c r="R7" s="1296"/>
      <c r="S7" s="1297"/>
      <c r="T7" s="1297"/>
    </row>
    <row r="8" spans="1:20" s="101" customFormat="1" ht="24.95" customHeight="1">
      <c r="A8" s="1290"/>
      <c r="B8" s="1523" t="s">
        <v>6841</v>
      </c>
      <c r="C8" s="1523" t="s">
        <v>6842</v>
      </c>
      <c r="D8" s="1524" t="s">
        <v>62</v>
      </c>
      <c r="E8" s="1523"/>
      <c r="F8" s="1523">
        <v>54.74</v>
      </c>
      <c r="G8" s="1523" t="s">
        <v>32</v>
      </c>
      <c r="H8" s="1525" t="s">
        <v>33</v>
      </c>
      <c r="I8" s="1524"/>
      <c r="J8" s="1523"/>
      <c r="K8" s="1523" t="s">
        <v>6843</v>
      </c>
      <c r="L8" s="1523">
        <v>320776.40000000002</v>
      </c>
      <c r="M8" s="1523">
        <v>189792.68</v>
      </c>
      <c r="N8" s="1526">
        <v>44152</v>
      </c>
      <c r="O8" s="1523" t="s">
        <v>6844</v>
      </c>
      <c r="P8" s="1524" t="s">
        <v>6845</v>
      </c>
      <c r="Q8" s="1523">
        <v>17788979786</v>
      </c>
      <c r="R8" s="1527" t="s">
        <v>6846</v>
      </c>
      <c r="S8" s="1297" t="s">
        <v>6847</v>
      </c>
      <c r="T8" s="1335"/>
    </row>
    <row r="9" spans="1:20" s="101" customFormat="1" ht="24.95" customHeight="1">
      <c r="A9" s="1290"/>
      <c r="B9" s="1523" t="s">
        <v>6841</v>
      </c>
      <c r="C9" s="1523" t="s">
        <v>6842</v>
      </c>
      <c r="D9" s="1524" t="s">
        <v>62</v>
      </c>
      <c r="E9" s="1523"/>
      <c r="F9" s="1523">
        <v>51.38</v>
      </c>
      <c r="G9" s="1523" t="s">
        <v>32</v>
      </c>
      <c r="H9" s="1525" t="s">
        <v>33</v>
      </c>
      <c r="I9" s="1524"/>
      <c r="J9" s="1523"/>
      <c r="K9" s="1523" t="s">
        <v>6843</v>
      </c>
      <c r="L9" s="1523">
        <v>301086.8</v>
      </c>
      <c r="M9" s="1523">
        <v>178143</v>
      </c>
      <c r="N9" s="1526">
        <v>44152</v>
      </c>
      <c r="O9" s="1523" t="s">
        <v>6844</v>
      </c>
      <c r="P9" s="1524" t="s">
        <v>6845</v>
      </c>
      <c r="Q9" s="1523">
        <v>17788979786</v>
      </c>
      <c r="R9" s="1527" t="s">
        <v>6846</v>
      </c>
      <c r="S9" s="1297" t="s">
        <v>6847</v>
      </c>
      <c r="T9" s="1335"/>
    </row>
    <row r="10" spans="1:20" s="101" customFormat="1" ht="24.95" customHeight="1">
      <c r="A10" s="1290"/>
      <c r="B10" s="1523" t="s">
        <v>6841</v>
      </c>
      <c r="C10" s="1523" t="s">
        <v>6842</v>
      </c>
      <c r="D10" s="1524" t="s">
        <v>62</v>
      </c>
      <c r="E10" s="1523"/>
      <c r="F10" s="1523">
        <v>35.53</v>
      </c>
      <c r="G10" s="1523" t="s">
        <v>32</v>
      </c>
      <c r="H10" s="1525" t="s">
        <v>33</v>
      </c>
      <c r="I10" s="1524"/>
      <c r="J10" s="1523"/>
      <c r="K10" s="1523" t="s">
        <v>6843</v>
      </c>
      <c r="L10" s="1523">
        <v>208205.8</v>
      </c>
      <c r="M10" s="1523">
        <v>135333.76000000001</v>
      </c>
      <c r="N10" s="1526">
        <v>44180</v>
      </c>
      <c r="O10" s="1523" t="s">
        <v>6844</v>
      </c>
      <c r="P10" s="1524" t="s">
        <v>6845</v>
      </c>
      <c r="Q10" s="1523">
        <v>17788979786</v>
      </c>
      <c r="R10" s="1527" t="s">
        <v>6846</v>
      </c>
      <c r="S10" s="1297" t="s">
        <v>6847</v>
      </c>
      <c r="T10" s="1335"/>
    </row>
    <row r="11" spans="1:20" s="101" customFormat="1" ht="24.95" customHeight="1">
      <c r="A11" s="1290"/>
      <c r="B11" s="1523" t="s">
        <v>6841</v>
      </c>
      <c r="C11" s="1523" t="s">
        <v>6842</v>
      </c>
      <c r="D11" s="1524" t="s">
        <v>62</v>
      </c>
      <c r="E11" s="1523"/>
      <c r="F11" s="1523">
        <v>5.95</v>
      </c>
      <c r="G11" s="1523" t="s">
        <v>32</v>
      </c>
      <c r="H11" s="1525" t="s">
        <v>33</v>
      </c>
      <c r="I11" s="1524"/>
      <c r="J11" s="1523"/>
      <c r="K11" s="1523" t="s">
        <v>6843</v>
      </c>
      <c r="L11" s="1523">
        <v>34867</v>
      </c>
      <c r="M11" s="1523">
        <v>22663.54</v>
      </c>
      <c r="N11" s="1526">
        <v>44180</v>
      </c>
      <c r="O11" s="1523" t="s">
        <v>6844</v>
      </c>
      <c r="P11" s="1524" t="s">
        <v>6845</v>
      </c>
      <c r="Q11" s="1523">
        <v>17788979786</v>
      </c>
      <c r="R11" s="1527" t="s">
        <v>6846</v>
      </c>
      <c r="S11" s="1297" t="s">
        <v>6847</v>
      </c>
      <c r="T11" s="1335"/>
    </row>
    <row r="12" spans="1:20" s="101" customFormat="1" ht="24.95" customHeight="1">
      <c r="A12" s="1290"/>
      <c r="B12" s="1523" t="s">
        <v>6841</v>
      </c>
      <c r="C12" s="1523" t="s">
        <v>6842</v>
      </c>
      <c r="D12" s="1524" t="s">
        <v>62</v>
      </c>
      <c r="E12" s="1523"/>
      <c r="F12" s="1523">
        <v>18.760999999999999</v>
      </c>
      <c r="G12" s="1523" t="s">
        <v>32</v>
      </c>
      <c r="H12" s="1525" t="s">
        <v>33</v>
      </c>
      <c r="I12" s="1524"/>
      <c r="J12" s="1523"/>
      <c r="K12" s="1523" t="s">
        <v>6843</v>
      </c>
      <c r="L12" s="1523">
        <v>109939.46</v>
      </c>
      <c r="M12" s="1523">
        <v>71460.62</v>
      </c>
      <c r="N12" s="1526">
        <v>44180</v>
      </c>
      <c r="O12" s="1523" t="s">
        <v>6844</v>
      </c>
      <c r="P12" s="1524" t="s">
        <v>6845</v>
      </c>
      <c r="Q12" s="1523">
        <v>17788979786</v>
      </c>
      <c r="R12" s="1527" t="s">
        <v>6846</v>
      </c>
      <c r="S12" s="1297" t="s">
        <v>6847</v>
      </c>
      <c r="T12" s="1335"/>
    </row>
    <row r="13" spans="1:20" s="101" customFormat="1" ht="24.95" customHeight="1">
      <c r="A13" s="1290"/>
      <c r="B13" s="1523" t="s">
        <v>6841</v>
      </c>
      <c r="C13" s="1523" t="s">
        <v>6842</v>
      </c>
      <c r="D13" s="1524" t="s">
        <v>62</v>
      </c>
      <c r="E13" s="1289"/>
      <c r="F13" s="1289">
        <v>28.87</v>
      </c>
      <c r="G13" s="1523" t="s">
        <v>32</v>
      </c>
      <c r="H13" s="1525" t="s">
        <v>33</v>
      </c>
      <c r="I13" s="1290"/>
      <c r="J13" s="1523"/>
      <c r="K13" s="1523" t="s">
        <v>6843</v>
      </c>
      <c r="L13" s="1523">
        <v>169178.2</v>
      </c>
      <c r="M13" s="1523">
        <v>119834.55</v>
      </c>
      <c r="N13" s="1528">
        <v>44214</v>
      </c>
      <c r="O13" s="1523" t="s">
        <v>6844</v>
      </c>
      <c r="P13" s="1524" t="s">
        <v>6845</v>
      </c>
      <c r="Q13" s="1523">
        <v>17788979786</v>
      </c>
      <c r="R13" s="1527" t="s">
        <v>6846</v>
      </c>
      <c r="S13" s="1297" t="s">
        <v>6847</v>
      </c>
      <c r="T13" s="1335"/>
    </row>
    <row r="14" spans="1:20" s="101" customFormat="1" ht="24.95" customHeight="1">
      <c r="A14" s="1290"/>
      <c r="B14" s="1523" t="s">
        <v>6841</v>
      </c>
      <c r="C14" s="1523" t="s">
        <v>6842</v>
      </c>
      <c r="D14" s="1524" t="s">
        <v>62</v>
      </c>
      <c r="E14" s="1289"/>
      <c r="F14" s="1289">
        <v>101.31</v>
      </c>
      <c r="G14" s="1523" t="s">
        <v>32</v>
      </c>
      <c r="H14" s="1525" t="s">
        <v>33</v>
      </c>
      <c r="I14" s="1290"/>
      <c r="J14" s="1523"/>
      <c r="K14" s="1523" t="s">
        <v>6843</v>
      </c>
      <c r="L14" s="1523">
        <v>593676.6</v>
      </c>
      <c r="M14" s="1523">
        <v>420520.9</v>
      </c>
      <c r="N14" s="1528">
        <v>44214</v>
      </c>
      <c r="O14" s="1523" t="s">
        <v>6844</v>
      </c>
      <c r="P14" s="1524" t="s">
        <v>6845</v>
      </c>
      <c r="Q14" s="1523">
        <v>17788979786</v>
      </c>
      <c r="R14" s="1527" t="s">
        <v>6846</v>
      </c>
      <c r="S14" s="1297" t="s">
        <v>6847</v>
      </c>
      <c r="T14" s="1335"/>
    </row>
    <row r="15" spans="1:20" s="101" customFormat="1" ht="24.95" customHeight="1">
      <c r="A15" s="1290"/>
      <c r="B15" s="1523" t="s">
        <v>6841</v>
      </c>
      <c r="C15" s="1523" t="s">
        <v>6842</v>
      </c>
      <c r="D15" s="1524" t="s">
        <v>62</v>
      </c>
      <c r="E15" s="1289"/>
      <c r="F15" s="1289">
        <v>2.58</v>
      </c>
      <c r="G15" s="1523" t="s">
        <v>32</v>
      </c>
      <c r="H15" s="1525" t="s">
        <v>33</v>
      </c>
      <c r="I15" s="1290"/>
      <c r="J15" s="1523"/>
      <c r="K15" s="1523" t="s">
        <v>6843</v>
      </c>
      <c r="L15" s="1529">
        <v>4158.0582524272004</v>
      </c>
      <c r="M15" s="1523">
        <v>3672.96</v>
      </c>
      <c r="N15" s="1528">
        <v>44308</v>
      </c>
      <c r="O15" s="1523" t="s">
        <v>6844</v>
      </c>
      <c r="P15" s="1524" t="s">
        <v>6845</v>
      </c>
      <c r="Q15" s="1523">
        <v>17788979786</v>
      </c>
      <c r="R15" s="1527" t="s">
        <v>6846</v>
      </c>
      <c r="S15" s="1297" t="s">
        <v>6847</v>
      </c>
      <c r="T15" s="1335"/>
    </row>
    <row r="16" spans="1:20" s="101" customFormat="1" ht="24.95" customHeight="1">
      <c r="A16" s="1290"/>
      <c r="B16" s="1523" t="s">
        <v>6841</v>
      </c>
      <c r="C16" s="1523" t="s">
        <v>6842</v>
      </c>
      <c r="D16" s="1524" t="s">
        <v>62</v>
      </c>
      <c r="E16" s="1289"/>
      <c r="F16" s="1289">
        <v>8.67</v>
      </c>
      <c r="G16" s="1523" t="s">
        <v>32</v>
      </c>
      <c r="H16" s="1525" t="s">
        <v>33</v>
      </c>
      <c r="I16" s="1290"/>
      <c r="J16" s="1523"/>
      <c r="K16" s="1523" t="s">
        <v>6843</v>
      </c>
      <c r="L16" s="1529">
        <v>13973.0097087379</v>
      </c>
      <c r="M16" s="1523">
        <v>12342.83</v>
      </c>
      <c r="N16" s="1528">
        <v>44308</v>
      </c>
      <c r="O16" s="1523" t="s">
        <v>6844</v>
      </c>
      <c r="P16" s="1524" t="s">
        <v>6845</v>
      </c>
      <c r="Q16" s="1523">
        <v>17788979786</v>
      </c>
      <c r="R16" s="1527" t="s">
        <v>6846</v>
      </c>
      <c r="S16" s="1297" t="s">
        <v>6847</v>
      </c>
      <c r="T16" s="1335"/>
    </row>
    <row r="17" spans="1:20" s="101" customFormat="1" ht="24.95" customHeight="1">
      <c r="A17" s="1290"/>
      <c r="B17" s="1523" t="s">
        <v>6841</v>
      </c>
      <c r="C17" s="1523" t="s">
        <v>6842</v>
      </c>
      <c r="D17" s="1524" t="s">
        <v>62</v>
      </c>
      <c r="E17" s="1289"/>
      <c r="F17" s="1289">
        <v>7.01</v>
      </c>
      <c r="G17" s="1523" t="s">
        <v>32</v>
      </c>
      <c r="H17" s="1525" t="s">
        <v>33</v>
      </c>
      <c r="I17" s="1290"/>
      <c r="J17" s="1523"/>
      <c r="K17" s="1523" t="s">
        <v>6843</v>
      </c>
      <c r="L17" s="1529">
        <v>11297.669902912699</v>
      </c>
      <c r="M17" s="1523">
        <v>9979.61</v>
      </c>
      <c r="N17" s="1528">
        <v>44308</v>
      </c>
      <c r="O17" s="1523" t="s">
        <v>6844</v>
      </c>
      <c r="P17" s="1524" t="s">
        <v>6845</v>
      </c>
      <c r="Q17" s="1523">
        <v>17788979786</v>
      </c>
      <c r="R17" s="1527" t="s">
        <v>6846</v>
      </c>
      <c r="S17" s="1297" t="s">
        <v>6847</v>
      </c>
      <c r="T17" s="1335"/>
    </row>
    <row r="18" spans="1:20" s="101" customFormat="1" ht="24.95" customHeight="1">
      <c r="A18" s="1290"/>
      <c r="B18" s="1523" t="s">
        <v>6841</v>
      </c>
      <c r="C18" s="1523" t="s">
        <v>6842</v>
      </c>
      <c r="D18" s="1524" t="s">
        <v>62</v>
      </c>
      <c r="E18" s="1289"/>
      <c r="F18" s="1289">
        <v>11.01</v>
      </c>
      <c r="G18" s="1523" t="s">
        <v>32</v>
      </c>
      <c r="H18" s="1525" t="s">
        <v>33</v>
      </c>
      <c r="I18" s="1290"/>
      <c r="J18" s="1523"/>
      <c r="K18" s="1523" t="s">
        <v>6843</v>
      </c>
      <c r="L18" s="1529">
        <v>17744.271844660299</v>
      </c>
      <c r="M18" s="1523">
        <v>15674.11</v>
      </c>
      <c r="N18" s="1528">
        <v>44308</v>
      </c>
      <c r="O18" s="1523" t="s">
        <v>6844</v>
      </c>
      <c r="P18" s="1524" t="s">
        <v>6845</v>
      </c>
      <c r="Q18" s="1523">
        <v>17788979786</v>
      </c>
      <c r="R18" s="1527" t="s">
        <v>6846</v>
      </c>
      <c r="S18" s="1297" t="s">
        <v>6847</v>
      </c>
      <c r="T18" s="1335"/>
    </row>
    <row r="19" spans="1:20" s="101" customFormat="1" ht="24.95" customHeight="1">
      <c r="A19" s="1290"/>
      <c r="B19" s="1523" t="s">
        <v>6841</v>
      </c>
      <c r="C19" s="1523" t="s">
        <v>6842</v>
      </c>
      <c r="D19" s="1524" t="s">
        <v>62</v>
      </c>
      <c r="E19" s="1289"/>
      <c r="F19" s="1289">
        <v>9</v>
      </c>
      <c r="G19" s="1523" t="s">
        <v>32</v>
      </c>
      <c r="H19" s="1525" t="s">
        <v>33</v>
      </c>
      <c r="I19" s="1290"/>
      <c r="J19" s="1523"/>
      <c r="K19" s="1523" t="s">
        <v>6843</v>
      </c>
      <c r="L19" s="1529">
        <v>14504.8543689321</v>
      </c>
      <c r="M19" s="1523">
        <v>12812.61</v>
      </c>
      <c r="N19" s="1528">
        <v>44308</v>
      </c>
      <c r="O19" s="1523" t="s">
        <v>6844</v>
      </c>
      <c r="P19" s="1524" t="s">
        <v>6845</v>
      </c>
      <c r="Q19" s="1523">
        <v>17788979786</v>
      </c>
      <c r="R19" s="1527" t="s">
        <v>6846</v>
      </c>
      <c r="S19" s="1297" t="s">
        <v>6847</v>
      </c>
      <c r="T19" s="1335"/>
    </row>
    <row r="20" spans="1:20" s="101" customFormat="1" ht="24.95" customHeight="1">
      <c r="A20" s="1290"/>
      <c r="B20" s="1523" t="s">
        <v>6841</v>
      </c>
      <c r="C20" s="1523" t="s">
        <v>6842</v>
      </c>
      <c r="D20" s="1524" t="s">
        <v>62</v>
      </c>
      <c r="E20" s="1289"/>
      <c r="F20" s="1289">
        <v>10.667</v>
      </c>
      <c r="G20" s="1523" t="s">
        <v>32</v>
      </c>
      <c r="H20" s="1525" t="s">
        <v>33</v>
      </c>
      <c r="I20" s="1290"/>
      <c r="J20" s="1523"/>
      <c r="K20" s="1523" t="s">
        <v>6843</v>
      </c>
      <c r="L20" s="1529">
        <v>17191.475728155401</v>
      </c>
      <c r="M20" s="1523">
        <v>15185.8</v>
      </c>
      <c r="N20" s="1528">
        <v>44308</v>
      </c>
      <c r="O20" s="1523" t="s">
        <v>6844</v>
      </c>
      <c r="P20" s="1524" t="s">
        <v>6845</v>
      </c>
      <c r="Q20" s="1523">
        <v>17788979786</v>
      </c>
      <c r="R20" s="1527" t="s">
        <v>6846</v>
      </c>
      <c r="S20" s="1297" t="s">
        <v>6847</v>
      </c>
      <c r="T20" s="1335"/>
    </row>
    <row r="21" spans="1:20" s="101" customFormat="1" ht="24.95" customHeight="1">
      <c r="A21" s="1290"/>
      <c r="B21" s="1523" t="s">
        <v>6841</v>
      </c>
      <c r="C21" s="1523" t="s">
        <v>6842</v>
      </c>
      <c r="D21" s="1524" t="s">
        <v>62</v>
      </c>
      <c r="E21" s="1289"/>
      <c r="F21" s="1289">
        <v>5.25</v>
      </c>
      <c r="G21" s="1523" t="s">
        <v>32</v>
      </c>
      <c r="H21" s="1525" t="s">
        <v>33</v>
      </c>
      <c r="I21" s="1290"/>
      <c r="J21" s="1523"/>
      <c r="K21" s="1523" t="s">
        <v>6843</v>
      </c>
      <c r="L21" s="1529">
        <v>8461.1650485437003</v>
      </c>
      <c r="M21" s="1523">
        <v>7474.03</v>
      </c>
      <c r="N21" s="1528">
        <v>44308</v>
      </c>
      <c r="O21" s="1523" t="s">
        <v>6844</v>
      </c>
      <c r="P21" s="1524" t="s">
        <v>6845</v>
      </c>
      <c r="Q21" s="1523">
        <v>17788979786</v>
      </c>
      <c r="R21" s="1527" t="s">
        <v>6846</v>
      </c>
      <c r="S21" s="1297" t="s">
        <v>6847</v>
      </c>
      <c r="T21" s="1335"/>
    </row>
    <row r="22" spans="1:20" s="101" customFormat="1" ht="24.95" customHeight="1">
      <c r="A22" s="1290"/>
      <c r="B22" s="1523" t="s">
        <v>6841</v>
      </c>
      <c r="C22" s="1523" t="s">
        <v>6842</v>
      </c>
      <c r="D22" s="1524" t="s">
        <v>62</v>
      </c>
      <c r="E22" s="1289"/>
      <c r="F22" s="1289">
        <v>3.56</v>
      </c>
      <c r="G22" s="1523" t="s">
        <v>32</v>
      </c>
      <c r="H22" s="1525" t="s">
        <v>33</v>
      </c>
      <c r="I22" s="1290"/>
      <c r="J22" s="1523"/>
      <c r="K22" s="1523" t="s">
        <v>6843</v>
      </c>
      <c r="L22" s="1529">
        <v>5737.4757281554002</v>
      </c>
      <c r="M22" s="1523">
        <v>5068.1000000000004</v>
      </c>
      <c r="N22" s="1528">
        <v>44308</v>
      </c>
      <c r="O22" s="1523" t="s">
        <v>6844</v>
      </c>
      <c r="P22" s="1524" t="s">
        <v>6845</v>
      </c>
      <c r="Q22" s="1523">
        <v>17788979786</v>
      </c>
      <c r="R22" s="1527" t="s">
        <v>6846</v>
      </c>
      <c r="S22" s="1297" t="s">
        <v>6847</v>
      </c>
      <c r="T22" s="1335"/>
    </row>
    <row r="23" spans="1:20" s="101" customFormat="1" ht="24.95" customHeight="1">
      <c r="A23" s="1290"/>
      <c r="B23" s="1523" t="s">
        <v>6841</v>
      </c>
      <c r="C23" s="1523" t="s">
        <v>6842</v>
      </c>
      <c r="D23" s="1524" t="s">
        <v>62</v>
      </c>
      <c r="E23" s="1289"/>
      <c r="F23" s="1289">
        <v>8.5500000000000007</v>
      </c>
      <c r="G23" s="1523" t="s">
        <v>32</v>
      </c>
      <c r="H23" s="1525" t="s">
        <v>33</v>
      </c>
      <c r="I23" s="1290"/>
      <c r="J23" s="1523"/>
      <c r="K23" s="1523" t="s">
        <v>6843</v>
      </c>
      <c r="L23" s="1529">
        <v>13779.6116504855</v>
      </c>
      <c r="M23" s="1523">
        <v>12171.99</v>
      </c>
      <c r="N23" s="1528">
        <v>44308</v>
      </c>
      <c r="O23" s="1523" t="s">
        <v>6844</v>
      </c>
      <c r="P23" s="1524" t="s">
        <v>6845</v>
      </c>
      <c r="Q23" s="1523">
        <v>17788979786</v>
      </c>
      <c r="R23" s="1527" t="s">
        <v>6846</v>
      </c>
      <c r="S23" s="1297" t="s">
        <v>6847</v>
      </c>
      <c r="T23" s="1335"/>
    </row>
    <row r="24" spans="1:20" s="101" customFormat="1" ht="24.95" customHeight="1">
      <c r="A24" s="1290"/>
      <c r="B24" s="1523" t="s">
        <v>6841</v>
      </c>
      <c r="C24" s="1523" t="s">
        <v>6842</v>
      </c>
      <c r="D24" s="1524" t="s">
        <v>62</v>
      </c>
      <c r="E24" s="1289"/>
      <c r="F24" s="1289">
        <v>0.73</v>
      </c>
      <c r="G24" s="1523" t="s">
        <v>32</v>
      </c>
      <c r="H24" s="1525" t="s">
        <v>33</v>
      </c>
      <c r="I24" s="1290"/>
      <c r="J24" s="1523"/>
      <c r="K24" s="1523" t="s">
        <v>6843</v>
      </c>
      <c r="L24" s="1529">
        <v>1176.5048543688999</v>
      </c>
      <c r="M24" s="1523">
        <v>1039.24</v>
      </c>
      <c r="N24" s="1528">
        <v>44308</v>
      </c>
      <c r="O24" s="1523" t="s">
        <v>6844</v>
      </c>
      <c r="P24" s="1524" t="s">
        <v>6845</v>
      </c>
      <c r="Q24" s="1523">
        <v>17788979786</v>
      </c>
      <c r="R24" s="1527" t="s">
        <v>6846</v>
      </c>
      <c r="S24" s="1297" t="s">
        <v>6847</v>
      </c>
      <c r="T24" s="1335"/>
    </row>
    <row r="25" spans="1:20" s="101" customFormat="1" ht="24.95" customHeight="1">
      <c r="A25" s="1290"/>
      <c r="B25" s="1523" t="s">
        <v>6841</v>
      </c>
      <c r="C25" s="1523" t="s">
        <v>6842</v>
      </c>
      <c r="D25" s="1524" t="s">
        <v>62</v>
      </c>
      <c r="E25" s="1289"/>
      <c r="F25" s="1289">
        <v>6.49</v>
      </c>
      <c r="G25" s="1523" t="s">
        <v>32</v>
      </c>
      <c r="H25" s="1525" t="s">
        <v>33</v>
      </c>
      <c r="I25" s="1290"/>
      <c r="J25" s="1523"/>
      <c r="K25" s="1523" t="s">
        <v>6843</v>
      </c>
      <c r="L25" s="1529">
        <v>10459.6116504855</v>
      </c>
      <c r="M25" s="1523">
        <v>9239.33</v>
      </c>
      <c r="N25" s="1528">
        <v>44308</v>
      </c>
      <c r="O25" s="1523" t="s">
        <v>6844</v>
      </c>
      <c r="P25" s="1524" t="s">
        <v>6845</v>
      </c>
      <c r="Q25" s="1523">
        <v>17788979786</v>
      </c>
      <c r="R25" s="1527" t="s">
        <v>6846</v>
      </c>
      <c r="S25" s="1297" t="s">
        <v>6847</v>
      </c>
      <c r="T25" s="1335"/>
    </row>
    <row r="26" spans="1:20" s="101" customFormat="1" ht="24.95" customHeight="1">
      <c r="A26" s="1290"/>
      <c r="B26" s="1523" t="s">
        <v>6841</v>
      </c>
      <c r="C26" s="1523" t="s">
        <v>6842</v>
      </c>
      <c r="D26" s="1524" t="s">
        <v>62</v>
      </c>
      <c r="E26" s="1289"/>
      <c r="F26" s="1289">
        <v>5.12</v>
      </c>
      <c r="G26" s="1523" t="s">
        <v>32</v>
      </c>
      <c r="H26" s="1525" t="s">
        <v>33</v>
      </c>
      <c r="I26" s="1290"/>
      <c r="J26" s="1523"/>
      <c r="K26" s="1523" t="s">
        <v>6843</v>
      </c>
      <c r="L26" s="1529">
        <v>8251.6504854368995</v>
      </c>
      <c r="M26" s="1523">
        <v>7288.95</v>
      </c>
      <c r="N26" s="1528">
        <v>44308</v>
      </c>
      <c r="O26" s="1523" t="s">
        <v>6844</v>
      </c>
      <c r="P26" s="1524" t="s">
        <v>6845</v>
      </c>
      <c r="Q26" s="1523">
        <v>17788979786</v>
      </c>
      <c r="R26" s="1527" t="s">
        <v>6846</v>
      </c>
      <c r="S26" s="1297" t="s">
        <v>6847</v>
      </c>
      <c r="T26" s="1335"/>
    </row>
    <row r="27" spans="1:20" s="101" customFormat="1" ht="24.95" customHeight="1">
      <c r="A27" s="1290"/>
      <c r="B27" s="1523" t="s">
        <v>6841</v>
      </c>
      <c r="C27" s="1523" t="s">
        <v>6842</v>
      </c>
      <c r="D27" s="1524" t="s">
        <v>62</v>
      </c>
      <c r="E27" s="1289"/>
      <c r="F27" s="1289">
        <v>7.83</v>
      </c>
      <c r="G27" s="1523" t="s">
        <v>32</v>
      </c>
      <c r="H27" s="1525" t="s">
        <v>33</v>
      </c>
      <c r="I27" s="1290"/>
      <c r="J27" s="1523"/>
      <c r="K27" s="1523" t="s">
        <v>6843</v>
      </c>
      <c r="L27" s="1529">
        <v>12619.2233009709</v>
      </c>
      <c r="M27" s="1523">
        <v>11883.1</v>
      </c>
      <c r="N27" s="1528">
        <v>44335</v>
      </c>
      <c r="O27" s="1523" t="s">
        <v>6844</v>
      </c>
      <c r="P27" s="1524" t="s">
        <v>6845</v>
      </c>
      <c r="Q27" s="1523">
        <v>17788979786</v>
      </c>
      <c r="R27" s="1527" t="s">
        <v>6846</v>
      </c>
      <c r="S27" s="1297" t="s">
        <v>6847</v>
      </c>
      <c r="T27" s="1335"/>
    </row>
    <row r="28" spans="1:20" s="101" customFormat="1" ht="24.95" customHeight="1">
      <c r="A28" s="1290"/>
      <c r="B28" s="1523" t="s">
        <v>6841</v>
      </c>
      <c r="C28" s="1523" t="s">
        <v>6842</v>
      </c>
      <c r="D28" s="1524" t="s">
        <v>62</v>
      </c>
      <c r="E28" s="1289"/>
      <c r="F28" s="1289">
        <v>8.19</v>
      </c>
      <c r="G28" s="1523" t="s">
        <v>32</v>
      </c>
      <c r="H28" s="1525" t="s">
        <v>33</v>
      </c>
      <c r="I28" s="1290"/>
      <c r="J28" s="1523"/>
      <c r="K28" s="1523" t="s">
        <v>6843</v>
      </c>
      <c r="L28" s="1529">
        <v>13199.4174757282</v>
      </c>
      <c r="M28" s="1523">
        <v>12429.45</v>
      </c>
      <c r="N28" s="1528">
        <v>44335</v>
      </c>
      <c r="O28" s="1523" t="s">
        <v>6844</v>
      </c>
      <c r="P28" s="1524" t="s">
        <v>6845</v>
      </c>
      <c r="Q28" s="1523">
        <v>17788979786</v>
      </c>
      <c r="R28" s="1527" t="s">
        <v>6846</v>
      </c>
      <c r="S28" s="1297" t="s">
        <v>6847</v>
      </c>
      <c r="T28" s="1335"/>
    </row>
    <row r="29" spans="1:20" s="101" customFormat="1" ht="24.95" customHeight="1">
      <c r="A29" s="1290"/>
      <c r="B29" s="1523" t="s">
        <v>6841</v>
      </c>
      <c r="C29" s="1523" t="s">
        <v>6842</v>
      </c>
      <c r="D29" s="1524" t="s">
        <v>62</v>
      </c>
      <c r="E29" s="1289"/>
      <c r="F29" s="1289">
        <v>0.8</v>
      </c>
      <c r="G29" s="1523" t="s">
        <v>32</v>
      </c>
      <c r="H29" s="1525" t="s">
        <v>33</v>
      </c>
      <c r="I29" s="1290"/>
      <c r="J29" s="1523"/>
      <c r="K29" s="1523" t="s">
        <v>6843</v>
      </c>
      <c r="L29" s="1529">
        <v>1289.3203883495</v>
      </c>
      <c r="M29" s="1523">
        <v>1214.1099999999999</v>
      </c>
      <c r="N29" s="1528">
        <v>44335</v>
      </c>
      <c r="O29" s="1523" t="s">
        <v>6844</v>
      </c>
      <c r="P29" s="1524" t="s">
        <v>6845</v>
      </c>
      <c r="Q29" s="1523">
        <v>17788979786</v>
      </c>
      <c r="R29" s="1527" t="s">
        <v>6846</v>
      </c>
      <c r="S29" s="1297" t="s">
        <v>6847</v>
      </c>
      <c r="T29" s="1335"/>
    </row>
    <row r="30" spans="1:20" s="101" customFormat="1" ht="24.95" customHeight="1">
      <c r="A30" s="1290"/>
      <c r="B30" s="1523" t="s">
        <v>6841</v>
      </c>
      <c r="C30" s="1523" t="s">
        <v>6842</v>
      </c>
      <c r="D30" s="1524" t="s">
        <v>62</v>
      </c>
      <c r="E30" s="1289"/>
      <c r="F30" s="1289">
        <v>0.32</v>
      </c>
      <c r="G30" s="1523" t="s">
        <v>32</v>
      </c>
      <c r="H30" s="1525" t="s">
        <v>33</v>
      </c>
      <c r="I30" s="1290"/>
      <c r="J30" s="1523"/>
      <c r="K30" s="1523" t="s">
        <v>6843</v>
      </c>
      <c r="L30" s="1529">
        <v>515.72815533979997</v>
      </c>
      <c r="M30" s="1523">
        <v>485.65</v>
      </c>
      <c r="N30" s="1528">
        <v>44335</v>
      </c>
      <c r="O30" s="1523" t="s">
        <v>6844</v>
      </c>
      <c r="P30" s="1524" t="s">
        <v>6845</v>
      </c>
      <c r="Q30" s="1523">
        <v>17788979786</v>
      </c>
      <c r="R30" s="1527" t="s">
        <v>6846</v>
      </c>
      <c r="S30" s="1297" t="s">
        <v>6847</v>
      </c>
      <c r="T30" s="1335"/>
    </row>
    <row r="31" spans="1:20" s="101" customFormat="1" ht="24.95" customHeight="1">
      <c r="A31" s="1290"/>
      <c r="B31" s="1523" t="s">
        <v>6841</v>
      </c>
      <c r="C31" s="1523" t="s">
        <v>6842</v>
      </c>
      <c r="D31" s="1524" t="s">
        <v>62</v>
      </c>
      <c r="E31" s="1289"/>
      <c r="F31" s="1289">
        <v>14.55</v>
      </c>
      <c r="G31" s="1523" t="s">
        <v>32</v>
      </c>
      <c r="H31" s="1525" t="s">
        <v>33</v>
      </c>
      <c r="I31" s="1290"/>
      <c r="J31" s="1523"/>
      <c r="K31" s="1523" t="s">
        <v>6843</v>
      </c>
      <c r="L31" s="1529">
        <v>23449.514563106899</v>
      </c>
      <c r="M31" s="1523">
        <v>22081.62</v>
      </c>
      <c r="N31" s="1528">
        <v>44335</v>
      </c>
      <c r="O31" s="1523" t="s">
        <v>6844</v>
      </c>
      <c r="P31" s="1524" t="s">
        <v>6845</v>
      </c>
      <c r="Q31" s="1523">
        <v>17788979786</v>
      </c>
      <c r="R31" s="1527" t="s">
        <v>6846</v>
      </c>
      <c r="S31" s="1297" t="s">
        <v>6847</v>
      </c>
      <c r="T31" s="1335"/>
    </row>
    <row r="32" spans="1:20" s="101" customFormat="1" ht="24.95" customHeight="1">
      <c r="A32" s="1290"/>
      <c r="B32" s="1523" t="s">
        <v>6841</v>
      </c>
      <c r="C32" s="1523" t="s">
        <v>6842</v>
      </c>
      <c r="D32" s="1524" t="s">
        <v>62</v>
      </c>
      <c r="E32" s="1289"/>
      <c r="F32" s="1289">
        <v>10.82</v>
      </c>
      <c r="G32" s="1523" t="s">
        <v>32</v>
      </c>
      <c r="H32" s="1525" t="s">
        <v>33</v>
      </c>
      <c r="I32" s="1290"/>
      <c r="J32" s="1523"/>
      <c r="K32" s="1523" t="s">
        <v>6843</v>
      </c>
      <c r="L32" s="1529">
        <v>17438.058252427301</v>
      </c>
      <c r="M32" s="1523">
        <v>16420.84</v>
      </c>
      <c r="N32" s="1528">
        <v>44335</v>
      </c>
      <c r="O32" s="1523" t="s">
        <v>6844</v>
      </c>
      <c r="P32" s="1524" t="s">
        <v>6845</v>
      </c>
      <c r="Q32" s="1523">
        <v>17788979786</v>
      </c>
      <c r="R32" s="1527" t="s">
        <v>6846</v>
      </c>
      <c r="S32" s="1297" t="s">
        <v>6847</v>
      </c>
      <c r="T32" s="1335"/>
    </row>
    <row r="33" spans="1:20" s="101" customFormat="1" ht="24.95" customHeight="1">
      <c r="A33" s="1290"/>
      <c r="B33" s="1523" t="s">
        <v>6841</v>
      </c>
      <c r="C33" s="1523" t="s">
        <v>6842</v>
      </c>
      <c r="D33" s="1524" t="s">
        <v>62</v>
      </c>
      <c r="E33" s="1289"/>
      <c r="F33" s="1289">
        <v>11.97</v>
      </c>
      <c r="G33" s="1523" t="s">
        <v>32</v>
      </c>
      <c r="H33" s="1525" t="s">
        <v>33</v>
      </c>
      <c r="I33" s="1290"/>
      <c r="J33" s="1523"/>
      <c r="K33" s="1523" t="s">
        <v>6843</v>
      </c>
      <c r="L33" s="1529">
        <v>19291.4563106797</v>
      </c>
      <c r="M33" s="1523">
        <v>18166.13</v>
      </c>
      <c r="N33" s="1528">
        <v>44335</v>
      </c>
      <c r="O33" s="1523" t="s">
        <v>6844</v>
      </c>
      <c r="P33" s="1524" t="s">
        <v>6845</v>
      </c>
      <c r="Q33" s="1523">
        <v>17788979786</v>
      </c>
      <c r="R33" s="1527" t="s">
        <v>6846</v>
      </c>
      <c r="S33" s="1297" t="s">
        <v>6847</v>
      </c>
      <c r="T33" s="1335"/>
    </row>
    <row r="34" spans="1:20" s="101" customFormat="1" ht="24.95" customHeight="1">
      <c r="A34" s="1290"/>
      <c r="B34" s="1523" t="s">
        <v>6841</v>
      </c>
      <c r="C34" s="1523" t="s">
        <v>6842</v>
      </c>
      <c r="D34" s="1524" t="s">
        <v>62</v>
      </c>
      <c r="E34" s="1289"/>
      <c r="F34" s="1289">
        <v>12.77</v>
      </c>
      <c r="G34" s="1523" t="s">
        <v>32</v>
      </c>
      <c r="H34" s="1525" t="s">
        <v>33</v>
      </c>
      <c r="I34" s="1290"/>
      <c r="J34" s="1523"/>
      <c r="K34" s="1523" t="s">
        <v>6843</v>
      </c>
      <c r="L34" s="1529">
        <v>20580.7766990292</v>
      </c>
      <c r="M34" s="1523">
        <v>19380.23</v>
      </c>
      <c r="N34" s="1528">
        <v>44335</v>
      </c>
      <c r="O34" s="1523" t="s">
        <v>6844</v>
      </c>
      <c r="P34" s="1524" t="s">
        <v>6845</v>
      </c>
      <c r="Q34" s="1523">
        <v>17788979786</v>
      </c>
      <c r="R34" s="1527" t="s">
        <v>6846</v>
      </c>
      <c r="S34" s="1297" t="s">
        <v>6847</v>
      </c>
      <c r="T34" s="1335"/>
    </row>
    <row r="35" spans="1:20" s="101" customFormat="1" ht="24.95" customHeight="1">
      <c r="A35" s="1290"/>
      <c r="B35" s="1523" t="s">
        <v>6841</v>
      </c>
      <c r="C35" s="1523" t="s">
        <v>6842</v>
      </c>
      <c r="D35" s="1524" t="s">
        <v>62</v>
      </c>
      <c r="E35" s="1289"/>
      <c r="F35" s="1289">
        <v>11.53</v>
      </c>
      <c r="G35" s="1523" t="s">
        <v>32</v>
      </c>
      <c r="H35" s="1525" t="s">
        <v>33</v>
      </c>
      <c r="I35" s="1290"/>
      <c r="J35" s="1523"/>
      <c r="K35" s="1523" t="s">
        <v>6843</v>
      </c>
      <c r="L35" s="1529">
        <v>18582.330097087499</v>
      </c>
      <c r="M35" s="1523">
        <v>17498.36</v>
      </c>
      <c r="N35" s="1528">
        <v>44335</v>
      </c>
      <c r="O35" s="1523" t="s">
        <v>6844</v>
      </c>
      <c r="P35" s="1524" t="s">
        <v>6845</v>
      </c>
      <c r="Q35" s="1523">
        <v>17788979786</v>
      </c>
      <c r="R35" s="1527" t="s">
        <v>6846</v>
      </c>
      <c r="S35" s="1297" t="s">
        <v>6847</v>
      </c>
      <c r="T35" s="1335"/>
    </row>
    <row r="36" spans="1:20" s="101" customFormat="1" ht="24.95" customHeight="1">
      <c r="A36" s="1290"/>
      <c r="B36" s="1523" t="s">
        <v>6841</v>
      </c>
      <c r="C36" s="1523" t="s">
        <v>6842</v>
      </c>
      <c r="D36" s="1524" t="s">
        <v>62</v>
      </c>
      <c r="E36" s="1289"/>
      <c r="F36" s="1289">
        <v>16.48</v>
      </c>
      <c r="G36" s="1523" t="s">
        <v>32</v>
      </c>
      <c r="H36" s="1525" t="s">
        <v>33</v>
      </c>
      <c r="I36" s="1290"/>
      <c r="J36" s="1523"/>
      <c r="K36" s="1523" t="s">
        <v>6843</v>
      </c>
      <c r="L36" s="1529">
        <v>26560.000000000098</v>
      </c>
      <c r="M36" s="1523">
        <v>25010.67</v>
      </c>
      <c r="N36" s="1528">
        <v>44335</v>
      </c>
      <c r="O36" s="1523" t="s">
        <v>6844</v>
      </c>
      <c r="P36" s="1524" t="s">
        <v>6845</v>
      </c>
      <c r="Q36" s="1523">
        <v>17788979786</v>
      </c>
      <c r="R36" s="1527" t="s">
        <v>6846</v>
      </c>
      <c r="S36" s="1297" t="s">
        <v>6847</v>
      </c>
      <c r="T36" s="1335"/>
    </row>
    <row r="37" spans="1:20" s="101" customFormat="1" ht="24.95" customHeight="1">
      <c r="A37" s="1290"/>
      <c r="B37" s="1523" t="s">
        <v>6841</v>
      </c>
      <c r="C37" s="1523" t="s">
        <v>6842</v>
      </c>
      <c r="D37" s="1524" t="s">
        <v>62</v>
      </c>
      <c r="E37" s="1289"/>
      <c r="F37" s="1289">
        <v>10.94</v>
      </c>
      <c r="G37" s="1523" t="s">
        <v>32</v>
      </c>
      <c r="H37" s="1525" t="s">
        <v>33</v>
      </c>
      <c r="I37" s="1290"/>
      <c r="J37" s="1523"/>
      <c r="K37" s="1523" t="s">
        <v>6843</v>
      </c>
      <c r="L37" s="1529">
        <v>17631.4563106797</v>
      </c>
      <c r="M37" s="1523">
        <v>16602.96</v>
      </c>
      <c r="N37" s="1528">
        <v>44335</v>
      </c>
      <c r="O37" s="1523" t="s">
        <v>6844</v>
      </c>
      <c r="P37" s="1524" t="s">
        <v>6845</v>
      </c>
      <c r="Q37" s="1523">
        <v>17788979786</v>
      </c>
      <c r="R37" s="1527" t="s">
        <v>6846</v>
      </c>
      <c r="S37" s="1297" t="s">
        <v>6847</v>
      </c>
      <c r="T37" s="1335"/>
    </row>
    <row r="38" spans="1:20" s="101" customFormat="1" ht="24.95" customHeight="1">
      <c r="A38" s="1290"/>
      <c r="B38" s="1523" t="s">
        <v>6841</v>
      </c>
      <c r="C38" s="1523" t="s">
        <v>6842</v>
      </c>
      <c r="D38" s="1524" t="s">
        <v>62</v>
      </c>
      <c r="E38" s="1289"/>
      <c r="F38" s="1289">
        <v>12.26</v>
      </c>
      <c r="G38" s="1523" t="s">
        <v>32</v>
      </c>
      <c r="H38" s="1525" t="s">
        <v>33</v>
      </c>
      <c r="I38" s="1290"/>
      <c r="J38" s="1523"/>
      <c r="K38" s="1523" t="s">
        <v>6843</v>
      </c>
      <c r="L38" s="1529">
        <v>19758.8349514564</v>
      </c>
      <c r="M38" s="1523">
        <v>18606.23</v>
      </c>
      <c r="N38" s="1528">
        <v>44335</v>
      </c>
      <c r="O38" s="1523" t="s">
        <v>6844</v>
      </c>
      <c r="P38" s="1524" t="s">
        <v>6845</v>
      </c>
      <c r="Q38" s="1523">
        <v>17788979786</v>
      </c>
      <c r="R38" s="1527" t="s">
        <v>6846</v>
      </c>
      <c r="S38" s="1297" t="s">
        <v>6847</v>
      </c>
      <c r="T38" s="1335"/>
    </row>
    <row r="39" spans="1:20" s="101" customFormat="1" ht="24.95" customHeight="1">
      <c r="A39" s="1290"/>
      <c r="B39" s="1523" t="s">
        <v>6841</v>
      </c>
      <c r="C39" s="1523" t="s">
        <v>6842</v>
      </c>
      <c r="D39" s="1524" t="s">
        <v>62</v>
      </c>
      <c r="E39" s="1289"/>
      <c r="F39" s="1289">
        <v>5.0599999999999996</v>
      </c>
      <c r="G39" s="1523" t="s">
        <v>32</v>
      </c>
      <c r="H39" s="1525" t="s">
        <v>33</v>
      </c>
      <c r="I39" s="1290"/>
      <c r="J39" s="1523"/>
      <c r="K39" s="1523" t="s">
        <v>6843</v>
      </c>
      <c r="L39" s="1529">
        <v>8154.9514563107005</v>
      </c>
      <c r="M39" s="1523">
        <v>7679.24</v>
      </c>
      <c r="N39" s="1528">
        <v>44335</v>
      </c>
      <c r="O39" s="1523" t="s">
        <v>6844</v>
      </c>
      <c r="P39" s="1524" t="s">
        <v>6845</v>
      </c>
      <c r="Q39" s="1523">
        <v>17788979786</v>
      </c>
      <c r="R39" s="1527" t="s">
        <v>6846</v>
      </c>
      <c r="S39" s="1297" t="s">
        <v>6847</v>
      </c>
      <c r="T39" s="1335"/>
    </row>
    <row r="40" spans="1:20" s="101" customFormat="1" ht="24.95" customHeight="1">
      <c r="A40" s="1290"/>
      <c r="B40" s="1523" t="s">
        <v>6841</v>
      </c>
      <c r="C40" s="1523" t="s">
        <v>6842</v>
      </c>
      <c r="D40" s="1524" t="s">
        <v>62</v>
      </c>
      <c r="E40" s="1289"/>
      <c r="F40" s="1289">
        <v>17.16</v>
      </c>
      <c r="G40" s="1523" t="s">
        <v>32</v>
      </c>
      <c r="H40" s="1525" t="s">
        <v>33</v>
      </c>
      <c r="I40" s="1290"/>
      <c r="J40" s="1523"/>
      <c r="K40" s="1523" t="s">
        <v>6843</v>
      </c>
      <c r="L40" s="1529">
        <v>27655.922330097201</v>
      </c>
      <c r="M40" s="1523">
        <v>26042.66</v>
      </c>
      <c r="N40" s="1528">
        <v>44335</v>
      </c>
      <c r="O40" s="1523" t="s">
        <v>6844</v>
      </c>
      <c r="P40" s="1524" t="s">
        <v>6845</v>
      </c>
      <c r="Q40" s="1523">
        <v>17788979786</v>
      </c>
      <c r="R40" s="1527" t="s">
        <v>6846</v>
      </c>
      <c r="S40" s="1297" t="s">
        <v>6847</v>
      </c>
      <c r="T40" s="1335"/>
    </row>
    <row r="41" spans="1:20" s="101" customFormat="1" ht="24.95" customHeight="1">
      <c r="A41" s="1290"/>
      <c r="B41" s="1523" t="s">
        <v>6841</v>
      </c>
      <c r="C41" s="1523" t="s">
        <v>6842</v>
      </c>
      <c r="D41" s="1524" t="s">
        <v>62</v>
      </c>
      <c r="E41" s="1289"/>
      <c r="F41" s="1289">
        <v>6.42</v>
      </c>
      <c r="G41" s="1523" t="s">
        <v>32</v>
      </c>
      <c r="H41" s="1525" t="s">
        <v>33</v>
      </c>
      <c r="I41" s="1290"/>
      <c r="J41" s="1523"/>
      <c r="K41" s="1523" t="s">
        <v>6843</v>
      </c>
      <c r="L41" s="1529">
        <v>10346.7961165049</v>
      </c>
      <c r="M41" s="1523">
        <v>9743.24</v>
      </c>
      <c r="N41" s="1528">
        <v>44335</v>
      </c>
      <c r="O41" s="1523" t="s">
        <v>6844</v>
      </c>
      <c r="P41" s="1524" t="s">
        <v>6845</v>
      </c>
      <c r="Q41" s="1523">
        <v>17788979786</v>
      </c>
      <c r="R41" s="1527" t="s">
        <v>6846</v>
      </c>
      <c r="S41" s="1297" t="s">
        <v>6847</v>
      </c>
      <c r="T41" s="1335"/>
    </row>
    <row r="42" spans="1:20" s="101" customFormat="1" ht="24.95" customHeight="1">
      <c r="A42" s="1290"/>
      <c r="B42" s="1523" t="s">
        <v>6841</v>
      </c>
      <c r="C42" s="1523" t="s">
        <v>6842</v>
      </c>
      <c r="D42" s="1524" t="s">
        <v>62</v>
      </c>
      <c r="E42" s="1289"/>
      <c r="F42" s="1289">
        <v>8.74</v>
      </c>
      <c r="G42" s="1523" t="s">
        <v>32</v>
      </c>
      <c r="H42" s="1525" t="s">
        <v>33</v>
      </c>
      <c r="I42" s="1290"/>
      <c r="J42" s="1523"/>
      <c r="K42" s="1523" t="s">
        <v>6843</v>
      </c>
      <c r="L42" s="1529">
        <v>9333.9805825239</v>
      </c>
      <c r="M42" s="1523">
        <v>8789.5</v>
      </c>
      <c r="N42" s="1528">
        <v>44335</v>
      </c>
      <c r="O42" s="1523" t="s">
        <v>6844</v>
      </c>
      <c r="P42" s="1524" t="s">
        <v>6845</v>
      </c>
      <c r="Q42" s="1523">
        <v>17788979786</v>
      </c>
      <c r="R42" s="1527" t="s">
        <v>6846</v>
      </c>
      <c r="S42" s="1297" t="s">
        <v>6847</v>
      </c>
      <c r="T42" s="1335"/>
    </row>
    <row r="43" spans="1:20" s="101" customFormat="1" ht="24.95" customHeight="1">
      <c r="A43" s="1290"/>
      <c r="B43" s="1523" t="s">
        <v>6841</v>
      </c>
      <c r="C43" s="1523" t="s">
        <v>6842</v>
      </c>
      <c r="D43" s="1524" t="s">
        <v>62</v>
      </c>
      <c r="E43" s="1289"/>
      <c r="F43" s="1289">
        <v>8.99</v>
      </c>
      <c r="G43" s="1523" t="s">
        <v>32</v>
      </c>
      <c r="H43" s="1525" t="s">
        <v>33</v>
      </c>
      <c r="I43" s="1290"/>
      <c r="J43" s="1523"/>
      <c r="K43" s="1523" t="s">
        <v>6843</v>
      </c>
      <c r="L43" s="1529">
        <v>14488.737864077701</v>
      </c>
      <c r="M43" s="1523">
        <v>13643.56</v>
      </c>
      <c r="N43" s="1528">
        <v>44335</v>
      </c>
      <c r="O43" s="1523" t="s">
        <v>6844</v>
      </c>
      <c r="P43" s="1524" t="s">
        <v>6845</v>
      </c>
      <c r="Q43" s="1523">
        <v>17788979786</v>
      </c>
      <c r="R43" s="1527" t="s">
        <v>6846</v>
      </c>
      <c r="S43" s="1297" t="s">
        <v>6847</v>
      </c>
      <c r="T43" s="1335"/>
    </row>
    <row r="44" spans="1:20" s="101" customFormat="1" ht="24.95" customHeight="1">
      <c r="A44" s="1290"/>
      <c r="B44" s="1523" t="s">
        <v>6841</v>
      </c>
      <c r="C44" s="1523" t="s">
        <v>6842</v>
      </c>
      <c r="D44" s="1524" t="s">
        <v>62</v>
      </c>
      <c r="E44" s="1289"/>
      <c r="F44" s="1289">
        <v>0.44</v>
      </c>
      <c r="G44" s="1523" t="s">
        <v>32</v>
      </c>
      <c r="H44" s="1525" t="s">
        <v>33</v>
      </c>
      <c r="I44" s="1290"/>
      <c r="J44" s="1523"/>
      <c r="K44" s="1523" t="s">
        <v>6843</v>
      </c>
      <c r="L44" s="1529">
        <v>709.12621359219997</v>
      </c>
      <c r="M44" s="1523">
        <v>667.76</v>
      </c>
      <c r="N44" s="1528">
        <v>44335</v>
      </c>
      <c r="O44" s="1523" t="s">
        <v>6844</v>
      </c>
      <c r="P44" s="1524" t="s">
        <v>6845</v>
      </c>
      <c r="Q44" s="1523">
        <v>17788979786</v>
      </c>
      <c r="R44" s="1527" t="s">
        <v>6846</v>
      </c>
      <c r="S44" s="1297" t="s">
        <v>6847</v>
      </c>
      <c r="T44" s="1335"/>
    </row>
    <row r="45" spans="1:20" s="101" customFormat="1" ht="24.95" customHeight="1">
      <c r="A45" s="1290"/>
      <c r="B45" s="1523" t="s">
        <v>6841</v>
      </c>
      <c r="C45" s="1523" t="s">
        <v>6842</v>
      </c>
      <c r="D45" s="1524" t="s">
        <v>62</v>
      </c>
      <c r="E45" s="1289"/>
      <c r="F45" s="1289">
        <v>0.42</v>
      </c>
      <c r="G45" s="1523" t="s">
        <v>32</v>
      </c>
      <c r="H45" s="1525" t="s">
        <v>33</v>
      </c>
      <c r="I45" s="1290"/>
      <c r="J45" s="1523"/>
      <c r="K45" s="1523" t="s">
        <v>6843</v>
      </c>
      <c r="L45" s="1529">
        <v>676.89320388349995</v>
      </c>
      <c r="M45" s="1523">
        <v>637.4</v>
      </c>
      <c r="N45" s="1528">
        <v>44335</v>
      </c>
      <c r="O45" s="1523" t="s">
        <v>6844</v>
      </c>
      <c r="P45" s="1524" t="s">
        <v>6845</v>
      </c>
      <c r="Q45" s="1523">
        <v>17788979786</v>
      </c>
      <c r="R45" s="1527" t="s">
        <v>6846</v>
      </c>
      <c r="S45" s="1297" t="s">
        <v>6847</v>
      </c>
      <c r="T45" s="1335"/>
    </row>
    <row r="46" spans="1:20" s="101" customFormat="1" ht="24.95" customHeight="1">
      <c r="A46" s="1290"/>
      <c r="B46" s="1523" t="s">
        <v>6841</v>
      </c>
      <c r="C46" s="1523" t="s">
        <v>6842</v>
      </c>
      <c r="D46" s="1524" t="s">
        <v>62</v>
      </c>
      <c r="E46" s="1289"/>
      <c r="F46" s="1289">
        <v>10.58</v>
      </c>
      <c r="G46" s="1523" t="s">
        <v>32</v>
      </c>
      <c r="H46" s="1525" t="s">
        <v>33</v>
      </c>
      <c r="I46" s="1290"/>
      <c r="J46" s="1523"/>
      <c r="K46" s="1523" t="s">
        <v>6843</v>
      </c>
      <c r="L46" s="1529">
        <v>17051.262135922399</v>
      </c>
      <c r="M46" s="1523">
        <v>16056.6</v>
      </c>
      <c r="N46" s="1528">
        <v>44335</v>
      </c>
      <c r="O46" s="1523" t="s">
        <v>6844</v>
      </c>
      <c r="P46" s="1524" t="s">
        <v>6845</v>
      </c>
      <c r="Q46" s="1523">
        <v>17788979786</v>
      </c>
      <c r="R46" s="1527" t="s">
        <v>6846</v>
      </c>
      <c r="S46" s="1297" t="s">
        <v>6847</v>
      </c>
      <c r="T46" s="1335"/>
    </row>
    <row r="47" spans="1:20" s="101" customFormat="1" ht="24.95" customHeight="1">
      <c r="A47" s="1290"/>
      <c r="B47" s="1523" t="s">
        <v>6841</v>
      </c>
      <c r="C47" s="1523" t="s">
        <v>6842</v>
      </c>
      <c r="D47" s="1524" t="s">
        <v>62</v>
      </c>
      <c r="E47" s="1289"/>
      <c r="F47" s="1289">
        <v>9.66</v>
      </c>
      <c r="G47" s="1523" t="s">
        <v>32</v>
      </c>
      <c r="H47" s="1525" t="s">
        <v>33</v>
      </c>
      <c r="I47" s="1290"/>
      <c r="J47" s="1523"/>
      <c r="K47" s="1523" t="s">
        <v>6843</v>
      </c>
      <c r="L47" s="1529">
        <v>15568.543689320501</v>
      </c>
      <c r="M47" s="1523">
        <v>14660.37</v>
      </c>
      <c r="N47" s="1528">
        <v>44335</v>
      </c>
      <c r="O47" s="1523" t="s">
        <v>6844</v>
      </c>
      <c r="P47" s="1524" t="s">
        <v>6845</v>
      </c>
      <c r="Q47" s="1523">
        <v>17788979786</v>
      </c>
      <c r="R47" s="1527" t="s">
        <v>6846</v>
      </c>
      <c r="S47" s="1297" t="s">
        <v>6847</v>
      </c>
      <c r="T47" s="1335"/>
    </row>
    <row r="48" spans="1:20" s="101" customFormat="1" ht="24.95" customHeight="1">
      <c r="A48" s="1290"/>
      <c r="B48" s="1523" t="s">
        <v>6841</v>
      </c>
      <c r="C48" s="1523" t="s">
        <v>6842</v>
      </c>
      <c r="D48" s="1524" t="s">
        <v>62</v>
      </c>
      <c r="E48" s="1289"/>
      <c r="F48" s="1289">
        <v>9.01</v>
      </c>
      <c r="G48" s="1523" t="s">
        <v>32</v>
      </c>
      <c r="H48" s="1525" t="s">
        <v>33</v>
      </c>
      <c r="I48" s="1290"/>
      <c r="J48" s="1523"/>
      <c r="K48" s="1523" t="s">
        <v>6843</v>
      </c>
      <c r="L48" s="1529">
        <v>14520.9708737865</v>
      </c>
      <c r="M48" s="1523">
        <v>13673.91</v>
      </c>
      <c r="N48" s="1528">
        <v>44335</v>
      </c>
      <c r="O48" s="1523" t="s">
        <v>6844</v>
      </c>
      <c r="P48" s="1524" t="s">
        <v>6845</v>
      </c>
      <c r="Q48" s="1523">
        <v>17788979786</v>
      </c>
      <c r="R48" s="1527" t="s">
        <v>6846</v>
      </c>
      <c r="S48" s="1297" t="s">
        <v>6847</v>
      </c>
      <c r="T48" s="1335"/>
    </row>
    <row r="49" spans="1:20" s="101" customFormat="1" ht="24.95" customHeight="1">
      <c r="A49" s="1290"/>
      <c r="B49" s="1523" t="s">
        <v>6841</v>
      </c>
      <c r="C49" s="1523" t="s">
        <v>6842</v>
      </c>
      <c r="D49" s="1524" t="s">
        <v>62</v>
      </c>
      <c r="E49" s="1289"/>
      <c r="F49" s="1289">
        <v>6.26</v>
      </c>
      <c r="G49" s="1523" t="s">
        <v>32</v>
      </c>
      <c r="H49" s="1525" t="s">
        <v>33</v>
      </c>
      <c r="I49" s="1290"/>
      <c r="J49" s="1523"/>
      <c r="K49" s="1523" t="s">
        <v>6843</v>
      </c>
      <c r="L49" s="1529">
        <v>10088.932038835001</v>
      </c>
      <c r="M49" s="1523">
        <v>9500.41</v>
      </c>
      <c r="N49" s="1528">
        <v>44335</v>
      </c>
      <c r="O49" s="1523" t="s">
        <v>6844</v>
      </c>
      <c r="P49" s="1524" t="s">
        <v>6845</v>
      </c>
      <c r="Q49" s="1523">
        <v>17788979786</v>
      </c>
      <c r="R49" s="1527" t="s">
        <v>6846</v>
      </c>
      <c r="S49" s="1297" t="s">
        <v>6847</v>
      </c>
      <c r="T49" s="1335"/>
    </row>
    <row r="50" spans="1:20" s="101" customFormat="1" ht="24.95" customHeight="1">
      <c r="A50" s="1290"/>
      <c r="B50" s="1523"/>
      <c r="C50" s="1523"/>
      <c r="D50" s="1524"/>
      <c r="E50" s="1289"/>
      <c r="F50" s="1289"/>
      <c r="G50" s="1523"/>
      <c r="H50" s="1525"/>
      <c r="I50" s="1290"/>
      <c r="J50" s="1289"/>
      <c r="K50" s="1289"/>
      <c r="L50" s="1289"/>
      <c r="M50" s="1291"/>
      <c r="N50" s="1528"/>
      <c r="O50" s="1289"/>
      <c r="P50" s="1290"/>
      <c r="Q50" s="1289"/>
      <c r="R50" s="1296"/>
      <c r="S50" s="1335"/>
      <c r="T50" s="1335"/>
    </row>
    <row r="51" spans="1:20" ht="24.95" customHeight="1">
      <c r="A51" s="1290"/>
      <c r="B51" s="1289" t="s">
        <v>3717</v>
      </c>
      <c r="C51" s="1289"/>
      <c r="D51" s="1290"/>
      <c r="E51" s="1289"/>
      <c r="F51" s="1289"/>
      <c r="G51" s="1289"/>
      <c r="H51" s="1237"/>
      <c r="I51" s="1290"/>
      <c r="J51" s="1289"/>
      <c r="K51" s="1289"/>
      <c r="L51" s="1289"/>
      <c r="M51" s="1291"/>
      <c r="N51" s="1522"/>
      <c r="O51" s="1289"/>
      <c r="P51" s="1290"/>
      <c r="Q51" s="1289"/>
      <c r="R51" s="1296"/>
      <c r="S51" s="1297"/>
      <c r="T51" s="1297"/>
    </row>
    <row r="52" spans="1:20" ht="24.95" customHeight="1">
      <c r="A52" s="1290">
        <v>2</v>
      </c>
      <c r="B52" s="1289" t="s">
        <v>84</v>
      </c>
      <c r="C52" s="1289"/>
      <c r="D52" s="1290"/>
      <c r="E52" s="1289"/>
      <c r="F52" s="1289"/>
      <c r="G52" s="1289"/>
      <c r="H52" s="1237"/>
      <c r="I52" s="1290"/>
      <c r="J52" s="1289"/>
      <c r="K52" s="1289"/>
      <c r="L52" s="1289"/>
      <c r="M52" s="1291"/>
      <c r="N52" s="1522"/>
      <c r="O52" s="1289"/>
      <c r="P52" s="1290"/>
      <c r="Q52" s="1289"/>
      <c r="R52" s="1296"/>
      <c r="S52" s="1297"/>
      <c r="T52" s="1297"/>
    </row>
    <row r="53" spans="1:20" s="101" customFormat="1" ht="24.95" customHeight="1">
      <c r="A53" s="1290"/>
      <c r="B53" s="1523" t="s">
        <v>6848</v>
      </c>
      <c r="C53" s="1523" t="s">
        <v>6842</v>
      </c>
      <c r="D53" s="1524" t="s">
        <v>62</v>
      </c>
      <c r="E53" s="1523"/>
      <c r="F53" s="1523">
        <v>3.18</v>
      </c>
      <c r="G53" s="1523" t="s">
        <v>32</v>
      </c>
      <c r="H53" s="1525" t="s">
        <v>33</v>
      </c>
      <c r="I53" s="1524"/>
      <c r="J53" s="1523"/>
      <c r="K53" s="1523" t="s">
        <v>6849</v>
      </c>
      <c r="L53" s="1523">
        <v>20034</v>
      </c>
      <c r="M53" s="1523">
        <v>13022.1</v>
      </c>
      <c r="N53" s="1526">
        <v>44180</v>
      </c>
      <c r="O53" s="1523" t="s">
        <v>6844</v>
      </c>
      <c r="P53" s="1524" t="s">
        <v>6845</v>
      </c>
      <c r="Q53" s="1523">
        <v>17788979786</v>
      </c>
      <c r="R53" s="1527" t="s">
        <v>6846</v>
      </c>
      <c r="S53" s="1297" t="s">
        <v>6847</v>
      </c>
      <c r="T53" s="1335"/>
    </row>
    <row r="54" spans="1:20" s="101" customFormat="1" ht="24.95" customHeight="1">
      <c r="A54" s="1290"/>
      <c r="B54" s="1523" t="s">
        <v>6850</v>
      </c>
      <c r="C54" s="1289" t="s">
        <v>6851</v>
      </c>
      <c r="D54" s="1524" t="s">
        <v>62</v>
      </c>
      <c r="E54" s="1523"/>
      <c r="F54" s="1523">
        <v>16.22</v>
      </c>
      <c r="G54" s="1523" t="s">
        <v>32</v>
      </c>
      <c r="H54" s="1525" t="s">
        <v>33</v>
      </c>
      <c r="I54" s="1524"/>
      <c r="J54" s="1523"/>
      <c r="K54" s="1523" t="s">
        <v>6843</v>
      </c>
      <c r="L54" s="1523">
        <v>95049.2</v>
      </c>
      <c r="M54" s="1523">
        <v>67326.5</v>
      </c>
      <c r="N54" s="1528">
        <v>44214</v>
      </c>
      <c r="O54" s="1523" t="s">
        <v>6844</v>
      </c>
      <c r="P54" s="1524" t="s">
        <v>6845</v>
      </c>
      <c r="Q54" s="1523">
        <v>17788979786</v>
      </c>
      <c r="R54" s="1527" t="s">
        <v>6846</v>
      </c>
      <c r="S54" s="1297" t="s">
        <v>6847</v>
      </c>
      <c r="T54" s="1335"/>
    </row>
    <row r="55" spans="1:20" s="101" customFormat="1" ht="24.95" customHeight="1">
      <c r="A55" s="1290"/>
      <c r="B55" s="1523" t="s">
        <v>6579</v>
      </c>
      <c r="C55" s="1289" t="s">
        <v>34</v>
      </c>
      <c r="D55" s="1524" t="s">
        <v>62</v>
      </c>
      <c r="E55" s="1523"/>
      <c r="F55" s="1523">
        <v>28.5</v>
      </c>
      <c r="G55" s="1523" t="s">
        <v>32</v>
      </c>
      <c r="H55" s="1525" t="s">
        <v>33</v>
      </c>
      <c r="I55" s="1524"/>
      <c r="J55" s="1523"/>
      <c r="K55" s="1530" t="s">
        <v>3021</v>
      </c>
      <c r="L55" s="1523">
        <v>194203.54</v>
      </c>
      <c r="M55" s="1523">
        <v>182875</v>
      </c>
      <c r="N55" s="1528">
        <v>44335</v>
      </c>
      <c r="O55" s="1523" t="s">
        <v>6844</v>
      </c>
      <c r="P55" s="1524" t="s">
        <v>6845</v>
      </c>
      <c r="Q55" s="1523">
        <v>17788979786</v>
      </c>
      <c r="R55" s="1527" t="s">
        <v>6846</v>
      </c>
      <c r="S55" s="1297" t="s">
        <v>6847</v>
      </c>
      <c r="T55" s="1335"/>
    </row>
    <row r="56" spans="1:20" s="101" customFormat="1" ht="24.95" customHeight="1">
      <c r="A56" s="1290"/>
      <c r="B56" s="1523" t="s">
        <v>6852</v>
      </c>
      <c r="C56" s="1289" t="s">
        <v>34</v>
      </c>
      <c r="D56" s="1524" t="s">
        <v>62</v>
      </c>
      <c r="E56" s="1523"/>
      <c r="F56" s="1523">
        <v>7.04</v>
      </c>
      <c r="G56" s="1523" t="s">
        <v>32</v>
      </c>
      <c r="H56" s="1525" t="s">
        <v>33</v>
      </c>
      <c r="I56" s="1524"/>
      <c r="J56" s="1523"/>
      <c r="K56" s="1530" t="s">
        <v>3021</v>
      </c>
      <c r="L56" s="1523">
        <v>92205.31</v>
      </c>
      <c r="M56" s="1523">
        <v>86826.67</v>
      </c>
      <c r="N56" s="1528">
        <v>44335</v>
      </c>
      <c r="O56" s="1523" t="s">
        <v>6844</v>
      </c>
      <c r="P56" s="1524" t="s">
        <v>6845</v>
      </c>
      <c r="Q56" s="1523">
        <v>17788979786</v>
      </c>
      <c r="R56" s="1527" t="s">
        <v>6846</v>
      </c>
      <c r="S56" s="1297" t="s">
        <v>6847</v>
      </c>
      <c r="T56" s="1335"/>
    </row>
    <row r="57" spans="1:20" s="101" customFormat="1" ht="24.95" customHeight="1">
      <c r="A57" s="1290"/>
      <c r="B57" s="1523"/>
      <c r="C57" s="1289"/>
      <c r="D57" s="1524"/>
      <c r="E57" s="1523"/>
      <c r="F57" s="1523"/>
      <c r="G57" s="1523"/>
      <c r="H57" s="1525"/>
      <c r="I57" s="1524"/>
      <c r="J57" s="1523"/>
      <c r="K57" s="1523"/>
      <c r="L57" s="1523"/>
      <c r="M57" s="1523"/>
      <c r="N57" s="1528"/>
      <c r="O57" s="1523"/>
      <c r="P57" s="1524"/>
      <c r="Q57" s="1523"/>
      <c r="R57" s="1527"/>
      <c r="S57" s="1297"/>
      <c r="T57" s="1335"/>
    </row>
    <row r="58" spans="1:20" ht="24.95" customHeight="1">
      <c r="A58" s="1290">
        <v>3</v>
      </c>
      <c r="B58" s="1289" t="s">
        <v>134</v>
      </c>
      <c r="C58" s="1289"/>
      <c r="D58" s="1290"/>
      <c r="E58" s="1289"/>
      <c r="F58" s="1289"/>
      <c r="G58" s="1289"/>
      <c r="H58" s="1237"/>
      <c r="I58" s="1290"/>
      <c r="J58" s="1289"/>
      <c r="K58" s="1289"/>
      <c r="L58" s="1289"/>
      <c r="M58" s="1291"/>
      <c r="N58" s="1522"/>
      <c r="O58" s="1289"/>
      <c r="P58" s="1290"/>
      <c r="Q58" s="1289"/>
      <c r="R58" s="1296"/>
      <c r="S58" s="1297"/>
      <c r="T58" s="1297"/>
    </row>
    <row r="59" spans="1:20" ht="24.95" customHeight="1">
      <c r="A59" s="1290"/>
      <c r="B59" s="1289" t="s">
        <v>3717</v>
      </c>
      <c r="C59" s="1289"/>
      <c r="D59" s="1290"/>
      <c r="E59" s="1289"/>
      <c r="F59" s="1289"/>
      <c r="G59" s="1289"/>
      <c r="H59" s="1237"/>
      <c r="I59" s="1290"/>
      <c r="J59" s="1289"/>
      <c r="K59" s="1289"/>
      <c r="L59" s="1289"/>
      <c r="M59" s="1291"/>
      <c r="N59" s="1522"/>
      <c r="O59" s="1289"/>
      <c r="P59" s="1290"/>
      <c r="Q59" s="1289"/>
      <c r="R59" s="1296"/>
      <c r="S59" s="1297"/>
      <c r="T59" s="1297"/>
    </row>
    <row r="60" spans="1:20" ht="24.95" customHeight="1">
      <c r="A60" s="1290">
        <v>4</v>
      </c>
      <c r="B60" s="1289" t="s">
        <v>353</v>
      </c>
      <c r="C60" s="1289"/>
      <c r="D60" s="1290"/>
      <c r="E60" s="1289"/>
      <c r="F60" s="1289"/>
      <c r="G60" s="1289"/>
      <c r="H60" s="1237"/>
      <c r="I60" s="1290"/>
      <c r="J60" s="1289"/>
      <c r="K60" s="1289"/>
      <c r="L60" s="1289"/>
      <c r="M60" s="1291"/>
      <c r="N60" s="1522"/>
      <c r="O60" s="1289"/>
      <c r="P60" s="1290"/>
      <c r="Q60" s="1289"/>
      <c r="R60" s="1296"/>
      <c r="S60" s="1297"/>
      <c r="T60" s="1297"/>
    </row>
    <row r="61" spans="1:20" ht="24.95" customHeight="1">
      <c r="A61" s="1290"/>
      <c r="B61" s="1289" t="s">
        <v>3717</v>
      </c>
      <c r="C61" s="1289"/>
      <c r="D61" s="1290"/>
      <c r="E61" s="1289"/>
      <c r="F61" s="1289"/>
      <c r="G61" s="1289"/>
      <c r="H61" s="1237"/>
      <c r="I61" s="1290"/>
      <c r="J61" s="1289"/>
      <c r="K61" s="1289"/>
      <c r="L61" s="1289"/>
      <c r="M61" s="1291"/>
      <c r="N61" s="1522"/>
      <c r="O61" s="1289"/>
      <c r="P61" s="1290"/>
      <c r="Q61" s="1289"/>
      <c r="R61" s="1296"/>
      <c r="S61" s="1297"/>
      <c r="T61" s="1297"/>
    </row>
    <row r="62" spans="1:20" ht="24.95" customHeight="1">
      <c r="A62" s="1290">
        <v>5</v>
      </c>
      <c r="B62" s="1289" t="s">
        <v>510</v>
      </c>
      <c r="C62" s="1289"/>
      <c r="D62" s="1290"/>
      <c r="E62" s="1289"/>
      <c r="F62" s="1289"/>
      <c r="G62" s="1289"/>
      <c r="H62" s="1237"/>
      <c r="I62" s="1290"/>
      <c r="J62" s="1289"/>
      <c r="K62" s="1289"/>
      <c r="L62" s="1289"/>
      <c r="M62" s="1291"/>
      <c r="N62" s="1522"/>
      <c r="O62" s="1289"/>
      <c r="P62" s="1290"/>
      <c r="Q62" s="1289"/>
      <c r="R62" s="1296"/>
      <c r="S62" s="1297"/>
      <c r="T62" s="1297"/>
    </row>
    <row r="63" spans="1:20" ht="24.95" customHeight="1">
      <c r="A63" s="1290"/>
      <c r="B63" s="1289" t="s">
        <v>3717</v>
      </c>
      <c r="C63" s="1289"/>
      <c r="D63" s="1290"/>
      <c r="E63" s="1289"/>
      <c r="F63" s="1289"/>
      <c r="G63" s="1289"/>
      <c r="H63" s="1237"/>
      <c r="I63" s="1290"/>
      <c r="J63" s="1289"/>
      <c r="K63" s="1289"/>
      <c r="L63" s="1289"/>
      <c r="M63" s="1291"/>
      <c r="N63" s="1522"/>
      <c r="O63" s="1289"/>
      <c r="P63" s="1290"/>
      <c r="Q63" s="1289"/>
      <c r="R63" s="1296"/>
      <c r="S63" s="1297"/>
      <c r="T63" s="1297"/>
    </row>
    <row r="64" spans="1:20" s="1536" customFormat="1" ht="24.95" customHeight="1">
      <c r="A64" s="1531" t="s">
        <v>511</v>
      </c>
      <c r="B64" s="1532" t="s">
        <v>512</v>
      </c>
      <c r="C64" s="1533"/>
      <c r="D64" s="1534"/>
      <c r="E64" s="1534"/>
      <c r="F64" s="1534"/>
      <c r="G64" s="1534"/>
      <c r="H64" s="1534"/>
      <c r="I64" s="1534"/>
      <c r="J64" s="1534"/>
      <c r="K64" s="1534"/>
      <c r="L64" s="1534"/>
      <c r="M64" s="1534"/>
      <c r="N64" s="1535"/>
      <c r="O64" s="1534"/>
      <c r="P64" s="1534"/>
      <c r="Q64" s="1534"/>
      <c r="R64" s="1534"/>
      <c r="S64" s="1534"/>
      <c r="T64" s="1534"/>
    </row>
    <row r="65" spans="1:20" s="1536" customFormat="1" ht="24.95" customHeight="1">
      <c r="A65" s="1531">
        <v>1</v>
      </c>
      <c r="B65" s="1531" t="s">
        <v>513</v>
      </c>
      <c r="C65" s="1530"/>
      <c r="D65" s="1534"/>
      <c r="E65" s="1534"/>
      <c r="F65" s="1534"/>
      <c r="G65" s="1534"/>
      <c r="H65" s="1534"/>
      <c r="I65" s="1534"/>
      <c r="J65" s="1534"/>
      <c r="K65" s="1534"/>
      <c r="L65" s="1534"/>
      <c r="M65" s="1534"/>
      <c r="N65" s="1535"/>
      <c r="O65" s="1534"/>
      <c r="P65" s="1534"/>
      <c r="Q65" s="1534"/>
      <c r="R65" s="1534"/>
      <c r="S65" s="1534"/>
      <c r="T65" s="1534"/>
    </row>
    <row r="66" spans="1:20" s="1536" customFormat="1" ht="24.95" customHeight="1">
      <c r="A66" s="1531"/>
      <c r="B66" s="1532" t="s">
        <v>3717</v>
      </c>
      <c r="C66" s="1533"/>
      <c r="D66" s="1534"/>
      <c r="E66" s="1534"/>
      <c r="F66" s="1534"/>
      <c r="G66" s="1534"/>
      <c r="H66" s="1534"/>
      <c r="I66" s="1534"/>
      <c r="J66" s="1534"/>
      <c r="K66" s="1534"/>
      <c r="L66" s="1534"/>
      <c r="M66" s="1534"/>
      <c r="N66" s="1535"/>
      <c r="O66" s="1534"/>
      <c r="P66" s="1534"/>
      <c r="Q66" s="1534"/>
      <c r="R66" s="1534"/>
      <c r="S66" s="1534"/>
      <c r="T66" s="1534"/>
    </row>
    <row r="67" spans="1:20" s="1536" customFormat="1" ht="24.95" customHeight="1">
      <c r="A67" s="1531">
        <v>2</v>
      </c>
      <c r="B67" s="1530" t="s">
        <v>890</v>
      </c>
      <c r="C67" s="1533"/>
      <c r="D67" s="1534"/>
      <c r="E67" s="1534"/>
      <c r="F67" s="1534"/>
      <c r="G67" s="1534"/>
      <c r="H67" s="1534"/>
      <c r="I67" s="1534"/>
      <c r="J67" s="1534"/>
      <c r="K67" s="1534"/>
      <c r="L67" s="1534"/>
      <c r="M67" s="1534"/>
      <c r="N67" s="1535"/>
      <c r="O67" s="1534"/>
      <c r="P67" s="1534"/>
      <c r="Q67" s="1534"/>
      <c r="R67" s="1534"/>
      <c r="S67" s="1534"/>
      <c r="T67" s="1534"/>
    </row>
    <row r="68" spans="1:20" s="1536" customFormat="1" ht="24.95" customHeight="1">
      <c r="A68" s="1531"/>
      <c r="B68" s="1530" t="s">
        <v>3717</v>
      </c>
      <c r="C68" s="1533"/>
      <c r="D68" s="1534"/>
      <c r="E68" s="1534"/>
      <c r="F68" s="1534"/>
      <c r="G68" s="1534"/>
      <c r="H68" s="1534"/>
      <c r="I68" s="1534"/>
      <c r="J68" s="1534"/>
      <c r="K68" s="1534"/>
      <c r="L68" s="1534"/>
      <c r="M68" s="1534"/>
      <c r="N68" s="1535"/>
      <c r="O68" s="1534"/>
      <c r="P68" s="1534"/>
      <c r="Q68" s="1534"/>
      <c r="R68" s="1534"/>
      <c r="S68" s="1534"/>
      <c r="T68" s="1534"/>
    </row>
    <row r="69" spans="1:20" s="1536" customFormat="1" ht="24.95" customHeight="1">
      <c r="A69" s="1531">
        <v>3</v>
      </c>
      <c r="B69" s="1530" t="s">
        <v>981</v>
      </c>
      <c r="C69" s="1533"/>
      <c r="D69" s="1534"/>
      <c r="E69" s="1534"/>
      <c r="F69" s="1534"/>
      <c r="G69" s="1534"/>
      <c r="H69" s="1534"/>
      <c r="I69" s="1534"/>
      <c r="J69" s="1534"/>
      <c r="K69" s="1534"/>
      <c r="L69" s="1534"/>
      <c r="M69" s="1534"/>
      <c r="N69" s="1535"/>
      <c r="O69" s="1534"/>
      <c r="P69" s="1534"/>
      <c r="Q69" s="1534"/>
      <c r="R69" s="1534"/>
      <c r="S69" s="1534"/>
      <c r="T69" s="1534"/>
    </row>
    <row r="70" spans="1:20" s="1536" customFormat="1" ht="24.95" customHeight="1">
      <c r="A70" s="1531"/>
      <c r="B70" s="1530" t="s">
        <v>3717</v>
      </c>
      <c r="C70" s="1533"/>
      <c r="D70" s="1534"/>
      <c r="E70" s="1534"/>
      <c r="F70" s="1534"/>
      <c r="G70" s="1534"/>
      <c r="H70" s="1534"/>
      <c r="I70" s="1534"/>
      <c r="J70" s="1534"/>
      <c r="K70" s="1534"/>
      <c r="L70" s="1534"/>
      <c r="M70" s="1534"/>
      <c r="N70" s="1535"/>
      <c r="O70" s="1534"/>
      <c r="P70" s="1534"/>
      <c r="Q70" s="1534"/>
      <c r="R70" s="1534"/>
      <c r="S70" s="1534"/>
      <c r="T70" s="1534"/>
    </row>
    <row r="71" spans="1:20" s="1536" customFormat="1" ht="24.95" customHeight="1">
      <c r="A71" s="1531">
        <v>4</v>
      </c>
      <c r="B71" s="1530" t="s">
        <v>982</v>
      </c>
      <c r="C71" s="1533"/>
      <c r="D71" s="1534"/>
      <c r="E71" s="1534"/>
      <c r="F71" s="1534"/>
      <c r="G71" s="1534"/>
      <c r="H71" s="1534"/>
      <c r="I71" s="1534"/>
      <c r="J71" s="1534"/>
      <c r="K71" s="1534"/>
      <c r="L71" s="1534"/>
      <c r="M71" s="1534"/>
      <c r="N71" s="1535"/>
      <c r="O71" s="1534"/>
      <c r="P71" s="1534"/>
      <c r="Q71" s="1534"/>
      <c r="R71" s="1534"/>
      <c r="S71" s="1534"/>
      <c r="T71" s="1534"/>
    </row>
    <row r="72" spans="1:20" s="1536" customFormat="1" ht="24.95" customHeight="1">
      <c r="A72" s="1531"/>
      <c r="B72" s="1530" t="s">
        <v>3717</v>
      </c>
      <c r="C72" s="1533"/>
      <c r="D72" s="1534"/>
      <c r="E72" s="1534"/>
      <c r="F72" s="1534"/>
      <c r="G72" s="1534"/>
      <c r="H72" s="1534"/>
      <c r="I72" s="1534"/>
      <c r="J72" s="1534"/>
      <c r="K72" s="1534"/>
      <c r="L72" s="1534"/>
      <c r="M72" s="1534"/>
      <c r="N72" s="1535"/>
      <c r="O72" s="1534"/>
      <c r="P72" s="1534"/>
      <c r="Q72" s="1534"/>
      <c r="R72" s="1534"/>
      <c r="S72" s="1534"/>
      <c r="T72" s="1534"/>
    </row>
    <row r="73" spans="1:20" s="1536" customFormat="1" ht="24.95" customHeight="1">
      <c r="A73" s="1532" t="s">
        <v>1006</v>
      </c>
      <c r="B73" s="1537" t="s">
        <v>1007</v>
      </c>
      <c r="C73" s="1533"/>
      <c r="D73" s="1534"/>
      <c r="E73" s="1534"/>
      <c r="F73" s="1534"/>
      <c r="G73" s="1534"/>
      <c r="H73" s="1534"/>
      <c r="I73" s="1534"/>
      <c r="J73" s="1534"/>
      <c r="K73" s="1534"/>
      <c r="L73" s="1534"/>
      <c r="M73" s="1534"/>
      <c r="N73" s="1535"/>
      <c r="O73" s="1534"/>
      <c r="P73" s="1534"/>
      <c r="Q73" s="1534"/>
      <c r="R73" s="1534"/>
      <c r="S73" s="1534"/>
      <c r="T73" s="1534"/>
    </row>
    <row r="74" spans="1:20" s="1536" customFormat="1" ht="24.95" customHeight="1">
      <c r="A74" s="1533">
        <v>1</v>
      </c>
      <c r="B74" s="1530" t="s">
        <v>1008</v>
      </c>
      <c r="C74" s="1533"/>
      <c r="D74" s="1534"/>
      <c r="E74" s="1534"/>
      <c r="F74" s="1534"/>
      <c r="G74" s="1534"/>
      <c r="H74" s="1534"/>
      <c r="I74" s="1534"/>
      <c r="J74" s="1534"/>
      <c r="K74" s="1534"/>
      <c r="L74" s="1534"/>
      <c r="M74" s="1534"/>
      <c r="N74" s="1535"/>
      <c r="O74" s="1534"/>
      <c r="P74" s="1534"/>
      <c r="Q74" s="1534"/>
      <c r="R74" s="1534"/>
      <c r="S74" s="1534"/>
      <c r="T74" s="1534"/>
    </row>
    <row r="75" spans="1:20" s="1536" customFormat="1" ht="24.95" customHeight="1">
      <c r="A75" s="1533"/>
      <c r="B75" s="1530" t="s">
        <v>3717</v>
      </c>
      <c r="C75" s="1538"/>
      <c r="D75" s="1538"/>
      <c r="E75" s="1538"/>
      <c r="F75" s="1538"/>
      <c r="G75" s="1538"/>
      <c r="H75" s="1538"/>
      <c r="I75" s="1539"/>
      <c r="J75" s="1538"/>
      <c r="K75" s="1538"/>
      <c r="L75" s="1538"/>
      <c r="M75" s="1540"/>
      <c r="N75" s="1541"/>
      <c r="O75" s="1538"/>
      <c r="P75" s="1538"/>
      <c r="Q75" s="1538"/>
      <c r="R75" s="1542"/>
      <c r="S75" s="1530"/>
      <c r="T75" s="1530"/>
    </row>
    <row r="76" spans="1:20" s="1536" customFormat="1" ht="24.95" customHeight="1">
      <c r="A76" s="1533">
        <v>2</v>
      </c>
      <c r="B76" s="1530" t="s">
        <v>1042</v>
      </c>
      <c r="C76" s="1533"/>
      <c r="D76" s="1543"/>
      <c r="E76" s="1534"/>
      <c r="F76" s="1534"/>
      <c r="G76" s="1534"/>
      <c r="H76" s="1534"/>
      <c r="I76" s="1534"/>
      <c r="J76" s="1534"/>
      <c r="K76" s="1534"/>
      <c r="L76" s="1534"/>
      <c r="M76" s="1534"/>
      <c r="N76" s="1535"/>
      <c r="O76" s="1534"/>
      <c r="P76" s="1534"/>
      <c r="Q76" s="1534"/>
      <c r="R76" s="1534"/>
      <c r="S76" s="1534"/>
      <c r="T76" s="1534"/>
    </row>
    <row r="77" spans="1:20" s="1536" customFormat="1" ht="24.95" customHeight="1">
      <c r="A77" s="1533"/>
      <c r="B77" s="1530" t="s">
        <v>3717</v>
      </c>
      <c r="C77" s="1533"/>
      <c r="D77" s="1534"/>
      <c r="E77" s="1534"/>
      <c r="F77" s="1534"/>
      <c r="G77" s="1534"/>
      <c r="H77" s="1534"/>
      <c r="I77" s="1534"/>
      <c r="J77" s="1534"/>
      <c r="K77" s="1534"/>
      <c r="L77" s="1534"/>
      <c r="M77" s="1534"/>
      <c r="N77" s="1535"/>
      <c r="O77" s="1534"/>
      <c r="P77" s="1534"/>
      <c r="Q77" s="1534"/>
      <c r="R77" s="1534"/>
      <c r="S77" s="1534"/>
      <c r="T77" s="1534"/>
    </row>
    <row r="78" spans="1:20" s="1536" customFormat="1" ht="24.95" customHeight="1">
      <c r="A78" s="1533">
        <v>3</v>
      </c>
      <c r="B78" s="1530" t="s">
        <v>1043</v>
      </c>
      <c r="C78" s="1530"/>
      <c r="D78" s="1530"/>
      <c r="E78" s="1530"/>
      <c r="F78" s="1534"/>
      <c r="G78" s="1534"/>
      <c r="H78" s="1534"/>
      <c r="I78" s="1534"/>
      <c r="J78" s="1534"/>
      <c r="K78" s="1534"/>
      <c r="L78" s="1530"/>
      <c r="M78" s="1530"/>
      <c r="N78" s="1535"/>
      <c r="O78" s="1534"/>
      <c r="P78" s="1534"/>
      <c r="Q78" s="1534"/>
      <c r="R78" s="1534"/>
      <c r="S78" s="1534"/>
      <c r="T78" s="1534"/>
    </row>
    <row r="79" spans="1:20" s="1536" customFormat="1" ht="24.95" customHeight="1">
      <c r="A79" s="1533"/>
      <c r="B79" s="1530" t="s">
        <v>3717</v>
      </c>
      <c r="C79" s="1533"/>
      <c r="D79" s="1534"/>
      <c r="E79" s="1534"/>
      <c r="F79" s="1534"/>
      <c r="G79" s="1534"/>
      <c r="H79" s="1534"/>
      <c r="I79" s="1534"/>
      <c r="J79" s="1534"/>
      <c r="K79" s="1534"/>
      <c r="L79" s="1534"/>
      <c r="M79" s="1534"/>
      <c r="N79" s="1535"/>
      <c r="O79" s="1534"/>
      <c r="P79" s="1534"/>
      <c r="Q79" s="1534"/>
      <c r="R79" s="1534"/>
      <c r="S79" s="1534"/>
      <c r="T79" s="1534"/>
    </row>
    <row r="80" spans="1:20" s="1536" customFormat="1" ht="24.95" customHeight="1">
      <c r="A80" s="1533">
        <v>4</v>
      </c>
      <c r="B80" s="1530" t="s">
        <v>1044</v>
      </c>
      <c r="C80" s="1533"/>
      <c r="D80" s="1534"/>
      <c r="E80" s="1534"/>
      <c r="F80" s="1534"/>
      <c r="G80" s="1534"/>
      <c r="H80" s="1534"/>
      <c r="I80" s="1534"/>
      <c r="J80" s="1534"/>
      <c r="K80" s="1534"/>
      <c r="L80" s="1534"/>
      <c r="M80" s="1534"/>
      <c r="N80" s="1535"/>
      <c r="O80" s="1534"/>
      <c r="P80" s="1534"/>
      <c r="Q80" s="1534"/>
      <c r="R80" s="1534"/>
      <c r="S80" s="1534"/>
      <c r="T80" s="1534"/>
    </row>
    <row r="81" spans="1:20" s="1536" customFormat="1" ht="24.95" customHeight="1">
      <c r="A81" s="1533"/>
      <c r="B81" s="1530" t="s">
        <v>3717</v>
      </c>
      <c r="C81" s="1533"/>
      <c r="D81" s="1534"/>
      <c r="E81" s="1534"/>
      <c r="F81" s="1534"/>
      <c r="G81" s="1534"/>
      <c r="H81" s="1534"/>
      <c r="I81" s="1534"/>
      <c r="J81" s="1534"/>
      <c r="K81" s="1534"/>
      <c r="L81" s="1534"/>
      <c r="M81" s="1534"/>
      <c r="N81" s="1535"/>
      <c r="O81" s="1534"/>
      <c r="P81" s="1534"/>
      <c r="Q81" s="1534"/>
      <c r="R81" s="1534"/>
      <c r="S81" s="1534"/>
      <c r="T81" s="1534"/>
    </row>
    <row r="82" spans="1:20" s="1536" customFormat="1" ht="24.95" customHeight="1">
      <c r="A82" s="1533">
        <v>5</v>
      </c>
      <c r="B82" s="1530" t="s">
        <v>1097</v>
      </c>
      <c r="C82" s="1533"/>
      <c r="D82" s="1534"/>
      <c r="E82" s="1534"/>
      <c r="F82" s="1534"/>
      <c r="G82" s="1534"/>
      <c r="H82" s="1534"/>
      <c r="I82" s="1534"/>
      <c r="J82" s="1534"/>
      <c r="K82" s="1534"/>
      <c r="L82" s="1534"/>
      <c r="M82" s="1534"/>
      <c r="N82" s="1535"/>
      <c r="O82" s="1534"/>
      <c r="P82" s="1534"/>
      <c r="Q82" s="1534"/>
      <c r="R82" s="1534"/>
      <c r="S82" s="1534"/>
      <c r="T82" s="1534"/>
    </row>
    <row r="83" spans="1:20" s="1536" customFormat="1" ht="24.95" customHeight="1">
      <c r="A83" s="1533"/>
      <c r="B83" s="1530" t="s">
        <v>3717</v>
      </c>
      <c r="C83" s="1533"/>
      <c r="D83" s="1534"/>
      <c r="E83" s="1534"/>
      <c r="F83" s="1534"/>
      <c r="G83" s="1534"/>
      <c r="H83" s="1534"/>
      <c r="I83" s="1534"/>
      <c r="J83" s="1534"/>
      <c r="K83" s="1534"/>
      <c r="L83" s="1534"/>
      <c r="M83" s="1534"/>
      <c r="N83" s="1535"/>
      <c r="O83" s="1534"/>
      <c r="P83" s="1534"/>
      <c r="Q83" s="1534"/>
      <c r="R83" s="1534"/>
      <c r="S83" s="1534"/>
      <c r="T83" s="1534"/>
    </row>
    <row r="84" spans="1:20" s="1536" customFormat="1" ht="24.95" customHeight="1">
      <c r="A84" s="1533">
        <v>6</v>
      </c>
      <c r="B84" s="1530" t="s">
        <v>1107</v>
      </c>
      <c r="C84" s="1533"/>
      <c r="D84" s="1534"/>
      <c r="E84" s="1534"/>
      <c r="F84" s="1534"/>
      <c r="G84" s="1534"/>
      <c r="H84" s="1534"/>
      <c r="I84" s="1534"/>
      <c r="J84" s="1534"/>
      <c r="K84" s="1534"/>
      <c r="L84" s="1534"/>
      <c r="M84" s="1534"/>
      <c r="N84" s="1535"/>
      <c r="O84" s="1534"/>
      <c r="P84" s="1534"/>
      <c r="Q84" s="1534"/>
      <c r="R84" s="1534"/>
      <c r="S84" s="1534"/>
      <c r="T84" s="1534"/>
    </row>
    <row r="85" spans="1:20" s="1536" customFormat="1" ht="24.95" customHeight="1">
      <c r="A85" s="1533"/>
      <c r="B85" s="1530" t="s">
        <v>3717</v>
      </c>
      <c r="C85" s="1533"/>
      <c r="D85" s="1534"/>
      <c r="E85" s="1534"/>
      <c r="F85" s="1534"/>
      <c r="G85" s="1534"/>
      <c r="H85" s="1534"/>
      <c r="I85" s="1534"/>
      <c r="J85" s="1534"/>
      <c r="K85" s="1534"/>
      <c r="L85" s="1534"/>
      <c r="M85" s="1534"/>
      <c r="N85" s="1535"/>
      <c r="O85" s="1534"/>
      <c r="P85" s="1534"/>
      <c r="Q85" s="1534"/>
      <c r="R85" s="1534"/>
      <c r="S85" s="1534"/>
      <c r="T85" s="1534"/>
    </row>
    <row r="86" spans="1:20" s="1536" customFormat="1" ht="24.95" customHeight="1">
      <c r="A86" s="1532" t="s">
        <v>1108</v>
      </c>
      <c r="B86" s="1532" t="s">
        <v>1109</v>
      </c>
      <c r="C86" s="1533"/>
      <c r="D86" s="1534"/>
      <c r="E86" s="1534"/>
      <c r="F86" s="1534"/>
      <c r="G86" s="1534"/>
      <c r="H86" s="1534"/>
      <c r="I86" s="1534"/>
      <c r="J86" s="1534"/>
      <c r="K86" s="1534"/>
      <c r="L86" s="1534"/>
      <c r="M86" s="1534"/>
      <c r="N86" s="1535"/>
      <c r="O86" s="1534"/>
      <c r="P86" s="1534"/>
      <c r="Q86" s="1534"/>
      <c r="R86" s="1534"/>
      <c r="S86" s="1534"/>
      <c r="T86" s="1534"/>
    </row>
    <row r="87" spans="1:20" s="1545" customFormat="1" ht="24.95" customHeight="1">
      <c r="A87" s="1530">
        <v>1</v>
      </c>
      <c r="B87" s="1530" t="s">
        <v>1110</v>
      </c>
      <c r="C87" s="1530"/>
      <c r="D87" s="1530"/>
      <c r="E87" s="1530"/>
      <c r="F87" s="1530"/>
      <c r="G87" s="1530"/>
      <c r="H87" s="1530"/>
      <c r="I87" s="1530"/>
      <c r="J87" s="1530"/>
      <c r="K87" s="1530"/>
      <c r="L87" s="1530"/>
      <c r="M87" s="1530"/>
      <c r="N87" s="1544"/>
      <c r="O87" s="1530"/>
      <c r="P87" s="1530"/>
      <c r="Q87" s="1530"/>
      <c r="R87" s="1530"/>
      <c r="S87" s="1530"/>
      <c r="T87" s="1530"/>
    </row>
    <row r="88" spans="1:20" s="1545" customFormat="1" ht="24.95" customHeight="1">
      <c r="A88" s="1530"/>
      <c r="B88" s="1546" t="s">
        <v>2928</v>
      </c>
      <c r="C88" s="1547" t="s">
        <v>6853</v>
      </c>
      <c r="D88" s="1547" t="s">
        <v>79</v>
      </c>
      <c r="E88" s="1530">
        <v>1</v>
      </c>
      <c r="F88" s="1530"/>
      <c r="G88" s="1530" t="s">
        <v>32</v>
      </c>
      <c r="H88" s="1530" t="s">
        <v>33</v>
      </c>
      <c r="I88" s="1530"/>
      <c r="J88" s="1530"/>
      <c r="K88" s="1530" t="s">
        <v>3021</v>
      </c>
      <c r="L88" s="1530">
        <v>1268532.96</v>
      </c>
      <c r="M88" s="1530">
        <v>824546.4</v>
      </c>
      <c r="N88" s="1548">
        <v>44173</v>
      </c>
      <c r="O88" s="1523" t="s">
        <v>6844</v>
      </c>
      <c r="P88" s="1524" t="s">
        <v>6845</v>
      </c>
      <c r="Q88" s="1523">
        <v>17788979786</v>
      </c>
      <c r="R88" s="1527" t="s">
        <v>6846</v>
      </c>
      <c r="S88" s="1297" t="s">
        <v>6847</v>
      </c>
      <c r="T88" s="1530"/>
    </row>
    <row r="89" spans="1:20" s="1545" customFormat="1" ht="24.95" customHeight="1">
      <c r="A89" s="1530"/>
      <c r="B89" s="1546" t="s">
        <v>2928</v>
      </c>
      <c r="C89" s="1547" t="s">
        <v>6853</v>
      </c>
      <c r="D89" s="1547" t="s">
        <v>79</v>
      </c>
      <c r="E89" s="1530">
        <v>1</v>
      </c>
      <c r="F89" s="1530"/>
      <c r="G89" s="1530" t="s">
        <v>32</v>
      </c>
      <c r="H89" s="1530" t="s">
        <v>33</v>
      </c>
      <c r="I89" s="1530"/>
      <c r="J89" s="1530"/>
      <c r="K89" s="1530" t="s">
        <v>3021</v>
      </c>
      <c r="L89" s="1530">
        <v>1268080.2</v>
      </c>
      <c r="M89" s="1530">
        <v>898223.45</v>
      </c>
      <c r="N89" s="1548">
        <v>44221</v>
      </c>
      <c r="O89" s="1523" t="s">
        <v>6844</v>
      </c>
      <c r="P89" s="1524" t="s">
        <v>6845</v>
      </c>
      <c r="Q89" s="1523">
        <v>17788979786</v>
      </c>
      <c r="R89" s="1527" t="s">
        <v>6846</v>
      </c>
      <c r="S89" s="1297" t="s">
        <v>6847</v>
      </c>
      <c r="T89" s="1530"/>
    </row>
    <row r="90" spans="1:20" s="1545" customFormat="1" ht="24.95" customHeight="1">
      <c r="A90" s="1530">
        <v>2</v>
      </c>
      <c r="B90" s="1530" t="s">
        <v>1146</v>
      </c>
      <c r="C90" s="1530"/>
      <c r="D90" s="1530"/>
      <c r="E90" s="1530"/>
      <c r="F90" s="1530"/>
      <c r="G90" s="1530"/>
      <c r="H90" s="1530"/>
      <c r="I90" s="1530"/>
      <c r="J90" s="1530"/>
      <c r="K90" s="1530"/>
      <c r="L90" s="1530"/>
      <c r="M90" s="1530"/>
      <c r="N90" s="1544"/>
      <c r="O90" s="1530"/>
      <c r="P90" s="1530"/>
      <c r="Q90" s="1530"/>
      <c r="R90" s="1530"/>
      <c r="S90" s="1530"/>
      <c r="T90" s="1530"/>
    </row>
    <row r="91" spans="1:20" s="1545" customFormat="1" ht="24.95" customHeight="1">
      <c r="A91" s="1530"/>
      <c r="B91" s="1530" t="s">
        <v>3717</v>
      </c>
      <c r="C91" s="1530"/>
      <c r="D91" s="1530"/>
      <c r="E91" s="1530"/>
      <c r="F91" s="1530"/>
      <c r="G91" s="1530"/>
      <c r="H91" s="1530"/>
      <c r="I91" s="1530"/>
      <c r="J91" s="1530"/>
      <c r="K91" s="1530"/>
      <c r="L91" s="1530"/>
      <c r="M91" s="1530"/>
      <c r="N91" s="1544"/>
      <c r="O91" s="1530"/>
      <c r="P91" s="1530"/>
      <c r="Q91" s="1530"/>
      <c r="R91" s="1530"/>
      <c r="S91" s="1530"/>
      <c r="T91" s="1530"/>
    </row>
    <row r="92" spans="1:20" s="1545" customFormat="1" ht="24.95" customHeight="1">
      <c r="A92" s="1530">
        <v>3</v>
      </c>
      <c r="B92" s="1530" t="s">
        <v>1147</v>
      </c>
      <c r="C92" s="1530"/>
      <c r="D92" s="1530"/>
      <c r="E92" s="1530"/>
      <c r="F92" s="1530"/>
      <c r="G92" s="1530"/>
      <c r="H92" s="1530"/>
      <c r="I92" s="1530"/>
      <c r="J92" s="1530"/>
      <c r="K92" s="1530"/>
      <c r="L92" s="1530"/>
      <c r="M92" s="1530"/>
      <c r="N92" s="1544"/>
      <c r="O92" s="1530"/>
      <c r="P92" s="1530"/>
      <c r="Q92" s="1530"/>
      <c r="R92" s="1530"/>
      <c r="S92" s="1530"/>
      <c r="T92" s="1530"/>
    </row>
    <row r="93" spans="1:20" s="1545" customFormat="1" ht="24.95" customHeight="1">
      <c r="A93" s="1530"/>
      <c r="B93" s="1324"/>
      <c r="C93" s="1530"/>
      <c r="D93" s="1530"/>
      <c r="E93" s="1530"/>
      <c r="F93" s="1530"/>
      <c r="G93" s="1530"/>
      <c r="H93" s="1530"/>
      <c r="I93" s="1530"/>
      <c r="J93" s="1530"/>
      <c r="K93" s="1530"/>
      <c r="L93" s="1530"/>
      <c r="M93" s="1530"/>
      <c r="N93" s="1544"/>
      <c r="O93" s="1530"/>
      <c r="P93" s="1530"/>
      <c r="Q93" s="1530"/>
      <c r="R93" s="1530"/>
      <c r="S93" s="1530"/>
      <c r="T93" s="1530"/>
    </row>
    <row r="94" spans="1:20" s="1536" customFormat="1" ht="24.95" customHeight="1">
      <c r="A94" s="1532" t="s">
        <v>1151</v>
      </c>
      <c r="B94" s="1532" t="s">
        <v>1152</v>
      </c>
      <c r="C94" s="1533"/>
      <c r="D94" s="1534"/>
      <c r="E94" s="1534"/>
      <c r="F94" s="1534"/>
      <c r="G94" s="1534"/>
      <c r="H94" s="1534"/>
      <c r="I94" s="1534"/>
      <c r="J94" s="1534"/>
      <c r="K94" s="1534"/>
      <c r="L94" s="1534"/>
      <c r="M94" s="1534"/>
      <c r="N94" s="1535"/>
      <c r="O94" s="1534"/>
      <c r="P94" s="1534"/>
      <c r="Q94" s="1534"/>
      <c r="R94" s="1534"/>
      <c r="S94" s="1534"/>
      <c r="T94" s="1534"/>
    </row>
    <row r="95" spans="1:20" s="1536" customFormat="1" ht="24.95" customHeight="1">
      <c r="A95" s="1533">
        <v>1</v>
      </c>
      <c r="B95" s="1530" t="s">
        <v>1153</v>
      </c>
      <c r="C95" s="1533"/>
      <c r="D95" s="1534"/>
      <c r="E95" s="1534"/>
      <c r="F95" s="1534"/>
      <c r="G95" s="1534"/>
      <c r="H95" s="1534"/>
      <c r="I95" s="1534"/>
      <c r="J95" s="1534"/>
      <c r="K95" s="1534"/>
      <c r="L95" s="1534"/>
      <c r="M95" s="1534"/>
      <c r="N95" s="1535"/>
      <c r="O95" s="1534"/>
      <c r="P95" s="1534"/>
      <c r="Q95" s="1534"/>
      <c r="R95" s="1534"/>
      <c r="S95" s="1534"/>
      <c r="T95" s="1534"/>
    </row>
    <row r="96" spans="1:20" s="1536" customFormat="1" ht="24.95" customHeight="1">
      <c r="A96" s="1533"/>
      <c r="B96" s="1530" t="s">
        <v>3041</v>
      </c>
      <c r="C96" s="1530" t="s">
        <v>3030</v>
      </c>
      <c r="D96" s="1549" t="s">
        <v>79</v>
      </c>
      <c r="E96" s="1549">
        <v>1</v>
      </c>
      <c r="F96" s="1534"/>
      <c r="G96" s="1530" t="s">
        <v>32</v>
      </c>
      <c r="H96" s="1530" t="s">
        <v>33</v>
      </c>
      <c r="I96" s="1534"/>
      <c r="J96" s="1534"/>
      <c r="K96" s="1502" t="s">
        <v>3021</v>
      </c>
      <c r="L96" s="1530">
        <v>880000</v>
      </c>
      <c r="M96" s="1530">
        <v>572000.02</v>
      </c>
      <c r="N96" s="1544">
        <v>44173</v>
      </c>
      <c r="O96" s="1523" t="s">
        <v>6844</v>
      </c>
      <c r="P96" s="1524" t="s">
        <v>6845</v>
      </c>
      <c r="Q96" s="1523">
        <v>17788979786</v>
      </c>
      <c r="R96" s="1527" t="s">
        <v>6846</v>
      </c>
      <c r="S96" s="1297" t="s">
        <v>6847</v>
      </c>
      <c r="T96" s="1534"/>
    </row>
    <row r="97" spans="1:20" s="1536" customFormat="1" ht="24.95" customHeight="1">
      <c r="A97" s="1533"/>
      <c r="B97" s="1530" t="s">
        <v>3041</v>
      </c>
      <c r="C97" s="1530" t="s">
        <v>3030</v>
      </c>
      <c r="D97" s="1549" t="s">
        <v>79</v>
      </c>
      <c r="E97" s="1549">
        <v>1</v>
      </c>
      <c r="F97" s="1534"/>
      <c r="G97" s="1530" t="s">
        <v>32</v>
      </c>
      <c r="H97" s="1530" t="s">
        <v>33</v>
      </c>
      <c r="I97" s="1534"/>
      <c r="J97" s="1534"/>
      <c r="K97" s="1502" t="s">
        <v>3021</v>
      </c>
      <c r="L97" s="1530">
        <v>910000</v>
      </c>
      <c r="M97" s="1530">
        <v>219916.71</v>
      </c>
      <c r="N97" s="1544">
        <v>43969</v>
      </c>
      <c r="O97" s="1523" t="s">
        <v>6844</v>
      </c>
      <c r="P97" s="1524" t="s">
        <v>6845</v>
      </c>
      <c r="Q97" s="1523">
        <v>17788979786</v>
      </c>
      <c r="R97" s="1527" t="s">
        <v>6846</v>
      </c>
      <c r="S97" s="1297" t="s">
        <v>6847</v>
      </c>
      <c r="T97" s="1534"/>
    </row>
    <row r="98" spans="1:20" s="1536" customFormat="1" ht="24.95" customHeight="1">
      <c r="A98" s="1533">
        <v>2</v>
      </c>
      <c r="B98" s="1530" t="s">
        <v>1158</v>
      </c>
      <c r="C98" s="1533"/>
      <c r="D98" s="1534"/>
      <c r="E98" s="1534"/>
      <c r="F98" s="1534"/>
      <c r="G98" s="1534"/>
      <c r="H98" s="1534"/>
      <c r="I98" s="1534"/>
      <c r="J98" s="1534"/>
      <c r="K98" s="1534"/>
      <c r="L98" s="1534"/>
      <c r="M98" s="1534"/>
      <c r="N98" s="1535"/>
      <c r="O98" s="1534"/>
      <c r="P98" s="1534"/>
      <c r="Q98" s="1534"/>
      <c r="R98" s="1534"/>
      <c r="S98" s="1534"/>
      <c r="T98" s="1534"/>
    </row>
    <row r="99" spans="1:20" s="1551" customFormat="1" ht="24.95" customHeight="1">
      <c r="A99" s="1297"/>
      <c r="B99" s="1297" t="s">
        <v>1043</v>
      </c>
      <c r="C99" s="1297" t="s">
        <v>4434</v>
      </c>
      <c r="D99" s="1297" t="s">
        <v>3821</v>
      </c>
      <c r="E99" s="1297">
        <v>564</v>
      </c>
      <c r="F99" s="1297"/>
      <c r="G99" s="1523" t="s">
        <v>32</v>
      </c>
      <c r="H99" s="1525" t="s">
        <v>33</v>
      </c>
      <c r="I99" s="1297"/>
      <c r="J99" s="1297"/>
      <c r="K99" s="1297" t="s">
        <v>6854</v>
      </c>
      <c r="L99" s="1297">
        <v>924960</v>
      </c>
      <c r="M99" s="1297">
        <v>601224</v>
      </c>
      <c r="N99" s="1550">
        <v>44194</v>
      </c>
      <c r="O99" s="1523" t="s">
        <v>6844</v>
      </c>
      <c r="P99" s="1524" t="s">
        <v>6845</v>
      </c>
      <c r="Q99" s="1523">
        <v>17788979786</v>
      </c>
      <c r="R99" s="1527" t="s">
        <v>6846</v>
      </c>
      <c r="S99" s="1297" t="s">
        <v>6847</v>
      </c>
      <c r="T99" s="1297"/>
    </row>
    <row r="100" spans="1:20" s="1551" customFormat="1" ht="24.95" customHeight="1">
      <c r="A100" s="1297"/>
      <c r="B100" s="1297" t="s">
        <v>6855</v>
      </c>
      <c r="C100" s="1297" t="s">
        <v>34</v>
      </c>
      <c r="D100" s="1297" t="s">
        <v>131</v>
      </c>
      <c r="E100" s="1297">
        <v>1178</v>
      </c>
      <c r="F100" s="1297"/>
      <c r="G100" s="1523" t="s">
        <v>32</v>
      </c>
      <c r="H100" s="1525" t="s">
        <v>33</v>
      </c>
      <c r="I100" s="1297"/>
      <c r="J100" s="1297"/>
      <c r="K100" s="1297" t="s">
        <v>6854</v>
      </c>
      <c r="L100" s="1297">
        <v>30039</v>
      </c>
      <c r="M100" s="1297">
        <v>19525.32</v>
      </c>
      <c r="N100" s="1550">
        <v>44194</v>
      </c>
      <c r="O100" s="1523" t="s">
        <v>6844</v>
      </c>
      <c r="P100" s="1524" t="s">
        <v>6845</v>
      </c>
      <c r="Q100" s="1523">
        <v>17788979786</v>
      </c>
      <c r="R100" s="1527" t="s">
        <v>6846</v>
      </c>
      <c r="S100" s="1297" t="s">
        <v>6847</v>
      </c>
      <c r="T100" s="1297"/>
    </row>
    <row r="101" spans="1:20" s="1551" customFormat="1" ht="24.95" customHeight="1">
      <c r="A101" s="1297"/>
      <c r="B101" s="1297" t="s">
        <v>2869</v>
      </c>
      <c r="C101" s="1297" t="s">
        <v>6856</v>
      </c>
      <c r="D101" s="1297" t="s">
        <v>3821</v>
      </c>
      <c r="E101" s="1297">
        <v>308</v>
      </c>
      <c r="F101" s="1297"/>
      <c r="G101" s="1523" t="s">
        <v>32</v>
      </c>
      <c r="H101" s="1525" t="s">
        <v>33</v>
      </c>
      <c r="I101" s="1297"/>
      <c r="J101" s="1297"/>
      <c r="K101" s="1297" t="s">
        <v>6854</v>
      </c>
      <c r="L101" s="1297">
        <v>58212</v>
      </c>
      <c r="M101" s="1297">
        <v>37837.800000000003</v>
      </c>
      <c r="N101" s="1550">
        <v>44194</v>
      </c>
      <c r="O101" s="1523" t="s">
        <v>6844</v>
      </c>
      <c r="P101" s="1524" t="s">
        <v>6845</v>
      </c>
      <c r="Q101" s="1523">
        <v>17788979786</v>
      </c>
      <c r="R101" s="1527" t="s">
        <v>6846</v>
      </c>
      <c r="S101" s="1297" t="s">
        <v>6847</v>
      </c>
      <c r="T101" s="1297"/>
    </row>
    <row r="102" spans="1:20" s="1551" customFormat="1" ht="24.95" customHeight="1">
      <c r="A102" s="1297"/>
      <c r="B102" s="1297" t="s">
        <v>6857</v>
      </c>
      <c r="C102" s="1297" t="s">
        <v>34</v>
      </c>
      <c r="D102" s="1297" t="s">
        <v>79</v>
      </c>
      <c r="E102" s="1297">
        <v>1898</v>
      </c>
      <c r="F102" s="1297"/>
      <c r="G102" s="1523" t="s">
        <v>32</v>
      </c>
      <c r="H102" s="1525" t="s">
        <v>33</v>
      </c>
      <c r="I102" s="1297"/>
      <c r="J102" s="1297"/>
      <c r="K102" s="1297" t="s">
        <v>6854</v>
      </c>
      <c r="L102" s="1297">
        <v>12337</v>
      </c>
      <c r="M102" s="1297">
        <v>8019.04</v>
      </c>
      <c r="N102" s="1550">
        <v>44194</v>
      </c>
      <c r="O102" s="1523" t="s">
        <v>6844</v>
      </c>
      <c r="P102" s="1524" t="s">
        <v>6845</v>
      </c>
      <c r="Q102" s="1523">
        <v>17788979786</v>
      </c>
      <c r="R102" s="1527" t="s">
        <v>6846</v>
      </c>
      <c r="S102" s="1297" t="s">
        <v>6847</v>
      </c>
      <c r="T102" s="1297"/>
    </row>
    <row r="103" spans="1:20" s="1551" customFormat="1" ht="24.95" customHeight="1">
      <c r="A103" s="1297"/>
      <c r="B103" s="1297" t="s">
        <v>699</v>
      </c>
      <c r="C103" s="1297" t="s">
        <v>6858</v>
      </c>
      <c r="D103" s="1297" t="s">
        <v>62</v>
      </c>
      <c r="E103" s="1297"/>
      <c r="F103" s="1297">
        <v>64.47</v>
      </c>
      <c r="G103" s="1523" t="s">
        <v>32</v>
      </c>
      <c r="H103" s="1525" t="s">
        <v>33</v>
      </c>
      <c r="I103" s="1297"/>
      <c r="J103" s="1552"/>
      <c r="K103" s="1523" t="s">
        <v>6843</v>
      </c>
      <c r="L103" s="1297">
        <v>54799.5</v>
      </c>
      <c r="M103" s="1297">
        <v>38816.300000000003</v>
      </c>
      <c r="N103" s="1553">
        <v>44214</v>
      </c>
      <c r="O103" s="1523" t="s">
        <v>6844</v>
      </c>
      <c r="P103" s="1524" t="s">
        <v>6845</v>
      </c>
      <c r="Q103" s="1523">
        <v>17788979786</v>
      </c>
      <c r="R103" s="1527" t="s">
        <v>6846</v>
      </c>
      <c r="S103" s="1297" t="s">
        <v>6847</v>
      </c>
      <c r="T103" s="1297"/>
    </row>
    <row r="104" spans="1:20" s="1551" customFormat="1" ht="24.95" customHeight="1">
      <c r="A104" s="1297"/>
      <c r="B104" s="1297" t="s">
        <v>699</v>
      </c>
      <c r="C104" s="1297" t="s">
        <v>6859</v>
      </c>
      <c r="D104" s="1297" t="s">
        <v>62</v>
      </c>
      <c r="E104" s="1297"/>
      <c r="F104" s="1297">
        <v>1.99</v>
      </c>
      <c r="G104" s="1523" t="s">
        <v>32</v>
      </c>
      <c r="H104" s="1525" t="s">
        <v>33</v>
      </c>
      <c r="I104" s="1297"/>
      <c r="J104" s="1552"/>
      <c r="K104" s="1523" t="s">
        <v>6843</v>
      </c>
      <c r="L104" s="1297">
        <v>1691.5</v>
      </c>
      <c r="M104" s="1297">
        <v>1198.1500000000001</v>
      </c>
      <c r="N104" s="1553">
        <v>44214</v>
      </c>
      <c r="O104" s="1523" t="s">
        <v>6844</v>
      </c>
      <c r="P104" s="1524" t="s">
        <v>6845</v>
      </c>
      <c r="Q104" s="1523">
        <v>17788979786</v>
      </c>
      <c r="R104" s="1527" t="s">
        <v>6846</v>
      </c>
      <c r="S104" s="1297" t="s">
        <v>6847</v>
      </c>
      <c r="T104" s="1297"/>
    </row>
    <row r="105" spans="1:20" s="1551" customFormat="1" ht="24.95" customHeight="1">
      <c r="A105" s="1297"/>
      <c r="B105" s="1297" t="s">
        <v>699</v>
      </c>
      <c r="C105" s="1297" t="s">
        <v>168</v>
      </c>
      <c r="D105" s="1297" t="s">
        <v>62</v>
      </c>
      <c r="E105" s="1297"/>
      <c r="F105" s="1297">
        <v>10.34</v>
      </c>
      <c r="G105" s="1523" t="s">
        <v>32</v>
      </c>
      <c r="H105" s="1525" t="s">
        <v>33</v>
      </c>
      <c r="I105" s="1297"/>
      <c r="J105" s="1552"/>
      <c r="K105" s="1523" t="s">
        <v>6843</v>
      </c>
      <c r="L105" s="1554">
        <v>8533.0097087377999</v>
      </c>
      <c r="M105" s="1297">
        <v>8035.25</v>
      </c>
      <c r="N105" s="1544">
        <v>44335</v>
      </c>
      <c r="O105" s="1523" t="s">
        <v>6844</v>
      </c>
      <c r="P105" s="1524" t="s">
        <v>6845</v>
      </c>
      <c r="Q105" s="1523">
        <v>17788979786</v>
      </c>
      <c r="R105" s="1527" t="s">
        <v>6846</v>
      </c>
      <c r="S105" s="1297" t="s">
        <v>6847</v>
      </c>
      <c r="T105" s="1297"/>
    </row>
    <row r="106" spans="1:20" s="1536" customFormat="1" ht="24.95" customHeight="1">
      <c r="A106" s="1533"/>
      <c r="B106" s="1530" t="s">
        <v>3717</v>
      </c>
      <c r="C106" s="1533"/>
      <c r="D106" s="1534"/>
      <c r="E106" s="1534"/>
      <c r="F106" s="1534"/>
      <c r="G106" s="1534"/>
      <c r="H106" s="1534"/>
      <c r="I106" s="1534"/>
      <c r="J106" s="1555"/>
      <c r="K106" s="1534"/>
      <c r="L106" s="1534"/>
      <c r="M106" s="1534"/>
      <c r="N106" s="1535"/>
      <c r="O106" s="1555"/>
      <c r="P106" s="1534"/>
      <c r="Q106" s="1534"/>
      <c r="R106" s="1556"/>
      <c r="S106" s="1534"/>
      <c r="T106" s="1534"/>
    </row>
    <row r="107" spans="1:20" s="1536" customFormat="1" ht="24.95" customHeight="1">
      <c r="A107" s="1532" t="s">
        <v>1159</v>
      </c>
      <c r="B107" s="1532" t="s">
        <v>1160</v>
      </c>
      <c r="C107" s="1530"/>
      <c r="D107" s="1534"/>
      <c r="E107" s="1534"/>
      <c r="F107" s="1534"/>
      <c r="G107" s="1534"/>
      <c r="H107" s="1534"/>
      <c r="I107" s="1534"/>
      <c r="J107" s="1534"/>
      <c r="K107" s="1534"/>
      <c r="L107" s="1534"/>
      <c r="M107" s="1534"/>
      <c r="N107" s="1535"/>
      <c r="O107" s="1534"/>
      <c r="P107" s="1534"/>
      <c r="Q107" s="1534"/>
      <c r="R107" s="1534"/>
      <c r="S107" s="1534"/>
      <c r="T107" s="1534"/>
    </row>
    <row r="108" spans="1:20" s="1536" customFormat="1" ht="24.95" customHeight="1">
      <c r="A108" s="1533">
        <v>1</v>
      </c>
      <c r="B108" s="1530" t="s">
        <v>1161</v>
      </c>
      <c r="C108" s="1533"/>
      <c r="D108" s="1534"/>
      <c r="E108" s="1534"/>
      <c r="F108" s="1534"/>
      <c r="G108" s="1534"/>
      <c r="H108" s="1534"/>
      <c r="I108" s="1534"/>
      <c r="J108" s="1534"/>
      <c r="K108" s="1534"/>
      <c r="L108" s="1534"/>
      <c r="M108" s="1534"/>
      <c r="N108" s="1535"/>
      <c r="O108" s="1534"/>
      <c r="P108" s="1534"/>
      <c r="Q108" s="1534"/>
      <c r="R108" s="1534"/>
      <c r="S108" s="1534"/>
      <c r="T108" s="1534"/>
    </row>
    <row r="109" spans="1:20" s="1536" customFormat="1" ht="24.95" customHeight="1">
      <c r="A109" s="1533"/>
      <c r="B109" s="1530" t="s">
        <v>3717</v>
      </c>
      <c r="C109" s="1533"/>
      <c r="D109" s="1534"/>
      <c r="E109" s="1534"/>
      <c r="F109" s="1534"/>
      <c r="G109" s="1534"/>
      <c r="H109" s="1534"/>
      <c r="I109" s="1534"/>
      <c r="J109" s="1534"/>
      <c r="K109" s="1534"/>
      <c r="L109" s="1534"/>
      <c r="M109" s="1534"/>
      <c r="N109" s="1535"/>
      <c r="O109" s="1534"/>
      <c r="P109" s="1534"/>
      <c r="Q109" s="1534"/>
      <c r="R109" s="1534"/>
      <c r="S109" s="1534"/>
      <c r="T109" s="1534"/>
    </row>
    <row r="110" spans="1:20" s="1536" customFormat="1" ht="24.95" customHeight="1">
      <c r="A110" s="1533">
        <v>2</v>
      </c>
      <c r="B110" s="1530" t="s">
        <v>1162</v>
      </c>
      <c r="C110" s="1530"/>
      <c r="D110" s="1534"/>
      <c r="E110" s="1534"/>
      <c r="F110" s="1534"/>
      <c r="G110" s="1534"/>
      <c r="H110" s="1534"/>
      <c r="I110" s="1534"/>
      <c r="J110" s="1534"/>
      <c r="K110" s="1534"/>
      <c r="L110" s="1534"/>
      <c r="M110" s="1534"/>
      <c r="N110" s="1535"/>
      <c r="O110" s="1534"/>
      <c r="P110" s="1534"/>
      <c r="Q110" s="1534"/>
      <c r="R110" s="1534"/>
      <c r="S110" s="1534"/>
      <c r="T110" s="1534"/>
    </row>
    <row r="111" spans="1:20" s="1536" customFormat="1" ht="24.95" customHeight="1">
      <c r="A111" s="1533"/>
      <c r="B111" s="1530" t="s">
        <v>3717</v>
      </c>
      <c r="C111" s="1533"/>
      <c r="D111" s="1534"/>
      <c r="E111" s="1534"/>
      <c r="F111" s="1534"/>
      <c r="G111" s="1534"/>
      <c r="H111" s="1534"/>
      <c r="I111" s="1534"/>
      <c r="J111" s="1534"/>
      <c r="K111" s="1534"/>
      <c r="L111" s="1534"/>
      <c r="M111" s="1534"/>
      <c r="N111" s="1535"/>
      <c r="O111" s="1534"/>
      <c r="P111" s="1534"/>
      <c r="Q111" s="1534"/>
      <c r="R111" s="1534"/>
      <c r="S111" s="1534"/>
      <c r="T111" s="1534"/>
    </row>
    <row r="112" spans="1:20" s="1536" customFormat="1" ht="24.95" customHeight="1">
      <c r="A112" s="1533">
        <v>3</v>
      </c>
      <c r="B112" s="1530" t="s">
        <v>1362</v>
      </c>
      <c r="C112" s="1533"/>
      <c r="D112" s="1534"/>
      <c r="E112" s="1534"/>
      <c r="F112" s="1534"/>
      <c r="G112" s="1534"/>
      <c r="H112" s="1534"/>
      <c r="I112" s="1534"/>
      <c r="J112" s="1534"/>
      <c r="K112" s="1534"/>
      <c r="L112" s="1534"/>
      <c r="M112" s="1534"/>
      <c r="N112" s="1535"/>
      <c r="O112" s="1534"/>
      <c r="P112" s="1534"/>
      <c r="Q112" s="1534"/>
      <c r="R112" s="1534"/>
      <c r="S112" s="1534"/>
      <c r="T112" s="1534"/>
    </row>
    <row r="113" spans="1:20" ht="24.95" customHeight="1">
      <c r="A113" s="1557"/>
      <c r="B113" s="1533" t="s">
        <v>3717</v>
      </c>
      <c r="C113" s="1557"/>
      <c r="D113" s="1558"/>
      <c r="E113" s="1558"/>
      <c r="F113" s="1558"/>
      <c r="G113" s="1558"/>
      <c r="H113" s="1558"/>
      <c r="I113" s="1558"/>
      <c r="J113" s="1558"/>
      <c r="K113" s="1558"/>
      <c r="L113" s="1558"/>
      <c r="M113" s="1558"/>
      <c r="N113" s="1559"/>
      <c r="O113" s="1558"/>
      <c r="P113" s="1558"/>
      <c r="Q113" s="1558"/>
      <c r="R113" s="1558"/>
      <c r="S113" s="1558"/>
      <c r="T113" s="1558"/>
    </row>
    <row r="114" spans="1:20" ht="81" customHeight="1">
      <c r="A114" s="1942" t="s">
        <v>4034</v>
      </c>
      <c r="B114" s="1942"/>
      <c r="C114" s="1942"/>
      <c r="D114" s="1942"/>
      <c r="E114" s="1942"/>
      <c r="F114" s="1942"/>
      <c r="G114" s="1942"/>
      <c r="H114" s="1942"/>
      <c r="I114" s="1942"/>
      <c r="J114" s="1942"/>
      <c r="K114" s="1942"/>
      <c r="L114" s="1942"/>
      <c r="M114" s="1942"/>
      <c r="N114" s="1943"/>
      <c r="O114" s="1942"/>
      <c r="P114" s="1942"/>
      <c r="Q114" s="1942"/>
      <c r="R114" s="1942"/>
      <c r="S114" s="1942"/>
      <c r="T114" s="1942"/>
    </row>
  </sheetData>
  <autoFilter ref="A5:T5"/>
  <mergeCells count="18">
    <mergeCell ref="A114:T114"/>
    <mergeCell ref="N4:N5"/>
    <mergeCell ref="O4:O5"/>
    <mergeCell ref="P4:P5"/>
    <mergeCell ref="Q4:Q5"/>
    <mergeCell ref="R4:R5"/>
    <mergeCell ref="S4:S5"/>
    <mergeCell ref="A2:T2"/>
    <mergeCell ref="A3:T3"/>
    <mergeCell ref="A4:A5"/>
    <mergeCell ref="B4:B5"/>
    <mergeCell ref="C4:C5"/>
    <mergeCell ref="D4:D5"/>
    <mergeCell ref="E4:E5"/>
    <mergeCell ref="G4:G5"/>
    <mergeCell ref="H4:H5"/>
    <mergeCell ref="J4:J5"/>
    <mergeCell ref="T4:T5"/>
  </mergeCells>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725"/>
  <sheetViews>
    <sheetView workbookViewId="0">
      <selection activeCell="J21" sqref="J21"/>
    </sheetView>
  </sheetViews>
  <sheetFormatPr defaultRowHeight="13.5"/>
  <cols>
    <col min="1" max="1" width="6" style="1040" customWidth="1"/>
    <col min="2" max="2" width="19.25" style="1040" customWidth="1"/>
    <col min="3" max="3" width="17.75" style="1040" customWidth="1"/>
    <col min="4" max="4" width="6.875" style="1040" customWidth="1"/>
    <col min="5" max="5" width="9.375" style="1040" customWidth="1"/>
    <col min="6" max="6" width="10.125" style="1040" customWidth="1"/>
    <col min="7" max="7" width="7.125" style="1040" customWidth="1"/>
    <col min="8" max="8" width="8.5" style="1040" customWidth="1"/>
    <col min="9" max="9" width="17.375" style="1040" customWidth="1"/>
    <col min="10" max="10" width="12.75" style="1040" customWidth="1"/>
    <col min="11" max="11" width="16.125" style="1040" customWidth="1"/>
    <col min="12" max="12" width="11.25" style="1040" customWidth="1"/>
    <col min="13" max="13" width="10.625" style="1040" customWidth="1"/>
    <col min="14" max="14" width="11.875" style="1519" customWidth="1"/>
    <col min="15" max="15" width="13.375" style="1040" customWidth="1"/>
    <col min="16" max="16" width="9" style="1040"/>
    <col min="17" max="17" width="11" style="1040" customWidth="1"/>
    <col min="18" max="16384" width="9" style="1040"/>
  </cols>
  <sheetData>
    <row r="1" spans="1:20" s="1288" customFormat="1" ht="27">
      <c r="A1" s="1799" t="s">
        <v>6040</v>
      </c>
      <c r="B1" s="1799"/>
      <c r="C1" s="1799"/>
      <c r="D1" s="1799"/>
      <c r="E1" s="1799"/>
      <c r="F1" s="1799"/>
      <c r="G1" s="1799"/>
      <c r="H1" s="1799"/>
      <c r="I1" s="1799"/>
      <c r="J1" s="1799"/>
      <c r="K1" s="1799"/>
      <c r="L1" s="1799"/>
      <c r="M1" s="1799"/>
      <c r="N1" s="1799"/>
      <c r="O1" s="1799"/>
      <c r="P1" s="1799"/>
      <c r="Q1" s="1799"/>
      <c r="R1" s="1799"/>
      <c r="S1" s="1799"/>
      <c r="T1" s="1799"/>
    </row>
    <row r="2" spans="1:20" s="1288" customFormat="1" ht="24.75" customHeight="1">
      <c r="A2" s="1948">
        <v>44256</v>
      </c>
      <c r="B2" s="1949"/>
      <c r="C2" s="1949"/>
      <c r="D2" s="1949"/>
      <c r="E2" s="1949"/>
      <c r="F2" s="1949"/>
      <c r="G2" s="1949"/>
      <c r="H2" s="1949"/>
      <c r="I2" s="1949"/>
      <c r="J2" s="1949"/>
      <c r="K2" s="1949"/>
      <c r="L2" s="1949"/>
      <c r="M2" s="1949"/>
      <c r="N2" s="1949"/>
      <c r="O2" s="1949"/>
      <c r="P2" s="1949"/>
      <c r="Q2" s="1949"/>
      <c r="R2" s="1949"/>
      <c r="S2" s="1949"/>
      <c r="T2" s="1949"/>
    </row>
    <row r="3" spans="1:20" s="1292" customFormat="1" ht="19.5" customHeight="1">
      <c r="A3" s="1937" t="s">
        <v>2</v>
      </c>
      <c r="B3" s="1938" t="s">
        <v>3</v>
      </c>
      <c r="C3" s="1938" t="s">
        <v>4</v>
      </c>
      <c r="D3" s="1937" t="s">
        <v>5</v>
      </c>
      <c r="E3" s="1938" t="s">
        <v>1729</v>
      </c>
      <c r="F3" s="1289" t="s">
        <v>1730</v>
      </c>
      <c r="G3" s="1938" t="s">
        <v>8</v>
      </c>
      <c r="H3" s="1950" t="s">
        <v>6041</v>
      </c>
      <c r="I3" s="1290" t="s">
        <v>10</v>
      </c>
      <c r="J3" s="1938" t="s">
        <v>11</v>
      </c>
      <c r="K3" s="1289" t="s">
        <v>12</v>
      </c>
      <c r="L3" s="1289" t="s">
        <v>6042</v>
      </c>
      <c r="M3" s="1291" t="s">
        <v>14</v>
      </c>
      <c r="N3" s="1938" t="s">
        <v>15</v>
      </c>
      <c r="O3" s="1938" t="s">
        <v>6043</v>
      </c>
      <c r="P3" s="1937" t="s">
        <v>17</v>
      </c>
      <c r="Q3" s="1938" t="s">
        <v>18</v>
      </c>
      <c r="R3" s="1945" t="s">
        <v>19</v>
      </c>
      <c r="S3" s="1941" t="s">
        <v>6044</v>
      </c>
      <c r="T3" s="1941" t="s">
        <v>6045</v>
      </c>
    </row>
    <row r="4" spans="1:20" s="1292" customFormat="1" ht="18" customHeight="1">
      <c r="A4" s="1937"/>
      <c r="B4" s="1938"/>
      <c r="C4" s="1938"/>
      <c r="D4" s="1937"/>
      <c r="E4" s="1938"/>
      <c r="F4" s="1289" t="s">
        <v>22</v>
      </c>
      <c r="G4" s="1938"/>
      <c r="H4" s="1951"/>
      <c r="I4" s="1290" t="s">
        <v>23</v>
      </c>
      <c r="J4" s="1938"/>
      <c r="K4" s="1289" t="s">
        <v>24</v>
      </c>
      <c r="L4" s="1291" t="s">
        <v>25</v>
      </c>
      <c r="M4" s="1291" t="s">
        <v>25</v>
      </c>
      <c r="N4" s="1938"/>
      <c r="O4" s="1938"/>
      <c r="P4" s="1937"/>
      <c r="Q4" s="1938"/>
      <c r="R4" s="1945"/>
      <c r="S4" s="1941"/>
      <c r="T4" s="1941"/>
    </row>
    <row r="5" spans="1:20" s="1292" customFormat="1" ht="20.100000000000001" customHeight="1">
      <c r="A5" s="1293" t="s">
        <v>6046</v>
      </c>
      <c r="B5" s="1294" t="s">
        <v>6047</v>
      </c>
      <c r="C5" s="1289"/>
      <c r="D5" s="1290"/>
      <c r="E5" s="1289"/>
      <c r="F5" s="1289"/>
      <c r="G5" s="1289"/>
      <c r="H5" s="1295"/>
      <c r="I5" s="1290"/>
      <c r="J5" s="1289"/>
      <c r="K5" s="1289"/>
      <c r="L5" s="1289"/>
      <c r="M5" s="1291"/>
      <c r="N5" s="1289"/>
      <c r="O5" s="1289"/>
      <c r="P5" s="1290"/>
      <c r="Q5" s="1289"/>
      <c r="R5" s="1296"/>
      <c r="S5" s="1297"/>
      <c r="T5" s="1297"/>
    </row>
    <row r="6" spans="1:20" s="1292" customFormat="1" ht="20.100000000000001" customHeight="1">
      <c r="A6" s="1290">
        <v>1</v>
      </c>
      <c r="B6" s="1289" t="s">
        <v>6048</v>
      </c>
      <c r="C6" s="1289"/>
      <c r="D6" s="1290"/>
      <c r="E6" s="1289"/>
      <c r="F6" s="1289"/>
      <c r="G6" s="1289"/>
      <c r="H6" s="1295"/>
      <c r="I6" s="1290"/>
      <c r="J6" s="1289"/>
      <c r="K6" s="1289"/>
      <c r="L6" s="1289"/>
      <c r="M6" s="1291"/>
      <c r="N6" s="1289"/>
      <c r="O6" s="1289"/>
      <c r="P6" s="1290"/>
      <c r="Q6" s="1289"/>
      <c r="R6" s="1296"/>
      <c r="S6" s="1297"/>
      <c r="T6" s="1297"/>
    </row>
    <row r="7" spans="1:20" s="1292" customFormat="1" ht="20.100000000000001" customHeight="1">
      <c r="A7" s="1290"/>
      <c r="B7" s="1298" t="s">
        <v>29</v>
      </c>
      <c r="C7" s="1298" t="s">
        <v>6049</v>
      </c>
      <c r="D7" s="1298" t="s">
        <v>31</v>
      </c>
      <c r="E7" s="1298">
        <v>448</v>
      </c>
      <c r="F7" s="1299" t="s">
        <v>34</v>
      </c>
      <c r="G7" s="1298" t="s">
        <v>32</v>
      </c>
      <c r="H7" s="1295" t="s">
        <v>6050</v>
      </c>
      <c r="I7" s="1300" t="s">
        <v>34</v>
      </c>
      <c r="J7" s="1300" t="s">
        <v>34</v>
      </c>
      <c r="K7" s="1300" t="s">
        <v>34</v>
      </c>
      <c r="L7" s="1300" t="s">
        <v>34</v>
      </c>
      <c r="M7" s="1300" t="s">
        <v>34</v>
      </c>
      <c r="N7" s="1301">
        <v>2006.3</v>
      </c>
      <c r="O7" s="1298" t="s">
        <v>6051</v>
      </c>
      <c r="P7" s="1297" t="s">
        <v>6052</v>
      </c>
      <c r="Q7" s="1297">
        <v>13833153652</v>
      </c>
      <c r="R7" s="1298" t="s">
        <v>6053</v>
      </c>
      <c r="S7" s="1298" t="s">
        <v>6054</v>
      </c>
      <c r="T7" s="1297"/>
    </row>
    <row r="8" spans="1:20" s="1292" customFormat="1" ht="20.100000000000001" customHeight="1">
      <c r="A8" s="1290"/>
      <c r="B8" s="1298" t="s">
        <v>29</v>
      </c>
      <c r="C8" s="1298" t="s">
        <v>6049</v>
      </c>
      <c r="D8" s="1298" t="s">
        <v>31</v>
      </c>
      <c r="E8" s="1298">
        <v>532</v>
      </c>
      <c r="F8" s="1299" t="s">
        <v>34</v>
      </c>
      <c r="G8" s="1298" t="s">
        <v>32</v>
      </c>
      <c r="H8" s="1295" t="s">
        <v>6050</v>
      </c>
      <c r="I8" s="1300" t="s">
        <v>34</v>
      </c>
      <c r="J8" s="1300" t="s">
        <v>34</v>
      </c>
      <c r="K8" s="1300" t="s">
        <v>34</v>
      </c>
      <c r="L8" s="1300" t="s">
        <v>34</v>
      </c>
      <c r="M8" s="1300" t="s">
        <v>34</v>
      </c>
      <c r="N8" s="1301">
        <v>2006.3</v>
      </c>
      <c r="O8" s="1302" t="s">
        <v>6055</v>
      </c>
      <c r="P8" s="1297" t="s">
        <v>6052</v>
      </c>
      <c r="Q8" s="1297">
        <v>13833153652</v>
      </c>
      <c r="R8" s="1298" t="s">
        <v>6053</v>
      </c>
      <c r="S8" s="1298" t="s">
        <v>6056</v>
      </c>
      <c r="T8" s="1297"/>
    </row>
    <row r="9" spans="1:20" s="1292" customFormat="1" ht="20.100000000000001" customHeight="1">
      <c r="A9" s="1290"/>
      <c r="B9" s="1298" t="s">
        <v>29</v>
      </c>
      <c r="C9" s="1298" t="s">
        <v>6057</v>
      </c>
      <c r="D9" s="1298" t="s">
        <v>31</v>
      </c>
      <c r="E9" s="1298">
        <v>34</v>
      </c>
      <c r="F9" s="1299" t="s">
        <v>34</v>
      </c>
      <c r="G9" s="1298" t="s">
        <v>32</v>
      </c>
      <c r="H9" s="1295" t="s">
        <v>6050</v>
      </c>
      <c r="I9" s="1300" t="s">
        <v>34</v>
      </c>
      <c r="J9" s="1300" t="s">
        <v>34</v>
      </c>
      <c r="K9" s="1300" t="s">
        <v>34</v>
      </c>
      <c r="L9" s="1300" t="s">
        <v>34</v>
      </c>
      <c r="M9" s="1300" t="s">
        <v>34</v>
      </c>
      <c r="N9" s="1301">
        <v>2006.3</v>
      </c>
      <c r="O9" s="1303" t="s">
        <v>6051</v>
      </c>
      <c r="P9" s="1297" t="s">
        <v>6052</v>
      </c>
      <c r="Q9" s="1297">
        <v>13833153652</v>
      </c>
      <c r="R9" s="1298" t="s">
        <v>6053</v>
      </c>
      <c r="S9" s="1298" t="s">
        <v>6056</v>
      </c>
      <c r="T9" s="1297"/>
    </row>
    <row r="10" spans="1:20" s="1292" customFormat="1" ht="20.100000000000001" customHeight="1">
      <c r="A10" s="1290"/>
      <c r="B10" s="1298" t="s">
        <v>29</v>
      </c>
      <c r="C10" s="1298" t="s">
        <v>6058</v>
      </c>
      <c r="D10" s="1298" t="s">
        <v>31</v>
      </c>
      <c r="E10" s="1298">
        <v>15</v>
      </c>
      <c r="F10" s="1299" t="s">
        <v>34</v>
      </c>
      <c r="G10" s="1298" t="s">
        <v>32</v>
      </c>
      <c r="H10" s="1295" t="s">
        <v>6050</v>
      </c>
      <c r="I10" s="1300" t="s">
        <v>34</v>
      </c>
      <c r="J10" s="1300" t="s">
        <v>34</v>
      </c>
      <c r="K10" s="1300" t="s">
        <v>34</v>
      </c>
      <c r="L10" s="1300" t="s">
        <v>34</v>
      </c>
      <c r="M10" s="1300" t="s">
        <v>34</v>
      </c>
      <c r="N10" s="1304">
        <v>2006.3</v>
      </c>
      <c r="O10" s="1302" t="s">
        <v>6051</v>
      </c>
      <c r="P10" s="1297" t="s">
        <v>6052</v>
      </c>
      <c r="Q10" s="1297">
        <v>13833153652</v>
      </c>
      <c r="R10" s="1298" t="s">
        <v>6053</v>
      </c>
      <c r="S10" s="1298" t="s">
        <v>6056</v>
      </c>
      <c r="T10" s="1297"/>
    </row>
    <row r="11" spans="1:20" s="1292" customFormat="1" ht="20.100000000000001" customHeight="1">
      <c r="A11" s="1290"/>
      <c r="B11" s="1298" t="s">
        <v>29</v>
      </c>
      <c r="C11" s="1298" t="s">
        <v>6059</v>
      </c>
      <c r="D11" s="1298" t="s">
        <v>31</v>
      </c>
      <c r="E11" s="1298">
        <v>572</v>
      </c>
      <c r="F11" s="1299" t="s">
        <v>34</v>
      </c>
      <c r="G11" s="1298" t="s">
        <v>32</v>
      </c>
      <c r="H11" s="1295" t="s">
        <v>6050</v>
      </c>
      <c r="I11" s="1300" t="s">
        <v>34</v>
      </c>
      <c r="J11" s="1300" t="s">
        <v>34</v>
      </c>
      <c r="K11" s="1300" t="s">
        <v>34</v>
      </c>
      <c r="L11" s="1300" t="s">
        <v>34</v>
      </c>
      <c r="M11" s="1300" t="s">
        <v>34</v>
      </c>
      <c r="N11" s="1301">
        <v>2006.3</v>
      </c>
      <c r="O11" s="1298" t="s">
        <v>6051</v>
      </c>
      <c r="P11" s="1297" t="s">
        <v>6052</v>
      </c>
      <c r="Q11" s="1297">
        <v>13833153652</v>
      </c>
      <c r="R11" s="1298" t="s">
        <v>6053</v>
      </c>
      <c r="S11" s="1298" t="s">
        <v>6056</v>
      </c>
      <c r="T11" s="1297"/>
    </row>
    <row r="12" spans="1:20" s="1292" customFormat="1" ht="20.100000000000001" customHeight="1">
      <c r="A12" s="1290"/>
      <c r="B12" s="1298" t="s">
        <v>29</v>
      </c>
      <c r="C12" s="1298" t="s">
        <v>6059</v>
      </c>
      <c r="D12" s="1298" t="s">
        <v>31</v>
      </c>
      <c r="E12" s="1305">
        <v>128</v>
      </c>
      <c r="F12" s="1299" t="s">
        <v>34</v>
      </c>
      <c r="G12" s="1298" t="s">
        <v>32</v>
      </c>
      <c r="H12" s="1295" t="s">
        <v>6050</v>
      </c>
      <c r="I12" s="1300" t="s">
        <v>34</v>
      </c>
      <c r="J12" s="1300" t="s">
        <v>34</v>
      </c>
      <c r="K12" s="1300" t="s">
        <v>34</v>
      </c>
      <c r="L12" s="1300" t="s">
        <v>34</v>
      </c>
      <c r="M12" s="1300" t="s">
        <v>34</v>
      </c>
      <c r="N12" s="1301">
        <v>2006.3</v>
      </c>
      <c r="O12" s="1302" t="s">
        <v>6055</v>
      </c>
      <c r="P12" s="1297" t="s">
        <v>6052</v>
      </c>
      <c r="Q12" s="1297">
        <v>13833153652</v>
      </c>
      <c r="R12" s="1298" t="s">
        <v>6053</v>
      </c>
      <c r="S12" s="1298" t="s">
        <v>6056</v>
      </c>
      <c r="T12" s="1297"/>
    </row>
    <row r="13" spans="1:20" s="1292" customFormat="1" ht="20.100000000000001" customHeight="1">
      <c r="A13" s="1290"/>
      <c r="B13" s="1298" t="s">
        <v>29</v>
      </c>
      <c r="C13" s="1298" t="s">
        <v>6060</v>
      </c>
      <c r="D13" s="1298" t="s">
        <v>31</v>
      </c>
      <c r="E13" s="1298">
        <v>41</v>
      </c>
      <c r="F13" s="1299" t="s">
        <v>34</v>
      </c>
      <c r="G13" s="1298" t="s">
        <v>32</v>
      </c>
      <c r="H13" s="1295" t="s">
        <v>6050</v>
      </c>
      <c r="I13" s="1300" t="s">
        <v>34</v>
      </c>
      <c r="J13" s="1300" t="s">
        <v>34</v>
      </c>
      <c r="K13" s="1300" t="s">
        <v>34</v>
      </c>
      <c r="L13" s="1300" t="s">
        <v>34</v>
      </c>
      <c r="M13" s="1300" t="s">
        <v>34</v>
      </c>
      <c r="N13" s="1301">
        <v>2006.3</v>
      </c>
      <c r="O13" s="1298" t="s">
        <v>6051</v>
      </c>
      <c r="P13" s="1297" t="s">
        <v>6052</v>
      </c>
      <c r="Q13" s="1297">
        <v>13833153652</v>
      </c>
      <c r="R13" s="1298" t="s">
        <v>6053</v>
      </c>
      <c r="S13" s="1298" t="s">
        <v>6056</v>
      </c>
      <c r="T13" s="1297"/>
    </row>
    <row r="14" spans="1:20" s="1292" customFormat="1" ht="20.100000000000001" customHeight="1">
      <c r="A14" s="1290"/>
      <c r="B14" s="1298" t="s">
        <v>29</v>
      </c>
      <c r="C14" s="1298" t="s">
        <v>6061</v>
      </c>
      <c r="D14" s="1298" t="s">
        <v>31</v>
      </c>
      <c r="E14" s="1298">
        <f>228-39</f>
        <v>189</v>
      </c>
      <c r="F14" s="1298" t="s">
        <v>34</v>
      </c>
      <c r="G14" s="1298" t="s">
        <v>6062</v>
      </c>
      <c r="H14" s="1298" t="s">
        <v>6063</v>
      </c>
      <c r="I14" s="1298" t="s">
        <v>34</v>
      </c>
      <c r="J14" s="1298" t="s">
        <v>34</v>
      </c>
      <c r="K14" s="1298" t="s">
        <v>6064</v>
      </c>
      <c r="L14" s="1298">
        <f>(228-39)*81</f>
        <v>15309</v>
      </c>
      <c r="M14" s="1298">
        <v>0</v>
      </c>
      <c r="N14" s="1306">
        <v>38869</v>
      </c>
      <c r="O14" s="1298" t="s">
        <v>6065</v>
      </c>
      <c r="P14" s="1298" t="s">
        <v>6066</v>
      </c>
      <c r="Q14" s="1298">
        <v>18632146158</v>
      </c>
      <c r="R14" s="1298" t="s">
        <v>6067</v>
      </c>
      <c r="S14" s="1298" t="s">
        <v>6056</v>
      </c>
      <c r="T14" s="1297"/>
    </row>
    <row r="15" spans="1:20" s="1292" customFormat="1" ht="20.100000000000001" customHeight="1">
      <c r="A15" s="1290"/>
      <c r="B15" s="1298" t="s">
        <v>29</v>
      </c>
      <c r="C15" s="1298" t="s">
        <v>6068</v>
      </c>
      <c r="D15" s="1298" t="s">
        <v>31</v>
      </c>
      <c r="E15" s="1298">
        <f>85-7</f>
        <v>78</v>
      </c>
      <c r="F15" s="1298" t="s">
        <v>34</v>
      </c>
      <c r="G15" s="1298" t="s">
        <v>6062</v>
      </c>
      <c r="H15" s="1298" t="s">
        <v>6063</v>
      </c>
      <c r="I15" s="1298" t="s">
        <v>34</v>
      </c>
      <c r="J15" s="1298" t="s">
        <v>34</v>
      </c>
      <c r="K15" s="1298" t="s">
        <v>6064</v>
      </c>
      <c r="L15" s="1298">
        <f>(85-7)*411</f>
        <v>32058</v>
      </c>
      <c r="M15" s="1298">
        <v>0</v>
      </c>
      <c r="N15" s="1306">
        <v>38869</v>
      </c>
      <c r="O15" s="1298" t="s">
        <v>6065</v>
      </c>
      <c r="P15" s="1298" t="s">
        <v>6066</v>
      </c>
      <c r="Q15" s="1298">
        <v>18632146158</v>
      </c>
      <c r="R15" s="1298" t="s">
        <v>6067</v>
      </c>
      <c r="S15" s="1298" t="s">
        <v>6056</v>
      </c>
      <c r="T15" s="1297"/>
    </row>
    <row r="16" spans="1:20" s="1292" customFormat="1" ht="20.100000000000001" customHeight="1">
      <c r="A16" s="1290"/>
      <c r="B16" s="1298" t="s">
        <v>29</v>
      </c>
      <c r="C16" s="1298" t="s">
        <v>6061</v>
      </c>
      <c r="D16" s="1298" t="s">
        <v>31</v>
      </c>
      <c r="E16" s="1298">
        <v>3</v>
      </c>
      <c r="F16" s="1298" t="s">
        <v>34</v>
      </c>
      <c r="G16" s="1298" t="s">
        <v>6069</v>
      </c>
      <c r="H16" s="1298" t="s">
        <v>6063</v>
      </c>
      <c r="I16" s="1298" t="s">
        <v>34</v>
      </c>
      <c r="J16" s="1298" t="s">
        <v>34</v>
      </c>
      <c r="K16" s="1298" t="s">
        <v>6064</v>
      </c>
      <c r="L16" s="1298">
        <f>3*81</f>
        <v>243</v>
      </c>
      <c r="M16" s="1298">
        <v>0</v>
      </c>
      <c r="N16" s="1306">
        <v>38869</v>
      </c>
      <c r="O16" s="1298" t="s">
        <v>6065</v>
      </c>
      <c r="P16" s="1298" t="s">
        <v>6066</v>
      </c>
      <c r="Q16" s="1298">
        <v>18632146158</v>
      </c>
      <c r="R16" s="1298" t="s">
        <v>6067</v>
      </c>
      <c r="S16" s="1298" t="s">
        <v>6056</v>
      </c>
      <c r="T16" s="1297"/>
    </row>
    <row r="17" spans="1:20" s="1292" customFormat="1" ht="20.100000000000001" customHeight="1">
      <c r="A17" s="1290"/>
      <c r="B17" s="1298" t="s">
        <v>6070</v>
      </c>
      <c r="C17" s="1298">
        <v>3030150</v>
      </c>
      <c r="D17" s="1298" t="s">
        <v>31</v>
      </c>
      <c r="E17" s="1298">
        <f>100-76</f>
        <v>24</v>
      </c>
      <c r="F17" s="1298" t="s">
        <v>34</v>
      </c>
      <c r="G17" s="1298" t="s">
        <v>6069</v>
      </c>
      <c r="H17" s="1298" t="s">
        <v>6063</v>
      </c>
      <c r="I17" s="1298" t="s">
        <v>34</v>
      </c>
      <c r="J17" s="1298" t="s">
        <v>34</v>
      </c>
      <c r="K17" s="1298" t="s">
        <v>6064</v>
      </c>
      <c r="L17" s="1298">
        <f>(100-76)*300</f>
        <v>7200</v>
      </c>
      <c r="M17" s="1298">
        <v>0</v>
      </c>
      <c r="N17" s="1306">
        <v>38869</v>
      </c>
      <c r="O17" s="1298" t="s">
        <v>6065</v>
      </c>
      <c r="P17" s="1298" t="s">
        <v>6066</v>
      </c>
      <c r="Q17" s="1298">
        <v>18632146158</v>
      </c>
      <c r="R17" s="1298" t="s">
        <v>6067</v>
      </c>
      <c r="S17" s="1298" t="s">
        <v>6056</v>
      </c>
      <c r="T17" s="1297"/>
    </row>
    <row r="18" spans="1:20" s="1292" customFormat="1" ht="20.100000000000001" customHeight="1">
      <c r="A18" s="1290"/>
      <c r="B18" s="1298" t="s">
        <v>29</v>
      </c>
      <c r="C18" s="1298">
        <v>9015</v>
      </c>
      <c r="D18" s="1298" t="s">
        <v>31</v>
      </c>
      <c r="E18" s="1298">
        <v>242</v>
      </c>
      <c r="F18" s="1298" t="s">
        <v>34</v>
      </c>
      <c r="G18" s="1298" t="s">
        <v>6071</v>
      </c>
      <c r="H18" s="1298" t="s">
        <v>6063</v>
      </c>
      <c r="I18" s="1298" t="s">
        <v>34</v>
      </c>
      <c r="J18" s="1298" t="s">
        <v>34</v>
      </c>
      <c r="K18" s="1298" t="s">
        <v>6064</v>
      </c>
      <c r="L18" s="1298">
        <f>242*41</f>
        <v>9922</v>
      </c>
      <c r="M18" s="1298">
        <v>0</v>
      </c>
      <c r="N18" s="1306">
        <v>38869</v>
      </c>
      <c r="O18" s="1298" t="s">
        <v>6065</v>
      </c>
      <c r="P18" s="1298" t="s">
        <v>6066</v>
      </c>
      <c r="Q18" s="1298">
        <v>18632146158</v>
      </c>
      <c r="R18" s="1298" t="s">
        <v>6067</v>
      </c>
      <c r="S18" s="1298" t="s">
        <v>6056</v>
      </c>
      <c r="T18" s="1297"/>
    </row>
    <row r="19" spans="1:20" s="1292" customFormat="1" ht="20.100000000000001" customHeight="1">
      <c r="A19" s="1290"/>
      <c r="B19" s="1298" t="s">
        <v>29</v>
      </c>
      <c r="C19" s="1298" t="s">
        <v>6072</v>
      </c>
      <c r="D19" s="1298" t="s">
        <v>31</v>
      </c>
      <c r="E19" s="1298">
        <v>192</v>
      </c>
      <c r="F19" s="1298" t="s">
        <v>34</v>
      </c>
      <c r="G19" s="1298" t="s">
        <v>6071</v>
      </c>
      <c r="H19" s="1298" t="s">
        <v>6063</v>
      </c>
      <c r="I19" s="1298" t="s">
        <v>34</v>
      </c>
      <c r="J19" s="1298" t="s">
        <v>34</v>
      </c>
      <c r="K19" s="1298" t="s">
        <v>6064</v>
      </c>
      <c r="L19" s="1298">
        <f>192*411</f>
        <v>78912</v>
      </c>
      <c r="M19" s="1298">
        <v>0</v>
      </c>
      <c r="N19" s="1306">
        <v>38869</v>
      </c>
      <c r="O19" s="1298" t="s">
        <v>6073</v>
      </c>
      <c r="P19" s="1298" t="s">
        <v>6066</v>
      </c>
      <c r="Q19" s="1298">
        <v>18632146158</v>
      </c>
      <c r="R19" s="1298" t="s">
        <v>6067</v>
      </c>
      <c r="S19" s="1298" t="s">
        <v>6056</v>
      </c>
      <c r="T19" s="1297"/>
    </row>
    <row r="20" spans="1:20" s="1292" customFormat="1" ht="20.100000000000001" customHeight="1">
      <c r="A20" s="1290"/>
      <c r="B20" s="1298" t="s">
        <v>29</v>
      </c>
      <c r="C20" s="1298">
        <v>3015</v>
      </c>
      <c r="D20" s="1298" t="s">
        <v>31</v>
      </c>
      <c r="E20" s="1298">
        <f>100-11</f>
        <v>89</v>
      </c>
      <c r="F20" s="1298" t="s">
        <v>34</v>
      </c>
      <c r="G20" s="1298" t="s">
        <v>6071</v>
      </c>
      <c r="H20" s="1298" t="s">
        <v>6063</v>
      </c>
      <c r="I20" s="1298" t="s">
        <v>34</v>
      </c>
      <c r="J20" s="1298" t="s">
        <v>34</v>
      </c>
      <c r="K20" s="1298" t="s">
        <v>6064</v>
      </c>
      <c r="L20" s="1298">
        <f>(100-11)*167</f>
        <v>14863</v>
      </c>
      <c r="M20" s="1298">
        <v>0</v>
      </c>
      <c r="N20" s="1306">
        <v>38869</v>
      </c>
      <c r="O20" s="1298" t="s">
        <v>6065</v>
      </c>
      <c r="P20" s="1298" t="s">
        <v>6066</v>
      </c>
      <c r="Q20" s="1298">
        <v>18632146158</v>
      </c>
      <c r="R20" s="1298" t="s">
        <v>6067</v>
      </c>
      <c r="S20" s="1298" t="s">
        <v>6056</v>
      </c>
      <c r="T20" s="1297"/>
    </row>
    <row r="21" spans="1:20" s="1292" customFormat="1" ht="20.100000000000001" customHeight="1">
      <c r="A21" s="1290"/>
      <c r="B21" s="1298" t="s">
        <v>29</v>
      </c>
      <c r="C21" s="1298">
        <v>2015</v>
      </c>
      <c r="D21" s="1298" t="s">
        <v>31</v>
      </c>
      <c r="E21" s="1298">
        <f>150-111</f>
        <v>39</v>
      </c>
      <c r="F21" s="1298" t="s">
        <v>34</v>
      </c>
      <c r="G21" s="1298" t="s">
        <v>6071</v>
      </c>
      <c r="H21" s="1298" t="s">
        <v>6063</v>
      </c>
      <c r="I21" s="1298" t="s">
        <v>34</v>
      </c>
      <c r="J21" s="1298" t="s">
        <v>34</v>
      </c>
      <c r="K21" s="1298" t="s">
        <v>6064</v>
      </c>
      <c r="L21" s="1298">
        <f>(150-111)*103</f>
        <v>4017</v>
      </c>
      <c r="M21" s="1298">
        <v>0</v>
      </c>
      <c r="N21" s="1306">
        <v>38869</v>
      </c>
      <c r="O21" s="1298" t="s">
        <v>6065</v>
      </c>
      <c r="P21" s="1298" t="s">
        <v>6066</v>
      </c>
      <c r="Q21" s="1298">
        <v>18632146158</v>
      </c>
      <c r="R21" s="1298" t="s">
        <v>6067</v>
      </c>
      <c r="S21" s="1298" t="s">
        <v>6056</v>
      </c>
      <c r="T21" s="1297"/>
    </row>
    <row r="22" spans="1:20" s="1292" customFormat="1" ht="20.100000000000001" customHeight="1">
      <c r="A22" s="1290"/>
      <c r="B22" s="1298" t="s">
        <v>29</v>
      </c>
      <c r="C22" s="1298" t="s">
        <v>6074</v>
      </c>
      <c r="D22" s="1298" t="s">
        <v>31</v>
      </c>
      <c r="E22" s="1298">
        <v>40</v>
      </c>
      <c r="F22" s="1298" t="s">
        <v>34</v>
      </c>
      <c r="G22" s="1298" t="s">
        <v>6069</v>
      </c>
      <c r="H22" s="1298" t="s">
        <v>6063</v>
      </c>
      <c r="I22" s="1298" t="s">
        <v>34</v>
      </c>
      <c r="J22" s="1298" t="s">
        <v>34</v>
      </c>
      <c r="K22" s="1298" t="s">
        <v>6064</v>
      </c>
      <c r="L22" s="1298">
        <f>40*350</f>
        <v>14000</v>
      </c>
      <c r="M22" s="1298">
        <v>0</v>
      </c>
      <c r="N22" s="1306">
        <v>38869</v>
      </c>
      <c r="O22" s="1298" t="s">
        <v>6065</v>
      </c>
      <c r="P22" s="1298" t="s">
        <v>6066</v>
      </c>
      <c r="Q22" s="1298">
        <v>18632146158</v>
      </c>
      <c r="R22" s="1298" t="s">
        <v>6067</v>
      </c>
      <c r="S22" s="1298" t="s">
        <v>6056</v>
      </c>
      <c r="T22" s="1297"/>
    </row>
    <row r="23" spans="1:20" s="1292" customFormat="1" ht="20.100000000000001" customHeight="1">
      <c r="A23" s="1290"/>
      <c r="B23" s="1298" t="s">
        <v>29</v>
      </c>
      <c r="C23" s="1298">
        <v>9015</v>
      </c>
      <c r="D23" s="1298" t="s">
        <v>31</v>
      </c>
      <c r="E23" s="1298">
        <v>550</v>
      </c>
      <c r="F23" s="1298" t="s">
        <v>34</v>
      </c>
      <c r="G23" s="1298" t="s">
        <v>6062</v>
      </c>
      <c r="H23" s="1298" t="s">
        <v>6063</v>
      </c>
      <c r="I23" s="1298" t="s">
        <v>34</v>
      </c>
      <c r="J23" s="1298" t="s">
        <v>34</v>
      </c>
      <c r="K23" s="1298" t="s">
        <v>6064</v>
      </c>
      <c r="L23" s="1298">
        <f>550*411</f>
        <v>226050</v>
      </c>
      <c r="M23" s="1298">
        <v>0</v>
      </c>
      <c r="N23" s="1306">
        <v>38869</v>
      </c>
      <c r="O23" s="1298" t="s">
        <v>6065</v>
      </c>
      <c r="P23" s="1298" t="s">
        <v>6066</v>
      </c>
      <c r="Q23" s="1298">
        <v>18632146158</v>
      </c>
      <c r="R23" s="1298" t="s">
        <v>6067</v>
      </c>
      <c r="S23" s="1298" t="s">
        <v>6056</v>
      </c>
      <c r="T23" s="1297"/>
    </row>
    <row r="24" spans="1:20" s="1292" customFormat="1" ht="20.100000000000001" customHeight="1">
      <c r="A24" s="1290"/>
      <c r="B24" s="1298" t="s">
        <v>29</v>
      </c>
      <c r="C24" s="1298">
        <v>9015</v>
      </c>
      <c r="D24" s="1298" t="s">
        <v>31</v>
      </c>
      <c r="E24" s="1298">
        <v>500</v>
      </c>
      <c r="F24" s="1298">
        <v>37.6</v>
      </c>
      <c r="G24" s="1298" t="s">
        <v>72</v>
      </c>
      <c r="H24" s="1298" t="s">
        <v>41</v>
      </c>
      <c r="I24" s="1298" t="s">
        <v>34</v>
      </c>
      <c r="J24" s="1298" t="s">
        <v>34</v>
      </c>
      <c r="K24" s="1298" t="s">
        <v>34</v>
      </c>
      <c r="L24" s="1298">
        <f>M24/0.2</f>
        <v>207190</v>
      </c>
      <c r="M24" s="1298">
        <v>41438</v>
      </c>
      <c r="N24" s="1301">
        <v>2014.11</v>
      </c>
      <c r="O24" s="1298" t="s">
        <v>6075</v>
      </c>
      <c r="P24" s="1298" t="s">
        <v>6076</v>
      </c>
      <c r="Q24" s="1298">
        <v>17732305201</v>
      </c>
      <c r="R24" s="1289" t="s">
        <v>6077</v>
      </c>
      <c r="S24" s="1298" t="s">
        <v>6056</v>
      </c>
      <c r="T24" s="1297"/>
    </row>
    <row r="25" spans="1:20" s="1292" customFormat="1" ht="20.100000000000001" customHeight="1">
      <c r="A25" s="1290"/>
      <c r="B25" s="1289" t="s">
        <v>29</v>
      </c>
      <c r="C25" s="1289" t="s">
        <v>6078</v>
      </c>
      <c r="D25" s="1290" t="s">
        <v>62</v>
      </c>
      <c r="E25" s="1289"/>
      <c r="F25" s="1307">
        <v>49.88</v>
      </c>
      <c r="G25" s="1308" t="s">
        <v>32</v>
      </c>
      <c r="H25" s="1309" t="s">
        <v>33</v>
      </c>
      <c r="I25" s="1310" t="s">
        <v>34</v>
      </c>
      <c r="J25" s="1310" t="s">
        <v>6079</v>
      </c>
      <c r="K25" s="1289" t="s">
        <v>6080</v>
      </c>
      <c r="L25" s="1289">
        <v>312355.34000000003</v>
      </c>
      <c r="M25" s="1311">
        <f>L25-49976.85*5</f>
        <v>62471.090000000026</v>
      </c>
      <c r="N25" s="1289">
        <v>2019.12</v>
      </c>
      <c r="O25" s="1308" t="s">
        <v>1766</v>
      </c>
      <c r="P25" s="1312" t="s">
        <v>6081</v>
      </c>
      <c r="Q25" s="1312">
        <v>15735090699</v>
      </c>
      <c r="R25" s="1308" t="s">
        <v>1766</v>
      </c>
      <c r="S25" s="1313" t="s">
        <v>6056</v>
      </c>
      <c r="T25" s="1297"/>
    </row>
    <row r="26" spans="1:20" s="1292" customFormat="1" ht="20.100000000000001" customHeight="1">
      <c r="A26" s="1290"/>
      <c r="B26" s="1314" t="s">
        <v>29</v>
      </c>
      <c r="C26" s="1315"/>
      <c r="D26" s="1290" t="s">
        <v>62</v>
      </c>
      <c r="E26" s="1289">
        <v>3</v>
      </c>
      <c r="F26" s="1316">
        <v>88.146000000000001</v>
      </c>
      <c r="G26" s="1289" t="s">
        <v>6082</v>
      </c>
      <c r="H26" s="1237" t="s">
        <v>6083</v>
      </c>
      <c r="I26" s="1290" t="s">
        <v>34</v>
      </c>
      <c r="J26" s="1289" t="s">
        <v>6084</v>
      </c>
      <c r="K26" s="1317" t="s">
        <v>6085</v>
      </c>
      <c r="L26" s="1289">
        <v>559727.1</v>
      </c>
      <c r="M26" s="1318">
        <v>163460.13</v>
      </c>
      <c r="N26" s="1319">
        <v>44042</v>
      </c>
      <c r="O26" s="1289" t="s">
        <v>6086</v>
      </c>
      <c r="P26" s="1290" t="s">
        <v>6087</v>
      </c>
      <c r="Q26" s="1289">
        <v>13269185200</v>
      </c>
      <c r="R26" s="1296" t="s">
        <v>6088</v>
      </c>
      <c r="S26" s="1320" t="s">
        <v>6089</v>
      </c>
      <c r="T26" s="1297"/>
    </row>
    <row r="27" spans="1:20" s="1292" customFormat="1" ht="20.100000000000001" customHeight="1">
      <c r="A27" s="1290">
        <v>2</v>
      </c>
      <c r="B27" s="1298" t="s">
        <v>6090</v>
      </c>
      <c r="C27" s="1298"/>
      <c r="D27" s="1298"/>
      <c r="E27" s="1298"/>
      <c r="F27" s="1298"/>
      <c r="G27" s="1298"/>
      <c r="H27" s="1298"/>
      <c r="I27" s="1298"/>
      <c r="J27" s="1298"/>
      <c r="K27" s="1298"/>
      <c r="L27" s="1298"/>
      <c r="M27" s="1298"/>
      <c r="N27" s="1301"/>
      <c r="O27" s="1298"/>
      <c r="P27" s="1298"/>
      <c r="Q27" s="1298"/>
      <c r="R27" s="1298"/>
      <c r="S27" s="1297"/>
      <c r="T27" s="1297"/>
    </row>
    <row r="28" spans="1:20" s="1292" customFormat="1" ht="20.100000000000001" customHeight="1">
      <c r="A28" s="1290"/>
      <c r="B28" s="1298" t="s">
        <v>6091</v>
      </c>
      <c r="C28" s="1298" t="s">
        <v>6092</v>
      </c>
      <c r="D28" s="1298" t="s">
        <v>31</v>
      </c>
      <c r="E28" s="1298">
        <v>6</v>
      </c>
      <c r="F28" s="1298" t="s">
        <v>34</v>
      </c>
      <c r="G28" s="1298" t="s">
        <v>32</v>
      </c>
      <c r="H28" s="1298" t="s">
        <v>41</v>
      </c>
      <c r="I28" s="1298" t="s">
        <v>3614</v>
      </c>
      <c r="J28" s="1298" t="s">
        <v>6093</v>
      </c>
      <c r="K28" s="1298" t="s">
        <v>6094</v>
      </c>
      <c r="L28" s="1298">
        <v>742400</v>
      </c>
      <c r="M28" s="1298" t="s">
        <v>34</v>
      </c>
      <c r="N28" s="1301">
        <v>2018.11</v>
      </c>
      <c r="O28" s="1298" t="s">
        <v>6095</v>
      </c>
      <c r="P28" s="1298" t="s">
        <v>6096</v>
      </c>
      <c r="Q28" s="1298">
        <v>13673216619</v>
      </c>
      <c r="R28" s="1298" t="s">
        <v>6097</v>
      </c>
      <c r="S28" s="1298" t="s">
        <v>6056</v>
      </c>
      <c r="T28" s="1297"/>
    </row>
    <row r="29" spans="1:20" s="1292" customFormat="1" ht="20.100000000000001" customHeight="1">
      <c r="A29" s="1290"/>
      <c r="B29" s="1298" t="s">
        <v>6098</v>
      </c>
      <c r="C29" s="1298" t="s">
        <v>6099</v>
      </c>
      <c r="D29" s="1298" t="s">
        <v>31</v>
      </c>
      <c r="E29" s="1298">
        <v>3</v>
      </c>
      <c r="F29" s="1298" t="s">
        <v>34</v>
      </c>
      <c r="G29" s="1298" t="s">
        <v>32</v>
      </c>
      <c r="H29" s="1298" t="s">
        <v>41</v>
      </c>
      <c r="I29" s="1298" t="s">
        <v>3614</v>
      </c>
      <c r="J29" s="1298" t="s">
        <v>6093</v>
      </c>
      <c r="K29" s="1298" t="s">
        <v>6094</v>
      </c>
      <c r="L29" s="1298"/>
      <c r="M29" s="1298"/>
      <c r="N29" s="1301">
        <v>2018.11</v>
      </c>
      <c r="O29" s="1298" t="s">
        <v>6095</v>
      </c>
      <c r="P29" s="1298" t="s">
        <v>6096</v>
      </c>
      <c r="Q29" s="1298">
        <v>13673216619</v>
      </c>
      <c r="R29" s="1298" t="s">
        <v>6097</v>
      </c>
      <c r="S29" s="1298" t="s">
        <v>6056</v>
      </c>
      <c r="T29" s="1297"/>
    </row>
    <row r="30" spans="1:20" s="1292" customFormat="1" ht="20.100000000000001" customHeight="1">
      <c r="A30" s="1290"/>
      <c r="B30" s="1298" t="s">
        <v>6100</v>
      </c>
      <c r="C30" s="1298" t="s">
        <v>6101</v>
      </c>
      <c r="D30" s="1298" t="s">
        <v>31</v>
      </c>
      <c r="E30" s="1298">
        <v>2</v>
      </c>
      <c r="F30" s="1298" t="s">
        <v>34</v>
      </c>
      <c r="G30" s="1298" t="s">
        <v>32</v>
      </c>
      <c r="H30" s="1298" t="s">
        <v>41</v>
      </c>
      <c r="I30" s="1298" t="s">
        <v>3614</v>
      </c>
      <c r="J30" s="1298" t="s">
        <v>6093</v>
      </c>
      <c r="K30" s="1298" t="s">
        <v>6094</v>
      </c>
      <c r="L30" s="1298"/>
      <c r="M30" s="1298"/>
      <c r="N30" s="1301">
        <v>2018.11</v>
      </c>
      <c r="O30" s="1298" t="s">
        <v>6095</v>
      </c>
      <c r="P30" s="1298" t="s">
        <v>6096</v>
      </c>
      <c r="Q30" s="1298">
        <v>13673216619</v>
      </c>
      <c r="R30" s="1298" t="s">
        <v>6097</v>
      </c>
      <c r="S30" s="1298" t="s">
        <v>6056</v>
      </c>
      <c r="T30" s="1297"/>
    </row>
    <row r="31" spans="1:20" s="1292" customFormat="1" ht="20.100000000000001" customHeight="1">
      <c r="A31" s="1290"/>
      <c r="B31" s="1298" t="s">
        <v>6102</v>
      </c>
      <c r="C31" s="1298" t="s">
        <v>6103</v>
      </c>
      <c r="D31" s="1298" t="s">
        <v>31</v>
      </c>
      <c r="E31" s="1298">
        <v>4</v>
      </c>
      <c r="F31" s="1298" t="s">
        <v>34</v>
      </c>
      <c r="G31" s="1298" t="s">
        <v>32</v>
      </c>
      <c r="H31" s="1298" t="s">
        <v>41</v>
      </c>
      <c r="I31" s="1298" t="s">
        <v>3614</v>
      </c>
      <c r="J31" s="1298" t="s">
        <v>6093</v>
      </c>
      <c r="K31" s="1298" t="s">
        <v>6094</v>
      </c>
      <c r="L31" s="1298"/>
      <c r="M31" s="1298"/>
      <c r="N31" s="1301">
        <v>2018.11</v>
      </c>
      <c r="O31" s="1298" t="s">
        <v>6095</v>
      </c>
      <c r="P31" s="1298" t="s">
        <v>6096</v>
      </c>
      <c r="Q31" s="1298">
        <v>13673216619</v>
      </c>
      <c r="R31" s="1298" t="s">
        <v>6097</v>
      </c>
      <c r="S31" s="1298" t="s">
        <v>6056</v>
      </c>
      <c r="T31" s="1297"/>
    </row>
    <row r="32" spans="1:20" s="1292" customFormat="1" ht="20.100000000000001" customHeight="1">
      <c r="A32" s="1290"/>
      <c r="B32" s="1298" t="s">
        <v>6104</v>
      </c>
      <c r="C32" s="1298" t="s">
        <v>6105</v>
      </c>
      <c r="D32" s="1298" t="s">
        <v>31</v>
      </c>
      <c r="E32" s="1298">
        <v>2</v>
      </c>
      <c r="F32" s="1298" t="s">
        <v>34</v>
      </c>
      <c r="G32" s="1298" t="s">
        <v>32</v>
      </c>
      <c r="H32" s="1298" t="s">
        <v>41</v>
      </c>
      <c r="I32" s="1298" t="s">
        <v>3614</v>
      </c>
      <c r="J32" s="1298" t="s">
        <v>6093</v>
      </c>
      <c r="K32" s="1298" t="s">
        <v>6094</v>
      </c>
      <c r="L32" s="1298"/>
      <c r="M32" s="1298"/>
      <c r="N32" s="1301">
        <v>2018.11</v>
      </c>
      <c r="O32" s="1298" t="s">
        <v>6095</v>
      </c>
      <c r="P32" s="1298" t="s">
        <v>6096</v>
      </c>
      <c r="Q32" s="1298">
        <v>13673216619</v>
      </c>
      <c r="R32" s="1298" t="s">
        <v>6097</v>
      </c>
      <c r="S32" s="1298" t="s">
        <v>6056</v>
      </c>
      <c r="T32" s="1297"/>
    </row>
    <row r="33" spans="1:20" s="1292" customFormat="1" ht="20.100000000000001" customHeight="1">
      <c r="A33" s="1290"/>
      <c r="B33" s="1298" t="s">
        <v>6106</v>
      </c>
      <c r="C33" s="1298" t="s">
        <v>6092</v>
      </c>
      <c r="D33" s="1298" t="s">
        <v>31</v>
      </c>
      <c r="E33" s="1298">
        <v>6</v>
      </c>
      <c r="F33" s="1298" t="s">
        <v>34</v>
      </c>
      <c r="G33" s="1298" t="s">
        <v>32</v>
      </c>
      <c r="H33" s="1298" t="s">
        <v>41</v>
      </c>
      <c r="I33" s="1298" t="s">
        <v>3614</v>
      </c>
      <c r="J33" s="1298" t="s">
        <v>6093</v>
      </c>
      <c r="K33" s="1298" t="s">
        <v>6094</v>
      </c>
      <c r="L33" s="1298"/>
      <c r="M33" s="1298"/>
      <c r="N33" s="1301">
        <v>2018.11</v>
      </c>
      <c r="O33" s="1298" t="s">
        <v>6095</v>
      </c>
      <c r="P33" s="1298" t="s">
        <v>6096</v>
      </c>
      <c r="Q33" s="1298">
        <v>13673216619</v>
      </c>
      <c r="R33" s="1298" t="s">
        <v>6097</v>
      </c>
      <c r="S33" s="1298" t="s">
        <v>6056</v>
      </c>
      <c r="T33" s="1297"/>
    </row>
    <row r="34" spans="1:20" s="1292" customFormat="1" ht="20.100000000000001" customHeight="1">
      <c r="A34" s="1290"/>
      <c r="B34" s="1298" t="s">
        <v>6107</v>
      </c>
      <c r="C34" s="1298" t="s">
        <v>6099</v>
      </c>
      <c r="D34" s="1298" t="s">
        <v>31</v>
      </c>
      <c r="E34" s="1298">
        <v>3</v>
      </c>
      <c r="F34" s="1298" t="s">
        <v>34</v>
      </c>
      <c r="G34" s="1298" t="s">
        <v>32</v>
      </c>
      <c r="H34" s="1298" t="s">
        <v>41</v>
      </c>
      <c r="I34" s="1298" t="s">
        <v>3614</v>
      </c>
      <c r="J34" s="1298" t="s">
        <v>6093</v>
      </c>
      <c r="K34" s="1298" t="s">
        <v>6094</v>
      </c>
      <c r="L34" s="1298"/>
      <c r="M34" s="1298"/>
      <c r="N34" s="1301">
        <v>2018.11</v>
      </c>
      <c r="O34" s="1298" t="s">
        <v>6095</v>
      </c>
      <c r="P34" s="1298" t="s">
        <v>6096</v>
      </c>
      <c r="Q34" s="1298">
        <v>13673216619</v>
      </c>
      <c r="R34" s="1298" t="s">
        <v>6097</v>
      </c>
      <c r="S34" s="1298" t="s">
        <v>6056</v>
      </c>
      <c r="T34" s="1297"/>
    </row>
    <row r="35" spans="1:20" s="1292" customFormat="1" ht="20.100000000000001" customHeight="1">
      <c r="A35" s="1290"/>
      <c r="B35" s="1298" t="s">
        <v>6108</v>
      </c>
      <c r="C35" s="1298" t="s">
        <v>6101</v>
      </c>
      <c r="D35" s="1298" t="s">
        <v>31</v>
      </c>
      <c r="E35" s="1298">
        <v>3</v>
      </c>
      <c r="F35" s="1298" t="s">
        <v>34</v>
      </c>
      <c r="G35" s="1298" t="s">
        <v>32</v>
      </c>
      <c r="H35" s="1298" t="s">
        <v>41</v>
      </c>
      <c r="I35" s="1298" t="s">
        <v>3614</v>
      </c>
      <c r="J35" s="1298" t="s">
        <v>6093</v>
      </c>
      <c r="K35" s="1298" t="s">
        <v>6094</v>
      </c>
      <c r="L35" s="1298"/>
      <c r="M35" s="1298"/>
      <c r="N35" s="1301">
        <v>2018.11</v>
      </c>
      <c r="O35" s="1298" t="s">
        <v>6095</v>
      </c>
      <c r="P35" s="1298" t="s">
        <v>6096</v>
      </c>
      <c r="Q35" s="1298">
        <v>13673216619</v>
      </c>
      <c r="R35" s="1298" t="s">
        <v>6097</v>
      </c>
      <c r="S35" s="1298" t="s">
        <v>6056</v>
      </c>
      <c r="T35" s="1297"/>
    </row>
    <row r="36" spans="1:20" s="1292" customFormat="1" ht="20.100000000000001" customHeight="1">
      <c r="A36" s="1290"/>
      <c r="B36" s="1298" t="s">
        <v>6109</v>
      </c>
      <c r="C36" s="1298" t="s">
        <v>6103</v>
      </c>
      <c r="D36" s="1298" t="s">
        <v>31</v>
      </c>
      <c r="E36" s="1298">
        <v>5</v>
      </c>
      <c r="F36" s="1298" t="s">
        <v>34</v>
      </c>
      <c r="G36" s="1298" t="s">
        <v>32</v>
      </c>
      <c r="H36" s="1298" t="s">
        <v>41</v>
      </c>
      <c r="I36" s="1298" t="s">
        <v>3614</v>
      </c>
      <c r="J36" s="1298" t="s">
        <v>6093</v>
      </c>
      <c r="K36" s="1298" t="s">
        <v>6094</v>
      </c>
      <c r="L36" s="1298"/>
      <c r="M36" s="1298"/>
      <c r="N36" s="1301">
        <v>2018.11</v>
      </c>
      <c r="O36" s="1298" t="s">
        <v>6095</v>
      </c>
      <c r="P36" s="1298" t="s">
        <v>6096</v>
      </c>
      <c r="Q36" s="1298">
        <v>13673216619</v>
      </c>
      <c r="R36" s="1298" t="s">
        <v>6097</v>
      </c>
      <c r="S36" s="1298" t="s">
        <v>6056</v>
      </c>
      <c r="T36" s="1297"/>
    </row>
    <row r="37" spans="1:20" s="1292" customFormat="1" ht="20.100000000000001" customHeight="1">
      <c r="A37" s="1290"/>
      <c r="B37" s="1298" t="s">
        <v>6110</v>
      </c>
      <c r="C37" s="1298" t="s">
        <v>6105</v>
      </c>
      <c r="D37" s="1298" t="s">
        <v>31</v>
      </c>
      <c r="E37" s="1298">
        <v>2</v>
      </c>
      <c r="F37" s="1298" t="s">
        <v>34</v>
      </c>
      <c r="G37" s="1298" t="s">
        <v>32</v>
      </c>
      <c r="H37" s="1298" t="s">
        <v>41</v>
      </c>
      <c r="I37" s="1298" t="s">
        <v>3614</v>
      </c>
      <c r="J37" s="1298" t="s">
        <v>6093</v>
      </c>
      <c r="K37" s="1298" t="s">
        <v>6094</v>
      </c>
      <c r="L37" s="1298"/>
      <c r="M37" s="1298"/>
      <c r="N37" s="1301">
        <v>2018.11</v>
      </c>
      <c r="O37" s="1298" t="s">
        <v>6095</v>
      </c>
      <c r="P37" s="1298" t="s">
        <v>6096</v>
      </c>
      <c r="Q37" s="1298">
        <v>13673216619</v>
      </c>
      <c r="R37" s="1298" t="s">
        <v>6097</v>
      </c>
      <c r="S37" s="1298" t="s">
        <v>6056</v>
      </c>
      <c r="T37" s="1297"/>
    </row>
    <row r="38" spans="1:20" s="1292" customFormat="1" ht="20.100000000000001" customHeight="1">
      <c r="A38" s="1290"/>
      <c r="B38" s="1298" t="s">
        <v>6111</v>
      </c>
      <c r="C38" s="1298" t="s">
        <v>6112</v>
      </c>
      <c r="D38" s="1298" t="s">
        <v>31</v>
      </c>
      <c r="E38" s="1298">
        <v>2</v>
      </c>
      <c r="F38" s="1298" t="s">
        <v>34</v>
      </c>
      <c r="G38" s="1298" t="s">
        <v>32</v>
      </c>
      <c r="H38" s="1298" t="s">
        <v>41</v>
      </c>
      <c r="I38" s="1298" t="s">
        <v>3614</v>
      </c>
      <c r="J38" s="1298" t="s">
        <v>6093</v>
      </c>
      <c r="K38" s="1298" t="s">
        <v>6094</v>
      </c>
      <c r="L38" s="1298"/>
      <c r="M38" s="1298"/>
      <c r="N38" s="1301">
        <v>2018.11</v>
      </c>
      <c r="O38" s="1298" t="s">
        <v>6095</v>
      </c>
      <c r="P38" s="1298" t="s">
        <v>6096</v>
      </c>
      <c r="Q38" s="1298">
        <v>13673216619</v>
      </c>
      <c r="R38" s="1298" t="s">
        <v>6097</v>
      </c>
      <c r="S38" s="1298" t="s">
        <v>6056</v>
      </c>
      <c r="T38" s="1297"/>
    </row>
    <row r="39" spans="1:20" s="1292" customFormat="1" ht="20.100000000000001" customHeight="1">
      <c r="A39" s="1290"/>
      <c r="B39" s="1298" t="s">
        <v>6113</v>
      </c>
      <c r="C39" s="1298" t="s">
        <v>6112</v>
      </c>
      <c r="D39" s="1298" t="s">
        <v>31</v>
      </c>
      <c r="E39" s="1298">
        <v>2</v>
      </c>
      <c r="F39" s="1298" t="s">
        <v>34</v>
      </c>
      <c r="G39" s="1298" t="s">
        <v>32</v>
      </c>
      <c r="H39" s="1298" t="s">
        <v>41</v>
      </c>
      <c r="I39" s="1298" t="s">
        <v>3614</v>
      </c>
      <c r="J39" s="1298" t="s">
        <v>6093</v>
      </c>
      <c r="K39" s="1298" t="s">
        <v>6094</v>
      </c>
      <c r="L39" s="1298"/>
      <c r="M39" s="1298"/>
      <c r="N39" s="1301">
        <v>2018.11</v>
      </c>
      <c r="O39" s="1298" t="s">
        <v>6095</v>
      </c>
      <c r="P39" s="1298" t="s">
        <v>6096</v>
      </c>
      <c r="Q39" s="1298">
        <v>13673216619</v>
      </c>
      <c r="R39" s="1298" t="s">
        <v>6097</v>
      </c>
      <c r="S39" s="1298" t="s">
        <v>6056</v>
      </c>
      <c r="T39" s="1297"/>
    </row>
    <row r="40" spans="1:20" s="1292" customFormat="1" ht="20.100000000000001" customHeight="1">
      <c r="A40" s="1290"/>
      <c r="B40" s="1298" t="s">
        <v>60</v>
      </c>
      <c r="C40" s="1298" t="s">
        <v>6114</v>
      </c>
      <c r="D40" s="1298" t="s">
        <v>31</v>
      </c>
      <c r="E40" s="1298">
        <v>8</v>
      </c>
      <c r="F40" s="1298" t="s">
        <v>34</v>
      </c>
      <c r="G40" s="1298" t="s">
        <v>32</v>
      </c>
      <c r="H40" s="1298" t="s">
        <v>41</v>
      </c>
      <c r="I40" s="1298" t="s">
        <v>69</v>
      </c>
      <c r="J40" s="1298" t="s">
        <v>6093</v>
      </c>
      <c r="K40" s="1298" t="s">
        <v>6094</v>
      </c>
      <c r="L40" s="1298"/>
      <c r="M40" s="1298"/>
      <c r="N40" s="1301">
        <v>2019.03</v>
      </c>
      <c r="O40" s="1298" t="s">
        <v>6095</v>
      </c>
      <c r="P40" s="1298" t="s">
        <v>6096</v>
      </c>
      <c r="Q40" s="1298">
        <v>13673216619</v>
      </c>
      <c r="R40" s="1298" t="s">
        <v>6097</v>
      </c>
      <c r="S40" s="1298" t="s">
        <v>6056</v>
      </c>
      <c r="T40" s="1297"/>
    </row>
    <row r="41" spans="1:20" s="1292" customFormat="1" ht="20.100000000000001" customHeight="1">
      <c r="A41" s="1290"/>
      <c r="B41" s="1298" t="s">
        <v>60</v>
      </c>
      <c r="C41" s="1298" t="s">
        <v>6115</v>
      </c>
      <c r="D41" s="1298" t="s">
        <v>31</v>
      </c>
      <c r="E41" s="1298">
        <v>32</v>
      </c>
      <c r="F41" s="1298" t="s">
        <v>34</v>
      </c>
      <c r="G41" s="1298" t="s">
        <v>32</v>
      </c>
      <c r="H41" s="1298" t="s">
        <v>41</v>
      </c>
      <c r="I41" s="1298" t="s">
        <v>69</v>
      </c>
      <c r="J41" s="1298" t="s">
        <v>6093</v>
      </c>
      <c r="K41" s="1298" t="s">
        <v>6094</v>
      </c>
      <c r="L41" s="1298"/>
      <c r="M41" s="1298"/>
      <c r="N41" s="1301">
        <v>2019.03</v>
      </c>
      <c r="O41" s="1298" t="s">
        <v>6095</v>
      </c>
      <c r="P41" s="1298" t="s">
        <v>6096</v>
      </c>
      <c r="Q41" s="1298">
        <v>13673216619</v>
      </c>
      <c r="R41" s="1298" t="s">
        <v>6097</v>
      </c>
      <c r="S41" s="1298" t="s">
        <v>6056</v>
      </c>
      <c r="T41" s="1297"/>
    </row>
    <row r="42" spans="1:20" s="1292" customFormat="1" ht="20.100000000000001" customHeight="1">
      <c r="A42" s="1290"/>
      <c r="B42" s="1298" t="s">
        <v>60</v>
      </c>
      <c r="C42" s="1298" t="s">
        <v>6116</v>
      </c>
      <c r="D42" s="1298" t="s">
        <v>31</v>
      </c>
      <c r="E42" s="1298">
        <v>8</v>
      </c>
      <c r="F42" s="1298" t="s">
        <v>34</v>
      </c>
      <c r="G42" s="1298" t="s">
        <v>32</v>
      </c>
      <c r="H42" s="1298" t="s">
        <v>41</v>
      </c>
      <c r="I42" s="1298" t="s">
        <v>69</v>
      </c>
      <c r="J42" s="1298" t="s">
        <v>6093</v>
      </c>
      <c r="K42" s="1298" t="s">
        <v>6094</v>
      </c>
      <c r="L42" s="1298"/>
      <c r="M42" s="1298"/>
      <c r="N42" s="1301">
        <v>2019.03</v>
      </c>
      <c r="O42" s="1298" t="s">
        <v>6095</v>
      </c>
      <c r="P42" s="1298" t="s">
        <v>6096</v>
      </c>
      <c r="Q42" s="1298">
        <v>13673216619</v>
      </c>
      <c r="R42" s="1298" t="s">
        <v>6097</v>
      </c>
      <c r="S42" s="1298" t="s">
        <v>6056</v>
      </c>
      <c r="T42" s="1297"/>
    </row>
    <row r="43" spans="1:20" s="1292" customFormat="1" ht="20.100000000000001" customHeight="1">
      <c r="A43" s="1290"/>
      <c r="B43" s="1298" t="s">
        <v>60</v>
      </c>
      <c r="C43" s="1298" t="s">
        <v>6117</v>
      </c>
      <c r="D43" s="1298" t="s">
        <v>31</v>
      </c>
      <c r="E43" s="1298">
        <v>8</v>
      </c>
      <c r="F43" s="1298" t="s">
        <v>34</v>
      </c>
      <c r="G43" s="1298" t="s">
        <v>32</v>
      </c>
      <c r="H43" s="1298" t="s">
        <v>41</v>
      </c>
      <c r="I43" s="1298" t="s">
        <v>69</v>
      </c>
      <c r="J43" s="1298" t="s">
        <v>6093</v>
      </c>
      <c r="K43" s="1298" t="s">
        <v>6094</v>
      </c>
      <c r="L43" s="1298"/>
      <c r="M43" s="1298"/>
      <c r="N43" s="1301">
        <v>2019.03</v>
      </c>
      <c r="O43" s="1298" t="s">
        <v>6095</v>
      </c>
      <c r="P43" s="1298" t="s">
        <v>6096</v>
      </c>
      <c r="Q43" s="1298">
        <v>13673216619</v>
      </c>
      <c r="R43" s="1298" t="s">
        <v>6097</v>
      </c>
      <c r="S43" s="1298" t="s">
        <v>6056</v>
      </c>
      <c r="T43" s="1297"/>
    </row>
    <row r="44" spans="1:20" s="1292" customFormat="1" ht="20.100000000000001" customHeight="1">
      <c r="A44" s="1290"/>
      <c r="B44" s="1298" t="s">
        <v>60</v>
      </c>
      <c r="C44" s="1298" t="s">
        <v>6118</v>
      </c>
      <c r="D44" s="1298" t="s">
        <v>31</v>
      </c>
      <c r="E44" s="1298">
        <v>8</v>
      </c>
      <c r="F44" s="1298" t="s">
        <v>34</v>
      </c>
      <c r="G44" s="1298" t="s">
        <v>32</v>
      </c>
      <c r="H44" s="1298" t="s">
        <v>41</v>
      </c>
      <c r="I44" s="1298" t="s">
        <v>69</v>
      </c>
      <c r="J44" s="1298" t="s">
        <v>6093</v>
      </c>
      <c r="K44" s="1298" t="s">
        <v>6094</v>
      </c>
      <c r="L44" s="1298"/>
      <c r="M44" s="1298"/>
      <c r="N44" s="1301">
        <v>2019.03</v>
      </c>
      <c r="O44" s="1298" t="s">
        <v>6095</v>
      </c>
      <c r="P44" s="1298" t="s">
        <v>6096</v>
      </c>
      <c r="Q44" s="1298">
        <v>13673216619</v>
      </c>
      <c r="R44" s="1298" t="s">
        <v>6097</v>
      </c>
      <c r="S44" s="1298" t="s">
        <v>6056</v>
      </c>
      <c r="T44" s="1297"/>
    </row>
    <row r="45" spans="1:20" s="1292" customFormat="1" ht="20.100000000000001" customHeight="1">
      <c r="A45" s="1290"/>
      <c r="B45" s="1298" t="s">
        <v>60</v>
      </c>
      <c r="C45" s="1298" t="s">
        <v>6119</v>
      </c>
      <c r="D45" s="1298" t="s">
        <v>31</v>
      </c>
      <c r="E45" s="1298">
        <v>12</v>
      </c>
      <c r="F45" s="1298" t="s">
        <v>34</v>
      </c>
      <c r="G45" s="1298" t="s">
        <v>32</v>
      </c>
      <c r="H45" s="1298" t="s">
        <v>41</v>
      </c>
      <c r="I45" s="1298" t="s">
        <v>69</v>
      </c>
      <c r="J45" s="1298" t="s">
        <v>6093</v>
      </c>
      <c r="K45" s="1298" t="s">
        <v>6094</v>
      </c>
      <c r="L45" s="1298"/>
      <c r="M45" s="1298"/>
      <c r="N45" s="1301">
        <v>2019.03</v>
      </c>
      <c r="O45" s="1298" t="s">
        <v>6095</v>
      </c>
      <c r="P45" s="1298" t="s">
        <v>6096</v>
      </c>
      <c r="Q45" s="1298">
        <v>13673216619</v>
      </c>
      <c r="R45" s="1298" t="s">
        <v>6097</v>
      </c>
      <c r="S45" s="1298" t="s">
        <v>6056</v>
      </c>
      <c r="T45" s="1297"/>
    </row>
    <row r="46" spans="1:20" s="1292" customFormat="1" ht="20.100000000000001" customHeight="1">
      <c r="A46" s="1290"/>
      <c r="B46" s="1298" t="s">
        <v>5809</v>
      </c>
      <c r="C46" s="1298" t="s">
        <v>6120</v>
      </c>
      <c r="D46" s="1298" t="s">
        <v>161</v>
      </c>
      <c r="E46" s="1298" t="s">
        <v>34</v>
      </c>
      <c r="F46" s="1298">
        <v>41</v>
      </c>
      <c r="G46" s="1298" t="s">
        <v>32</v>
      </c>
      <c r="H46" s="1298" t="s">
        <v>41</v>
      </c>
      <c r="I46" s="1298" t="s">
        <v>6121</v>
      </c>
      <c r="J46" s="1298" t="s">
        <v>214</v>
      </c>
      <c r="K46" s="1298" t="s">
        <v>6122</v>
      </c>
      <c r="L46" s="1298" t="s">
        <v>6122</v>
      </c>
      <c r="M46" s="1298">
        <v>2255</v>
      </c>
      <c r="N46" s="1301">
        <v>2016.08</v>
      </c>
      <c r="O46" s="1298" t="s">
        <v>6123</v>
      </c>
      <c r="P46" s="1298" t="s">
        <v>6124</v>
      </c>
      <c r="Q46" s="1298">
        <v>13930179988</v>
      </c>
      <c r="R46" s="1298" t="s">
        <v>6125</v>
      </c>
      <c r="S46" s="1298" t="s">
        <v>6056</v>
      </c>
      <c r="T46" s="1297"/>
    </row>
    <row r="47" spans="1:20" s="1292" customFormat="1" ht="20.100000000000001" customHeight="1">
      <c r="A47" s="1290"/>
      <c r="B47" s="1298" t="s">
        <v>5809</v>
      </c>
      <c r="C47" s="1298" t="s">
        <v>6126</v>
      </c>
      <c r="D47" s="1298" t="s">
        <v>161</v>
      </c>
      <c r="E47" s="1298" t="s">
        <v>34</v>
      </c>
      <c r="F47" s="1298">
        <v>41</v>
      </c>
      <c r="G47" s="1298" t="s">
        <v>32</v>
      </c>
      <c r="H47" s="1298" t="s">
        <v>41</v>
      </c>
      <c r="I47" s="1298" t="s">
        <v>6121</v>
      </c>
      <c r="J47" s="1298" t="s">
        <v>214</v>
      </c>
      <c r="K47" s="1298" t="s">
        <v>6122</v>
      </c>
      <c r="L47" s="1298" t="s">
        <v>6122</v>
      </c>
      <c r="M47" s="1298">
        <v>2583</v>
      </c>
      <c r="N47" s="1301">
        <v>2016.08</v>
      </c>
      <c r="O47" s="1298" t="s">
        <v>6123</v>
      </c>
      <c r="P47" s="1298" t="s">
        <v>6124</v>
      </c>
      <c r="Q47" s="1298">
        <v>13930179988</v>
      </c>
      <c r="R47" s="1298" t="s">
        <v>6125</v>
      </c>
      <c r="S47" s="1298" t="s">
        <v>6056</v>
      </c>
      <c r="T47" s="1297"/>
    </row>
    <row r="48" spans="1:20" s="1292" customFormat="1" ht="20.100000000000001" customHeight="1">
      <c r="A48" s="1290"/>
      <c r="B48" s="1298" t="s">
        <v>6127</v>
      </c>
      <c r="C48" s="1298" t="s">
        <v>6128</v>
      </c>
      <c r="D48" s="1298" t="s">
        <v>161</v>
      </c>
      <c r="E48" s="1298" t="s">
        <v>34</v>
      </c>
      <c r="F48" s="1298">
        <v>90</v>
      </c>
      <c r="G48" s="1298" t="s">
        <v>32</v>
      </c>
      <c r="H48" s="1298" t="s">
        <v>41</v>
      </c>
      <c r="I48" s="1298" t="s">
        <v>6121</v>
      </c>
      <c r="J48" s="1298" t="s">
        <v>214</v>
      </c>
      <c r="K48" s="1298" t="s">
        <v>6122</v>
      </c>
      <c r="L48" s="1298" t="s">
        <v>6122</v>
      </c>
      <c r="M48" s="1298">
        <v>2520</v>
      </c>
      <c r="N48" s="1301">
        <v>2016.08</v>
      </c>
      <c r="O48" s="1298" t="s">
        <v>6123</v>
      </c>
      <c r="P48" s="1298" t="s">
        <v>6124</v>
      </c>
      <c r="Q48" s="1298">
        <v>13930179988</v>
      </c>
      <c r="R48" s="1298" t="s">
        <v>6125</v>
      </c>
      <c r="S48" s="1298" t="s">
        <v>6056</v>
      </c>
      <c r="T48" s="1297"/>
    </row>
    <row r="49" spans="1:20" s="1292" customFormat="1" ht="20.100000000000001" customHeight="1">
      <c r="A49" s="1290"/>
      <c r="B49" s="1298" t="s">
        <v>5809</v>
      </c>
      <c r="C49" s="1298" t="s">
        <v>6129</v>
      </c>
      <c r="D49" s="1298" t="s">
        <v>161</v>
      </c>
      <c r="E49" s="1298" t="s">
        <v>34</v>
      </c>
      <c r="F49" s="1298">
        <v>82</v>
      </c>
      <c r="G49" s="1298" t="s">
        <v>32</v>
      </c>
      <c r="H49" s="1298" t="s">
        <v>41</v>
      </c>
      <c r="I49" s="1298" t="s">
        <v>6121</v>
      </c>
      <c r="J49" s="1298" t="s">
        <v>214</v>
      </c>
      <c r="K49" s="1298" t="s">
        <v>6130</v>
      </c>
      <c r="L49" s="1298" t="s">
        <v>6130</v>
      </c>
      <c r="M49" s="1298">
        <v>7183.2</v>
      </c>
      <c r="N49" s="1301">
        <v>2016.08</v>
      </c>
      <c r="O49" s="1298" t="s">
        <v>6123</v>
      </c>
      <c r="P49" s="1298" t="s">
        <v>6124</v>
      </c>
      <c r="Q49" s="1298">
        <v>13930179988</v>
      </c>
      <c r="R49" s="1298" t="s">
        <v>6131</v>
      </c>
      <c r="S49" s="1298" t="s">
        <v>6056</v>
      </c>
      <c r="T49" s="1297"/>
    </row>
    <row r="50" spans="1:20" s="1292" customFormat="1" ht="20.100000000000001" customHeight="1">
      <c r="A50" s="1290"/>
      <c r="B50" s="1298" t="s">
        <v>5809</v>
      </c>
      <c r="C50" s="1298" t="s">
        <v>6132</v>
      </c>
      <c r="D50" s="1298" t="s">
        <v>161</v>
      </c>
      <c r="E50" s="1298" t="s">
        <v>34</v>
      </c>
      <c r="F50" s="1298">
        <v>82</v>
      </c>
      <c r="G50" s="1298" t="s">
        <v>32</v>
      </c>
      <c r="H50" s="1298" t="s">
        <v>41</v>
      </c>
      <c r="I50" s="1298" t="s">
        <v>6121</v>
      </c>
      <c r="J50" s="1298" t="s">
        <v>214</v>
      </c>
      <c r="K50" s="1298" t="s">
        <v>6130</v>
      </c>
      <c r="L50" s="1298" t="s">
        <v>6130</v>
      </c>
      <c r="M50" s="1298">
        <v>8003.2</v>
      </c>
      <c r="N50" s="1301">
        <v>2016.08</v>
      </c>
      <c r="O50" s="1298" t="s">
        <v>6123</v>
      </c>
      <c r="P50" s="1298" t="s">
        <v>6124</v>
      </c>
      <c r="Q50" s="1298">
        <v>13930179988</v>
      </c>
      <c r="R50" s="1298" t="s">
        <v>6131</v>
      </c>
      <c r="S50" s="1298" t="s">
        <v>6056</v>
      </c>
      <c r="T50" s="1297"/>
    </row>
    <row r="51" spans="1:20" s="1292" customFormat="1" ht="20.100000000000001" customHeight="1">
      <c r="A51" s="1290"/>
      <c r="B51" s="1298" t="s">
        <v>6133</v>
      </c>
      <c r="C51" s="1298" t="s">
        <v>6134</v>
      </c>
      <c r="D51" s="1298" t="s">
        <v>161</v>
      </c>
      <c r="E51" s="1298" t="s">
        <v>34</v>
      </c>
      <c r="F51" s="1298">
        <v>164</v>
      </c>
      <c r="G51" s="1298" t="s">
        <v>32</v>
      </c>
      <c r="H51" s="1298" t="s">
        <v>41</v>
      </c>
      <c r="I51" s="1298" t="s">
        <v>6121</v>
      </c>
      <c r="J51" s="1298" t="s">
        <v>214</v>
      </c>
      <c r="K51" s="1298" t="s">
        <v>6130</v>
      </c>
      <c r="L51" s="1298" t="s">
        <v>6130</v>
      </c>
      <c r="M51" s="1298">
        <v>11480</v>
      </c>
      <c r="N51" s="1301">
        <v>2016.08</v>
      </c>
      <c r="O51" s="1298" t="s">
        <v>6123</v>
      </c>
      <c r="P51" s="1298" t="s">
        <v>6124</v>
      </c>
      <c r="Q51" s="1298">
        <v>13930179988</v>
      </c>
      <c r="R51" s="1298" t="s">
        <v>6131</v>
      </c>
      <c r="S51" s="1298" t="s">
        <v>6056</v>
      </c>
      <c r="T51" s="1297"/>
    </row>
    <row r="52" spans="1:20" s="1292" customFormat="1" ht="20.100000000000001" customHeight="1">
      <c r="A52" s="1290"/>
      <c r="B52" s="1298" t="s">
        <v>29</v>
      </c>
      <c r="C52" s="1298"/>
      <c r="D52" s="1298" t="s">
        <v>62</v>
      </c>
      <c r="E52" s="1298">
        <v>12.46</v>
      </c>
      <c r="F52" s="1298"/>
      <c r="G52" s="1298" t="s">
        <v>32</v>
      </c>
      <c r="H52" s="1298" t="s">
        <v>33</v>
      </c>
      <c r="I52" s="1298" t="s">
        <v>34</v>
      </c>
      <c r="J52" s="1298" t="s">
        <v>34</v>
      </c>
      <c r="K52" s="1298" t="s">
        <v>34</v>
      </c>
      <c r="L52" s="1298">
        <v>74652.59</v>
      </c>
      <c r="M52" s="1298">
        <v>2986.08</v>
      </c>
      <c r="N52" s="1301">
        <v>2018.11</v>
      </c>
      <c r="O52" s="1298" t="s">
        <v>6135</v>
      </c>
      <c r="P52" s="1298" t="s">
        <v>6136</v>
      </c>
      <c r="Q52" s="1298" t="s">
        <v>6137</v>
      </c>
      <c r="R52" s="1298" t="s">
        <v>6138</v>
      </c>
      <c r="S52" s="1298" t="s">
        <v>6056</v>
      </c>
      <c r="T52" s="1297"/>
    </row>
    <row r="53" spans="1:20" s="1292" customFormat="1" ht="20.100000000000001" customHeight="1">
      <c r="A53" s="1290"/>
      <c r="B53" s="1298" t="s">
        <v>29</v>
      </c>
      <c r="C53" s="1298"/>
      <c r="D53" s="1298" t="s">
        <v>62</v>
      </c>
      <c r="E53" s="1298">
        <v>30.5</v>
      </c>
      <c r="F53" s="1298"/>
      <c r="G53" s="1298" t="s">
        <v>32</v>
      </c>
      <c r="H53" s="1298" t="s">
        <v>33</v>
      </c>
      <c r="I53" s="1298" t="s">
        <v>34</v>
      </c>
      <c r="J53" s="1298" t="s">
        <v>34</v>
      </c>
      <c r="K53" s="1298" t="s">
        <v>34</v>
      </c>
      <c r="L53" s="1298">
        <v>199775</v>
      </c>
      <c r="M53" s="1298">
        <v>39955</v>
      </c>
      <c r="N53" s="1301">
        <v>2018.12</v>
      </c>
      <c r="O53" s="1298" t="s">
        <v>6135</v>
      </c>
      <c r="P53" s="1298" t="s">
        <v>6136</v>
      </c>
      <c r="Q53" s="1298" t="s">
        <v>6137</v>
      </c>
      <c r="R53" s="1298" t="s">
        <v>6138</v>
      </c>
      <c r="S53" s="1298" t="s">
        <v>6056</v>
      </c>
      <c r="T53" s="1297"/>
    </row>
    <row r="54" spans="1:20" s="1292" customFormat="1" ht="20.100000000000001" customHeight="1">
      <c r="A54" s="1290"/>
      <c r="B54" s="1298" t="s">
        <v>6139</v>
      </c>
      <c r="C54" s="1298"/>
      <c r="D54" s="1298" t="s">
        <v>62</v>
      </c>
      <c r="E54" s="1298">
        <v>6.82</v>
      </c>
      <c r="F54" s="1298"/>
      <c r="G54" s="1298" t="s">
        <v>32</v>
      </c>
      <c r="H54" s="1298" t="s">
        <v>33</v>
      </c>
      <c r="I54" s="1298" t="s">
        <v>34</v>
      </c>
      <c r="J54" s="1298" t="s">
        <v>34</v>
      </c>
      <c r="K54" s="1298" t="s">
        <v>34</v>
      </c>
      <c r="L54" s="1298">
        <v>47740</v>
      </c>
      <c r="M54" s="1298">
        <v>17186.400000000001</v>
      </c>
      <c r="N54" s="1301">
        <v>2019.4</v>
      </c>
      <c r="O54" s="1298" t="s">
        <v>6135</v>
      </c>
      <c r="P54" s="1298" t="s">
        <v>6136</v>
      </c>
      <c r="Q54" s="1298" t="s">
        <v>6137</v>
      </c>
      <c r="R54" s="1298" t="s">
        <v>6138</v>
      </c>
      <c r="S54" s="1298" t="s">
        <v>6056</v>
      </c>
      <c r="T54" s="1297"/>
    </row>
    <row r="55" spans="1:20" s="1292" customFormat="1" ht="20.100000000000001" customHeight="1">
      <c r="A55" s="1290"/>
      <c r="B55" s="1298" t="s">
        <v>29</v>
      </c>
      <c r="C55" s="1298" t="s">
        <v>6105</v>
      </c>
      <c r="D55" s="1298" t="s">
        <v>62</v>
      </c>
      <c r="E55" s="1298">
        <v>93.165999999999997</v>
      </c>
      <c r="F55" s="1298" t="s">
        <v>34</v>
      </c>
      <c r="G55" s="1298" t="s">
        <v>6140</v>
      </c>
      <c r="H55" s="1298" t="s">
        <v>6141</v>
      </c>
      <c r="I55" s="1298" t="s">
        <v>34</v>
      </c>
      <c r="J55" s="1298" t="s">
        <v>34</v>
      </c>
      <c r="K55" s="1298" t="s">
        <v>34</v>
      </c>
      <c r="L55" s="1298" t="s">
        <v>34</v>
      </c>
      <c r="M55" s="1298">
        <v>23291.48</v>
      </c>
      <c r="N55" s="1301">
        <v>42370</v>
      </c>
      <c r="O55" s="1298" t="s">
        <v>6142</v>
      </c>
      <c r="P55" s="1298" t="s">
        <v>6143</v>
      </c>
      <c r="Q55" s="1298">
        <v>13930142908</v>
      </c>
      <c r="R55" s="1298" t="s">
        <v>6144</v>
      </c>
      <c r="S55" s="1298" t="s">
        <v>6056</v>
      </c>
      <c r="T55" s="1297"/>
    </row>
    <row r="56" spans="1:20" s="1030" customFormat="1" ht="20.100000000000001" customHeight="1">
      <c r="A56" s="1321"/>
      <c r="B56" s="1298" t="s">
        <v>1593</v>
      </c>
      <c r="C56" s="1298" t="s">
        <v>6145</v>
      </c>
      <c r="D56" s="1298" t="s">
        <v>31</v>
      </c>
      <c r="E56" s="1298">
        <v>272</v>
      </c>
      <c r="F56" s="1298">
        <v>1395.88</v>
      </c>
      <c r="G56" s="1298" t="s">
        <v>32</v>
      </c>
      <c r="H56" s="1298" t="s">
        <v>6146</v>
      </c>
      <c r="I56" s="1298" t="s">
        <v>34</v>
      </c>
      <c r="J56" s="1298" t="s">
        <v>34</v>
      </c>
      <c r="K56" s="1298" t="s">
        <v>34</v>
      </c>
      <c r="L56" s="1298" t="s">
        <v>34</v>
      </c>
      <c r="M56" s="1322">
        <v>378732.52</v>
      </c>
      <c r="N56" s="1301">
        <v>2018.9</v>
      </c>
      <c r="O56" s="1298" t="s">
        <v>6147</v>
      </c>
      <c r="P56" s="1298" t="s">
        <v>6148</v>
      </c>
      <c r="Q56" s="1298">
        <v>17743858680</v>
      </c>
      <c r="R56" s="1298" t="s">
        <v>6149</v>
      </c>
      <c r="S56" s="1298" t="s">
        <v>6150</v>
      </c>
      <c r="T56" s="1323"/>
    </row>
    <row r="57" spans="1:20" s="1030" customFormat="1" ht="20.100000000000001" customHeight="1">
      <c r="A57" s="1321"/>
      <c r="B57" s="1298" t="s">
        <v>29</v>
      </c>
      <c r="C57" s="1298" t="s">
        <v>6151</v>
      </c>
      <c r="D57" s="1298" t="s">
        <v>62</v>
      </c>
      <c r="E57" s="1298">
        <v>36.247999999999998</v>
      </c>
      <c r="F57" s="1298"/>
      <c r="G57" s="1298" t="s">
        <v>32</v>
      </c>
      <c r="H57" s="1298" t="s">
        <v>6146</v>
      </c>
      <c r="I57" s="1298" t="s">
        <v>34</v>
      </c>
      <c r="J57" s="1298" t="s">
        <v>34</v>
      </c>
      <c r="K57" s="1298" t="s">
        <v>34</v>
      </c>
      <c r="L57" s="1298" t="s">
        <v>34</v>
      </c>
      <c r="M57" s="1298">
        <v>145200.324666667</v>
      </c>
      <c r="N57" s="1301">
        <v>2018.09</v>
      </c>
      <c r="O57" s="1298" t="s">
        <v>6152</v>
      </c>
      <c r="P57" s="1298" t="s">
        <v>6153</v>
      </c>
      <c r="Q57" s="1298">
        <v>13832107939</v>
      </c>
      <c r="R57" s="1298" t="s">
        <v>6152</v>
      </c>
      <c r="S57" s="1298" t="s">
        <v>6150</v>
      </c>
      <c r="T57" s="1323"/>
    </row>
    <row r="58" spans="1:20" s="1030" customFormat="1" ht="20.100000000000001" customHeight="1">
      <c r="A58" s="1321"/>
      <c r="B58" s="1298" t="s">
        <v>29</v>
      </c>
      <c r="C58" s="1298" t="s">
        <v>6151</v>
      </c>
      <c r="D58" s="1298" t="s">
        <v>62</v>
      </c>
      <c r="E58" s="1298">
        <v>15</v>
      </c>
      <c r="F58" s="1298"/>
      <c r="G58" s="1298" t="s">
        <v>32</v>
      </c>
      <c r="H58" s="1298" t="s">
        <v>6146</v>
      </c>
      <c r="I58" s="1298" t="s">
        <v>34</v>
      </c>
      <c r="J58" s="1298" t="s">
        <v>34</v>
      </c>
      <c r="K58" s="1298" t="s">
        <v>34</v>
      </c>
      <c r="L58" s="1298" t="s">
        <v>34</v>
      </c>
      <c r="M58" s="1298">
        <v>60086.203833333297</v>
      </c>
      <c r="N58" s="1301">
        <v>2018.12</v>
      </c>
      <c r="O58" s="1298" t="s">
        <v>6152</v>
      </c>
      <c r="P58" s="1298" t="s">
        <v>6153</v>
      </c>
      <c r="Q58" s="1298">
        <v>13832107939</v>
      </c>
      <c r="R58" s="1298" t="s">
        <v>6152</v>
      </c>
      <c r="S58" s="1298" t="s">
        <v>6150</v>
      </c>
      <c r="T58" s="1323"/>
    </row>
    <row r="59" spans="1:20" s="1030" customFormat="1" ht="20.100000000000001" customHeight="1">
      <c r="A59" s="1321"/>
      <c r="B59" s="1298" t="s">
        <v>29</v>
      </c>
      <c r="C59" s="1298" t="s">
        <v>6151</v>
      </c>
      <c r="D59" s="1298" t="s">
        <v>62</v>
      </c>
      <c r="E59" s="1298">
        <v>2.395</v>
      </c>
      <c r="F59" s="1298"/>
      <c r="G59" s="1298" t="s">
        <v>32</v>
      </c>
      <c r="H59" s="1298" t="s">
        <v>6146</v>
      </c>
      <c r="I59" s="1298" t="s">
        <v>34</v>
      </c>
      <c r="J59" s="1298" t="s">
        <v>34</v>
      </c>
      <c r="K59" s="1298" t="s">
        <v>34</v>
      </c>
      <c r="L59" s="1298" t="s">
        <v>34</v>
      </c>
      <c r="M59" s="1298">
        <v>5147.8753333333298</v>
      </c>
      <c r="N59" s="1301">
        <v>2018.12</v>
      </c>
      <c r="O59" s="1298" t="s">
        <v>6152</v>
      </c>
      <c r="P59" s="1298" t="s">
        <v>6153</v>
      </c>
      <c r="Q59" s="1298">
        <v>13832107939</v>
      </c>
      <c r="R59" s="1298" t="s">
        <v>6152</v>
      </c>
      <c r="S59" s="1298" t="s">
        <v>6150</v>
      </c>
      <c r="T59" s="1323"/>
    </row>
    <row r="60" spans="1:20" s="1030" customFormat="1" ht="20.100000000000001" customHeight="1">
      <c r="A60" s="1321"/>
      <c r="B60" s="1298" t="s">
        <v>6154</v>
      </c>
      <c r="C60" s="1298" t="s">
        <v>6155</v>
      </c>
      <c r="D60" s="1298" t="s">
        <v>79</v>
      </c>
      <c r="E60" s="1298">
        <v>3</v>
      </c>
      <c r="F60" s="1298">
        <v>0.40500000000000003</v>
      </c>
      <c r="G60" s="1298" t="s">
        <v>32</v>
      </c>
      <c r="H60" s="1298" t="s">
        <v>6146</v>
      </c>
      <c r="I60" s="1298" t="s">
        <v>34</v>
      </c>
      <c r="J60" s="1298" t="s">
        <v>34</v>
      </c>
      <c r="K60" s="1298" t="s">
        <v>34</v>
      </c>
      <c r="L60" s="1298" t="s">
        <v>34</v>
      </c>
      <c r="M60" s="1298">
        <v>5697</v>
      </c>
      <c r="N60" s="1301">
        <v>2016.4</v>
      </c>
      <c r="O60" s="1298" t="s">
        <v>6156</v>
      </c>
      <c r="P60" s="1298" t="s">
        <v>6157</v>
      </c>
      <c r="Q60" s="1298">
        <v>15731188636</v>
      </c>
      <c r="R60" s="1298" t="s">
        <v>6152</v>
      </c>
      <c r="S60" s="1298" t="s">
        <v>6150</v>
      </c>
      <c r="T60" s="1323"/>
    </row>
    <row r="61" spans="1:20" s="1030" customFormat="1" ht="20.100000000000001" customHeight="1">
      <c r="A61" s="1321"/>
      <c r="B61" s="1298" t="s">
        <v>6154</v>
      </c>
      <c r="C61" s="1298" t="s">
        <v>6158</v>
      </c>
      <c r="D61" s="1298" t="s">
        <v>79</v>
      </c>
      <c r="E61" s="1298">
        <v>20</v>
      </c>
      <c r="F61" s="1298">
        <v>0.46</v>
      </c>
      <c r="G61" s="1298" t="s">
        <v>32</v>
      </c>
      <c r="H61" s="1298" t="s">
        <v>6146</v>
      </c>
      <c r="I61" s="1298" t="s">
        <v>34</v>
      </c>
      <c r="J61" s="1298" t="s">
        <v>34</v>
      </c>
      <c r="K61" s="1298" t="s">
        <v>34</v>
      </c>
      <c r="L61" s="1298" t="s">
        <v>34</v>
      </c>
      <c r="M61" s="1298">
        <v>43100</v>
      </c>
      <c r="N61" s="1301">
        <v>2016.4</v>
      </c>
      <c r="O61" s="1298" t="s">
        <v>6156</v>
      </c>
      <c r="P61" s="1298" t="s">
        <v>6157</v>
      </c>
      <c r="Q61" s="1298">
        <v>15731188636</v>
      </c>
      <c r="R61" s="1298" t="s">
        <v>6152</v>
      </c>
      <c r="S61" s="1298" t="s">
        <v>6150</v>
      </c>
      <c r="T61" s="1323"/>
    </row>
    <row r="62" spans="1:20" s="1030" customFormat="1" ht="20.100000000000001" customHeight="1">
      <c r="A62" s="1321"/>
      <c r="B62" s="1298" t="s">
        <v>6154</v>
      </c>
      <c r="C62" s="1298" t="s">
        <v>6159</v>
      </c>
      <c r="D62" s="1298" t="s">
        <v>79</v>
      </c>
      <c r="E62" s="1298">
        <v>58</v>
      </c>
      <c r="F62" s="1298">
        <v>0.51400000000000001</v>
      </c>
      <c r="G62" s="1298" t="s">
        <v>32</v>
      </c>
      <c r="H62" s="1298" t="s">
        <v>6146</v>
      </c>
      <c r="I62" s="1298" t="s">
        <v>34</v>
      </c>
      <c r="J62" s="1298" t="s">
        <v>34</v>
      </c>
      <c r="K62" s="1298" t="s">
        <v>34</v>
      </c>
      <c r="L62" s="1298" t="s">
        <v>34</v>
      </c>
      <c r="M62" s="1298">
        <v>139838</v>
      </c>
      <c r="N62" s="1301">
        <v>2016.4</v>
      </c>
      <c r="O62" s="1298" t="s">
        <v>6156</v>
      </c>
      <c r="P62" s="1298" t="s">
        <v>6157</v>
      </c>
      <c r="Q62" s="1298">
        <v>15731188636</v>
      </c>
      <c r="R62" s="1298" t="s">
        <v>6152</v>
      </c>
      <c r="S62" s="1298" t="s">
        <v>6150</v>
      </c>
      <c r="T62" s="1323"/>
    </row>
    <row r="63" spans="1:20" s="1030" customFormat="1" ht="20.100000000000001" customHeight="1">
      <c r="A63" s="1321"/>
      <c r="B63" s="1298" t="s">
        <v>6154</v>
      </c>
      <c r="C63" s="1298" t="s">
        <v>6160</v>
      </c>
      <c r="D63" s="1298" t="s">
        <v>79</v>
      </c>
      <c r="E63" s="1298">
        <v>3</v>
      </c>
      <c r="F63" s="1298">
        <v>0.56899999999999995</v>
      </c>
      <c r="G63" s="1298" t="s">
        <v>32</v>
      </c>
      <c r="H63" s="1298" t="s">
        <v>6146</v>
      </c>
      <c r="I63" s="1298" t="s">
        <v>34</v>
      </c>
      <c r="J63" s="1298" t="s">
        <v>34</v>
      </c>
      <c r="K63" s="1298" t="s">
        <v>34</v>
      </c>
      <c r="L63" s="1298" t="s">
        <v>34</v>
      </c>
      <c r="M63" s="1298">
        <v>8001</v>
      </c>
      <c r="N63" s="1301">
        <v>2016.4</v>
      </c>
      <c r="O63" s="1298" t="s">
        <v>6156</v>
      </c>
      <c r="P63" s="1298" t="s">
        <v>6157</v>
      </c>
      <c r="Q63" s="1298">
        <v>15731188636</v>
      </c>
      <c r="R63" s="1298" t="s">
        <v>6152</v>
      </c>
      <c r="S63" s="1298" t="s">
        <v>6150</v>
      </c>
      <c r="T63" s="1323"/>
    </row>
    <row r="64" spans="1:20" s="1030" customFormat="1" ht="20.100000000000001" customHeight="1">
      <c r="A64" s="1321"/>
      <c r="B64" s="1298" t="s">
        <v>6161</v>
      </c>
      <c r="C64" s="1298" t="s">
        <v>6162</v>
      </c>
      <c r="D64" s="1298" t="s">
        <v>2084</v>
      </c>
      <c r="E64" s="1298">
        <v>10.284000000000001</v>
      </c>
      <c r="F64" s="1298">
        <v>10.284000000000001</v>
      </c>
      <c r="G64" s="1298" t="s">
        <v>72</v>
      </c>
      <c r="H64" s="1298" t="s">
        <v>6146</v>
      </c>
      <c r="I64" s="1298" t="s">
        <v>34</v>
      </c>
      <c r="J64" s="1298" t="s">
        <v>34</v>
      </c>
      <c r="K64" s="1298" t="s">
        <v>34</v>
      </c>
      <c r="L64" s="1298" t="s">
        <v>34</v>
      </c>
      <c r="M64" s="1298">
        <v>12215</v>
      </c>
      <c r="N64" s="1301">
        <v>2014.07</v>
      </c>
      <c r="O64" s="1298" t="s">
        <v>6163</v>
      </c>
      <c r="P64" s="1298" t="s">
        <v>6164</v>
      </c>
      <c r="Q64" s="1298">
        <v>17732844980</v>
      </c>
      <c r="R64" s="1298" t="s">
        <v>6165</v>
      </c>
      <c r="S64" s="1298" t="s">
        <v>6166</v>
      </c>
      <c r="T64" s="1323"/>
    </row>
    <row r="65" spans="1:20" s="1030" customFormat="1" ht="20.100000000000001" customHeight="1">
      <c r="A65" s="1321"/>
      <c r="B65" s="1298" t="s">
        <v>6167</v>
      </c>
      <c r="C65" s="1298" t="s">
        <v>6168</v>
      </c>
      <c r="D65" s="1298" t="s">
        <v>2084</v>
      </c>
      <c r="E65" s="1298">
        <v>8.3800000000000008</v>
      </c>
      <c r="F65" s="1298">
        <v>8.3800000000000008</v>
      </c>
      <c r="G65" s="1298" t="s">
        <v>72</v>
      </c>
      <c r="H65" s="1298" t="s">
        <v>6063</v>
      </c>
      <c r="I65" s="1298" t="s">
        <v>34</v>
      </c>
      <c r="J65" s="1298" t="s">
        <v>34</v>
      </c>
      <c r="K65" s="1298" t="s">
        <v>34</v>
      </c>
      <c r="L65" s="1298" t="s">
        <v>34</v>
      </c>
      <c r="M65" s="1298">
        <v>9962</v>
      </c>
      <c r="N65" s="1301">
        <v>2014.07</v>
      </c>
      <c r="O65" s="1298" t="s">
        <v>6163</v>
      </c>
      <c r="P65" s="1298" t="s">
        <v>6164</v>
      </c>
      <c r="Q65" s="1298">
        <v>17732844980</v>
      </c>
      <c r="R65" s="1298" t="s">
        <v>6165</v>
      </c>
      <c r="S65" s="1298" t="s">
        <v>6166</v>
      </c>
      <c r="T65" s="1323"/>
    </row>
    <row r="66" spans="1:20" s="1030" customFormat="1" ht="20.100000000000001" customHeight="1">
      <c r="A66" s="1321"/>
      <c r="B66" s="1298" t="s">
        <v>6167</v>
      </c>
      <c r="C66" s="1298" t="s">
        <v>6169</v>
      </c>
      <c r="D66" s="1298" t="s">
        <v>2084</v>
      </c>
      <c r="E66" s="1298">
        <v>8.1</v>
      </c>
      <c r="F66" s="1298">
        <v>8.1</v>
      </c>
      <c r="G66" s="1298" t="s">
        <v>72</v>
      </c>
      <c r="H66" s="1298" t="s">
        <v>6063</v>
      </c>
      <c r="I66" s="1298" t="s">
        <v>34</v>
      </c>
      <c r="J66" s="1298" t="s">
        <v>34</v>
      </c>
      <c r="K66" s="1298" t="s">
        <v>34</v>
      </c>
      <c r="L66" s="1298" t="s">
        <v>34</v>
      </c>
      <c r="M66" s="1298">
        <v>7857</v>
      </c>
      <c r="N66" s="1301" t="s">
        <v>6170</v>
      </c>
      <c r="O66" s="1298" t="s">
        <v>6163</v>
      </c>
      <c r="P66" s="1298" t="s">
        <v>6164</v>
      </c>
      <c r="Q66" s="1298">
        <v>17732844980</v>
      </c>
      <c r="R66" s="1298" t="s">
        <v>6165</v>
      </c>
      <c r="S66" s="1298" t="s">
        <v>6166</v>
      </c>
      <c r="T66" s="1323"/>
    </row>
    <row r="67" spans="1:20" s="1030" customFormat="1" ht="20.100000000000001" customHeight="1">
      <c r="A67" s="1321"/>
      <c r="B67" s="1314" t="s">
        <v>4046</v>
      </c>
      <c r="C67" s="1315" t="s">
        <v>34</v>
      </c>
      <c r="D67" s="1315" t="s">
        <v>79</v>
      </c>
      <c r="E67" s="1316">
        <v>66</v>
      </c>
      <c r="F67" s="1316" t="s">
        <v>34</v>
      </c>
      <c r="G67" s="1289" t="s">
        <v>72</v>
      </c>
      <c r="H67" s="1237" t="s">
        <v>41</v>
      </c>
      <c r="I67" s="1298" t="s">
        <v>34</v>
      </c>
      <c r="J67" s="1289" t="s">
        <v>6171</v>
      </c>
      <c r="K67" s="1317" t="s">
        <v>6172</v>
      </c>
      <c r="L67" s="1324">
        <v>168300</v>
      </c>
      <c r="M67" s="1291">
        <v>33660</v>
      </c>
      <c r="N67" s="1289" t="s">
        <v>6173</v>
      </c>
      <c r="O67" s="1289" t="s">
        <v>6174</v>
      </c>
      <c r="P67" s="1290" t="s">
        <v>6175</v>
      </c>
      <c r="Q67" s="1289">
        <v>13930162225</v>
      </c>
      <c r="R67" s="1296" t="s">
        <v>6176</v>
      </c>
      <c r="S67" s="1320" t="s">
        <v>6089</v>
      </c>
      <c r="T67" s="1323"/>
    </row>
    <row r="68" spans="1:20" s="1292" customFormat="1" ht="20.100000000000001" customHeight="1">
      <c r="A68" s="1290">
        <v>3</v>
      </c>
      <c r="B68" s="1298" t="s">
        <v>6177</v>
      </c>
      <c r="C68" s="1298"/>
      <c r="D68" s="1298"/>
      <c r="E68" s="1298"/>
      <c r="F68" s="1298"/>
      <c r="G68" s="1298"/>
      <c r="H68" s="1298"/>
      <c r="I68" s="1298"/>
      <c r="J68" s="1298"/>
      <c r="K68" s="1298"/>
      <c r="L68" s="1298"/>
      <c r="M68" s="1298"/>
      <c r="N68" s="1301"/>
      <c r="O68" s="1298"/>
      <c r="P68" s="1298"/>
      <c r="Q68" s="1298"/>
      <c r="R68" s="1298"/>
      <c r="S68" s="1298"/>
      <c r="T68" s="1297"/>
    </row>
    <row r="69" spans="1:20" s="1292" customFormat="1" ht="20.100000000000001" customHeight="1">
      <c r="A69" s="1290"/>
      <c r="B69" s="1298" t="s">
        <v>6178</v>
      </c>
      <c r="C69" s="1298" t="s">
        <v>6179</v>
      </c>
      <c r="D69" s="1298" t="s">
        <v>2084</v>
      </c>
      <c r="E69" s="1298">
        <v>40</v>
      </c>
      <c r="F69" s="1298">
        <v>40</v>
      </c>
      <c r="G69" s="1298" t="s">
        <v>32</v>
      </c>
      <c r="H69" s="1298" t="s">
        <v>6141</v>
      </c>
      <c r="I69" s="1298" t="s">
        <v>179</v>
      </c>
      <c r="J69" s="1298" t="s">
        <v>34</v>
      </c>
      <c r="K69" s="1298" t="s">
        <v>34</v>
      </c>
      <c r="L69" s="1298" t="s">
        <v>34</v>
      </c>
      <c r="M69" s="1298">
        <v>50720</v>
      </c>
      <c r="N69" s="1301">
        <v>2018.2</v>
      </c>
      <c r="O69" s="1298" t="s">
        <v>6180</v>
      </c>
      <c r="P69" s="1298" t="s">
        <v>6164</v>
      </c>
      <c r="Q69" s="1298">
        <v>17732844980</v>
      </c>
      <c r="R69" s="1298" t="s">
        <v>6181</v>
      </c>
      <c r="S69" s="1298" t="s">
        <v>6182</v>
      </c>
      <c r="T69" s="1297"/>
    </row>
    <row r="70" spans="1:20" s="1292" customFormat="1" ht="20.100000000000001" customHeight="1">
      <c r="A70" s="1290"/>
      <c r="B70" s="1298" t="s">
        <v>6178</v>
      </c>
      <c r="C70" s="1298" t="s">
        <v>6183</v>
      </c>
      <c r="D70" s="1298" t="s">
        <v>2084</v>
      </c>
      <c r="E70" s="1298">
        <v>50</v>
      </c>
      <c r="F70" s="1298">
        <v>50</v>
      </c>
      <c r="G70" s="1298" t="s">
        <v>32</v>
      </c>
      <c r="H70" s="1298" t="s">
        <v>6141</v>
      </c>
      <c r="I70" s="1298" t="s">
        <v>179</v>
      </c>
      <c r="J70" s="1298" t="s">
        <v>34</v>
      </c>
      <c r="K70" s="1298" t="s">
        <v>34</v>
      </c>
      <c r="L70" s="1298" t="s">
        <v>34</v>
      </c>
      <c r="M70" s="1298">
        <v>63400</v>
      </c>
      <c r="N70" s="1301">
        <v>2018.5</v>
      </c>
      <c r="O70" s="1298" t="s">
        <v>6180</v>
      </c>
      <c r="P70" s="1298" t="s">
        <v>6164</v>
      </c>
      <c r="Q70" s="1298">
        <v>17732844980</v>
      </c>
      <c r="R70" s="1298" t="s">
        <v>6181</v>
      </c>
      <c r="S70" s="1298" t="s">
        <v>6182</v>
      </c>
      <c r="T70" s="1297"/>
    </row>
    <row r="71" spans="1:20" s="1292" customFormat="1" ht="20.100000000000001" customHeight="1">
      <c r="A71" s="1290"/>
      <c r="B71" s="1298" t="s">
        <v>6178</v>
      </c>
      <c r="C71" s="1298" t="s">
        <v>6183</v>
      </c>
      <c r="D71" s="1298" t="s">
        <v>2084</v>
      </c>
      <c r="E71" s="1298">
        <v>29.085000000000001</v>
      </c>
      <c r="F71" s="1298">
        <v>29.085000000000001</v>
      </c>
      <c r="G71" s="1298" t="s">
        <v>32</v>
      </c>
      <c r="H71" s="1298" t="s">
        <v>6141</v>
      </c>
      <c r="I71" s="1298" t="s">
        <v>179</v>
      </c>
      <c r="J71" s="1298" t="s">
        <v>34</v>
      </c>
      <c r="K71" s="1298" t="s">
        <v>34</v>
      </c>
      <c r="L71" s="1298" t="s">
        <v>34</v>
      </c>
      <c r="M71" s="1298">
        <v>36879.78</v>
      </c>
      <c r="N71" s="1301">
        <v>2018.8</v>
      </c>
      <c r="O71" s="1298" t="s">
        <v>6180</v>
      </c>
      <c r="P71" s="1298" t="s">
        <v>6164</v>
      </c>
      <c r="Q71" s="1298">
        <v>17732844980</v>
      </c>
      <c r="R71" s="1298" t="s">
        <v>6181</v>
      </c>
      <c r="S71" s="1298" t="s">
        <v>6182</v>
      </c>
      <c r="T71" s="1297"/>
    </row>
    <row r="72" spans="1:20" s="1292" customFormat="1" ht="20.100000000000001" customHeight="1">
      <c r="A72" s="1290"/>
      <c r="B72" s="1298" t="s">
        <v>6178</v>
      </c>
      <c r="C72" s="1298" t="s">
        <v>6184</v>
      </c>
      <c r="D72" s="1298" t="s">
        <v>2084</v>
      </c>
      <c r="E72" s="1298">
        <v>13.33</v>
      </c>
      <c r="F72" s="1298">
        <v>13.33</v>
      </c>
      <c r="G72" s="1298" t="s">
        <v>32</v>
      </c>
      <c r="H72" s="1298" t="s">
        <v>6141</v>
      </c>
      <c r="I72" s="1298" t="s">
        <v>179</v>
      </c>
      <c r="J72" s="1298" t="s">
        <v>34</v>
      </c>
      <c r="K72" s="1298" t="s">
        <v>34</v>
      </c>
      <c r="L72" s="1298" t="s">
        <v>34</v>
      </c>
      <c r="M72" s="1298">
        <v>18128.8</v>
      </c>
      <c r="N72" s="1301">
        <v>2018.9</v>
      </c>
      <c r="O72" s="1298" t="s">
        <v>6180</v>
      </c>
      <c r="P72" s="1298" t="s">
        <v>6164</v>
      </c>
      <c r="Q72" s="1298">
        <v>17732844980</v>
      </c>
      <c r="R72" s="1298" t="s">
        <v>6181</v>
      </c>
      <c r="S72" s="1298" t="s">
        <v>6182</v>
      </c>
      <c r="T72" s="1297"/>
    </row>
    <row r="73" spans="1:20" s="1292" customFormat="1" ht="20.100000000000001" customHeight="1">
      <c r="A73" s="1290"/>
      <c r="B73" s="1298" t="s">
        <v>6178</v>
      </c>
      <c r="C73" s="1298" t="s">
        <v>2224</v>
      </c>
      <c r="D73" s="1298" t="s">
        <v>62</v>
      </c>
      <c r="E73" s="1298">
        <v>1</v>
      </c>
      <c r="F73" s="1298">
        <v>79.365079365079396</v>
      </c>
      <c r="G73" s="1298" t="s">
        <v>32</v>
      </c>
      <c r="H73" s="1298" t="s">
        <v>6185</v>
      </c>
      <c r="I73" s="1298" t="s">
        <v>6186</v>
      </c>
      <c r="J73" s="1298" t="s">
        <v>901</v>
      </c>
      <c r="K73" s="1298" t="s">
        <v>34</v>
      </c>
      <c r="L73" s="1298" t="s">
        <v>34</v>
      </c>
      <c r="M73" s="1298">
        <v>81666.67</v>
      </c>
      <c r="N73" s="1301" t="s">
        <v>6187</v>
      </c>
      <c r="O73" s="1298" t="s">
        <v>6188</v>
      </c>
      <c r="P73" s="1298" t="s">
        <v>6189</v>
      </c>
      <c r="Q73" s="1298">
        <v>18631102959</v>
      </c>
      <c r="R73" s="1298" t="s">
        <v>6190</v>
      </c>
      <c r="S73" s="1298" t="s">
        <v>6166</v>
      </c>
      <c r="T73" s="1297"/>
    </row>
    <row r="74" spans="1:20" s="1292" customFormat="1" ht="20.100000000000001" customHeight="1">
      <c r="A74" s="1290"/>
      <c r="B74" s="1298" t="s">
        <v>6090</v>
      </c>
      <c r="C74" s="1298" t="s">
        <v>6191</v>
      </c>
      <c r="D74" s="1298" t="s">
        <v>62</v>
      </c>
      <c r="E74" s="1298">
        <v>1</v>
      </c>
      <c r="F74" s="1298">
        <v>90.068699186991907</v>
      </c>
      <c r="G74" s="1298" t="s">
        <v>32</v>
      </c>
      <c r="H74" s="1298" t="s">
        <v>6185</v>
      </c>
      <c r="I74" s="1298" t="s">
        <v>6186</v>
      </c>
      <c r="J74" s="1298" t="s">
        <v>901</v>
      </c>
      <c r="K74" s="1298" t="s">
        <v>34</v>
      </c>
      <c r="L74" s="1298" t="s">
        <v>34</v>
      </c>
      <c r="M74" s="1298">
        <v>88627.6</v>
      </c>
      <c r="N74" s="1301" t="s">
        <v>6192</v>
      </c>
      <c r="O74" s="1298" t="s">
        <v>6188</v>
      </c>
      <c r="P74" s="1298" t="s">
        <v>6189</v>
      </c>
      <c r="Q74" s="1298">
        <v>18631102959</v>
      </c>
      <c r="R74" s="1298" t="s">
        <v>6190</v>
      </c>
      <c r="S74" s="1298" t="s">
        <v>6166</v>
      </c>
      <c r="T74" s="1297"/>
    </row>
    <row r="75" spans="1:20" s="1292" customFormat="1" ht="20.100000000000001" customHeight="1">
      <c r="A75" s="1290"/>
      <c r="B75" s="1298" t="s">
        <v>6167</v>
      </c>
      <c r="C75" s="1298" t="s">
        <v>6193</v>
      </c>
      <c r="D75" s="1298" t="s">
        <v>62</v>
      </c>
      <c r="E75" s="1298">
        <v>1</v>
      </c>
      <c r="F75" s="1298">
        <v>32.799999999999997</v>
      </c>
      <c r="G75" s="1298" t="s">
        <v>32</v>
      </c>
      <c r="H75" s="1298" t="s">
        <v>6185</v>
      </c>
      <c r="I75" s="1298" t="s">
        <v>6194</v>
      </c>
      <c r="J75" s="1298" t="s">
        <v>901</v>
      </c>
      <c r="K75" s="1298" t="s">
        <v>34</v>
      </c>
      <c r="L75" s="1298" t="s">
        <v>34</v>
      </c>
      <c r="M75" s="1298">
        <v>22482.43</v>
      </c>
      <c r="N75" s="1301" t="s">
        <v>6192</v>
      </c>
      <c r="O75" s="1298" t="s">
        <v>6188</v>
      </c>
      <c r="P75" s="1298" t="s">
        <v>6189</v>
      </c>
      <c r="Q75" s="1298">
        <v>18631102959</v>
      </c>
      <c r="R75" s="1298" t="s">
        <v>6190</v>
      </c>
      <c r="S75" s="1298" t="s">
        <v>6166</v>
      </c>
      <c r="T75" s="1297"/>
    </row>
    <row r="76" spans="1:20" s="1292" customFormat="1" ht="20.100000000000001" customHeight="1">
      <c r="A76" s="1290"/>
      <c r="B76" s="1298" t="s">
        <v>6167</v>
      </c>
      <c r="C76" s="1298" t="s">
        <v>6195</v>
      </c>
      <c r="D76" s="1298" t="s">
        <v>62</v>
      </c>
      <c r="E76" s="1298">
        <v>1</v>
      </c>
      <c r="F76" s="1298">
        <v>33.49</v>
      </c>
      <c r="G76" s="1298" t="s">
        <v>32</v>
      </c>
      <c r="H76" s="1298" t="s">
        <v>6185</v>
      </c>
      <c r="I76" s="1298" t="s">
        <v>6194</v>
      </c>
      <c r="J76" s="1298" t="s">
        <v>901</v>
      </c>
      <c r="K76" s="1298" t="s">
        <v>34</v>
      </c>
      <c r="L76" s="1298" t="s">
        <v>34</v>
      </c>
      <c r="M76" s="1298">
        <v>22955.39</v>
      </c>
      <c r="N76" s="1301" t="s">
        <v>6192</v>
      </c>
      <c r="O76" s="1298" t="s">
        <v>6188</v>
      </c>
      <c r="P76" s="1298" t="s">
        <v>6189</v>
      </c>
      <c r="Q76" s="1298">
        <v>18631102959</v>
      </c>
      <c r="R76" s="1298" t="s">
        <v>6190</v>
      </c>
      <c r="S76" s="1298" t="s">
        <v>6166</v>
      </c>
      <c r="T76" s="1297"/>
    </row>
    <row r="77" spans="1:20" s="1292" customFormat="1" ht="20.100000000000001" customHeight="1">
      <c r="A77" s="1290"/>
      <c r="B77" s="1298" t="s">
        <v>6167</v>
      </c>
      <c r="C77" s="1298" t="s">
        <v>6196</v>
      </c>
      <c r="D77" s="1298" t="s">
        <v>62</v>
      </c>
      <c r="E77" s="1298">
        <v>1</v>
      </c>
      <c r="F77" s="1298">
        <v>36.96</v>
      </c>
      <c r="G77" s="1298" t="s">
        <v>32</v>
      </c>
      <c r="H77" s="1298" t="s">
        <v>6185</v>
      </c>
      <c r="I77" s="1298" t="s">
        <v>6197</v>
      </c>
      <c r="J77" s="1298" t="s">
        <v>901</v>
      </c>
      <c r="K77" s="1298" t="s">
        <v>34</v>
      </c>
      <c r="L77" s="1298" t="s">
        <v>34</v>
      </c>
      <c r="M77" s="1298">
        <v>11996.33</v>
      </c>
      <c r="N77" s="1301" t="s">
        <v>6192</v>
      </c>
      <c r="O77" s="1298" t="s">
        <v>6188</v>
      </c>
      <c r="P77" s="1298" t="s">
        <v>6189</v>
      </c>
      <c r="Q77" s="1298">
        <v>18631102959</v>
      </c>
      <c r="R77" s="1298" t="s">
        <v>6190</v>
      </c>
      <c r="S77" s="1298" t="s">
        <v>6166</v>
      </c>
      <c r="T77" s="1297"/>
    </row>
    <row r="78" spans="1:20" s="1292" customFormat="1" ht="20.100000000000001" customHeight="1">
      <c r="A78" s="1290"/>
      <c r="B78" s="1298" t="s">
        <v>6167</v>
      </c>
      <c r="C78" s="1298" t="s">
        <v>6198</v>
      </c>
      <c r="D78" s="1298" t="s">
        <v>62</v>
      </c>
      <c r="E78" s="1298">
        <v>1</v>
      </c>
      <c r="F78" s="1298">
        <v>25.32</v>
      </c>
      <c r="G78" s="1298" t="s">
        <v>32</v>
      </c>
      <c r="H78" s="1298" t="s">
        <v>6185</v>
      </c>
      <c r="I78" s="1298" t="s">
        <v>6197</v>
      </c>
      <c r="J78" s="1298" t="s">
        <v>901</v>
      </c>
      <c r="K78" s="1298" t="s">
        <v>34</v>
      </c>
      <c r="L78" s="1298" t="s">
        <v>34</v>
      </c>
      <c r="M78" s="1298">
        <v>8218.26</v>
      </c>
      <c r="N78" s="1301" t="s">
        <v>6192</v>
      </c>
      <c r="O78" s="1298" t="s">
        <v>6188</v>
      </c>
      <c r="P78" s="1298" t="s">
        <v>6189</v>
      </c>
      <c r="Q78" s="1298">
        <v>18631102959</v>
      </c>
      <c r="R78" s="1298" t="s">
        <v>6190</v>
      </c>
      <c r="S78" s="1298" t="s">
        <v>6166</v>
      </c>
      <c r="T78" s="1297"/>
    </row>
    <row r="79" spans="1:20" s="1292" customFormat="1" ht="20.100000000000001" customHeight="1">
      <c r="A79" s="1290"/>
      <c r="B79" s="1298" t="s">
        <v>6167</v>
      </c>
      <c r="C79" s="1298" t="s">
        <v>6199</v>
      </c>
      <c r="D79" s="1298" t="s">
        <v>62</v>
      </c>
      <c r="E79" s="1298">
        <v>1</v>
      </c>
      <c r="F79" s="1298">
        <v>18.82</v>
      </c>
      <c r="G79" s="1298" t="s">
        <v>32</v>
      </c>
      <c r="H79" s="1298" t="s">
        <v>6185</v>
      </c>
      <c r="I79" s="1298" t="s">
        <v>6200</v>
      </c>
      <c r="J79" s="1298" t="s">
        <v>901</v>
      </c>
      <c r="K79" s="1298" t="s">
        <v>34</v>
      </c>
      <c r="L79" s="1298" t="s">
        <v>34</v>
      </c>
      <c r="M79" s="1298">
        <v>6108.52</v>
      </c>
      <c r="N79" s="1301" t="s">
        <v>6192</v>
      </c>
      <c r="O79" s="1298" t="s">
        <v>6188</v>
      </c>
      <c r="P79" s="1298" t="s">
        <v>6189</v>
      </c>
      <c r="Q79" s="1298">
        <v>18631102959</v>
      </c>
      <c r="R79" s="1298" t="s">
        <v>6190</v>
      </c>
      <c r="S79" s="1298" t="s">
        <v>6166</v>
      </c>
      <c r="T79" s="1297"/>
    </row>
    <row r="80" spans="1:20" s="1292" customFormat="1" ht="20.100000000000001" customHeight="1">
      <c r="A80" s="1290"/>
      <c r="B80" s="1298" t="s">
        <v>6167</v>
      </c>
      <c r="C80" s="1298" t="s">
        <v>6199</v>
      </c>
      <c r="D80" s="1298" t="s">
        <v>62</v>
      </c>
      <c r="E80" s="1298">
        <v>1</v>
      </c>
      <c r="F80" s="1298">
        <v>29.15</v>
      </c>
      <c r="G80" s="1298" t="s">
        <v>32</v>
      </c>
      <c r="H80" s="1298" t="s">
        <v>6185</v>
      </c>
      <c r="I80" s="1298" t="s">
        <v>6200</v>
      </c>
      <c r="J80" s="1298" t="s">
        <v>901</v>
      </c>
      <c r="K80" s="1298" t="s">
        <v>34</v>
      </c>
      <c r="L80" s="1298" t="s">
        <v>34</v>
      </c>
      <c r="M80" s="1298">
        <v>9461.3799999999992</v>
      </c>
      <c r="N80" s="1301" t="s">
        <v>6201</v>
      </c>
      <c r="O80" s="1298" t="s">
        <v>6188</v>
      </c>
      <c r="P80" s="1298" t="s">
        <v>6189</v>
      </c>
      <c r="Q80" s="1298">
        <v>18631102959</v>
      </c>
      <c r="R80" s="1298" t="s">
        <v>6190</v>
      </c>
      <c r="S80" s="1298" t="s">
        <v>6166</v>
      </c>
      <c r="T80" s="1297"/>
    </row>
    <row r="81" spans="1:20" s="1292" customFormat="1" ht="20.100000000000001" customHeight="1">
      <c r="A81" s="1290"/>
      <c r="B81" s="1298" t="s">
        <v>6167</v>
      </c>
      <c r="C81" s="1298" t="s">
        <v>6202</v>
      </c>
      <c r="D81" s="1298" t="s">
        <v>62</v>
      </c>
      <c r="E81" s="1298">
        <v>1</v>
      </c>
      <c r="F81" s="1298">
        <v>51</v>
      </c>
      <c r="G81" s="1298" t="s">
        <v>32</v>
      </c>
      <c r="H81" s="1298" t="s">
        <v>6185</v>
      </c>
      <c r="I81" s="1298" t="s">
        <v>6203</v>
      </c>
      <c r="J81" s="1298" t="s">
        <v>901</v>
      </c>
      <c r="K81" s="1298" t="s">
        <v>34</v>
      </c>
      <c r="L81" s="1298" t="s">
        <v>34</v>
      </c>
      <c r="M81" s="1298">
        <v>26928</v>
      </c>
      <c r="N81" s="1301" t="s">
        <v>6204</v>
      </c>
      <c r="O81" s="1298" t="s">
        <v>6188</v>
      </c>
      <c r="P81" s="1298" t="s">
        <v>6189</v>
      </c>
      <c r="Q81" s="1298">
        <v>18631102959</v>
      </c>
      <c r="R81" s="1298" t="s">
        <v>6190</v>
      </c>
      <c r="S81" s="1298" t="s">
        <v>6166</v>
      </c>
      <c r="T81" s="1297"/>
    </row>
    <row r="82" spans="1:20" s="1292" customFormat="1" ht="20.100000000000001" customHeight="1">
      <c r="A82" s="1290"/>
      <c r="B82" s="1298" t="s">
        <v>6167</v>
      </c>
      <c r="C82" s="1298" t="s">
        <v>6205</v>
      </c>
      <c r="D82" s="1298" t="s">
        <v>62</v>
      </c>
      <c r="E82" s="1298">
        <v>1</v>
      </c>
      <c r="F82" s="1298">
        <v>36.32</v>
      </c>
      <c r="G82" s="1298" t="s">
        <v>32</v>
      </c>
      <c r="H82" s="1298" t="s">
        <v>6185</v>
      </c>
      <c r="I82" s="1298" t="s">
        <v>6206</v>
      </c>
      <c r="J82" s="1298" t="s">
        <v>901</v>
      </c>
      <c r="K82" s="1298" t="s">
        <v>34</v>
      </c>
      <c r="L82" s="1298" t="s">
        <v>34</v>
      </c>
      <c r="M82" s="1298">
        <v>35738.879999999997</v>
      </c>
      <c r="N82" s="1301" t="s">
        <v>6207</v>
      </c>
      <c r="O82" s="1298" t="s">
        <v>6188</v>
      </c>
      <c r="P82" s="1298" t="s">
        <v>6189</v>
      </c>
      <c r="Q82" s="1298">
        <v>18631102959</v>
      </c>
      <c r="R82" s="1298" t="s">
        <v>6190</v>
      </c>
      <c r="S82" s="1298" t="s">
        <v>6166</v>
      </c>
      <c r="T82" s="1297"/>
    </row>
    <row r="83" spans="1:20" s="1292" customFormat="1" ht="20.100000000000001" customHeight="1">
      <c r="A83" s="1290"/>
      <c r="B83" s="1298" t="s">
        <v>6167</v>
      </c>
      <c r="C83" s="1298" t="s">
        <v>6202</v>
      </c>
      <c r="D83" s="1298" t="s">
        <v>62</v>
      </c>
      <c r="E83" s="1298">
        <v>1</v>
      </c>
      <c r="F83" s="1298">
        <v>2.08</v>
      </c>
      <c r="G83" s="1298" t="s">
        <v>32</v>
      </c>
      <c r="H83" s="1298" t="s">
        <v>6185</v>
      </c>
      <c r="I83" s="1298" t="s">
        <v>6186</v>
      </c>
      <c r="J83" s="1298" t="s">
        <v>901</v>
      </c>
      <c r="K83" s="1298" t="s">
        <v>34</v>
      </c>
      <c r="L83" s="1298" t="s">
        <v>34</v>
      </c>
      <c r="M83" s="1298">
        <v>1098.24</v>
      </c>
      <c r="N83" s="1301" t="s">
        <v>6207</v>
      </c>
      <c r="O83" s="1298" t="s">
        <v>6188</v>
      </c>
      <c r="P83" s="1298" t="s">
        <v>6189</v>
      </c>
      <c r="Q83" s="1298">
        <v>18631102959</v>
      </c>
      <c r="R83" s="1298" t="s">
        <v>6190</v>
      </c>
      <c r="S83" s="1298" t="s">
        <v>6166</v>
      </c>
      <c r="T83" s="1297"/>
    </row>
    <row r="84" spans="1:20" s="1292" customFormat="1" ht="20.100000000000001" customHeight="1">
      <c r="A84" s="1290"/>
      <c r="B84" s="1298" t="s">
        <v>6167</v>
      </c>
      <c r="C84" s="1298" t="s">
        <v>6208</v>
      </c>
      <c r="D84" s="1298" t="s">
        <v>62</v>
      </c>
      <c r="E84" s="1298">
        <v>1</v>
      </c>
      <c r="F84" s="1298">
        <v>4.3899999999999997</v>
      </c>
      <c r="G84" s="1298" t="s">
        <v>32</v>
      </c>
      <c r="H84" s="1298" t="s">
        <v>6185</v>
      </c>
      <c r="I84" s="1298" t="s">
        <v>6186</v>
      </c>
      <c r="J84" s="1298" t="s">
        <v>901</v>
      </c>
      <c r="K84" s="1298" t="s">
        <v>34</v>
      </c>
      <c r="L84" s="1298" t="s">
        <v>34</v>
      </c>
      <c r="M84" s="1298">
        <v>3757.84</v>
      </c>
      <c r="N84" s="1301" t="s">
        <v>6209</v>
      </c>
      <c r="O84" s="1298" t="s">
        <v>6188</v>
      </c>
      <c r="P84" s="1298" t="s">
        <v>6189</v>
      </c>
      <c r="Q84" s="1298">
        <v>18631102959</v>
      </c>
      <c r="R84" s="1298" t="s">
        <v>6190</v>
      </c>
      <c r="S84" s="1298" t="s">
        <v>6166</v>
      </c>
      <c r="T84" s="1297"/>
    </row>
    <row r="85" spans="1:20" s="1292" customFormat="1" ht="20.100000000000001" customHeight="1">
      <c r="A85" s="1290"/>
      <c r="B85" s="1298" t="s">
        <v>6210</v>
      </c>
      <c r="C85" s="1298" t="s">
        <v>6191</v>
      </c>
      <c r="D85" s="1298" t="s">
        <v>62</v>
      </c>
      <c r="E85" s="1298">
        <v>1</v>
      </c>
      <c r="F85" s="1298">
        <v>47.6</v>
      </c>
      <c r="G85" s="1298" t="s">
        <v>32</v>
      </c>
      <c r="H85" s="1298" t="s">
        <v>6185</v>
      </c>
      <c r="I85" s="1298" t="s">
        <v>6186</v>
      </c>
      <c r="J85" s="1298" t="s">
        <v>901</v>
      </c>
      <c r="K85" s="1298" t="s">
        <v>34</v>
      </c>
      <c r="L85" s="1298" t="s">
        <v>34</v>
      </c>
      <c r="M85" s="1298">
        <v>6283.2000000000198</v>
      </c>
      <c r="N85" s="1301" t="s">
        <v>6211</v>
      </c>
      <c r="O85" s="1298" t="s">
        <v>6188</v>
      </c>
      <c r="P85" s="1298" t="s">
        <v>6189</v>
      </c>
      <c r="Q85" s="1298">
        <v>18631102959</v>
      </c>
      <c r="R85" s="1298" t="s">
        <v>6190</v>
      </c>
      <c r="S85" s="1298" t="s">
        <v>6166</v>
      </c>
      <c r="T85" s="1297"/>
    </row>
    <row r="86" spans="1:20" s="1292" customFormat="1" ht="20.100000000000001" customHeight="1">
      <c r="A86" s="1290"/>
      <c r="B86" s="1298" t="s">
        <v>6212</v>
      </c>
      <c r="C86" s="1298" t="s">
        <v>6213</v>
      </c>
      <c r="D86" s="1298" t="s">
        <v>62</v>
      </c>
      <c r="E86" s="1298">
        <v>1</v>
      </c>
      <c r="F86" s="1298" t="s">
        <v>34</v>
      </c>
      <c r="G86" s="1298" t="s">
        <v>32</v>
      </c>
      <c r="H86" s="1298" t="s">
        <v>6185</v>
      </c>
      <c r="I86" s="1298" t="s">
        <v>6200</v>
      </c>
      <c r="J86" s="1298" t="s">
        <v>901</v>
      </c>
      <c r="K86" s="1298" t="s">
        <v>34</v>
      </c>
      <c r="L86" s="1298" t="s">
        <v>34</v>
      </c>
      <c r="M86" s="1298">
        <v>5778</v>
      </c>
      <c r="N86" s="1301">
        <v>2016.12</v>
      </c>
      <c r="O86" s="1298" t="s">
        <v>6188</v>
      </c>
      <c r="P86" s="1298" t="s">
        <v>6189</v>
      </c>
      <c r="Q86" s="1298">
        <v>18631102959</v>
      </c>
      <c r="R86" s="1298" t="s">
        <v>6190</v>
      </c>
      <c r="S86" s="1298" t="s">
        <v>6166</v>
      </c>
      <c r="T86" s="1297"/>
    </row>
    <row r="87" spans="1:20" s="1292" customFormat="1" ht="20.100000000000001" customHeight="1">
      <c r="A87" s="1290"/>
      <c r="B87" s="1298" t="s">
        <v>6210</v>
      </c>
      <c r="C87" s="1298" t="s">
        <v>6214</v>
      </c>
      <c r="D87" s="1298" t="s">
        <v>62</v>
      </c>
      <c r="E87" s="1298">
        <v>1</v>
      </c>
      <c r="F87" s="1298">
        <v>3900</v>
      </c>
      <c r="G87" s="1298" t="s">
        <v>32</v>
      </c>
      <c r="H87" s="1298" t="s">
        <v>6185</v>
      </c>
      <c r="I87" s="1298" t="s">
        <v>6200</v>
      </c>
      <c r="J87" s="1298" t="s">
        <v>901</v>
      </c>
      <c r="K87" s="1298" t="s">
        <v>34</v>
      </c>
      <c r="L87" s="1298" t="s">
        <v>34</v>
      </c>
      <c r="M87" s="1298">
        <v>325066.56</v>
      </c>
      <c r="N87" s="1301">
        <v>2017.9</v>
      </c>
      <c r="O87" s="1298" t="s">
        <v>6215</v>
      </c>
      <c r="P87" s="1298" t="s">
        <v>6189</v>
      </c>
      <c r="Q87" s="1298">
        <v>18631102959</v>
      </c>
      <c r="R87" s="1298" t="s">
        <v>6190</v>
      </c>
      <c r="S87" s="1298" t="s">
        <v>6166</v>
      </c>
      <c r="T87" s="1297"/>
    </row>
    <row r="88" spans="1:20" s="1292" customFormat="1" ht="20.100000000000001" customHeight="1">
      <c r="A88" s="1290"/>
      <c r="B88" s="1298" t="s">
        <v>6210</v>
      </c>
      <c r="C88" s="1298" t="s">
        <v>6216</v>
      </c>
      <c r="D88" s="1298" t="s">
        <v>62</v>
      </c>
      <c r="E88" s="1298">
        <v>1</v>
      </c>
      <c r="F88" s="1298">
        <v>3900</v>
      </c>
      <c r="G88" s="1298" t="s">
        <v>32</v>
      </c>
      <c r="H88" s="1298" t="s">
        <v>6185</v>
      </c>
      <c r="I88" s="1298" t="s">
        <v>6217</v>
      </c>
      <c r="J88" s="1298" t="s">
        <v>901</v>
      </c>
      <c r="K88" s="1298" t="s">
        <v>34</v>
      </c>
      <c r="L88" s="1298" t="s">
        <v>34</v>
      </c>
      <c r="M88" s="1298">
        <v>46519.199999999997</v>
      </c>
      <c r="N88" s="1301">
        <v>2017.9</v>
      </c>
      <c r="O88" s="1298" t="s">
        <v>6218</v>
      </c>
      <c r="P88" s="1298" t="s">
        <v>6189</v>
      </c>
      <c r="Q88" s="1298">
        <v>18631102959</v>
      </c>
      <c r="R88" s="1298" t="s">
        <v>6190</v>
      </c>
      <c r="S88" s="1298" t="s">
        <v>6166</v>
      </c>
      <c r="T88" s="1297"/>
    </row>
    <row r="89" spans="1:20" s="1292" customFormat="1" ht="20.100000000000001" customHeight="1">
      <c r="A89" s="1290"/>
      <c r="B89" s="1298" t="s">
        <v>6219</v>
      </c>
      <c r="C89" s="1298" t="s">
        <v>6220</v>
      </c>
      <c r="D89" s="1298" t="s">
        <v>31</v>
      </c>
      <c r="E89" s="1298">
        <v>200</v>
      </c>
      <c r="F89" s="1298"/>
      <c r="G89" s="1298" t="s">
        <v>32</v>
      </c>
      <c r="H89" s="1298" t="s">
        <v>6185</v>
      </c>
      <c r="I89" s="1298" t="s">
        <v>34</v>
      </c>
      <c r="J89" s="1298" t="s">
        <v>6221</v>
      </c>
      <c r="K89" s="1298" t="s">
        <v>34</v>
      </c>
      <c r="L89" s="1298" t="s">
        <v>34</v>
      </c>
      <c r="M89" s="1298">
        <v>400</v>
      </c>
      <c r="N89" s="1301" t="s">
        <v>3955</v>
      </c>
      <c r="O89" s="1298" t="s">
        <v>6188</v>
      </c>
      <c r="P89" s="1298" t="s">
        <v>6189</v>
      </c>
      <c r="Q89" s="1298">
        <v>18631102959</v>
      </c>
      <c r="R89" s="1298" t="s">
        <v>6190</v>
      </c>
      <c r="S89" s="1298" t="s">
        <v>6166</v>
      </c>
      <c r="T89" s="1297"/>
    </row>
    <row r="90" spans="1:20" s="1292" customFormat="1" ht="20.100000000000001" customHeight="1">
      <c r="A90" s="1290"/>
      <c r="B90" s="1298" t="s">
        <v>6222</v>
      </c>
      <c r="C90" s="1298" t="s">
        <v>6223</v>
      </c>
      <c r="D90" s="1298" t="s">
        <v>31</v>
      </c>
      <c r="E90" s="1298">
        <v>400</v>
      </c>
      <c r="F90" s="1298"/>
      <c r="G90" s="1298" t="s">
        <v>32</v>
      </c>
      <c r="H90" s="1298" t="s">
        <v>6185</v>
      </c>
      <c r="I90" s="1298" t="s">
        <v>34</v>
      </c>
      <c r="J90" s="1298" t="s">
        <v>6221</v>
      </c>
      <c r="K90" s="1298" t="s">
        <v>34</v>
      </c>
      <c r="L90" s="1298" t="s">
        <v>34</v>
      </c>
      <c r="M90" s="1298">
        <v>900</v>
      </c>
      <c r="N90" s="1301" t="s">
        <v>3955</v>
      </c>
      <c r="O90" s="1298" t="s">
        <v>6188</v>
      </c>
      <c r="P90" s="1298" t="s">
        <v>6189</v>
      </c>
      <c r="Q90" s="1298">
        <v>18631102959</v>
      </c>
      <c r="R90" s="1298" t="s">
        <v>6190</v>
      </c>
      <c r="S90" s="1298" t="s">
        <v>6166</v>
      </c>
      <c r="T90" s="1297"/>
    </row>
    <row r="91" spans="1:20" s="1292" customFormat="1" ht="20.100000000000001" customHeight="1">
      <c r="A91" s="1290"/>
      <c r="B91" s="1298" t="s">
        <v>6224</v>
      </c>
      <c r="C91" s="1298"/>
      <c r="D91" s="1298" t="s">
        <v>62</v>
      </c>
      <c r="E91" s="1298">
        <v>1</v>
      </c>
      <c r="F91" s="1298">
        <v>19.670000000000002</v>
      </c>
      <c r="G91" s="1298" t="s">
        <v>5913</v>
      </c>
      <c r="H91" s="1298" t="s">
        <v>41</v>
      </c>
      <c r="I91" s="1298" t="s">
        <v>34</v>
      </c>
      <c r="J91" s="1298" t="s">
        <v>6225</v>
      </c>
      <c r="K91" s="1298" t="s">
        <v>34</v>
      </c>
      <c r="L91" s="1298" t="s">
        <v>34</v>
      </c>
      <c r="M91" s="1298">
        <v>25571</v>
      </c>
      <c r="N91" s="1301">
        <v>42156</v>
      </c>
      <c r="O91" s="1298" t="s">
        <v>6226</v>
      </c>
      <c r="P91" s="1298" t="s">
        <v>6227</v>
      </c>
      <c r="Q91" s="1298">
        <v>15032068666</v>
      </c>
      <c r="R91" s="1298" t="s">
        <v>6226</v>
      </c>
      <c r="S91" s="1298" t="s">
        <v>6166</v>
      </c>
      <c r="T91" s="1297"/>
    </row>
    <row r="92" spans="1:20" s="1292" customFormat="1" ht="20.100000000000001" customHeight="1">
      <c r="A92" s="1290"/>
      <c r="B92" s="1298" t="s">
        <v>6228</v>
      </c>
      <c r="C92" s="1298" t="s">
        <v>6229</v>
      </c>
      <c r="D92" s="1298" t="s">
        <v>62</v>
      </c>
      <c r="E92" s="1298">
        <v>1</v>
      </c>
      <c r="F92" s="1298">
        <v>20</v>
      </c>
      <c r="G92" s="1298" t="s">
        <v>32</v>
      </c>
      <c r="H92" s="1298" t="s">
        <v>41</v>
      </c>
      <c r="I92" s="1298" t="s">
        <v>34</v>
      </c>
      <c r="J92" s="1298" t="s">
        <v>6225</v>
      </c>
      <c r="K92" s="1298" t="s">
        <v>34</v>
      </c>
      <c r="L92" s="1298" t="s">
        <v>34</v>
      </c>
      <c r="M92" s="1298">
        <v>23800</v>
      </c>
      <c r="N92" s="1301">
        <v>42156</v>
      </c>
      <c r="O92" s="1298" t="s">
        <v>6226</v>
      </c>
      <c r="P92" s="1298" t="s">
        <v>6227</v>
      </c>
      <c r="Q92" s="1298">
        <v>15032068666</v>
      </c>
      <c r="R92" s="1298" t="s">
        <v>6226</v>
      </c>
      <c r="S92" s="1298" t="s">
        <v>6166</v>
      </c>
      <c r="T92" s="1297"/>
    </row>
    <row r="93" spans="1:20" s="1292" customFormat="1" ht="20.100000000000001" customHeight="1">
      <c r="A93" s="1290"/>
      <c r="B93" s="1298" t="s">
        <v>2279</v>
      </c>
      <c r="C93" s="1298"/>
      <c r="D93" s="1298" t="s">
        <v>62</v>
      </c>
      <c r="E93" s="1298">
        <v>1</v>
      </c>
      <c r="F93" s="1298">
        <v>15</v>
      </c>
      <c r="G93" s="1298" t="s">
        <v>32</v>
      </c>
      <c r="H93" s="1298" t="s">
        <v>41</v>
      </c>
      <c r="I93" s="1298" t="s">
        <v>6230</v>
      </c>
      <c r="J93" s="1298" t="s">
        <v>6225</v>
      </c>
      <c r="K93" s="1298" t="s">
        <v>34</v>
      </c>
      <c r="L93" s="1298" t="s">
        <v>34</v>
      </c>
      <c r="M93" s="1298">
        <v>17100</v>
      </c>
      <c r="N93" s="1301">
        <v>42156</v>
      </c>
      <c r="O93" s="1298" t="s">
        <v>6226</v>
      </c>
      <c r="P93" s="1298" t="s">
        <v>6227</v>
      </c>
      <c r="Q93" s="1298">
        <v>15032068666</v>
      </c>
      <c r="R93" s="1298" t="s">
        <v>6226</v>
      </c>
      <c r="S93" s="1298" t="s">
        <v>6166</v>
      </c>
      <c r="T93" s="1297"/>
    </row>
    <row r="94" spans="1:20" s="1292" customFormat="1" ht="20.100000000000001" customHeight="1">
      <c r="A94" s="1290"/>
      <c r="B94" s="1298" t="s">
        <v>29</v>
      </c>
      <c r="C94" s="1298"/>
      <c r="D94" s="1298" t="s">
        <v>62</v>
      </c>
      <c r="E94" s="1303">
        <v>1</v>
      </c>
      <c r="F94" s="1298">
        <v>27.13</v>
      </c>
      <c r="G94" s="1298" t="s">
        <v>32</v>
      </c>
      <c r="H94" s="1298" t="s">
        <v>41</v>
      </c>
      <c r="I94" s="1298" t="s">
        <v>6231</v>
      </c>
      <c r="J94" s="1298" t="s">
        <v>6225</v>
      </c>
      <c r="K94" s="1298" t="s">
        <v>34</v>
      </c>
      <c r="L94" s="1298" t="s">
        <v>34</v>
      </c>
      <c r="M94" s="1298">
        <v>27130</v>
      </c>
      <c r="N94" s="1301">
        <v>42706</v>
      </c>
      <c r="O94" s="1298" t="s">
        <v>6226</v>
      </c>
      <c r="P94" s="1298" t="s">
        <v>6227</v>
      </c>
      <c r="Q94" s="1298">
        <v>15032068666</v>
      </c>
      <c r="R94" s="1298" t="s">
        <v>6226</v>
      </c>
      <c r="S94" s="1298" t="s">
        <v>6166</v>
      </c>
      <c r="T94" s="1297"/>
    </row>
    <row r="95" spans="1:20" s="1292" customFormat="1" ht="20.100000000000001" customHeight="1">
      <c r="A95" s="1290"/>
      <c r="B95" s="1325" t="s">
        <v>1593</v>
      </c>
      <c r="C95" s="1326" t="s">
        <v>6232</v>
      </c>
      <c r="D95" s="1325" t="s">
        <v>6233</v>
      </c>
      <c r="E95" s="1298" t="s">
        <v>34</v>
      </c>
      <c r="F95" s="1327">
        <v>130</v>
      </c>
      <c r="G95" s="1298" t="s">
        <v>32</v>
      </c>
      <c r="H95" s="1298" t="s">
        <v>6234</v>
      </c>
      <c r="I95" s="1298" t="s">
        <v>34</v>
      </c>
      <c r="J95" s="1298" t="s">
        <v>34</v>
      </c>
      <c r="K95" s="1298" t="s">
        <v>34</v>
      </c>
      <c r="L95" s="1328">
        <v>828100</v>
      </c>
      <c r="M95" s="1329">
        <v>165620</v>
      </c>
      <c r="N95" s="1330" t="s">
        <v>658</v>
      </c>
      <c r="O95" s="1298" t="s">
        <v>6235</v>
      </c>
      <c r="P95" s="1298" t="s">
        <v>6236</v>
      </c>
      <c r="Q95" s="1298">
        <v>15610821906</v>
      </c>
      <c r="R95" s="1298" t="s">
        <v>6237</v>
      </c>
      <c r="S95" s="1298" t="s">
        <v>6166</v>
      </c>
      <c r="T95" s="1297"/>
    </row>
    <row r="96" spans="1:20" s="1292" customFormat="1" ht="20.100000000000001" customHeight="1">
      <c r="A96" s="1290"/>
      <c r="B96" s="1325" t="s">
        <v>1593</v>
      </c>
      <c r="C96" s="1326" t="s">
        <v>6232</v>
      </c>
      <c r="D96" s="1325" t="s">
        <v>6233</v>
      </c>
      <c r="E96" s="1298" t="s">
        <v>34</v>
      </c>
      <c r="F96" s="1327">
        <v>260</v>
      </c>
      <c r="G96" s="1298" t="s">
        <v>32</v>
      </c>
      <c r="H96" s="1298" t="s">
        <v>6234</v>
      </c>
      <c r="I96" s="1298" t="s">
        <v>34</v>
      </c>
      <c r="J96" s="1298" t="s">
        <v>34</v>
      </c>
      <c r="K96" s="1298" t="s">
        <v>34</v>
      </c>
      <c r="L96" s="1328">
        <v>1656200</v>
      </c>
      <c r="M96" s="1329">
        <v>331240</v>
      </c>
      <c r="N96" s="1330" t="s">
        <v>6238</v>
      </c>
      <c r="O96" s="1298" t="s">
        <v>6235</v>
      </c>
      <c r="P96" s="1298" t="s">
        <v>6236</v>
      </c>
      <c r="Q96" s="1298">
        <v>15610821906</v>
      </c>
      <c r="R96" s="1298" t="s">
        <v>6237</v>
      </c>
      <c r="S96" s="1298" t="s">
        <v>6166</v>
      </c>
      <c r="T96" s="1297"/>
    </row>
    <row r="97" spans="1:20" s="1292" customFormat="1" ht="20.100000000000001" customHeight="1">
      <c r="A97" s="1290"/>
      <c r="B97" s="1325" t="s">
        <v>1593</v>
      </c>
      <c r="C97" s="1326" t="s">
        <v>6232</v>
      </c>
      <c r="D97" s="1325" t="s">
        <v>6233</v>
      </c>
      <c r="E97" s="1298" t="s">
        <v>34</v>
      </c>
      <c r="F97" s="1327">
        <v>150</v>
      </c>
      <c r="G97" s="1298" t="s">
        <v>32</v>
      </c>
      <c r="H97" s="1298" t="s">
        <v>6234</v>
      </c>
      <c r="I97" s="1298" t="s">
        <v>34</v>
      </c>
      <c r="J97" s="1298" t="s">
        <v>34</v>
      </c>
      <c r="K97" s="1298" t="s">
        <v>34</v>
      </c>
      <c r="L97" s="1328">
        <v>955500</v>
      </c>
      <c r="M97" s="1329">
        <v>191100</v>
      </c>
      <c r="N97" s="1327" t="s">
        <v>5217</v>
      </c>
      <c r="O97" s="1298" t="s">
        <v>6235</v>
      </c>
      <c r="P97" s="1325" t="s">
        <v>6236</v>
      </c>
      <c r="Q97" s="1325">
        <v>15610821906</v>
      </c>
      <c r="R97" s="1298" t="s">
        <v>6237</v>
      </c>
      <c r="S97" s="1298" t="s">
        <v>6056</v>
      </c>
      <c r="T97" s="1297"/>
    </row>
    <row r="98" spans="1:20" s="1292" customFormat="1" ht="20.100000000000001" customHeight="1">
      <c r="A98" s="1290"/>
      <c r="B98" s="1325" t="s">
        <v>1593</v>
      </c>
      <c r="C98" s="1326" t="s">
        <v>6232</v>
      </c>
      <c r="D98" s="1325" t="s">
        <v>6233</v>
      </c>
      <c r="E98" s="1298" t="s">
        <v>34</v>
      </c>
      <c r="F98" s="1327">
        <v>250</v>
      </c>
      <c r="G98" s="1298" t="s">
        <v>32</v>
      </c>
      <c r="H98" s="1298" t="s">
        <v>6234</v>
      </c>
      <c r="I98" s="1298" t="s">
        <v>34</v>
      </c>
      <c r="J98" s="1298" t="s">
        <v>34</v>
      </c>
      <c r="K98" s="1298" t="s">
        <v>34</v>
      </c>
      <c r="L98" s="1328">
        <v>1592500</v>
      </c>
      <c r="M98" s="1329">
        <v>318500</v>
      </c>
      <c r="N98" s="1327" t="s">
        <v>3038</v>
      </c>
      <c r="O98" s="1298" t="s">
        <v>6235</v>
      </c>
      <c r="P98" s="1325" t="s">
        <v>6236</v>
      </c>
      <c r="Q98" s="1325">
        <v>15610821906</v>
      </c>
      <c r="R98" s="1298" t="s">
        <v>6237</v>
      </c>
      <c r="S98" s="1298" t="s">
        <v>6056</v>
      </c>
      <c r="T98" s="1297"/>
    </row>
    <row r="99" spans="1:20" s="1292" customFormat="1" ht="20.100000000000001" customHeight="1">
      <c r="A99" s="1290"/>
      <c r="B99" s="1325" t="s">
        <v>1593</v>
      </c>
      <c r="C99" s="1326" t="s">
        <v>6232</v>
      </c>
      <c r="D99" s="1325" t="s">
        <v>6233</v>
      </c>
      <c r="E99" s="1298" t="s">
        <v>34</v>
      </c>
      <c r="F99" s="1327">
        <v>221.38</v>
      </c>
      <c r="G99" s="1298" t="s">
        <v>32</v>
      </c>
      <c r="H99" s="1327" t="s">
        <v>6239</v>
      </c>
      <c r="I99" s="1298" t="s">
        <v>34</v>
      </c>
      <c r="J99" s="1298" t="s">
        <v>34</v>
      </c>
      <c r="K99" s="1298" t="s">
        <v>34</v>
      </c>
      <c r="L99" s="1328">
        <v>1410190.5999999999</v>
      </c>
      <c r="M99" s="1329">
        <v>532738.67111111106</v>
      </c>
      <c r="N99" s="1327" t="s">
        <v>6240</v>
      </c>
      <c r="O99" s="1298" t="s">
        <v>6235</v>
      </c>
      <c r="P99" s="1325" t="s">
        <v>6236</v>
      </c>
      <c r="Q99" s="1325">
        <v>15610821906</v>
      </c>
      <c r="R99" s="1298" t="s">
        <v>6237</v>
      </c>
      <c r="S99" s="1298" t="s">
        <v>6056</v>
      </c>
      <c r="T99" s="1297"/>
    </row>
    <row r="100" spans="1:20" s="1292" customFormat="1" ht="20.100000000000001" customHeight="1">
      <c r="A100" s="1290"/>
      <c r="B100" s="1325" t="s">
        <v>1593</v>
      </c>
      <c r="C100" s="1326" t="s">
        <v>6232</v>
      </c>
      <c r="D100" s="1325" t="s">
        <v>6233</v>
      </c>
      <c r="E100" s="1298" t="s">
        <v>34</v>
      </c>
      <c r="F100" s="1327">
        <v>85.96</v>
      </c>
      <c r="G100" s="1298" t="s">
        <v>32</v>
      </c>
      <c r="H100" s="1327" t="s">
        <v>6239</v>
      </c>
      <c r="I100" s="1298" t="s">
        <v>34</v>
      </c>
      <c r="J100" s="1298" t="s">
        <v>34</v>
      </c>
      <c r="K100" s="1298" t="s">
        <v>34</v>
      </c>
      <c r="L100" s="1328">
        <v>547565.19999999995</v>
      </c>
      <c r="M100" s="1329">
        <v>206857.96444444443</v>
      </c>
      <c r="N100" s="1327" t="s">
        <v>6241</v>
      </c>
      <c r="O100" s="1298" t="s">
        <v>6235</v>
      </c>
      <c r="P100" s="1325" t="s">
        <v>6236</v>
      </c>
      <c r="Q100" s="1325">
        <v>15610821906</v>
      </c>
      <c r="R100" s="1298" t="s">
        <v>6237</v>
      </c>
      <c r="S100" s="1298" t="s">
        <v>6056</v>
      </c>
      <c r="T100" s="1297"/>
    </row>
    <row r="101" spans="1:20" s="1292" customFormat="1" ht="20.100000000000001" customHeight="1">
      <c r="A101" s="1290"/>
      <c r="B101" s="1325" t="s">
        <v>1593</v>
      </c>
      <c r="C101" s="1326" t="s">
        <v>6232</v>
      </c>
      <c r="D101" s="1325" t="s">
        <v>6233</v>
      </c>
      <c r="E101" s="1298" t="s">
        <v>34</v>
      </c>
      <c r="F101" s="1327">
        <v>80</v>
      </c>
      <c r="G101" s="1298" t="s">
        <v>32</v>
      </c>
      <c r="H101" s="1327" t="s">
        <v>6239</v>
      </c>
      <c r="I101" s="1298" t="s">
        <v>34</v>
      </c>
      <c r="J101" s="1298" t="s">
        <v>34</v>
      </c>
      <c r="K101" s="1298" t="s">
        <v>34</v>
      </c>
      <c r="L101" s="1328">
        <v>596000</v>
      </c>
      <c r="M101" s="1329">
        <v>225155.55555555556</v>
      </c>
      <c r="N101" s="1327" t="s">
        <v>6241</v>
      </c>
      <c r="O101" s="1298" t="s">
        <v>6235</v>
      </c>
      <c r="P101" s="1325" t="s">
        <v>6236</v>
      </c>
      <c r="Q101" s="1325">
        <v>15610821906</v>
      </c>
      <c r="R101" s="1298" t="s">
        <v>6237</v>
      </c>
      <c r="S101" s="1298" t="s">
        <v>6056</v>
      </c>
      <c r="T101" s="1297"/>
    </row>
    <row r="102" spans="1:20" s="1292" customFormat="1" ht="20.100000000000001" customHeight="1">
      <c r="A102" s="1290"/>
      <c r="B102" s="1325" t="s">
        <v>1593</v>
      </c>
      <c r="C102" s="1326" t="s">
        <v>341</v>
      </c>
      <c r="D102" s="1325" t="s">
        <v>6233</v>
      </c>
      <c r="E102" s="1298" t="s">
        <v>34</v>
      </c>
      <c r="F102" s="1327">
        <v>100.3</v>
      </c>
      <c r="G102" s="1298" t="s">
        <v>32</v>
      </c>
      <c r="H102" s="1327" t="s">
        <v>6239</v>
      </c>
      <c r="I102" s="1298" t="s">
        <v>34</v>
      </c>
      <c r="J102" s="1298" t="s">
        <v>34</v>
      </c>
      <c r="K102" s="1298" t="s">
        <v>34</v>
      </c>
      <c r="L102" s="1328">
        <v>621860</v>
      </c>
      <c r="M102" s="1329">
        <v>373116</v>
      </c>
      <c r="N102" s="1327" t="s">
        <v>6242</v>
      </c>
      <c r="O102" s="1298" t="s">
        <v>6235</v>
      </c>
      <c r="P102" s="1325" t="s">
        <v>6236</v>
      </c>
      <c r="Q102" s="1325">
        <v>15610821906</v>
      </c>
      <c r="R102" s="1298" t="s">
        <v>6237</v>
      </c>
      <c r="S102" s="1298" t="s">
        <v>6056</v>
      </c>
      <c r="T102" s="1297"/>
    </row>
    <row r="103" spans="1:20" s="1292" customFormat="1" ht="20.100000000000001" customHeight="1">
      <c r="A103" s="1290"/>
      <c r="B103" s="1325" t="s">
        <v>1593</v>
      </c>
      <c r="C103" s="1326" t="s">
        <v>6232</v>
      </c>
      <c r="D103" s="1325" t="s">
        <v>6233</v>
      </c>
      <c r="E103" s="1298" t="s">
        <v>34</v>
      </c>
      <c r="F103" s="1327">
        <v>16.11</v>
      </c>
      <c r="G103" s="1298" t="s">
        <v>32</v>
      </c>
      <c r="H103" s="1327" t="s">
        <v>6239</v>
      </c>
      <c r="I103" s="1298" t="s">
        <v>34</v>
      </c>
      <c r="J103" s="1298" t="s">
        <v>34</v>
      </c>
      <c r="K103" s="1298" t="s">
        <v>34</v>
      </c>
      <c r="L103" s="1328">
        <v>111964.5</v>
      </c>
      <c r="M103" s="1329">
        <v>67178.700000000012</v>
      </c>
      <c r="N103" s="1327" t="s">
        <v>6242</v>
      </c>
      <c r="O103" s="1298" t="s">
        <v>6235</v>
      </c>
      <c r="P103" s="1325" t="s">
        <v>6236</v>
      </c>
      <c r="Q103" s="1325">
        <v>15610821906</v>
      </c>
      <c r="R103" s="1298" t="s">
        <v>6237</v>
      </c>
      <c r="S103" s="1298" t="s">
        <v>6056</v>
      </c>
      <c r="T103" s="1297"/>
    </row>
    <row r="104" spans="1:20" s="1292" customFormat="1" ht="20.100000000000001" customHeight="1">
      <c r="A104" s="1290"/>
      <c r="B104" s="1325" t="s">
        <v>1593</v>
      </c>
      <c r="C104" s="1326" t="s">
        <v>281</v>
      </c>
      <c r="D104" s="1325" t="s">
        <v>2323</v>
      </c>
      <c r="E104" s="1298" t="s">
        <v>34</v>
      </c>
      <c r="F104" s="1327">
        <v>27.19</v>
      </c>
      <c r="G104" s="1298" t="s">
        <v>32</v>
      </c>
      <c r="H104" s="1327" t="s">
        <v>6239</v>
      </c>
      <c r="I104" s="1298" t="s">
        <v>34</v>
      </c>
      <c r="J104" s="1298" t="s">
        <v>34</v>
      </c>
      <c r="K104" s="1298" t="s">
        <v>34</v>
      </c>
      <c r="L104" s="1328">
        <v>233834</v>
      </c>
      <c r="M104" s="1329">
        <f>(L104-L104*0.2)/4*3+L104*0.2</f>
        <v>187067.2</v>
      </c>
      <c r="N104" s="1327" t="s">
        <v>6243</v>
      </c>
      <c r="O104" s="1298" t="s">
        <v>6235</v>
      </c>
      <c r="P104" s="1325" t="s">
        <v>6236</v>
      </c>
      <c r="Q104" s="1325">
        <v>15610821906</v>
      </c>
      <c r="R104" s="1298" t="s">
        <v>6237</v>
      </c>
      <c r="S104" s="1298" t="s">
        <v>6056</v>
      </c>
      <c r="T104" s="1297"/>
    </row>
    <row r="105" spans="1:20" s="1292" customFormat="1" ht="20.100000000000001" customHeight="1">
      <c r="A105" s="1290"/>
      <c r="B105" s="1298" t="s">
        <v>2279</v>
      </c>
      <c r="C105" s="1298" t="s">
        <v>6244</v>
      </c>
      <c r="D105" s="1298" t="s">
        <v>161</v>
      </c>
      <c r="E105" s="1298" t="s">
        <v>34</v>
      </c>
      <c r="F105" s="1298">
        <v>50</v>
      </c>
      <c r="G105" s="1298" t="s">
        <v>32</v>
      </c>
      <c r="H105" s="1298" t="s">
        <v>41</v>
      </c>
      <c r="I105" s="1298" t="s">
        <v>6245</v>
      </c>
      <c r="J105" s="1298" t="s">
        <v>6246</v>
      </c>
      <c r="K105" s="1298" t="s">
        <v>3712</v>
      </c>
      <c r="L105" s="1298">
        <v>89224.14</v>
      </c>
      <c r="M105" s="1298">
        <v>13383.63</v>
      </c>
      <c r="N105" s="1301">
        <v>2018.6</v>
      </c>
      <c r="O105" s="1298" t="s">
        <v>6075</v>
      </c>
      <c r="P105" s="1298" t="s">
        <v>6076</v>
      </c>
      <c r="Q105" s="1298">
        <v>17732305201</v>
      </c>
      <c r="R105" s="1289" t="s">
        <v>6077</v>
      </c>
      <c r="S105" s="1298" t="s">
        <v>6166</v>
      </c>
      <c r="T105" s="1297"/>
    </row>
    <row r="106" spans="1:20" s="1292" customFormat="1" ht="20.100000000000001" customHeight="1">
      <c r="A106" s="1290"/>
      <c r="B106" s="1298" t="s">
        <v>2279</v>
      </c>
      <c r="C106" s="1298" t="s">
        <v>6247</v>
      </c>
      <c r="D106" s="1298" t="s">
        <v>161</v>
      </c>
      <c r="E106" s="1298" t="s">
        <v>34</v>
      </c>
      <c r="F106" s="1298">
        <v>34</v>
      </c>
      <c r="G106" s="1298" t="s">
        <v>32</v>
      </c>
      <c r="H106" s="1298" t="s">
        <v>41</v>
      </c>
      <c r="I106" s="1298" t="s">
        <v>6248</v>
      </c>
      <c r="J106" s="1298" t="s">
        <v>6246</v>
      </c>
      <c r="K106" s="1298" t="s">
        <v>3712</v>
      </c>
      <c r="L106" s="1298">
        <v>71379.31</v>
      </c>
      <c r="M106" s="1298">
        <v>3473.79</v>
      </c>
      <c r="N106" s="1301">
        <v>2018.1</v>
      </c>
      <c r="O106" s="1298" t="s">
        <v>6075</v>
      </c>
      <c r="P106" s="1298" t="s">
        <v>6076</v>
      </c>
      <c r="Q106" s="1298">
        <v>17732305201</v>
      </c>
      <c r="R106" s="1289" t="s">
        <v>6077</v>
      </c>
      <c r="S106" s="1298" t="s">
        <v>6166</v>
      </c>
      <c r="T106" s="1297"/>
    </row>
    <row r="107" spans="1:20" s="1292" customFormat="1" ht="20.100000000000001" customHeight="1">
      <c r="A107" s="1290"/>
      <c r="B107" s="1331" t="s">
        <v>6249</v>
      </c>
      <c r="C107" s="1331" t="s">
        <v>6250</v>
      </c>
      <c r="D107" s="1331" t="s">
        <v>62</v>
      </c>
      <c r="E107" s="1298" t="s">
        <v>34</v>
      </c>
      <c r="F107" s="1332">
        <v>28</v>
      </c>
      <c r="G107" s="1332" t="s">
        <v>32</v>
      </c>
      <c r="H107" s="1289" t="s">
        <v>41</v>
      </c>
      <c r="I107" s="1333" t="s">
        <v>6251</v>
      </c>
      <c r="J107" s="1333" t="s">
        <v>6252</v>
      </c>
      <c r="K107" s="1333" t="s">
        <v>3712</v>
      </c>
      <c r="L107" s="1333">
        <v>171379.31</v>
      </c>
      <c r="M107" s="1334">
        <v>25706.896499999999</v>
      </c>
      <c r="N107" s="1332">
        <v>2018.5</v>
      </c>
      <c r="O107" s="1335" t="s">
        <v>6075</v>
      </c>
      <c r="P107" s="1331" t="s">
        <v>6076</v>
      </c>
      <c r="Q107" s="1335">
        <v>17732305201</v>
      </c>
      <c r="R107" s="1289" t="s">
        <v>6077</v>
      </c>
      <c r="S107" s="1332" t="s">
        <v>6056</v>
      </c>
      <c r="T107" s="1297"/>
    </row>
    <row r="108" spans="1:20" s="1292" customFormat="1" ht="20.100000000000001" customHeight="1">
      <c r="A108" s="1290"/>
      <c r="B108" s="1298" t="s">
        <v>6249</v>
      </c>
      <c r="C108" s="1298" t="s">
        <v>6250</v>
      </c>
      <c r="D108" s="1298" t="s">
        <v>62</v>
      </c>
      <c r="E108" s="1298" t="s">
        <v>34</v>
      </c>
      <c r="F108" s="1298">
        <v>77.61</v>
      </c>
      <c r="G108" s="1298" t="s">
        <v>32</v>
      </c>
      <c r="H108" s="1298" t="s">
        <v>41</v>
      </c>
      <c r="I108" s="1298" t="s">
        <v>6253</v>
      </c>
      <c r="J108" s="1298" t="s">
        <v>6252</v>
      </c>
      <c r="K108" s="1298" t="s">
        <v>3712</v>
      </c>
      <c r="L108" s="1298">
        <v>488407.76</v>
      </c>
      <c r="M108" s="1298">
        <v>64972.683499999999</v>
      </c>
      <c r="N108" s="1301">
        <v>2019.1</v>
      </c>
      <c r="O108" s="1298" t="s">
        <v>6075</v>
      </c>
      <c r="P108" s="1298" t="s">
        <v>6076</v>
      </c>
      <c r="Q108" s="1298">
        <v>17732305201</v>
      </c>
      <c r="R108" s="1289" t="s">
        <v>6077</v>
      </c>
      <c r="S108" s="1298" t="s">
        <v>6166</v>
      </c>
      <c r="T108" s="1297"/>
    </row>
    <row r="109" spans="1:20" s="1292" customFormat="1" ht="20.100000000000001" customHeight="1">
      <c r="A109" s="1290"/>
      <c r="B109" s="1298" t="s">
        <v>6254</v>
      </c>
      <c r="C109" s="1298" t="s">
        <v>6255</v>
      </c>
      <c r="D109" s="1298" t="s">
        <v>62</v>
      </c>
      <c r="E109" s="1298" t="s">
        <v>34</v>
      </c>
      <c r="F109" s="1298">
        <v>71.44</v>
      </c>
      <c r="G109" s="1298" t="s">
        <v>32</v>
      </c>
      <c r="H109" s="1298" t="s">
        <v>6185</v>
      </c>
      <c r="I109" s="1298" t="s">
        <v>6200</v>
      </c>
      <c r="J109" s="1298" t="s">
        <v>6093</v>
      </c>
      <c r="K109" s="1298" t="s">
        <v>34</v>
      </c>
      <c r="L109" s="1298" t="s">
        <v>34</v>
      </c>
      <c r="M109" s="1298">
        <v>93157.759999999995</v>
      </c>
      <c r="N109" s="1301">
        <v>2014.11</v>
      </c>
      <c r="O109" s="1298" t="s">
        <v>6123</v>
      </c>
      <c r="P109" s="1298" t="s">
        <v>6124</v>
      </c>
      <c r="Q109" s="1298">
        <v>13930179988</v>
      </c>
      <c r="R109" s="1298" t="s">
        <v>6256</v>
      </c>
      <c r="S109" s="1298" t="s">
        <v>6166</v>
      </c>
      <c r="T109" s="1297"/>
    </row>
    <row r="110" spans="1:20" s="1292" customFormat="1" ht="20.100000000000001" customHeight="1">
      <c r="A110" s="1290"/>
      <c r="B110" s="1298" t="s">
        <v>6254</v>
      </c>
      <c r="C110" s="1298" t="s">
        <v>6257</v>
      </c>
      <c r="D110" s="1298" t="s">
        <v>62</v>
      </c>
      <c r="E110" s="1298" t="s">
        <v>34</v>
      </c>
      <c r="F110" s="1298">
        <v>91.06</v>
      </c>
      <c r="G110" s="1298" t="s">
        <v>32</v>
      </c>
      <c r="H110" s="1298" t="s">
        <v>6185</v>
      </c>
      <c r="I110" s="1298" t="s">
        <v>6200</v>
      </c>
      <c r="J110" s="1298" t="s">
        <v>6093</v>
      </c>
      <c r="K110" s="1298" t="s">
        <v>34</v>
      </c>
      <c r="L110" s="1298" t="s">
        <v>34</v>
      </c>
      <c r="M110" s="1298">
        <v>118742.24</v>
      </c>
      <c r="N110" s="1301">
        <v>2015.01</v>
      </c>
      <c r="O110" s="1298" t="s">
        <v>6123</v>
      </c>
      <c r="P110" s="1298" t="s">
        <v>6124</v>
      </c>
      <c r="Q110" s="1298">
        <v>13930179988</v>
      </c>
      <c r="R110" s="1298" t="s">
        <v>6256</v>
      </c>
      <c r="S110" s="1298" t="s">
        <v>6166</v>
      </c>
      <c r="T110" s="1297"/>
    </row>
    <row r="111" spans="1:20" s="1292" customFormat="1" ht="20.100000000000001" customHeight="1">
      <c r="A111" s="1290"/>
      <c r="B111" s="1298" t="s">
        <v>6254</v>
      </c>
      <c r="C111" s="1298" t="s">
        <v>6258</v>
      </c>
      <c r="D111" s="1298" t="s">
        <v>62</v>
      </c>
      <c r="E111" s="1298" t="s">
        <v>34</v>
      </c>
      <c r="F111" s="1298">
        <v>278.52999999999997</v>
      </c>
      <c r="G111" s="1298" t="s">
        <v>32</v>
      </c>
      <c r="H111" s="1298" t="s">
        <v>6185</v>
      </c>
      <c r="I111" s="1298" t="s">
        <v>6203</v>
      </c>
      <c r="J111" s="1298" t="s">
        <v>6259</v>
      </c>
      <c r="K111" s="1298" t="s">
        <v>34</v>
      </c>
      <c r="L111" s="1298" t="s">
        <v>34</v>
      </c>
      <c r="M111" s="1298">
        <v>363203.12</v>
      </c>
      <c r="N111" s="1301">
        <v>2015.01</v>
      </c>
      <c r="O111" s="1298" t="s">
        <v>6123</v>
      </c>
      <c r="P111" s="1298" t="s">
        <v>6124</v>
      </c>
      <c r="Q111" s="1298">
        <v>13930179988</v>
      </c>
      <c r="R111" s="1298" t="s">
        <v>6256</v>
      </c>
      <c r="S111" s="1298" t="s">
        <v>6166</v>
      </c>
      <c r="T111" s="1297"/>
    </row>
    <row r="112" spans="1:20" s="1292" customFormat="1" ht="20.100000000000001" customHeight="1">
      <c r="A112" s="1290"/>
      <c r="B112" s="1298" t="s">
        <v>6254</v>
      </c>
      <c r="C112" s="1298" t="s">
        <v>6260</v>
      </c>
      <c r="D112" s="1298" t="s">
        <v>62</v>
      </c>
      <c r="E112" s="1298" t="s">
        <v>34</v>
      </c>
      <c r="F112" s="1298">
        <v>21.23</v>
      </c>
      <c r="G112" s="1298" t="s">
        <v>32</v>
      </c>
      <c r="H112" s="1298" t="s">
        <v>6185</v>
      </c>
      <c r="I112" s="1298" t="s">
        <v>6261</v>
      </c>
      <c r="J112" s="1298" t="s">
        <v>6259</v>
      </c>
      <c r="K112" s="1298" t="s">
        <v>34</v>
      </c>
      <c r="L112" s="1298" t="s">
        <v>34</v>
      </c>
      <c r="M112" s="1298">
        <v>26749.8</v>
      </c>
      <c r="N112" s="1301">
        <v>2015.05</v>
      </c>
      <c r="O112" s="1298" t="s">
        <v>6123</v>
      </c>
      <c r="P112" s="1298" t="s">
        <v>6124</v>
      </c>
      <c r="Q112" s="1298">
        <v>13930179988</v>
      </c>
      <c r="R112" s="1298" t="s">
        <v>6256</v>
      </c>
      <c r="S112" s="1298" t="s">
        <v>6166</v>
      </c>
      <c r="T112" s="1297"/>
    </row>
    <row r="113" spans="1:20" s="1292" customFormat="1" ht="20.100000000000001" customHeight="1">
      <c r="A113" s="1290"/>
      <c r="B113" s="1298" t="s">
        <v>6254</v>
      </c>
      <c r="C113" s="1298" t="s">
        <v>6262</v>
      </c>
      <c r="D113" s="1298" t="s">
        <v>62</v>
      </c>
      <c r="E113" s="1298" t="s">
        <v>34</v>
      </c>
      <c r="F113" s="1298">
        <v>1.51</v>
      </c>
      <c r="G113" s="1298" t="s">
        <v>32</v>
      </c>
      <c r="H113" s="1298" t="s">
        <v>6185</v>
      </c>
      <c r="I113" s="1298" t="s">
        <v>6261</v>
      </c>
      <c r="J113" s="1298" t="s">
        <v>6259</v>
      </c>
      <c r="K113" s="1298" t="s">
        <v>34</v>
      </c>
      <c r="L113" s="1298" t="s">
        <v>34</v>
      </c>
      <c r="M113" s="1298">
        <v>1902.6</v>
      </c>
      <c r="N113" s="1301">
        <v>2015.05</v>
      </c>
      <c r="O113" s="1298" t="s">
        <v>6123</v>
      </c>
      <c r="P113" s="1298" t="s">
        <v>6124</v>
      </c>
      <c r="Q113" s="1298">
        <v>13930179988</v>
      </c>
      <c r="R113" s="1298" t="s">
        <v>6256</v>
      </c>
      <c r="S113" s="1298" t="s">
        <v>6166</v>
      </c>
      <c r="T113" s="1297"/>
    </row>
    <row r="114" spans="1:20" s="1292" customFormat="1" ht="20.100000000000001" customHeight="1">
      <c r="A114" s="1290"/>
      <c r="B114" s="1298" t="s">
        <v>6254</v>
      </c>
      <c r="C114" s="1298" t="s">
        <v>6263</v>
      </c>
      <c r="D114" s="1298" t="s">
        <v>62</v>
      </c>
      <c r="E114" s="1298" t="s">
        <v>34</v>
      </c>
      <c r="F114" s="1298">
        <v>193.87</v>
      </c>
      <c r="G114" s="1298" t="s">
        <v>32</v>
      </c>
      <c r="H114" s="1298" t="s">
        <v>6185</v>
      </c>
      <c r="I114" s="1298" t="s">
        <v>6261</v>
      </c>
      <c r="J114" s="1298" t="s">
        <v>6259</v>
      </c>
      <c r="K114" s="1298" t="s">
        <v>34</v>
      </c>
      <c r="L114" s="1298" t="s">
        <v>34</v>
      </c>
      <c r="M114" s="1298">
        <v>252806.48</v>
      </c>
      <c r="N114" s="1301">
        <v>2015.05</v>
      </c>
      <c r="O114" s="1298" t="s">
        <v>6123</v>
      </c>
      <c r="P114" s="1298" t="s">
        <v>6124</v>
      </c>
      <c r="Q114" s="1298">
        <v>13930179988</v>
      </c>
      <c r="R114" s="1298" t="s">
        <v>6256</v>
      </c>
      <c r="S114" s="1298" t="s">
        <v>6166</v>
      </c>
      <c r="T114" s="1297"/>
    </row>
    <row r="115" spans="1:20" s="1292" customFormat="1" ht="20.100000000000001" customHeight="1">
      <c r="A115" s="1290"/>
      <c r="B115" s="1298" t="s">
        <v>1593</v>
      </c>
      <c r="C115" s="1298" t="s">
        <v>69</v>
      </c>
      <c r="D115" s="1298" t="s">
        <v>62</v>
      </c>
      <c r="E115" s="1298" t="s">
        <v>34</v>
      </c>
      <c r="F115" s="1298">
        <v>15.06</v>
      </c>
      <c r="G115" s="1298" t="s">
        <v>32</v>
      </c>
      <c r="H115" s="1298" t="s">
        <v>6185</v>
      </c>
      <c r="I115" s="1298" t="s">
        <v>6264</v>
      </c>
      <c r="J115" s="1298" t="s">
        <v>6259</v>
      </c>
      <c r="K115" s="1298" t="s">
        <v>34</v>
      </c>
      <c r="L115" s="1298" t="s">
        <v>34</v>
      </c>
      <c r="M115" s="1298">
        <v>19578</v>
      </c>
      <c r="N115" s="1301">
        <v>2015.07</v>
      </c>
      <c r="O115" s="1298" t="s">
        <v>6123</v>
      </c>
      <c r="P115" s="1298" t="s">
        <v>6124</v>
      </c>
      <c r="Q115" s="1298">
        <v>13930179988</v>
      </c>
      <c r="R115" s="1298" t="s">
        <v>6256</v>
      </c>
      <c r="S115" s="1298" t="s">
        <v>6166</v>
      </c>
      <c r="T115" s="1297"/>
    </row>
    <row r="116" spans="1:20" s="1292" customFormat="1" ht="20.100000000000001" customHeight="1">
      <c r="A116" s="1290"/>
      <c r="B116" s="1298" t="s">
        <v>1593</v>
      </c>
      <c r="C116" s="1298" t="s">
        <v>6265</v>
      </c>
      <c r="D116" s="1298" t="s">
        <v>62</v>
      </c>
      <c r="E116" s="1298" t="s">
        <v>34</v>
      </c>
      <c r="F116" s="1298">
        <v>10.84</v>
      </c>
      <c r="G116" s="1298" t="s">
        <v>32</v>
      </c>
      <c r="H116" s="1298" t="s">
        <v>6185</v>
      </c>
      <c r="I116" s="1298" t="s">
        <v>6261</v>
      </c>
      <c r="J116" s="1298" t="s">
        <v>6259</v>
      </c>
      <c r="K116" s="1298" t="s">
        <v>34</v>
      </c>
      <c r="L116" s="1298" t="s">
        <v>34</v>
      </c>
      <c r="M116" s="1298">
        <v>14092</v>
      </c>
      <c r="N116" s="1301">
        <v>2015.07</v>
      </c>
      <c r="O116" s="1298" t="s">
        <v>6123</v>
      </c>
      <c r="P116" s="1298" t="s">
        <v>6124</v>
      </c>
      <c r="Q116" s="1298">
        <v>13930179988</v>
      </c>
      <c r="R116" s="1298" t="s">
        <v>6256</v>
      </c>
      <c r="S116" s="1298" t="s">
        <v>6166</v>
      </c>
      <c r="T116" s="1297"/>
    </row>
    <row r="117" spans="1:20" s="1292" customFormat="1" ht="20.100000000000001" customHeight="1">
      <c r="A117" s="1290"/>
      <c r="B117" s="1298" t="s">
        <v>1593</v>
      </c>
      <c r="C117" s="1298" t="s">
        <v>69</v>
      </c>
      <c r="D117" s="1298" t="s">
        <v>62</v>
      </c>
      <c r="E117" s="1298" t="s">
        <v>34</v>
      </c>
      <c r="F117" s="1298">
        <v>6.4</v>
      </c>
      <c r="G117" s="1298" t="s">
        <v>32</v>
      </c>
      <c r="H117" s="1298" t="s">
        <v>6185</v>
      </c>
      <c r="I117" s="1298" t="s">
        <v>6264</v>
      </c>
      <c r="J117" s="1298" t="s">
        <v>6259</v>
      </c>
      <c r="K117" s="1298" t="s">
        <v>34</v>
      </c>
      <c r="L117" s="1298" t="s">
        <v>34</v>
      </c>
      <c r="M117" s="1298">
        <v>6380.8</v>
      </c>
      <c r="N117" s="1301">
        <v>2015.05</v>
      </c>
      <c r="O117" s="1298" t="s">
        <v>6123</v>
      </c>
      <c r="P117" s="1298" t="s">
        <v>6124</v>
      </c>
      <c r="Q117" s="1298">
        <v>13930179988</v>
      </c>
      <c r="R117" s="1298" t="s">
        <v>6256</v>
      </c>
      <c r="S117" s="1298" t="s">
        <v>6166</v>
      </c>
      <c r="T117" s="1297"/>
    </row>
    <row r="118" spans="1:20" s="1339" customFormat="1" ht="20.100000000000001" customHeight="1">
      <c r="A118" s="1336"/>
      <c r="B118" s="1337" t="s">
        <v>398</v>
      </c>
      <c r="C118" s="1337" t="s">
        <v>6266</v>
      </c>
      <c r="D118" s="1337">
        <v>1</v>
      </c>
      <c r="E118" s="1337" t="s">
        <v>2084</v>
      </c>
      <c r="F118" s="1337">
        <v>364.58</v>
      </c>
      <c r="G118" s="1337" t="s">
        <v>32</v>
      </c>
      <c r="H118" s="1337" t="s">
        <v>6063</v>
      </c>
      <c r="I118" s="1337" t="s">
        <v>1762</v>
      </c>
      <c r="J118" s="1337" t="s">
        <v>6171</v>
      </c>
      <c r="K118" s="1289" t="s">
        <v>6267</v>
      </c>
      <c r="L118" s="1289">
        <v>2675702.7999999998</v>
      </c>
      <c r="M118" s="1291">
        <v>524176.78</v>
      </c>
      <c r="N118" s="1289" t="s">
        <v>6268</v>
      </c>
      <c r="O118" s="1337" t="s">
        <v>6269</v>
      </c>
      <c r="P118" s="1337" t="s">
        <v>6175</v>
      </c>
      <c r="Q118" s="1337">
        <v>13930162225</v>
      </c>
      <c r="R118" s="1337" t="s">
        <v>6270</v>
      </c>
      <c r="S118" s="1337" t="s">
        <v>6166</v>
      </c>
      <c r="T118" s="1338"/>
    </row>
    <row r="119" spans="1:20" s="1292" customFormat="1" ht="20.100000000000001" customHeight="1">
      <c r="A119" s="1290"/>
      <c r="B119" s="1298" t="s">
        <v>6271</v>
      </c>
      <c r="C119" s="1298"/>
      <c r="D119" s="1298" t="s">
        <v>62</v>
      </c>
      <c r="E119" s="1298" t="s">
        <v>34</v>
      </c>
      <c r="F119" s="1298">
        <v>121</v>
      </c>
      <c r="G119" s="1298" t="s">
        <v>32</v>
      </c>
      <c r="H119" s="1298" t="s">
        <v>6185</v>
      </c>
      <c r="I119" s="1298" t="s">
        <v>34</v>
      </c>
      <c r="J119" s="1298" t="s">
        <v>34</v>
      </c>
      <c r="K119" s="1298" t="s">
        <v>34</v>
      </c>
      <c r="L119" s="1298" t="s">
        <v>34</v>
      </c>
      <c r="M119" s="1298">
        <v>516267</v>
      </c>
      <c r="N119" s="1301">
        <v>2016.3</v>
      </c>
      <c r="O119" s="1298" t="s">
        <v>6272</v>
      </c>
      <c r="P119" s="1298" t="s">
        <v>6273</v>
      </c>
      <c r="Q119" s="1298">
        <v>13832383939</v>
      </c>
      <c r="R119" s="1298" t="s">
        <v>6274</v>
      </c>
      <c r="S119" s="1298" t="s">
        <v>6166</v>
      </c>
      <c r="T119" s="1297"/>
    </row>
    <row r="120" spans="1:20" s="1292" customFormat="1" ht="20.100000000000001" customHeight="1">
      <c r="A120" s="1290"/>
      <c r="B120" s="1298" t="s">
        <v>6275</v>
      </c>
      <c r="C120" s="1298"/>
      <c r="D120" s="1298" t="s">
        <v>62</v>
      </c>
      <c r="E120" s="1298" t="s">
        <v>34</v>
      </c>
      <c r="F120" s="1298">
        <v>192</v>
      </c>
      <c r="G120" s="1298" t="s">
        <v>32</v>
      </c>
      <c r="H120" s="1298" t="s">
        <v>6185</v>
      </c>
      <c r="I120" s="1298" t="s">
        <v>34</v>
      </c>
      <c r="J120" s="1298" t="s">
        <v>34</v>
      </c>
      <c r="K120" s="1298" t="s">
        <v>34</v>
      </c>
      <c r="L120" s="1298" t="s">
        <v>34</v>
      </c>
      <c r="M120" s="1298">
        <v>81920</v>
      </c>
      <c r="N120" s="1301">
        <v>2016.3</v>
      </c>
      <c r="O120" s="1298" t="s">
        <v>6272</v>
      </c>
      <c r="P120" s="1298" t="s">
        <v>6273</v>
      </c>
      <c r="Q120" s="1298">
        <v>13832383939</v>
      </c>
      <c r="R120" s="1298" t="s">
        <v>6274</v>
      </c>
      <c r="S120" s="1298" t="s">
        <v>6166</v>
      </c>
      <c r="T120" s="1297"/>
    </row>
    <row r="121" spans="1:20" s="1292" customFormat="1" ht="20.100000000000001" customHeight="1">
      <c r="A121" s="1290"/>
      <c r="B121" s="1298" t="s">
        <v>6276</v>
      </c>
      <c r="C121" s="1298" t="s">
        <v>34</v>
      </c>
      <c r="D121" s="1298" t="s">
        <v>79</v>
      </c>
      <c r="E121" s="1298">
        <v>200</v>
      </c>
      <c r="F121" s="1298">
        <v>6</v>
      </c>
      <c r="G121" s="1298" t="s">
        <v>72</v>
      </c>
      <c r="H121" s="1298" t="s">
        <v>41</v>
      </c>
      <c r="I121" s="1298" t="s">
        <v>6277</v>
      </c>
      <c r="J121" s="1298" t="s">
        <v>2413</v>
      </c>
      <c r="K121" s="1298" t="s">
        <v>6278</v>
      </c>
      <c r="L121" s="1298">
        <v>37200</v>
      </c>
      <c r="M121" s="1298">
        <v>5060</v>
      </c>
      <c r="N121" s="1301">
        <v>2017.3</v>
      </c>
      <c r="O121" s="1298" t="s">
        <v>6279</v>
      </c>
      <c r="P121" s="1298" t="s">
        <v>6280</v>
      </c>
      <c r="Q121" s="1298">
        <v>15610821019</v>
      </c>
      <c r="R121" s="1298" t="s">
        <v>3576</v>
      </c>
      <c r="S121" s="1298" t="s">
        <v>6056</v>
      </c>
      <c r="T121" s="1297"/>
    </row>
    <row r="122" spans="1:20" s="1292" customFormat="1" ht="20.100000000000001" customHeight="1">
      <c r="A122" s="1290"/>
      <c r="B122" s="1337" t="s">
        <v>29</v>
      </c>
      <c r="C122" s="1340" t="s">
        <v>6281</v>
      </c>
      <c r="D122" s="1341" t="s">
        <v>2544</v>
      </c>
      <c r="E122" s="1342">
        <v>31</v>
      </c>
      <c r="F122" s="1957">
        <v>39.020000000000003</v>
      </c>
      <c r="G122" s="1341" t="s">
        <v>32</v>
      </c>
      <c r="H122" s="1341" t="s">
        <v>33</v>
      </c>
      <c r="I122" s="1298" t="s">
        <v>34</v>
      </c>
      <c r="J122" s="1298" t="s">
        <v>34</v>
      </c>
      <c r="K122" s="1343" t="s">
        <v>6282</v>
      </c>
      <c r="L122" s="1957">
        <v>251679</v>
      </c>
      <c r="M122" s="1957">
        <v>251679</v>
      </c>
      <c r="N122" s="1344">
        <v>43929</v>
      </c>
      <c r="O122" s="1345" t="s">
        <v>6283</v>
      </c>
      <c r="P122" s="1335" t="s">
        <v>6284</v>
      </c>
      <c r="Q122" s="1335">
        <v>13731080364</v>
      </c>
      <c r="R122" s="1345" t="s">
        <v>6285</v>
      </c>
      <c r="S122" s="1298" t="s">
        <v>6056</v>
      </c>
      <c r="T122" s="1297"/>
    </row>
    <row r="123" spans="1:20" s="1292" customFormat="1" ht="20.100000000000001" customHeight="1">
      <c r="A123" s="1290"/>
      <c r="B123" s="1337" t="s">
        <v>29</v>
      </c>
      <c r="C123" s="1340" t="s">
        <v>6286</v>
      </c>
      <c r="D123" s="1341" t="s">
        <v>2544</v>
      </c>
      <c r="E123" s="1342">
        <v>4</v>
      </c>
      <c r="F123" s="1957"/>
      <c r="G123" s="1341" t="s">
        <v>32</v>
      </c>
      <c r="H123" s="1341" t="s">
        <v>33</v>
      </c>
      <c r="I123" s="1298" t="s">
        <v>34</v>
      </c>
      <c r="J123" s="1298" t="s">
        <v>34</v>
      </c>
      <c r="K123" s="1343" t="s">
        <v>6282</v>
      </c>
      <c r="L123" s="1957"/>
      <c r="M123" s="1957"/>
      <c r="N123" s="1344">
        <v>43929</v>
      </c>
      <c r="O123" s="1345" t="s">
        <v>6283</v>
      </c>
      <c r="P123" s="1335" t="s">
        <v>6284</v>
      </c>
      <c r="Q123" s="1335">
        <v>13731080364</v>
      </c>
      <c r="R123" s="1345" t="s">
        <v>6285</v>
      </c>
      <c r="S123" s="1298" t="s">
        <v>6056</v>
      </c>
      <c r="T123" s="1297"/>
    </row>
    <row r="124" spans="1:20" s="1292" customFormat="1" ht="20.100000000000001" customHeight="1">
      <c r="A124" s="1290"/>
      <c r="B124" s="1337" t="s">
        <v>29</v>
      </c>
      <c r="C124" s="1340" t="s">
        <v>6287</v>
      </c>
      <c r="D124" s="1341" t="s">
        <v>2544</v>
      </c>
      <c r="E124" s="1342">
        <v>34</v>
      </c>
      <c r="F124" s="1957"/>
      <c r="G124" s="1341" t="s">
        <v>32</v>
      </c>
      <c r="H124" s="1341" t="s">
        <v>33</v>
      </c>
      <c r="I124" s="1298" t="s">
        <v>34</v>
      </c>
      <c r="J124" s="1298" t="s">
        <v>34</v>
      </c>
      <c r="K124" s="1343" t="s">
        <v>6282</v>
      </c>
      <c r="L124" s="1957"/>
      <c r="M124" s="1957"/>
      <c r="N124" s="1344">
        <v>43929</v>
      </c>
      <c r="O124" s="1345" t="s">
        <v>6283</v>
      </c>
      <c r="P124" s="1335" t="s">
        <v>6284</v>
      </c>
      <c r="Q124" s="1335">
        <v>13731080364</v>
      </c>
      <c r="R124" s="1345" t="s">
        <v>6285</v>
      </c>
      <c r="S124" s="1298" t="s">
        <v>6056</v>
      </c>
      <c r="T124" s="1297"/>
    </row>
    <row r="125" spans="1:20" s="1292" customFormat="1" ht="20.100000000000001" customHeight="1">
      <c r="A125" s="1290"/>
      <c r="B125" s="1337" t="s">
        <v>29</v>
      </c>
      <c r="C125" s="1340" t="s">
        <v>6288</v>
      </c>
      <c r="D125" s="1341" t="s">
        <v>2544</v>
      </c>
      <c r="E125" s="1342">
        <v>8</v>
      </c>
      <c r="F125" s="1957"/>
      <c r="G125" s="1341" t="s">
        <v>32</v>
      </c>
      <c r="H125" s="1341" t="s">
        <v>33</v>
      </c>
      <c r="I125" s="1298" t="s">
        <v>34</v>
      </c>
      <c r="J125" s="1298" t="s">
        <v>34</v>
      </c>
      <c r="K125" s="1343" t="s">
        <v>6282</v>
      </c>
      <c r="L125" s="1957"/>
      <c r="M125" s="1957"/>
      <c r="N125" s="1344">
        <v>43929</v>
      </c>
      <c r="O125" s="1345" t="s">
        <v>6283</v>
      </c>
      <c r="P125" s="1335" t="s">
        <v>6284</v>
      </c>
      <c r="Q125" s="1335">
        <v>13731080364</v>
      </c>
      <c r="R125" s="1345" t="s">
        <v>6285</v>
      </c>
      <c r="S125" s="1298" t="s">
        <v>6056</v>
      </c>
      <c r="T125" s="1297"/>
    </row>
    <row r="126" spans="1:20" s="1292" customFormat="1" ht="20.100000000000001" customHeight="1">
      <c r="A126" s="1290"/>
      <c r="B126" s="1337" t="s">
        <v>29</v>
      </c>
      <c r="C126" s="1340" t="s">
        <v>6289</v>
      </c>
      <c r="D126" s="1341" t="s">
        <v>2544</v>
      </c>
      <c r="E126" s="1342">
        <v>4</v>
      </c>
      <c r="F126" s="1957"/>
      <c r="G126" s="1341" t="s">
        <v>32</v>
      </c>
      <c r="H126" s="1341" t="s">
        <v>33</v>
      </c>
      <c r="I126" s="1298" t="s">
        <v>34</v>
      </c>
      <c r="J126" s="1298" t="s">
        <v>34</v>
      </c>
      <c r="K126" s="1343" t="s">
        <v>6282</v>
      </c>
      <c r="L126" s="1957"/>
      <c r="M126" s="1957"/>
      <c r="N126" s="1344">
        <v>43929</v>
      </c>
      <c r="O126" s="1345" t="s">
        <v>6283</v>
      </c>
      <c r="P126" s="1335" t="s">
        <v>6284</v>
      </c>
      <c r="Q126" s="1335">
        <v>13731080364</v>
      </c>
      <c r="R126" s="1345" t="s">
        <v>6285</v>
      </c>
      <c r="S126" s="1298" t="s">
        <v>6056</v>
      </c>
      <c r="T126" s="1297"/>
    </row>
    <row r="127" spans="1:20" s="1292" customFormat="1" ht="20.100000000000001" customHeight="1">
      <c r="A127" s="1290"/>
      <c r="B127" s="1337" t="s">
        <v>29</v>
      </c>
      <c r="C127" s="1340" t="s">
        <v>6290</v>
      </c>
      <c r="D127" s="1341" t="s">
        <v>2544</v>
      </c>
      <c r="E127" s="1342">
        <v>4</v>
      </c>
      <c r="F127" s="1957"/>
      <c r="G127" s="1341" t="s">
        <v>32</v>
      </c>
      <c r="H127" s="1341" t="s">
        <v>33</v>
      </c>
      <c r="I127" s="1298" t="s">
        <v>34</v>
      </c>
      <c r="J127" s="1298" t="s">
        <v>34</v>
      </c>
      <c r="K127" s="1343" t="s">
        <v>6282</v>
      </c>
      <c r="L127" s="1957"/>
      <c r="M127" s="1957"/>
      <c r="N127" s="1344">
        <v>43929</v>
      </c>
      <c r="O127" s="1345" t="s">
        <v>6283</v>
      </c>
      <c r="P127" s="1335" t="s">
        <v>6284</v>
      </c>
      <c r="Q127" s="1335">
        <v>13731080364</v>
      </c>
      <c r="R127" s="1345" t="s">
        <v>6291</v>
      </c>
      <c r="S127" s="1298" t="s">
        <v>6056</v>
      </c>
      <c r="T127" s="1297"/>
    </row>
    <row r="128" spans="1:20" s="1292" customFormat="1" ht="20.100000000000001" customHeight="1">
      <c r="A128" s="1290"/>
      <c r="B128" s="1337" t="s">
        <v>29</v>
      </c>
      <c r="C128" s="1340" t="s">
        <v>6292</v>
      </c>
      <c r="D128" s="1341" t="s">
        <v>2544</v>
      </c>
      <c r="E128" s="1342">
        <v>2</v>
      </c>
      <c r="F128" s="1957"/>
      <c r="G128" s="1341" t="s">
        <v>32</v>
      </c>
      <c r="H128" s="1341" t="s">
        <v>33</v>
      </c>
      <c r="I128" s="1298" t="s">
        <v>34</v>
      </c>
      <c r="J128" s="1298" t="s">
        <v>34</v>
      </c>
      <c r="K128" s="1343" t="s">
        <v>6282</v>
      </c>
      <c r="L128" s="1957"/>
      <c r="M128" s="1957"/>
      <c r="N128" s="1344">
        <v>43929</v>
      </c>
      <c r="O128" s="1345" t="s">
        <v>6283</v>
      </c>
      <c r="P128" s="1335" t="s">
        <v>6284</v>
      </c>
      <c r="Q128" s="1335">
        <v>13731080364</v>
      </c>
      <c r="R128" s="1345" t="s">
        <v>6291</v>
      </c>
      <c r="S128" s="1298" t="s">
        <v>6056</v>
      </c>
      <c r="T128" s="1297"/>
    </row>
    <row r="129" spans="1:20" s="1292" customFormat="1" ht="20.100000000000001" customHeight="1">
      <c r="A129" s="1290"/>
      <c r="B129" s="1337" t="s">
        <v>6293</v>
      </c>
      <c r="C129" s="1340" t="s">
        <v>6294</v>
      </c>
      <c r="D129" s="1342" t="s">
        <v>79</v>
      </c>
      <c r="E129" s="1342">
        <v>6</v>
      </c>
      <c r="F129" s="1346">
        <v>16.489999999999998</v>
      </c>
      <c r="G129" s="1341" t="s">
        <v>32</v>
      </c>
      <c r="H129" s="1341" t="s">
        <v>33</v>
      </c>
      <c r="I129" s="1298" t="s">
        <v>34</v>
      </c>
      <c r="J129" s="1298" t="s">
        <v>34</v>
      </c>
      <c r="K129" s="1347" t="s">
        <v>6295</v>
      </c>
      <c r="L129" s="1342">
        <v>114267.46</v>
      </c>
      <c r="M129" s="1342">
        <v>114267.46</v>
      </c>
      <c r="N129" s="1344">
        <v>43922</v>
      </c>
      <c r="O129" s="1345" t="s">
        <v>6296</v>
      </c>
      <c r="P129" s="1335" t="s">
        <v>6284</v>
      </c>
      <c r="Q129" s="1335">
        <v>13731080364</v>
      </c>
      <c r="R129" s="1345" t="s">
        <v>6291</v>
      </c>
      <c r="S129" s="1298" t="s">
        <v>6056</v>
      </c>
      <c r="T129" s="1297"/>
    </row>
    <row r="130" spans="1:20" s="1292" customFormat="1" ht="20.100000000000001" customHeight="1">
      <c r="A130" s="1290"/>
      <c r="B130" s="1337" t="s">
        <v>6297</v>
      </c>
      <c r="C130" s="1340" t="s">
        <v>6298</v>
      </c>
      <c r="D130" s="1342" t="s">
        <v>79</v>
      </c>
      <c r="E130" s="1342">
        <v>1</v>
      </c>
      <c r="F130" s="1346">
        <v>11.46</v>
      </c>
      <c r="G130" s="1341" t="s">
        <v>32</v>
      </c>
      <c r="H130" s="1341" t="s">
        <v>33</v>
      </c>
      <c r="I130" s="1298" t="s">
        <v>34</v>
      </c>
      <c r="J130" s="1298" t="s">
        <v>34</v>
      </c>
      <c r="K130" s="1347" t="s">
        <v>6295</v>
      </c>
      <c r="L130" s="1342">
        <v>78200</v>
      </c>
      <c r="M130" s="1342">
        <v>78200</v>
      </c>
      <c r="N130" s="1348">
        <v>43938</v>
      </c>
      <c r="O130" s="1345" t="s">
        <v>6296</v>
      </c>
      <c r="P130" s="1335" t="s">
        <v>6284</v>
      </c>
      <c r="Q130" s="1335">
        <v>13731080364</v>
      </c>
      <c r="R130" s="1345" t="s">
        <v>6291</v>
      </c>
      <c r="S130" s="1298" t="s">
        <v>6056</v>
      </c>
      <c r="T130" s="1297"/>
    </row>
    <row r="131" spans="1:20" s="1292" customFormat="1" ht="20.100000000000001" customHeight="1">
      <c r="A131" s="1290"/>
      <c r="B131" s="1337" t="s">
        <v>6297</v>
      </c>
      <c r="C131" s="1340" t="s">
        <v>6299</v>
      </c>
      <c r="D131" s="1342" t="s">
        <v>79</v>
      </c>
      <c r="E131" s="1342">
        <v>2</v>
      </c>
      <c r="F131" s="1346">
        <v>25.57</v>
      </c>
      <c r="G131" s="1341" t="s">
        <v>32</v>
      </c>
      <c r="H131" s="1341" t="s">
        <v>33</v>
      </c>
      <c r="I131" s="1298" t="s">
        <v>34</v>
      </c>
      <c r="J131" s="1298" t="s">
        <v>34</v>
      </c>
      <c r="K131" s="1347" t="s">
        <v>6295</v>
      </c>
      <c r="L131" s="1342">
        <v>176761</v>
      </c>
      <c r="M131" s="1342">
        <v>176761</v>
      </c>
      <c r="N131" s="1348">
        <v>43940</v>
      </c>
      <c r="O131" s="1345" t="s">
        <v>6296</v>
      </c>
      <c r="P131" s="1335" t="s">
        <v>6284</v>
      </c>
      <c r="Q131" s="1335">
        <v>13731080364</v>
      </c>
      <c r="R131" s="1345" t="s">
        <v>6291</v>
      </c>
      <c r="S131" s="1298" t="s">
        <v>6056</v>
      </c>
      <c r="T131" s="1297"/>
    </row>
    <row r="132" spans="1:20" s="1292" customFormat="1" ht="20.100000000000001" customHeight="1">
      <c r="A132" s="1290"/>
      <c r="B132" s="1337" t="s">
        <v>6300</v>
      </c>
      <c r="C132" s="1340" t="s">
        <v>6301</v>
      </c>
      <c r="D132" s="1342" t="s">
        <v>79</v>
      </c>
      <c r="E132" s="1342">
        <v>1</v>
      </c>
      <c r="F132" s="1346">
        <v>16.12</v>
      </c>
      <c r="G132" s="1345" t="s">
        <v>32</v>
      </c>
      <c r="H132" s="1341" t="s">
        <v>33</v>
      </c>
      <c r="I132" s="1298" t="s">
        <v>34</v>
      </c>
      <c r="J132" s="1298" t="s">
        <v>34</v>
      </c>
      <c r="K132" s="1347" t="s">
        <v>6295</v>
      </c>
      <c r="L132" s="1342">
        <v>107560</v>
      </c>
      <c r="M132" s="1342">
        <v>107560</v>
      </c>
      <c r="N132" s="1348">
        <v>43940</v>
      </c>
      <c r="O132" s="1345" t="s">
        <v>6296</v>
      </c>
      <c r="P132" s="1335" t="s">
        <v>6284</v>
      </c>
      <c r="Q132" s="1335">
        <v>13731080364</v>
      </c>
      <c r="R132" s="1345" t="s">
        <v>6291</v>
      </c>
      <c r="S132" s="1298" t="s">
        <v>6056</v>
      </c>
      <c r="T132" s="1297"/>
    </row>
    <row r="133" spans="1:20" s="1292" customFormat="1" ht="20.100000000000001" customHeight="1">
      <c r="A133" s="1290"/>
      <c r="B133" s="1337" t="s">
        <v>6302</v>
      </c>
      <c r="C133" s="1340" t="s">
        <v>6303</v>
      </c>
      <c r="D133" s="1342" t="s">
        <v>79</v>
      </c>
      <c r="E133" s="1342">
        <v>1</v>
      </c>
      <c r="F133" s="1346">
        <v>13.83</v>
      </c>
      <c r="G133" s="1345" t="s">
        <v>32</v>
      </c>
      <c r="H133" s="1341" t="s">
        <v>33</v>
      </c>
      <c r="I133" s="1298" t="s">
        <v>34</v>
      </c>
      <c r="J133" s="1298" t="s">
        <v>34</v>
      </c>
      <c r="K133" s="1347" t="s">
        <v>6295</v>
      </c>
      <c r="L133" s="1342">
        <v>101416.6</v>
      </c>
      <c r="M133" s="1342">
        <v>101416.6</v>
      </c>
      <c r="N133" s="1348">
        <v>43951</v>
      </c>
      <c r="O133" s="1345" t="s">
        <v>6296</v>
      </c>
      <c r="P133" s="1335" t="s">
        <v>6284</v>
      </c>
      <c r="Q133" s="1335">
        <v>13731080364</v>
      </c>
      <c r="R133" s="1345" t="s">
        <v>6291</v>
      </c>
      <c r="S133" s="1298" t="s">
        <v>6056</v>
      </c>
      <c r="T133" s="1297"/>
    </row>
    <row r="134" spans="1:20" s="1292" customFormat="1" ht="20.100000000000001" customHeight="1">
      <c r="A134" s="1290"/>
      <c r="B134" s="1337" t="s">
        <v>6304</v>
      </c>
      <c r="C134" s="1340">
        <v>2.2000000000000002</v>
      </c>
      <c r="D134" s="1342" t="s">
        <v>79</v>
      </c>
      <c r="E134" s="1342">
        <v>1</v>
      </c>
      <c r="F134" s="1349">
        <v>11.99</v>
      </c>
      <c r="G134" s="1345" t="s">
        <v>32</v>
      </c>
      <c r="H134" s="1341" t="s">
        <v>33</v>
      </c>
      <c r="I134" s="1298" t="s">
        <v>34</v>
      </c>
      <c r="J134" s="1298" t="s">
        <v>34</v>
      </c>
      <c r="K134" s="1347" t="s">
        <v>6295</v>
      </c>
      <c r="L134" s="1342">
        <v>164888</v>
      </c>
      <c r="M134" s="1342">
        <v>164888</v>
      </c>
      <c r="N134" s="1348">
        <v>43948</v>
      </c>
      <c r="O134" s="1345" t="s">
        <v>6296</v>
      </c>
      <c r="P134" s="1335" t="s">
        <v>6284</v>
      </c>
      <c r="Q134" s="1335">
        <v>13731080364</v>
      </c>
      <c r="R134" s="1345" t="s">
        <v>6291</v>
      </c>
      <c r="S134" s="1298" t="s">
        <v>6056</v>
      </c>
      <c r="T134" s="1297"/>
    </row>
    <row r="135" spans="1:20" s="1292" customFormat="1" ht="20.100000000000001" customHeight="1">
      <c r="A135" s="1290"/>
      <c r="B135" s="1337" t="s">
        <v>3688</v>
      </c>
      <c r="C135" s="1340" t="s">
        <v>6305</v>
      </c>
      <c r="D135" s="1342" t="s">
        <v>79</v>
      </c>
      <c r="E135" s="1342">
        <v>4</v>
      </c>
      <c r="F135" s="1342"/>
      <c r="G135" s="1345" t="s">
        <v>32</v>
      </c>
      <c r="H135" s="1341" t="s">
        <v>33</v>
      </c>
      <c r="I135" s="1298" t="s">
        <v>34</v>
      </c>
      <c r="J135" s="1298" t="s">
        <v>34</v>
      </c>
      <c r="K135" s="1347" t="s">
        <v>6295</v>
      </c>
      <c r="L135" s="1342">
        <v>797470</v>
      </c>
      <c r="M135" s="1342">
        <v>797470</v>
      </c>
      <c r="N135" s="1348">
        <v>43939</v>
      </c>
      <c r="O135" s="1345" t="s">
        <v>6296</v>
      </c>
      <c r="P135" s="1335" t="s">
        <v>6284</v>
      </c>
      <c r="Q135" s="1335">
        <v>13731080364</v>
      </c>
      <c r="R135" s="1345" t="s">
        <v>6291</v>
      </c>
      <c r="S135" s="1298" t="s">
        <v>6056</v>
      </c>
      <c r="T135" s="1297"/>
    </row>
    <row r="136" spans="1:20" s="1292" customFormat="1" ht="20.100000000000001" customHeight="1">
      <c r="A136" s="1290"/>
      <c r="B136" s="1337" t="s">
        <v>3688</v>
      </c>
      <c r="C136" s="1340" t="s">
        <v>6306</v>
      </c>
      <c r="D136" s="1342" t="s">
        <v>79</v>
      </c>
      <c r="E136" s="1342">
        <v>6</v>
      </c>
      <c r="F136" s="1342"/>
      <c r="G136" s="1345" t="s">
        <v>32</v>
      </c>
      <c r="H136" s="1341" t="s">
        <v>33</v>
      </c>
      <c r="I136" s="1298" t="s">
        <v>34</v>
      </c>
      <c r="J136" s="1298" t="s">
        <v>34</v>
      </c>
      <c r="K136" s="1347" t="s">
        <v>6295</v>
      </c>
      <c r="L136" s="1342">
        <v>1836720</v>
      </c>
      <c r="M136" s="1342">
        <v>1836720</v>
      </c>
      <c r="N136" s="1348">
        <v>43939</v>
      </c>
      <c r="O136" s="1345" t="s">
        <v>6296</v>
      </c>
      <c r="P136" s="1335" t="s">
        <v>6284</v>
      </c>
      <c r="Q136" s="1335">
        <v>13731080364</v>
      </c>
      <c r="R136" s="1345" t="s">
        <v>6291</v>
      </c>
      <c r="S136" s="1298" t="s">
        <v>6056</v>
      </c>
      <c r="T136" s="1297"/>
    </row>
    <row r="137" spans="1:20" s="1292" customFormat="1" ht="20.100000000000001" customHeight="1">
      <c r="A137" s="1290"/>
      <c r="B137" s="1337" t="s">
        <v>6307</v>
      </c>
      <c r="C137" s="1350" t="s">
        <v>6308</v>
      </c>
      <c r="D137" s="1351" t="s">
        <v>161</v>
      </c>
      <c r="E137" s="1352">
        <v>80</v>
      </c>
      <c r="F137" s="1353"/>
      <c r="G137" s="1354" t="s">
        <v>32</v>
      </c>
      <c r="H137" s="1351" t="s">
        <v>33</v>
      </c>
      <c r="I137" s="1298" t="s">
        <v>34</v>
      </c>
      <c r="J137" s="1298" t="s">
        <v>34</v>
      </c>
      <c r="K137" s="1355" t="s">
        <v>1017</v>
      </c>
      <c r="L137" s="1352">
        <v>172000</v>
      </c>
      <c r="M137" s="1352">
        <v>172000</v>
      </c>
      <c r="N137" s="1356">
        <v>43923</v>
      </c>
      <c r="O137" s="1345" t="s">
        <v>6296</v>
      </c>
      <c r="P137" s="1335" t="s">
        <v>6284</v>
      </c>
      <c r="Q137" s="1335">
        <v>13731080364</v>
      </c>
      <c r="R137" s="1345" t="s">
        <v>6291</v>
      </c>
      <c r="S137" s="1298" t="s">
        <v>6056</v>
      </c>
      <c r="T137" s="1297"/>
    </row>
    <row r="138" spans="1:20" s="1292" customFormat="1" ht="20.100000000000001" customHeight="1">
      <c r="A138" s="1290"/>
      <c r="B138" s="1337" t="s">
        <v>6309</v>
      </c>
      <c r="C138" s="1350" t="s">
        <v>2819</v>
      </c>
      <c r="D138" s="1351" t="s">
        <v>161</v>
      </c>
      <c r="E138" s="1352">
        <v>60</v>
      </c>
      <c r="F138" s="1353"/>
      <c r="G138" s="1354" t="s">
        <v>32</v>
      </c>
      <c r="H138" s="1351" t="s">
        <v>33</v>
      </c>
      <c r="I138" s="1298" t="s">
        <v>34</v>
      </c>
      <c r="J138" s="1298" t="s">
        <v>34</v>
      </c>
      <c r="K138" s="1355" t="s">
        <v>1017</v>
      </c>
      <c r="L138" s="1352">
        <v>72720</v>
      </c>
      <c r="M138" s="1352">
        <v>72720</v>
      </c>
      <c r="N138" s="1357">
        <v>43946</v>
      </c>
      <c r="O138" s="1345" t="s">
        <v>6296</v>
      </c>
      <c r="P138" s="1335" t="s">
        <v>6284</v>
      </c>
      <c r="Q138" s="1335">
        <v>13731080364</v>
      </c>
      <c r="R138" s="1345" t="s">
        <v>6291</v>
      </c>
      <c r="S138" s="1298" t="s">
        <v>6056</v>
      </c>
      <c r="T138" s="1297"/>
    </row>
    <row r="139" spans="1:20" s="1292" customFormat="1" ht="20.100000000000001" customHeight="1">
      <c r="A139" s="1290"/>
      <c r="B139" s="1337" t="s">
        <v>6310</v>
      </c>
      <c r="C139" s="1340" t="s">
        <v>259</v>
      </c>
      <c r="D139" s="1342" t="s">
        <v>79</v>
      </c>
      <c r="E139" s="1342">
        <v>2</v>
      </c>
      <c r="F139" s="1342"/>
      <c r="G139" s="1354" t="s">
        <v>32</v>
      </c>
      <c r="H139" s="1351" t="s">
        <v>33</v>
      </c>
      <c r="I139" s="1298" t="s">
        <v>34</v>
      </c>
      <c r="J139" s="1298" t="s">
        <v>34</v>
      </c>
      <c r="K139" s="1355" t="s">
        <v>1017</v>
      </c>
      <c r="L139" s="1352">
        <v>24860</v>
      </c>
      <c r="M139" s="1352">
        <v>24860</v>
      </c>
      <c r="N139" s="1356">
        <v>43950</v>
      </c>
      <c r="O139" s="1345" t="s">
        <v>6296</v>
      </c>
      <c r="P139" s="1335" t="s">
        <v>6284</v>
      </c>
      <c r="Q139" s="1335">
        <v>13731080364</v>
      </c>
      <c r="R139" s="1345" t="s">
        <v>6291</v>
      </c>
      <c r="S139" s="1298" t="s">
        <v>6056</v>
      </c>
      <c r="T139" s="1297"/>
    </row>
    <row r="140" spans="1:20" s="1292" customFormat="1" ht="20.100000000000001" customHeight="1">
      <c r="A140" s="1290"/>
      <c r="B140" s="1337" t="s">
        <v>6310</v>
      </c>
      <c r="C140" s="1340" t="s">
        <v>251</v>
      </c>
      <c r="D140" s="1342" t="s">
        <v>79</v>
      </c>
      <c r="E140" s="1342">
        <v>2</v>
      </c>
      <c r="F140" s="1342"/>
      <c r="G140" s="1354" t="s">
        <v>32</v>
      </c>
      <c r="H140" s="1351" t="s">
        <v>33</v>
      </c>
      <c r="I140" s="1298" t="s">
        <v>34</v>
      </c>
      <c r="J140" s="1298" t="s">
        <v>34</v>
      </c>
      <c r="K140" s="1355" t="s">
        <v>1017</v>
      </c>
      <c r="L140" s="1352">
        <v>28250</v>
      </c>
      <c r="M140" s="1352">
        <v>28250</v>
      </c>
      <c r="N140" s="1356">
        <v>43950</v>
      </c>
      <c r="O140" s="1345" t="s">
        <v>6296</v>
      </c>
      <c r="P140" s="1335" t="s">
        <v>6284</v>
      </c>
      <c r="Q140" s="1335">
        <v>13731080364</v>
      </c>
      <c r="R140" s="1345" t="s">
        <v>6291</v>
      </c>
      <c r="S140" s="1298" t="s">
        <v>6056</v>
      </c>
      <c r="T140" s="1297"/>
    </row>
    <row r="141" spans="1:20" s="1292" customFormat="1" ht="20.100000000000001" customHeight="1">
      <c r="A141" s="1290"/>
      <c r="B141" s="1337" t="s">
        <v>6310</v>
      </c>
      <c r="C141" s="1340" t="s">
        <v>4161</v>
      </c>
      <c r="D141" s="1342" t="s">
        <v>79</v>
      </c>
      <c r="E141" s="1342">
        <v>2</v>
      </c>
      <c r="F141" s="1342"/>
      <c r="G141" s="1354" t="s">
        <v>32</v>
      </c>
      <c r="H141" s="1351" t="s">
        <v>33</v>
      </c>
      <c r="I141" s="1298" t="s">
        <v>34</v>
      </c>
      <c r="J141" s="1298" t="s">
        <v>34</v>
      </c>
      <c r="K141" s="1355" t="s">
        <v>1017</v>
      </c>
      <c r="L141" s="1352">
        <v>32840</v>
      </c>
      <c r="M141" s="1352">
        <v>32840</v>
      </c>
      <c r="N141" s="1356">
        <v>43950</v>
      </c>
      <c r="O141" s="1345" t="s">
        <v>6296</v>
      </c>
      <c r="P141" s="1335" t="s">
        <v>6284</v>
      </c>
      <c r="Q141" s="1335">
        <v>13731080364</v>
      </c>
      <c r="R141" s="1345" t="s">
        <v>6291</v>
      </c>
      <c r="S141" s="1298" t="s">
        <v>6056</v>
      </c>
      <c r="T141" s="1297"/>
    </row>
    <row r="142" spans="1:20" s="1292" customFormat="1" ht="20.100000000000001" customHeight="1">
      <c r="A142" s="1290"/>
      <c r="B142" s="1337" t="s">
        <v>164</v>
      </c>
      <c r="C142" s="1340" t="s">
        <v>174</v>
      </c>
      <c r="D142" s="1342" t="s">
        <v>79</v>
      </c>
      <c r="E142" s="1342">
        <v>4</v>
      </c>
      <c r="F142" s="1342">
        <v>159.16499999999999</v>
      </c>
      <c r="G142" s="1354" t="s">
        <v>32</v>
      </c>
      <c r="H142" s="1351" t="s">
        <v>33</v>
      </c>
      <c r="I142" s="1298" t="s">
        <v>34</v>
      </c>
      <c r="J142" s="1298" t="s">
        <v>34</v>
      </c>
      <c r="K142" s="1343" t="s">
        <v>6311</v>
      </c>
      <c r="L142" s="1358">
        <v>1151566.8400000001</v>
      </c>
      <c r="M142" s="1358">
        <v>1151566.8400000001</v>
      </c>
      <c r="N142" s="1356">
        <v>43952</v>
      </c>
      <c r="O142" s="1345" t="s">
        <v>6283</v>
      </c>
      <c r="P142" s="1335" t="s">
        <v>6284</v>
      </c>
      <c r="Q142" s="1335">
        <v>13731080364</v>
      </c>
      <c r="R142" s="1345" t="s">
        <v>6291</v>
      </c>
      <c r="S142" s="1359" t="s">
        <v>6312</v>
      </c>
      <c r="T142" s="1297"/>
    </row>
    <row r="143" spans="1:20" s="1292" customFormat="1" ht="20.100000000000001" customHeight="1">
      <c r="A143" s="1290"/>
      <c r="B143" s="1337" t="s">
        <v>6313</v>
      </c>
      <c r="C143" s="1340"/>
      <c r="D143" s="1342" t="s">
        <v>161</v>
      </c>
      <c r="E143" s="1342">
        <v>114</v>
      </c>
      <c r="F143" s="1342"/>
      <c r="G143" s="1354" t="s">
        <v>32</v>
      </c>
      <c r="H143" s="1351" t="s">
        <v>33</v>
      </c>
      <c r="I143" s="1298" t="s">
        <v>34</v>
      </c>
      <c r="J143" s="1298" t="s">
        <v>34</v>
      </c>
      <c r="K143" s="1343" t="s">
        <v>6314</v>
      </c>
      <c r="L143" s="1358">
        <v>136800</v>
      </c>
      <c r="M143" s="1358">
        <v>136800</v>
      </c>
      <c r="N143" s="1356">
        <v>43953</v>
      </c>
      <c r="O143" s="1345" t="s">
        <v>6296</v>
      </c>
      <c r="P143" s="1335" t="s">
        <v>6284</v>
      </c>
      <c r="Q143" s="1335">
        <v>13731080364</v>
      </c>
      <c r="R143" s="1345" t="s">
        <v>6291</v>
      </c>
      <c r="S143" s="1359" t="s">
        <v>6312</v>
      </c>
      <c r="T143" s="1297"/>
    </row>
    <row r="144" spans="1:20" s="1292" customFormat="1" ht="20.100000000000001" customHeight="1">
      <c r="A144" s="1290"/>
      <c r="B144" s="1337" t="s">
        <v>2843</v>
      </c>
      <c r="C144" s="1340"/>
      <c r="D144" s="1342" t="s">
        <v>161</v>
      </c>
      <c r="E144" s="1342">
        <v>158</v>
      </c>
      <c r="F144" s="1342"/>
      <c r="G144" s="1354" t="s">
        <v>32</v>
      </c>
      <c r="H144" s="1351" t="s">
        <v>33</v>
      </c>
      <c r="I144" s="1298" t="s">
        <v>34</v>
      </c>
      <c r="J144" s="1298" t="s">
        <v>34</v>
      </c>
      <c r="K144" s="1343" t="s">
        <v>6314</v>
      </c>
      <c r="L144" s="1358">
        <v>137460</v>
      </c>
      <c r="M144" s="1358">
        <v>137460</v>
      </c>
      <c r="N144" s="1356">
        <v>43954</v>
      </c>
      <c r="O144" s="1345" t="s">
        <v>6296</v>
      </c>
      <c r="P144" s="1335" t="s">
        <v>6284</v>
      </c>
      <c r="Q144" s="1335">
        <v>13731080364</v>
      </c>
      <c r="R144" s="1345" t="s">
        <v>6291</v>
      </c>
      <c r="S144" s="1359" t="s">
        <v>6312</v>
      </c>
      <c r="T144" s="1297"/>
    </row>
    <row r="145" spans="1:20" s="1292" customFormat="1" ht="20.100000000000001" customHeight="1">
      <c r="A145" s="1290"/>
      <c r="B145" s="1337" t="s">
        <v>6302</v>
      </c>
      <c r="C145" s="1340" t="s">
        <v>6315</v>
      </c>
      <c r="D145" s="1342" t="s">
        <v>79</v>
      </c>
      <c r="E145" s="1342">
        <v>1</v>
      </c>
      <c r="F145" s="1956">
        <v>53.97</v>
      </c>
      <c r="G145" s="1354" t="s">
        <v>32</v>
      </c>
      <c r="H145" s="1351" t="s">
        <v>33</v>
      </c>
      <c r="I145" s="1298" t="s">
        <v>34</v>
      </c>
      <c r="J145" s="1298" t="s">
        <v>34</v>
      </c>
      <c r="K145" s="1343" t="s">
        <v>6295</v>
      </c>
      <c r="L145" s="1946">
        <v>361745</v>
      </c>
      <c r="M145" s="1946">
        <v>361745</v>
      </c>
      <c r="N145" s="1356">
        <v>43955</v>
      </c>
      <c r="O145" s="1345" t="s">
        <v>6316</v>
      </c>
      <c r="P145" s="1335" t="s">
        <v>6284</v>
      </c>
      <c r="Q145" s="1335">
        <v>13731080364</v>
      </c>
      <c r="R145" s="1345" t="s">
        <v>6291</v>
      </c>
      <c r="S145" s="1359" t="s">
        <v>6312</v>
      </c>
      <c r="T145" s="1297"/>
    </row>
    <row r="146" spans="1:20" s="1292" customFormat="1" ht="20.100000000000001" customHeight="1">
      <c r="A146" s="1290"/>
      <c r="B146" s="1337" t="s">
        <v>6302</v>
      </c>
      <c r="C146" s="1340" t="s">
        <v>6317</v>
      </c>
      <c r="D146" s="1342" t="s">
        <v>79</v>
      </c>
      <c r="E146" s="1342">
        <v>3</v>
      </c>
      <c r="F146" s="1953"/>
      <c r="G146" s="1354" t="s">
        <v>32</v>
      </c>
      <c r="H146" s="1351" t="s">
        <v>33</v>
      </c>
      <c r="I146" s="1298" t="s">
        <v>34</v>
      </c>
      <c r="J146" s="1298" t="s">
        <v>34</v>
      </c>
      <c r="K146" s="1343" t="s">
        <v>6295</v>
      </c>
      <c r="L146" s="1947"/>
      <c r="M146" s="1947"/>
      <c r="N146" s="1356">
        <v>43956</v>
      </c>
      <c r="O146" s="1345" t="s">
        <v>6316</v>
      </c>
      <c r="P146" s="1335" t="s">
        <v>6284</v>
      </c>
      <c r="Q146" s="1335">
        <v>13731080364</v>
      </c>
      <c r="R146" s="1345" t="s">
        <v>6291</v>
      </c>
      <c r="S146" s="1359" t="s">
        <v>6312</v>
      </c>
      <c r="T146" s="1297"/>
    </row>
    <row r="147" spans="1:20" s="1292" customFormat="1" ht="20.100000000000001" customHeight="1">
      <c r="A147" s="1290"/>
      <c r="B147" s="1337" t="s">
        <v>6300</v>
      </c>
      <c r="C147" s="1340" t="s">
        <v>196</v>
      </c>
      <c r="D147" s="1342" t="s">
        <v>79</v>
      </c>
      <c r="E147" s="1342">
        <v>3</v>
      </c>
      <c r="F147" s="1342">
        <v>35.01</v>
      </c>
      <c r="G147" s="1354" t="s">
        <v>32</v>
      </c>
      <c r="H147" s="1351" t="s">
        <v>33</v>
      </c>
      <c r="I147" s="1298" t="s">
        <v>34</v>
      </c>
      <c r="J147" s="1298" t="s">
        <v>34</v>
      </c>
      <c r="K147" s="1343" t="s">
        <v>6295</v>
      </c>
      <c r="L147" s="1358">
        <v>236409</v>
      </c>
      <c r="M147" s="1358">
        <v>236409</v>
      </c>
      <c r="N147" s="1356">
        <v>43957</v>
      </c>
      <c r="O147" s="1345" t="s">
        <v>6316</v>
      </c>
      <c r="P147" s="1335" t="s">
        <v>6284</v>
      </c>
      <c r="Q147" s="1335">
        <v>13731080364</v>
      </c>
      <c r="R147" s="1345" t="s">
        <v>6291</v>
      </c>
      <c r="S147" s="1359" t="s">
        <v>6312</v>
      </c>
      <c r="T147" s="1297"/>
    </row>
    <row r="148" spans="1:20" s="1292" customFormat="1" ht="20.100000000000001" customHeight="1">
      <c r="A148" s="1290"/>
      <c r="B148" s="1337" t="s">
        <v>6318</v>
      </c>
      <c r="C148" s="1340" t="s">
        <v>6319</v>
      </c>
      <c r="D148" s="1342" t="s">
        <v>79</v>
      </c>
      <c r="E148" s="1342">
        <v>1</v>
      </c>
      <c r="F148" s="1956">
        <v>18.829999999999998</v>
      </c>
      <c r="G148" s="1354" t="s">
        <v>32</v>
      </c>
      <c r="H148" s="1351" t="s">
        <v>33</v>
      </c>
      <c r="I148" s="1298" t="s">
        <v>34</v>
      </c>
      <c r="J148" s="1298" t="s">
        <v>34</v>
      </c>
      <c r="K148" s="1343" t="s">
        <v>6295</v>
      </c>
      <c r="L148" s="1946">
        <v>131571</v>
      </c>
      <c r="M148" s="1946">
        <v>131571</v>
      </c>
      <c r="N148" s="1356">
        <v>43958</v>
      </c>
      <c r="O148" s="1345" t="s">
        <v>6316</v>
      </c>
      <c r="P148" s="1335" t="s">
        <v>6284</v>
      </c>
      <c r="Q148" s="1335">
        <v>13731080364</v>
      </c>
      <c r="R148" s="1345" t="s">
        <v>6291</v>
      </c>
      <c r="S148" s="1359" t="s">
        <v>6312</v>
      </c>
      <c r="T148" s="1297"/>
    </row>
    <row r="149" spans="1:20" s="1292" customFormat="1" ht="20.100000000000001" customHeight="1">
      <c r="A149" s="1290"/>
      <c r="B149" s="1337" t="s">
        <v>6320</v>
      </c>
      <c r="C149" s="1340" t="s">
        <v>6321</v>
      </c>
      <c r="D149" s="1342" t="s">
        <v>79</v>
      </c>
      <c r="E149" s="1342">
        <v>1</v>
      </c>
      <c r="F149" s="1953"/>
      <c r="G149" s="1354" t="s">
        <v>32</v>
      </c>
      <c r="H149" s="1351" t="s">
        <v>33</v>
      </c>
      <c r="I149" s="1298" t="s">
        <v>34</v>
      </c>
      <c r="J149" s="1298" t="s">
        <v>34</v>
      </c>
      <c r="K149" s="1343" t="s">
        <v>6295</v>
      </c>
      <c r="L149" s="1947"/>
      <c r="M149" s="1947"/>
      <c r="N149" s="1356">
        <v>43959</v>
      </c>
      <c r="O149" s="1345" t="s">
        <v>6316</v>
      </c>
      <c r="P149" s="1335" t="s">
        <v>6284</v>
      </c>
      <c r="Q149" s="1335">
        <v>13731080364</v>
      </c>
      <c r="R149" s="1345" t="s">
        <v>6291</v>
      </c>
      <c r="S149" s="1359" t="s">
        <v>6312</v>
      </c>
      <c r="T149" s="1297"/>
    </row>
    <row r="150" spans="1:20" s="1292" customFormat="1" ht="20.100000000000001" customHeight="1">
      <c r="A150" s="1290"/>
      <c r="B150" s="1337" t="s">
        <v>6320</v>
      </c>
      <c r="C150" s="1340" t="s">
        <v>6322</v>
      </c>
      <c r="D150" s="1342" t="s">
        <v>79</v>
      </c>
      <c r="E150" s="1342">
        <v>1</v>
      </c>
      <c r="F150" s="1952">
        <v>34.880000000000003</v>
      </c>
      <c r="G150" s="1354" t="s">
        <v>32</v>
      </c>
      <c r="H150" s="1351" t="s">
        <v>33</v>
      </c>
      <c r="I150" s="1298" t="s">
        <v>34</v>
      </c>
      <c r="J150" s="1298" t="s">
        <v>34</v>
      </c>
      <c r="K150" s="1343" t="s">
        <v>6295</v>
      </c>
      <c r="L150" s="1954">
        <v>233775</v>
      </c>
      <c r="M150" s="1954">
        <v>233775</v>
      </c>
      <c r="N150" s="1356">
        <v>43953</v>
      </c>
      <c r="O150" s="1345" t="s">
        <v>6296</v>
      </c>
      <c r="P150" s="1335" t="s">
        <v>6284</v>
      </c>
      <c r="Q150" s="1335">
        <v>13731080364</v>
      </c>
      <c r="R150" s="1345" t="s">
        <v>6291</v>
      </c>
      <c r="S150" s="1359" t="s">
        <v>6312</v>
      </c>
      <c r="T150" s="1297"/>
    </row>
    <row r="151" spans="1:20" s="1292" customFormat="1" ht="20.100000000000001" customHeight="1">
      <c r="A151" s="1290"/>
      <c r="B151" s="1337" t="s">
        <v>6320</v>
      </c>
      <c r="C151" s="1340" t="s">
        <v>251</v>
      </c>
      <c r="D151" s="1342" t="s">
        <v>79</v>
      </c>
      <c r="E151" s="1342">
        <v>1</v>
      </c>
      <c r="F151" s="1952"/>
      <c r="G151" s="1354" t="s">
        <v>32</v>
      </c>
      <c r="H151" s="1351" t="s">
        <v>33</v>
      </c>
      <c r="I151" s="1303" t="s">
        <v>34</v>
      </c>
      <c r="J151" s="1303" t="s">
        <v>34</v>
      </c>
      <c r="K151" s="1343" t="s">
        <v>6295</v>
      </c>
      <c r="L151" s="1954"/>
      <c r="M151" s="1954"/>
      <c r="N151" s="1356">
        <v>43954</v>
      </c>
      <c r="O151" s="1345" t="s">
        <v>6296</v>
      </c>
      <c r="P151" s="1335" t="s">
        <v>6284</v>
      </c>
      <c r="Q151" s="1335">
        <v>13731080364</v>
      </c>
      <c r="R151" s="1345" t="s">
        <v>6291</v>
      </c>
      <c r="S151" s="1359" t="s">
        <v>6312</v>
      </c>
      <c r="T151" s="1297"/>
    </row>
    <row r="152" spans="1:20" s="1292" customFormat="1" ht="20.100000000000001" customHeight="1">
      <c r="A152" s="1290"/>
      <c r="B152" s="1337" t="s">
        <v>433</v>
      </c>
      <c r="C152" s="1360" t="s">
        <v>259</v>
      </c>
      <c r="D152" s="1361" t="s">
        <v>79</v>
      </c>
      <c r="E152" s="1361">
        <v>2</v>
      </c>
      <c r="F152" s="1952"/>
      <c r="G152" s="1362" t="s">
        <v>32</v>
      </c>
      <c r="H152" s="1363" t="s">
        <v>33</v>
      </c>
      <c r="I152" s="1302" t="s">
        <v>34</v>
      </c>
      <c r="J152" s="1302" t="s">
        <v>34</v>
      </c>
      <c r="K152" s="1364" t="s">
        <v>6295</v>
      </c>
      <c r="L152" s="1954"/>
      <c r="M152" s="1954"/>
      <c r="N152" s="1365">
        <v>43955</v>
      </c>
      <c r="O152" s="1366" t="s">
        <v>6296</v>
      </c>
      <c r="P152" s="1367" t="s">
        <v>6284</v>
      </c>
      <c r="Q152" s="1367">
        <v>13731080364</v>
      </c>
      <c r="R152" s="1366" t="s">
        <v>6291</v>
      </c>
      <c r="S152" s="1368" t="s">
        <v>6312</v>
      </c>
      <c r="T152" s="1297"/>
    </row>
    <row r="153" spans="1:20" s="1292" customFormat="1" ht="20.100000000000001" customHeight="1">
      <c r="A153" s="1290"/>
      <c r="B153" s="1337" t="s">
        <v>6323</v>
      </c>
      <c r="C153" s="1340"/>
      <c r="D153" s="1342" t="s">
        <v>79</v>
      </c>
      <c r="E153" s="1342">
        <v>2</v>
      </c>
      <c r="F153" s="1369">
        <v>84.37</v>
      </c>
      <c r="G153" s="1354" t="s">
        <v>32</v>
      </c>
      <c r="H153" s="1370" t="s">
        <v>33</v>
      </c>
      <c r="I153" s="1302" t="s">
        <v>34</v>
      </c>
      <c r="J153" s="1302" t="s">
        <v>34</v>
      </c>
      <c r="K153" s="1371" t="s">
        <v>6311</v>
      </c>
      <c r="L153" s="1372">
        <v>643643</v>
      </c>
      <c r="M153" s="1372">
        <v>643643</v>
      </c>
      <c r="N153" s="1356">
        <v>43983</v>
      </c>
      <c r="O153" s="1345" t="s">
        <v>6283</v>
      </c>
      <c r="P153" s="1367" t="s">
        <v>6284</v>
      </c>
      <c r="Q153" s="1367">
        <v>13731080364</v>
      </c>
      <c r="R153" s="1366" t="s">
        <v>6291</v>
      </c>
      <c r="S153" s="1368" t="s">
        <v>6312</v>
      </c>
      <c r="T153" s="1297"/>
    </row>
    <row r="154" spans="1:20" s="1292" customFormat="1" ht="20.100000000000001" customHeight="1">
      <c r="A154" s="1290"/>
      <c r="B154" s="1337" t="s">
        <v>2815</v>
      </c>
      <c r="C154" s="1340"/>
      <c r="D154" s="1342" t="s">
        <v>161</v>
      </c>
      <c r="E154" s="1342">
        <v>160</v>
      </c>
      <c r="F154" s="1369"/>
      <c r="G154" s="1354" t="s">
        <v>32</v>
      </c>
      <c r="H154" s="1370" t="s">
        <v>33</v>
      </c>
      <c r="I154" s="1302" t="s">
        <v>34</v>
      </c>
      <c r="J154" s="1302" t="s">
        <v>34</v>
      </c>
      <c r="K154" s="1371" t="s">
        <v>6314</v>
      </c>
      <c r="L154" s="1372">
        <v>312000</v>
      </c>
      <c r="M154" s="1372">
        <v>31200</v>
      </c>
      <c r="N154" s="1356">
        <v>43983</v>
      </c>
      <c r="O154" s="1345" t="s">
        <v>6296</v>
      </c>
      <c r="P154" s="1367" t="s">
        <v>6284</v>
      </c>
      <c r="Q154" s="1367">
        <v>13731080364</v>
      </c>
      <c r="R154" s="1366" t="s">
        <v>6291</v>
      </c>
      <c r="S154" s="1368" t="s">
        <v>6312</v>
      </c>
      <c r="T154" s="1297"/>
    </row>
    <row r="155" spans="1:20" s="1292" customFormat="1" ht="20.100000000000001" customHeight="1">
      <c r="A155" s="1290"/>
      <c r="B155" s="1337" t="s">
        <v>1981</v>
      </c>
      <c r="C155" s="1340" t="s">
        <v>6324</v>
      </c>
      <c r="D155" s="1342" t="s">
        <v>2544</v>
      </c>
      <c r="E155" s="1342">
        <v>27</v>
      </c>
      <c r="F155" s="1952">
        <v>30460</v>
      </c>
      <c r="G155" s="1354" t="s">
        <v>32</v>
      </c>
      <c r="H155" s="1370" t="s">
        <v>33</v>
      </c>
      <c r="I155" s="1302" t="s">
        <v>34</v>
      </c>
      <c r="J155" s="1302" t="s">
        <v>34</v>
      </c>
      <c r="K155" s="1371" t="s">
        <v>6295</v>
      </c>
      <c r="L155" s="1954">
        <v>197990</v>
      </c>
      <c r="M155" s="1954">
        <v>197990</v>
      </c>
      <c r="N155" s="1356">
        <v>43983</v>
      </c>
      <c r="O155" s="1345" t="s">
        <v>6296</v>
      </c>
      <c r="P155" s="1367" t="s">
        <v>6284</v>
      </c>
      <c r="Q155" s="1367">
        <v>13731080364</v>
      </c>
      <c r="R155" s="1366" t="s">
        <v>6291</v>
      </c>
      <c r="S155" s="1368" t="s">
        <v>6312</v>
      </c>
      <c r="T155" s="1297"/>
    </row>
    <row r="156" spans="1:20" s="1292" customFormat="1" ht="20.100000000000001" customHeight="1">
      <c r="A156" s="1290"/>
      <c r="B156" s="1337" t="s">
        <v>1981</v>
      </c>
      <c r="C156" s="1340" t="s">
        <v>6325</v>
      </c>
      <c r="D156" s="1342" t="s">
        <v>2544</v>
      </c>
      <c r="E156" s="1342">
        <v>6</v>
      </c>
      <c r="F156" s="1952"/>
      <c r="G156" s="1354" t="s">
        <v>32</v>
      </c>
      <c r="H156" s="1370" t="s">
        <v>33</v>
      </c>
      <c r="I156" s="1302" t="s">
        <v>34</v>
      </c>
      <c r="J156" s="1302" t="s">
        <v>34</v>
      </c>
      <c r="K156" s="1371" t="s">
        <v>6295</v>
      </c>
      <c r="L156" s="1954"/>
      <c r="M156" s="1954"/>
      <c r="N156" s="1356">
        <v>43983</v>
      </c>
      <c r="O156" s="1345" t="s">
        <v>6296</v>
      </c>
      <c r="P156" s="1367" t="s">
        <v>6284</v>
      </c>
      <c r="Q156" s="1367">
        <v>13731080364</v>
      </c>
      <c r="R156" s="1366" t="s">
        <v>6291</v>
      </c>
      <c r="S156" s="1368" t="s">
        <v>6312</v>
      </c>
      <c r="T156" s="1297"/>
    </row>
    <row r="157" spans="1:20" s="1292" customFormat="1" ht="20.100000000000001" customHeight="1">
      <c r="A157" s="1290"/>
      <c r="B157" s="1337" t="s">
        <v>1981</v>
      </c>
      <c r="C157" s="1340" t="s">
        <v>6324</v>
      </c>
      <c r="D157" s="1342" t="s">
        <v>2544</v>
      </c>
      <c r="E157" s="1342">
        <v>28</v>
      </c>
      <c r="F157" s="1952"/>
      <c r="G157" s="1354" t="s">
        <v>32</v>
      </c>
      <c r="H157" s="1370" t="s">
        <v>33</v>
      </c>
      <c r="I157" s="1302" t="s">
        <v>34</v>
      </c>
      <c r="J157" s="1302" t="s">
        <v>34</v>
      </c>
      <c r="K157" s="1371" t="s">
        <v>6295</v>
      </c>
      <c r="L157" s="1954"/>
      <c r="M157" s="1954"/>
      <c r="N157" s="1356">
        <v>43983</v>
      </c>
      <c r="O157" s="1345" t="s">
        <v>6296</v>
      </c>
      <c r="P157" s="1367" t="s">
        <v>6284</v>
      </c>
      <c r="Q157" s="1367">
        <v>13731080364</v>
      </c>
      <c r="R157" s="1366" t="s">
        <v>6291</v>
      </c>
      <c r="S157" s="1368" t="s">
        <v>6312</v>
      </c>
      <c r="T157" s="1297"/>
    </row>
    <row r="158" spans="1:20" s="1292" customFormat="1" ht="20.100000000000001" customHeight="1">
      <c r="A158" s="1290"/>
      <c r="B158" s="1337" t="s">
        <v>1981</v>
      </c>
      <c r="C158" s="1340" t="s">
        <v>6326</v>
      </c>
      <c r="D158" s="1342" t="s">
        <v>2544</v>
      </c>
      <c r="E158" s="1342">
        <v>5</v>
      </c>
      <c r="F158" s="1952"/>
      <c r="G158" s="1354" t="s">
        <v>32</v>
      </c>
      <c r="H158" s="1370" t="s">
        <v>33</v>
      </c>
      <c r="I158" s="1302" t="s">
        <v>34</v>
      </c>
      <c r="J158" s="1302" t="s">
        <v>34</v>
      </c>
      <c r="K158" s="1371" t="s">
        <v>6295</v>
      </c>
      <c r="L158" s="1954"/>
      <c r="M158" s="1954"/>
      <c r="N158" s="1356">
        <v>43983</v>
      </c>
      <c r="O158" s="1345" t="s">
        <v>6296</v>
      </c>
      <c r="P158" s="1367" t="s">
        <v>6284</v>
      </c>
      <c r="Q158" s="1367">
        <v>13731080364</v>
      </c>
      <c r="R158" s="1366" t="s">
        <v>6291</v>
      </c>
      <c r="S158" s="1368" t="s">
        <v>6312</v>
      </c>
      <c r="T158" s="1297"/>
    </row>
    <row r="159" spans="1:20" s="1292" customFormat="1" ht="20.100000000000001" customHeight="1">
      <c r="A159" s="1290"/>
      <c r="B159" s="1337" t="s">
        <v>1981</v>
      </c>
      <c r="C159" s="1340" t="s">
        <v>6327</v>
      </c>
      <c r="D159" s="1342" t="s">
        <v>2544</v>
      </c>
      <c r="E159" s="1342">
        <v>2</v>
      </c>
      <c r="F159" s="1953"/>
      <c r="G159" s="1354" t="s">
        <v>32</v>
      </c>
      <c r="H159" s="1370" t="s">
        <v>33</v>
      </c>
      <c r="I159" s="1302" t="s">
        <v>34</v>
      </c>
      <c r="J159" s="1302" t="s">
        <v>34</v>
      </c>
      <c r="K159" s="1371" t="s">
        <v>6295</v>
      </c>
      <c r="L159" s="1947"/>
      <c r="M159" s="1947"/>
      <c r="N159" s="1356">
        <v>43983</v>
      </c>
      <c r="O159" s="1345" t="s">
        <v>6296</v>
      </c>
      <c r="P159" s="1367" t="s">
        <v>6284</v>
      </c>
      <c r="Q159" s="1367">
        <v>13731080364</v>
      </c>
      <c r="R159" s="1366" t="s">
        <v>6291</v>
      </c>
      <c r="S159" s="1368" t="s">
        <v>6312</v>
      </c>
      <c r="T159" s="1297"/>
    </row>
    <row r="160" spans="1:20" s="1292" customFormat="1" ht="20.100000000000001" customHeight="1">
      <c r="A160" s="1290"/>
      <c r="B160" s="1337" t="s">
        <v>6323</v>
      </c>
      <c r="C160" s="1340"/>
      <c r="D160" s="1342" t="s">
        <v>79</v>
      </c>
      <c r="E160" s="1342">
        <v>1</v>
      </c>
      <c r="F160" s="1369">
        <v>26.52</v>
      </c>
      <c r="G160" s="1354" t="s">
        <v>32</v>
      </c>
      <c r="H160" s="1351" t="s">
        <v>33</v>
      </c>
      <c r="I160" s="1289"/>
      <c r="J160" s="1373"/>
      <c r="K160" s="1343" t="s">
        <v>6311</v>
      </c>
      <c r="L160" s="1298">
        <v>183472.3</v>
      </c>
      <c r="M160" s="1298">
        <v>183472.3</v>
      </c>
      <c r="N160" s="1356">
        <v>44013</v>
      </c>
      <c r="O160" s="1345" t="s">
        <v>6283</v>
      </c>
      <c r="P160" s="1335" t="s">
        <v>6284</v>
      </c>
      <c r="Q160" s="1335">
        <v>13731080364</v>
      </c>
      <c r="R160" s="1345" t="s">
        <v>6328</v>
      </c>
      <c r="S160" s="1359" t="s">
        <v>6312</v>
      </c>
      <c r="T160" s="1297"/>
    </row>
    <row r="161" spans="1:20" s="1292" customFormat="1" ht="20.100000000000001" customHeight="1">
      <c r="A161" s="1290"/>
      <c r="B161" s="1337" t="s">
        <v>6329</v>
      </c>
      <c r="C161" s="1340" t="s">
        <v>6330</v>
      </c>
      <c r="D161" s="1342" t="s">
        <v>79</v>
      </c>
      <c r="E161" s="1342">
        <v>4</v>
      </c>
      <c r="F161" s="1369">
        <v>5.35</v>
      </c>
      <c r="G161" s="1354" t="s">
        <v>32</v>
      </c>
      <c r="H161" s="1351" t="s">
        <v>33</v>
      </c>
      <c r="I161" s="1289"/>
      <c r="J161" s="1373"/>
      <c r="K161" s="1343" t="s">
        <v>6295</v>
      </c>
      <c r="L161" s="1298">
        <v>37072.83</v>
      </c>
      <c r="M161" s="1298">
        <v>37072.83</v>
      </c>
      <c r="N161" s="1356">
        <v>44013</v>
      </c>
      <c r="O161" s="1345" t="s">
        <v>6331</v>
      </c>
      <c r="P161" s="1335" t="s">
        <v>6284</v>
      </c>
      <c r="Q161" s="1335">
        <v>13731080364</v>
      </c>
      <c r="R161" s="1345" t="s">
        <v>6328</v>
      </c>
      <c r="S161" s="1359" t="s">
        <v>6312</v>
      </c>
      <c r="T161" s="1297"/>
    </row>
    <row r="162" spans="1:20" s="1292" customFormat="1" ht="20.100000000000001" customHeight="1">
      <c r="A162" s="1290"/>
      <c r="B162" s="1337" t="s">
        <v>6275</v>
      </c>
      <c r="C162" s="1374" t="s">
        <v>34</v>
      </c>
      <c r="D162" s="1374" t="s">
        <v>79</v>
      </c>
      <c r="E162" s="1374">
        <v>4</v>
      </c>
      <c r="F162" s="1374">
        <v>157.32499999999999</v>
      </c>
      <c r="G162" s="1362" t="s">
        <v>32</v>
      </c>
      <c r="H162" s="1363" t="s">
        <v>33</v>
      </c>
      <c r="I162" s="1375" t="s">
        <v>34</v>
      </c>
      <c r="J162" s="1375" t="s">
        <v>34</v>
      </c>
      <c r="K162" s="1303" t="s">
        <v>34</v>
      </c>
      <c r="L162" s="1298">
        <v>1006879.9999999999</v>
      </c>
      <c r="M162" s="1298">
        <v>201376</v>
      </c>
      <c r="N162" s="1376">
        <v>2020.07</v>
      </c>
      <c r="O162" s="1377" t="s">
        <v>6332</v>
      </c>
      <c r="P162" s="1374" t="s">
        <v>6333</v>
      </c>
      <c r="Q162" s="1374">
        <v>18003388668</v>
      </c>
      <c r="R162" s="1378" t="s">
        <v>6334</v>
      </c>
      <c r="S162" s="1368" t="s">
        <v>6312</v>
      </c>
      <c r="T162" s="1297"/>
    </row>
    <row r="163" spans="1:20" s="1292" customFormat="1" ht="20.100000000000001" customHeight="1">
      <c r="A163" s="1290"/>
      <c r="B163" s="1337" t="s">
        <v>6335</v>
      </c>
      <c r="C163" s="1379"/>
      <c r="D163" s="1379" t="s">
        <v>62</v>
      </c>
      <c r="E163" s="1373" t="s">
        <v>34</v>
      </c>
      <c r="F163" s="1379">
        <v>10.32</v>
      </c>
      <c r="G163" s="1380" t="s">
        <v>32</v>
      </c>
      <c r="H163" s="1310" t="s">
        <v>33</v>
      </c>
      <c r="I163" s="1373" t="s">
        <v>34</v>
      </c>
      <c r="J163" s="1373" t="s">
        <v>34</v>
      </c>
      <c r="K163" s="1373" t="s">
        <v>34</v>
      </c>
      <c r="L163" s="1298">
        <v>68112</v>
      </c>
      <c r="M163" s="1381">
        <v>8173.4400000000087</v>
      </c>
      <c r="N163" s="1382" t="s">
        <v>6336</v>
      </c>
      <c r="O163" s="1310" t="s">
        <v>6337</v>
      </c>
      <c r="P163" s="1383" t="s">
        <v>6136</v>
      </c>
      <c r="Q163" s="1384" t="s">
        <v>6137</v>
      </c>
      <c r="R163" s="1289" t="s">
        <v>6338</v>
      </c>
      <c r="S163" s="1385" t="s">
        <v>6056</v>
      </c>
      <c r="T163" s="1297"/>
    </row>
    <row r="164" spans="1:20" s="1292" customFormat="1" ht="20.100000000000001" customHeight="1">
      <c r="A164" s="1290"/>
      <c r="B164" s="1337" t="s">
        <v>6339</v>
      </c>
      <c r="C164" s="1379"/>
      <c r="D164" s="1379" t="s">
        <v>62</v>
      </c>
      <c r="E164" s="1373" t="s">
        <v>34</v>
      </c>
      <c r="F164" s="1379">
        <v>3.36</v>
      </c>
      <c r="G164" s="1380" t="s">
        <v>32</v>
      </c>
      <c r="H164" s="1310" t="s">
        <v>33</v>
      </c>
      <c r="I164" s="1373" t="s">
        <v>34</v>
      </c>
      <c r="J164" s="1373" t="s">
        <v>34</v>
      </c>
      <c r="K164" s="1373" t="s">
        <v>34</v>
      </c>
      <c r="L164" s="1298">
        <v>26544</v>
      </c>
      <c r="M164" s="1381">
        <v>3185.2799999999957</v>
      </c>
      <c r="N164" s="1382" t="s">
        <v>6336</v>
      </c>
      <c r="O164" s="1310" t="s">
        <v>6337</v>
      </c>
      <c r="P164" s="1383" t="s">
        <v>6136</v>
      </c>
      <c r="Q164" s="1384" t="s">
        <v>6137</v>
      </c>
      <c r="R164" s="1289" t="s">
        <v>6338</v>
      </c>
      <c r="S164" s="1386" t="s">
        <v>6056</v>
      </c>
      <c r="T164" s="1297"/>
    </row>
    <row r="165" spans="1:20" s="1292" customFormat="1" ht="20.100000000000001" customHeight="1">
      <c r="A165" s="1290"/>
      <c r="B165" s="1337" t="s">
        <v>6340</v>
      </c>
      <c r="C165" s="1387"/>
      <c r="D165" s="1379" t="s">
        <v>62</v>
      </c>
      <c r="E165" s="1373" t="s">
        <v>34</v>
      </c>
      <c r="F165" s="1379">
        <v>80</v>
      </c>
      <c r="G165" s="1380" t="s">
        <v>32</v>
      </c>
      <c r="H165" s="1310" t="s">
        <v>33</v>
      </c>
      <c r="I165" s="1373" t="s">
        <v>34</v>
      </c>
      <c r="J165" s="1373" t="s">
        <v>34</v>
      </c>
      <c r="K165" s="1373" t="s">
        <v>34</v>
      </c>
      <c r="L165" s="1298">
        <v>788800</v>
      </c>
      <c r="M165" s="1381">
        <v>94656</v>
      </c>
      <c r="N165" s="1382" t="s">
        <v>6336</v>
      </c>
      <c r="O165" s="1310" t="s">
        <v>6337</v>
      </c>
      <c r="P165" s="1383" t="s">
        <v>6136</v>
      </c>
      <c r="Q165" s="1384" t="s">
        <v>6137</v>
      </c>
      <c r="R165" s="1289" t="s">
        <v>6338</v>
      </c>
      <c r="S165" s="1386" t="s">
        <v>6056</v>
      </c>
      <c r="T165" s="1297"/>
    </row>
    <row r="166" spans="1:20" s="1292" customFormat="1" ht="20.100000000000001" customHeight="1">
      <c r="A166" s="1290"/>
      <c r="B166" s="1337" t="s">
        <v>6341</v>
      </c>
      <c r="C166" s="1387"/>
      <c r="D166" s="1379" t="s">
        <v>62</v>
      </c>
      <c r="E166" s="1373" t="s">
        <v>34</v>
      </c>
      <c r="F166" s="1379">
        <v>45</v>
      </c>
      <c r="G166" s="1380" t="s">
        <v>32</v>
      </c>
      <c r="H166" s="1192" t="s">
        <v>33</v>
      </c>
      <c r="I166" s="1388" t="s">
        <v>34</v>
      </c>
      <c r="J166" s="1388" t="s">
        <v>34</v>
      </c>
      <c r="K166" s="1388" t="s">
        <v>34</v>
      </c>
      <c r="L166" s="1298">
        <v>443700</v>
      </c>
      <c r="M166" s="1298">
        <v>230723.90172000002</v>
      </c>
      <c r="N166" s="1382" t="s">
        <v>6342</v>
      </c>
      <c r="O166" s="1310" t="s">
        <v>6337</v>
      </c>
      <c r="P166" s="1389" t="s">
        <v>6136</v>
      </c>
      <c r="Q166" s="1390" t="s">
        <v>6137</v>
      </c>
      <c r="R166" s="1289" t="s">
        <v>6338</v>
      </c>
      <c r="S166" s="1391" t="s">
        <v>6056</v>
      </c>
      <c r="T166" s="1297"/>
    </row>
    <row r="167" spans="1:20" s="1292" customFormat="1" ht="20.100000000000001" customHeight="1">
      <c r="A167" s="1290"/>
      <c r="B167" s="1337" t="s">
        <v>29</v>
      </c>
      <c r="C167" s="1379" t="s">
        <v>6343</v>
      </c>
      <c r="D167" s="1379" t="s">
        <v>62</v>
      </c>
      <c r="E167" s="1373" t="s">
        <v>34</v>
      </c>
      <c r="F167" s="1379">
        <v>156</v>
      </c>
      <c r="G167" s="1380" t="s">
        <v>32</v>
      </c>
      <c r="H167" s="1192" t="s">
        <v>33</v>
      </c>
      <c r="I167" s="1388" t="s">
        <v>34</v>
      </c>
      <c r="J167" s="1388" t="s">
        <v>34</v>
      </c>
      <c r="K167" s="1388" t="s">
        <v>34</v>
      </c>
      <c r="L167" s="1298">
        <v>1003080</v>
      </c>
      <c r="M167" s="1298">
        <v>682094.4</v>
      </c>
      <c r="N167" s="1392" t="s">
        <v>6344</v>
      </c>
      <c r="O167" s="1310" t="s">
        <v>6337</v>
      </c>
      <c r="P167" s="1389" t="s">
        <v>6136</v>
      </c>
      <c r="Q167" s="1390" t="s">
        <v>6137</v>
      </c>
      <c r="R167" s="1289" t="s">
        <v>6338</v>
      </c>
      <c r="S167" s="1345" t="s">
        <v>6056</v>
      </c>
      <c r="T167" s="1297"/>
    </row>
    <row r="168" spans="1:20" s="1292" customFormat="1" ht="20.100000000000001" customHeight="1">
      <c r="A168" s="1290"/>
      <c r="B168" s="1337" t="s">
        <v>6345</v>
      </c>
      <c r="C168" s="1379" t="s">
        <v>3697</v>
      </c>
      <c r="D168" s="1379" t="s">
        <v>62</v>
      </c>
      <c r="E168" s="1373" t="s">
        <v>34</v>
      </c>
      <c r="F168" s="1379">
        <v>198</v>
      </c>
      <c r="G168" s="1380" t="s">
        <v>32</v>
      </c>
      <c r="H168" s="1192" t="s">
        <v>33</v>
      </c>
      <c r="I168" s="1388" t="s">
        <v>34</v>
      </c>
      <c r="J168" s="1388" t="s">
        <v>34</v>
      </c>
      <c r="K168" s="1388" t="s">
        <v>34</v>
      </c>
      <c r="L168" s="1298">
        <v>1952280</v>
      </c>
      <c r="M168" s="1298">
        <v>1327550.4000000004</v>
      </c>
      <c r="N168" s="1392" t="s">
        <v>6346</v>
      </c>
      <c r="O168" s="1310" t="s">
        <v>6337</v>
      </c>
      <c r="P168" s="1389" t="s">
        <v>6136</v>
      </c>
      <c r="Q168" s="1390" t="s">
        <v>6137</v>
      </c>
      <c r="R168" s="1289" t="s">
        <v>6338</v>
      </c>
      <c r="S168" s="1345" t="s">
        <v>6056</v>
      </c>
      <c r="T168" s="1297"/>
    </row>
    <row r="169" spans="1:20" s="1292" customFormat="1" ht="20.100000000000001" customHeight="1">
      <c r="A169" s="1290"/>
      <c r="B169" s="1337" t="s">
        <v>228</v>
      </c>
      <c r="C169" s="1393" t="s">
        <v>502</v>
      </c>
      <c r="D169" s="1393" t="s">
        <v>62</v>
      </c>
      <c r="E169" s="1373" t="s">
        <v>34</v>
      </c>
      <c r="F169" s="1379">
        <v>161.85300000000001</v>
      </c>
      <c r="G169" s="1380" t="s">
        <v>32</v>
      </c>
      <c r="H169" s="1192" t="s">
        <v>33</v>
      </c>
      <c r="I169" s="1388" t="s">
        <v>34</v>
      </c>
      <c r="J169" s="1388" t="s">
        <v>34</v>
      </c>
      <c r="K169" s="1388" t="s">
        <v>34</v>
      </c>
      <c r="L169" s="1298">
        <v>1048807.3999999999</v>
      </c>
      <c r="M169" s="1298">
        <v>713189.05920000002</v>
      </c>
      <c r="N169" s="1392" t="s">
        <v>6347</v>
      </c>
      <c r="O169" s="1310" t="s">
        <v>6337</v>
      </c>
      <c r="P169" s="1389" t="s">
        <v>6136</v>
      </c>
      <c r="Q169" s="1390" t="s">
        <v>6137</v>
      </c>
      <c r="R169" s="1289" t="s">
        <v>6338</v>
      </c>
      <c r="S169" s="1345" t="s">
        <v>6056</v>
      </c>
      <c r="T169" s="1297"/>
    </row>
    <row r="170" spans="1:20" s="1292" customFormat="1" ht="20.100000000000001" customHeight="1">
      <c r="A170" s="1290"/>
      <c r="B170" s="1337" t="s">
        <v>6348</v>
      </c>
      <c r="C170" s="1393" t="s">
        <v>502</v>
      </c>
      <c r="D170" s="1393" t="s">
        <v>62</v>
      </c>
      <c r="E170" s="1373" t="s">
        <v>34</v>
      </c>
      <c r="F170" s="1379">
        <v>60.985999999999997</v>
      </c>
      <c r="G170" s="1380" t="s">
        <v>32</v>
      </c>
      <c r="H170" s="1192" t="s">
        <v>33</v>
      </c>
      <c r="I170" s="1388" t="s">
        <v>34</v>
      </c>
      <c r="J170" s="1388" t="s">
        <v>34</v>
      </c>
      <c r="K170" s="1388" t="s">
        <v>34</v>
      </c>
      <c r="L170" s="1298">
        <v>401287.88</v>
      </c>
      <c r="M170" s="1298">
        <v>272875.75840000005</v>
      </c>
      <c r="N170" s="1392" t="s">
        <v>6347</v>
      </c>
      <c r="O170" s="1310" t="s">
        <v>6337</v>
      </c>
      <c r="P170" s="1389" t="s">
        <v>6136</v>
      </c>
      <c r="Q170" s="1390" t="s">
        <v>6137</v>
      </c>
      <c r="R170" s="1289" t="s">
        <v>6338</v>
      </c>
      <c r="S170" s="1345" t="s">
        <v>6056</v>
      </c>
      <c r="T170" s="1297"/>
    </row>
    <row r="171" spans="1:20" s="1292" customFormat="1" ht="20.100000000000001" customHeight="1">
      <c r="A171" s="1290"/>
      <c r="B171" s="1337" t="s">
        <v>6341</v>
      </c>
      <c r="C171" s="1379" t="s">
        <v>5857</v>
      </c>
      <c r="D171" s="1393" t="s">
        <v>62</v>
      </c>
      <c r="E171" s="1373" t="s">
        <v>34</v>
      </c>
      <c r="F171" s="1379">
        <v>20.803000000000001</v>
      </c>
      <c r="G171" s="1380" t="s">
        <v>32</v>
      </c>
      <c r="H171" s="1192" t="s">
        <v>33</v>
      </c>
      <c r="I171" s="1388" t="s">
        <v>34</v>
      </c>
      <c r="J171" s="1388" t="s">
        <v>34</v>
      </c>
      <c r="K171" s="1388" t="s">
        <v>34</v>
      </c>
      <c r="L171" s="1298">
        <v>172664.9</v>
      </c>
      <c r="M171" s="1298">
        <v>117412.132</v>
      </c>
      <c r="N171" s="1392" t="s">
        <v>6347</v>
      </c>
      <c r="O171" s="1310" t="s">
        <v>6337</v>
      </c>
      <c r="P171" s="1389" t="s">
        <v>6136</v>
      </c>
      <c r="Q171" s="1390" t="s">
        <v>6137</v>
      </c>
      <c r="R171" s="1289" t="s">
        <v>6338</v>
      </c>
      <c r="S171" s="1345" t="s">
        <v>6056</v>
      </c>
      <c r="T171" s="1297"/>
    </row>
    <row r="172" spans="1:20" s="1292" customFormat="1" ht="20.100000000000001" customHeight="1">
      <c r="A172" s="1290"/>
      <c r="B172" s="1337" t="s">
        <v>29</v>
      </c>
      <c r="C172" s="1379"/>
      <c r="D172" s="1379" t="s">
        <v>62</v>
      </c>
      <c r="E172" s="1373" t="s">
        <v>34</v>
      </c>
      <c r="F172" s="1394" t="s">
        <v>6349</v>
      </c>
      <c r="G172" s="1380" t="s">
        <v>32</v>
      </c>
      <c r="H172" s="1192" t="s">
        <v>33</v>
      </c>
      <c r="I172" s="1388" t="s">
        <v>34</v>
      </c>
      <c r="J172" s="1388" t="s">
        <v>34</v>
      </c>
      <c r="K172" s="1388" t="s">
        <v>34</v>
      </c>
      <c r="L172" s="1298">
        <v>861620</v>
      </c>
      <c r="M172" s="1298">
        <v>723760.8</v>
      </c>
      <c r="N172" s="1392" t="s">
        <v>6350</v>
      </c>
      <c r="O172" s="1310" t="s">
        <v>6337</v>
      </c>
      <c r="P172" s="1389" t="s">
        <v>6136</v>
      </c>
      <c r="Q172" s="1390" t="s">
        <v>6137</v>
      </c>
      <c r="R172" s="1289" t="s">
        <v>6338</v>
      </c>
      <c r="S172" s="1345" t="s">
        <v>6056</v>
      </c>
      <c r="T172" s="1297"/>
    </row>
    <row r="173" spans="1:20" s="1292" customFormat="1" ht="20.100000000000001" customHeight="1">
      <c r="A173" s="1290"/>
      <c r="B173" s="1337" t="s">
        <v>176</v>
      </c>
      <c r="C173" s="1379" t="s">
        <v>6351</v>
      </c>
      <c r="D173" s="1393" t="s">
        <v>62</v>
      </c>
      <c r="E173" s="1373" t="s">
        <v>34</v>
      </c>
      <c r="F173" s="1379">
        <v>17</v>
      </c>
      <c r="G173" s="1380" t="s">
        <v>32</v>
      </c>
      <c r="H173" s="1192" t="s">
        <v>33</v>
      </c>
      <c r="I173" s="1388" t="s">
        <v>34</v>
      </c>
      <c r="J173" s="1388" t="s">
        <v>34</v>
      </c>
      <c r="K173" s="1388" t="s">
        <v>34</v>
      </c>
      <c r="L173" s="1298">
        <v>109310</v>
      </c>
      <c r="M173" s="1381">
        <v>56841.199999999983</v>
      </c>
      <c r="N173" s="1392" t="s">
        <v>6350</v>
      </c>
      <c r="O173" s="1310" t="s">
        <v>6337</v>
      </c>
      <c r="P173" s="1389" t="s">
        <v>6136</v>
      </c>
      <c r="Q173" s="1390" t="s">
        <v>6137</v>
      </c>
      <c r="R173" s="1289" t="s">
        <v>6338</v>
      </c>
      <c r="S173" s="1345" t="s">
        <v>6056</v>
      </c>
      <c r="T173" s="1297"/>
    </row>
    <row r="174" spans="1:20" s="1292" customFormat="1" ht="20.100000000000001" customHeight="1">
      <c r="A174" s="1290"/>
      <c r="B174" s="1337" t="s">
        <v>6352</v>
      </c>
      <c r="C174" s="1379" t="s">
        <v>6351</v>
      </c>
      <c r="D174" s="1393" t="s">
        <v>62</v>
      </c>
      <c r="E174" s="1373" t="s">
        <v>34</v>
      </c>
      <c r="F174" s="1379">
        <v>17</v>
      </c>
      <c r="G174" s="1380" t="s">
        <v>32</v>
      </c>
      <c r="H174" s="1192" t="s">
        <v>33</v>
      </c>
      <c r="I174" s="1388" t="s">
        <v>34</v>
      </c>
      <c r="J174" s="1388" t="s">
        <v>34</v>
      </c>
      <c r="K174" s="1388" t="s">
        <v>34</v>
      </c>
      <c r="L174" s="1298">
        <v>109310</v>
      </c>
      <c r="M174" s="1381">
        <v>56841.199999999983</v>
      </c>
      <c r="N174" s="1392" t="s">
        <v>6350</v>
      </c>
      <c r="O174" s="1310" t="s">
        <v>6337</v>
      </c>
      <c r="P174" s="1389" t="s">
        <v>6136</v>
      </c>
      <c r="Q174" s="1390" t="s">
        <v>6137</v>
      </c>
      <c r="R174" s="1289" t="s">
        <v>6338</v>
      </c>
      <c r="S174" s="1345" t="s">
        <v>6056</v>
      </c>
      <c r="T174" s="1297"/>
    </row>
    <row r="175" spans="1:20" s="1292" customFormat="1" ht="20.100000000000001" customHeight="1">
      <c r="A175" s="1290"/>
      <c r="B175" s="1337" t="s">
        <v>6352</v>
      </c>
      <c r="C175" s="1379" t="s">
        <v>6351</v>
      </c>
      <c r="D175" s="1393" t="s">
        <v>62</v>
      </c>
      <c r="E175" s="1373" t="s">
        <v>34</v>
      </c>
      <c r="F175" s="1379">
        <v>2.5099999999999998</v>
      </c>
      <c r="G175" s="1380" t="s">
        <v>32</v>
      </c>
      <c r="H175" s="1192" t="s">
        <v>33</v>
      </c>
      <c r="I175" s="1388" t="s">
        <v>34</v>
      </c>
      <c r="J175" s="1388" t="s">
        <v>34</v>
      </c>
      <c r="K175" s="1388" t="s">
        <v>34</v>
      </c>
      <c r="L175" s="1298">
        <v>16139.3</v>
      </c>
      <c r="M175" s="1381">
        <v>8392.4359999999979</v>
      </c>
      <c r="N175" s="1392" t="s">
        <v>6350</v>
      </c>
      <c r="O175" s="1310" t="s">
        <v>6337</v>
      </c>
      <c r="P175" s="1389" t="s">
        <v>6136</v>
      </c>
      <c r="Q175" s="1390" t="s">
        <v>6137</v>
      </c>
      <c r="R175" s="1289" t="s">
        <v>6338</v>
      </c>
      <c r="S175" s="1345" t="s">
        <v>6056</v>
      </c>
      <c r="T175" s="1297"/>
    </row>
    <row r="176" spans="1:20" s="1292" customFormat="1" ht="20.100000000000001" customHeight="1">
      <c r="A176" s="1290"/>
      <c r="B176" s="1337" t="s">
        <v>176</v>
      </c>
      <c r="C176" s="1379" t="s">
        <v>6351</v>
      </c>
      <c r="D176" s="1393" t="s">
        <v>62</v>
      </c>
      <c r="E176" s="1373" t="s">
        <v>34</v>
      </c>
      <c r="F176" s="1379">
        <v>3.5</v>
      </c>
      <c r="G176" s="1380" t="s">
        <v>32</v>
      </c>
      <c r="H176" s="1192" t="s">
        <v>33</v>
      </c>
      <c r="I176" s="1388" t="s">
        <v>34</v>
      </c>
      <c r="J176" s="1388" t="s">
        <v>34</v>
      </c>
      <c r="K176" s="1388" t="s">
        <v>34</v>
      </c>
      <c r="L176" s="1298">
        <v>22505</v>
      </c>
      <c r="M176" s="1381">
        <v>11702.599999999997</v>
      </c>
      <c r="N176" s="1392" t="s">
        <v>6350</v>
      </c>
      <c r="O176" s="1310" t="s">
        <v>6337</v>
      </c>
      <c r="P176" s="1389" t="s">
        <v>6136</v>
      </c>
      <c r="Q176" s="1390" t="s">
        <v>6137</v>
      </c>
      <c r="R176" s="1289" t="s">
        <v>6338</v>
      </c>
      <c r="S176" s="1345" t="s">
        <v>6056</v>
      </c>
      <c r="T176" s="1297"/>
    </row>
    <row r="177" spans="1:20" s="1292" customFormat="1" ht="20.100000000000001" customHeight="1">
      <c r="A177" s="1290"/>
      <c r="B177" s="1337" t="s">
        <v>6353</v>
      </c>
      <c r="C177" s="1395" t="s">
        <v>173</v>
      </c>
      <c r="D177" s="1395" t="s">
        <v>62</v>
      </c>
      <c r="E177" s="1373" t="s">
        <v>34</v>
      </c>
      <c r="F177" s="1396" t="s">
        <v>6354</v>
      </c>
      <c r="G177" s="1380" t="s">
        <v>32</v>
      </c>
      <c r="H177" s="1192" t="s">
        <v>33</v>
      </c>
      <c r="I177" s="1388" t="s">
        <v>34</v>
      </c>
      <c r="J177" s="1388" t="s">
        <v>34</v>
      </c>
      <c r="K177" s="1388" t="s">
        <v>34</v>
      </c>
      <c r="L177" s="1298">
        <v>1050000</v>
      </c>
      <c r="M177" s="1298">
        <v>220500</v>
      </c>
      <c r="N177" s="1392" t="s">
        <v>6355</v>
      </c>
      <c r="O177" s="1310" t="s">
        <v>6337</v>
      </c>
      <c r="P177" s="1389" t="s">
        <v>6136</v>
      </c>
      <c r="Q177" s="1390" t="s">
        <v>6137</v>
      </c>
      <c r="R177" s="1289" t="s">
        <v>6338</v>
      </c>
      <c r="S177" s="1345" t="s">
        <v>6056</v>
      </c>
      <c r="T177" s="1297"/>
    </row>
    <row r="178" spans="1:20" s="1292" customFormat="1" ht="20.100000000000001" customHeight="1">
      <c r="A178" s="1290"/>
      <c r="B178" s="1337" t="s">
        <v>6356</v>
      </c>
      <c r="C178" s="1395" t="s">
        <v>173</v>
      </c>
      <c r="D178" s="1395" t="s">
        <v>62</v>
      </c>
      <c r="E178" s="1373" t="s">
        <v>34</v>
      </c>
      <c r="F178" s="1396" t="s">
        <v>6357</v>
      </c>
      <c r="G178" s="1380" t="s">
        <v>32</v>
      </c>
      <c r="H178" s="1192" t="s">
        <v>33</v>
      </c>
      <c r="I178" s="1388" t="s">
        <v>34</v>
      </c>
      <c r="J178" s="1388" t="s">
        <v>34</v>
      </c>
      <c r="K178" s="1388" t="s">
        <v>34</v>
      </c>
      <c r="L178" s="1298">
        <v>472500</v>
      </c>
      <c r="M178" s="1298">
        <v>882000</v>
      </c>
      <c r="N178" s="1392" t="s">
        <v>6355</v>
      </c>
      <c r="O178" s="1310" t="s">
        <v>6337</v>
      </c>
      <c r="P178" s="1389" t="s">
        <v>6136</v>
      </c>
      <c r="Q178" s="1390" t="s">
        <v>6137</v>
      </c>
      <c r="R178" s="1289" t="s">
        <v>6338</v>
      </c>
      <c r="S178" s="1345" t="s">
        <v>6056</v>
      </c>
      <c r="T178" s="1297"/>
    </row>
    <row r="179" spans="1:20" s="1292" customFormat="1" ht="20.100000000000001" customHeight="1">
      <c r="A179" s="1290"/>
      <c r="B179" s="1337" t="s">
        <v>6356</v>
      </c>
      <c r="C179" s="1379" t="s">
        <v>173</v>
      </c>
      <c r="D179" s="1393" t="s">
        <v>62</v>
      </c>
      <c r="E179" s="1373" t="s">
        <v>34</v>
      </c>
      <c r="F179" s="1379">
        <v>25</v>
      </c>
      <c r="G179" s="1380" t="s">
        <v>32</v>
      </c>
      <c r="H179" s="1192" t="s">
        <v>33</v>
      </c>
      <c r="I179" s="1388" t="s">
        <v>34</v>
      </c>
      <c r="J179" s="1388" t="s">
        <v>34</v>
      </c>
      <c r="K179" s="1388" t="s">
        <v>34</v>
      </c>
      <c r="L179" s="1298">
        <v>262500</v>
      </c>
      <c r="M179" s="1298">
        <v>396900</v>
      </c>
      <c r="N179" s="1392" t="s">
        <v>6358</v>
      </c>
      <c r="O179" s="1310" t="s">
        <v>6337</v>
      </c>
      <c r="P179" s="1389" t="s">
        <v>6136</v>
      </c>
      <c r="Q179" s="1390" t="s">
        <v>6137</v>
      </c>
      <c r="R179" s="1289" t="s">
        <v>6338</v>
      </c>
      <c r="S179" s="1345" t="s">
        <v>6056</v>
      </c>
      <c r="T179" s="1297"/>
    </row>
    <row r="180" spans="1:20" s="1292" customFormat="1" ht="20.100000000000001" customHeight="1">
      <c r="A180" s="1290"/>
      <c r="B180" s="1393" t="s">
        <v>6353</v>
      </c>
      <c r="C180" s="1393" t="s">
        <v>173</v>
      </c>
      <c r="D180" s="1393" t="s">
        <v>62</v>
      </c>
      <c r="E180" s="1373" t="s">
        <v>34</v>
      </c>
      <c r="F180" s="1393">
        <v>50</v>
      </c>
      <c r="G180" s="1397" t="s">
        <v>32</v>
      </c>
      <c r="H180" s="1398" t="s">
        <v>33</v>
      </c>
      <c r="I180" s="1388" t="s">
        <v>34</v>
      </c>
      <c r="J180" s="1388" t="s">
        <v>34</v>
      </c>
      <c r="K180" s="1388" t="s">
        <v>34</v>
      </c>
      <c r="L180" s="1393">
        <v>525000</v>
      </c>
      <c r="M180" s="1381">
        <v>63000</v>
      </c>
      <c r="N180" s="1392" t="s">
        <v>6359</v>
      </c>
      <c r="O180" s="1310" t="s">
        <v>6337</v>
      </c>
      <c r="P180" s="1389" t="s">
        <v>6136</v>
      </c>
      <c r="Q180" s="1390" t="s">
        <v>6137</v>
      </c>
      <c r="R180" s="1289" t="s">
        <v>6338</v>
      </c>
      <c r="S180" s="1345" t="s">
        <v>6056</v>
      </c>
      <c r="T180" s="1297"/>
    </row>
    <row r="181" spans="1:20" s="1292" customFormat="1" ht="20.100000000000001" customHeight="1">
      <c r="A181" s="1290"/>
      <c r="B181" s="1393" t="s">
        <v>6356</v>
      </c>
      <c r="C181" s="1393" t="s">
        <v>173</v>
      </c>
      <c r="D181" s="1393" t="s">
        <v>62</v>
      </c>
      <c r="E181" s="1373" t="s">
        <v>34</v>
      </c>
      <c r="F181" s="1393">
        <v>15.26</v>
      </c>
      <c r="G181" s="1397" t="s">
        <v>32</v>
      </c>
      <c r="H181" s="1398" t="s">
        <v>33</v>
      </c>
      <c r="I181" s="1388" t="s">
        <v>34</v>
      </c>
      <c r="J181" s="1388" t="s">
        <v>34</v>
      </c>
      <c r="K181" s="1388" t="s">
        <v>34</v>
      </c>
      <c r="L181" s="1393">
        <v>160230</v>
      </c>
      <c r="M181" s="1381">
        <v>19227.599999999999</v>
      </c>
      <c r="N181" s="1392" t="s">
        <v>6359</v>
      </c>
      <c r="O181" s="1310" t="s">
        <v>6337</v>
      </c>
      <c r="P181" s="1389" t="s">
        <v>6136</v>
      </c>
      <c r="Q181" s="1390" t="s">
        <v>6137</v>
      </c>
      <c r="R181" s="1289" t="s">
        <v>6338</v>
      </c>
      <c r="S181" s="1345" t="s">
        <v>6056</v>
      </c>
      <c r="T181" s="1297"/>
    </row>
    <row r="182" spans="1:20" s="1292" customFormat="1" ht="20.100000000000001" customHeight="1">
      <c r="A182" s="1290"/>
      <c r="B182" s="1393" t="s">
        <v>6360</v>
      </c>
      <c r="C182" s="1393" t="s">
        <v>431</v>
      </c>
      <c r="D182" s="1393" t="s">
        <v>62</v>
      </c>
      <c r="E182" s="1373" t="s">
        <v>34</v>
      </c>
      <c r="F182" s="1393">
        <v>1.1499999999999999</v>
      </c>
      <c r="G182" s="1397" t="s">
        <v>32</v>
      </c>
      <c r="H182" s="1398" t="s">
        <v>33</v>
      </c>
      <c r="I182" s="1388" t="s">
        <v>34</v>
      </c>
      <c r="J182" s="1388" t="s">
        <v>34</v>
      </c>
      <c r="K182" s="1388" t="s">
        <v>34</v>
      </c>
      <c r="L182" s="1393">
        <v>8050</v>
      </c>
      <c r="M182" s="1381">
        <v>966</v>
      </c>
      <c r="N182" s="1392" t="s">
        <v>6359</v>
      </c>
      <c r="O182" s="1310" t="s">
        <v>6337</v>
      </c>
      <c r="P182" s="1389" t="s">
        <v>6136</v>
      </c>
      <c r="Q182" s="1390" t="s">
        <v>6137</v>
      </c>
      <c r="R182" s="1289" t="s">
        <v>6338</v>
      </c>
      <c r="S182" s="1345" t="s">
        <v>6056</v>
      </c>
      <c r="T182" s="1297"/>
    </row>
    <row r="183" spans="1:20" s="1292" customFormat="1" ht="20.100000000000001" customHeight="1">
      <c r="A183" s="1290"/>
      <c r="B183" s="1393" t="s">
        <v>6356</v>
      </c>
      <c r="C183" s="1393" t="s">
        <v>173</v>
      </c>
      <c r="D183" s="1393" t="s">
        <v>62</v>
      </c>
      <c r="E183" s="1373" t="s">
        <v>34</v>
      </c>
      <c r="F183" s="1393">
        <v>1.48</v>
      </c>
      <c r="G183" s="1397" t="s">
        <v>32</v>
      </c>
      <c r="H183" s="1398" t="s">
        <v>33</v>
      </c>
      <c r="I183" s="1388" t="s">
        <v>34</v>
      </c>
      <c r="J183" s="1388" t="s">
        <v>34</v>
      </c>
      <c r="K183" s="1388" t="s">
        <v>34</v>
      </c>
      <c r="L183" s="1393">
        <v>15540</v>
      </c>
      <c r="M183" s="1381">
        <v>1864.8</v>
      </c>
      <c r="N183" s="1392" t="s">
        <v>6359</v>
      </c>
      <c r="O183" s="1310" t="s">
        <v>6337</v>
      </c>
      <c r="P183" s="1389" t="s">
        <v>6136</v>
      </c>
      <c r="Q183" s="1390" t="s">
        <v>6137</v>
      </c>
      <c r="R183" s="1289" t="s">
        <v>6338</v>
      </c>
      <c r="S183" s="1345" t="s">
        <v>6056</v>
      </c>
      <c r="T183" s="1297"/>
    </row>
    <row r="184" spans="1:20" s="1292" customFormat="1" ht="20.100000000000001" customHeight="1">
      <c r="A184" s="1290"/>
      <c r="B184" s="1399" t="s">
        <v>6353</v>
      </c>
      <c r="C184" s="1399" t="s">
        <v>173</v>
      </c>
      <c r="D184" s="1399" t="s">
        <v>62</v>
      </c>
      <c r="E184" s="1373" t="s">
        <v>34</v>
      </c>
      <c r="F184" s="1399">
        <v>50</v>
      </c>
      <c r="G184" s="1380" t="s">
        <v>32</v>
      </c>
      <c r="H184" s="1192" t="s">
        <v>33</v>
      </c>
      <c r="I184" s="1388" t="s">
        <v>34</v>
      </c>
      <c r="J184" s="1388" t="s">
        <v>34</v>
      </c>
      <c r="K184" s="1388" t="s">
        <v>34</v>
      </c>
      <c r="L184" s="1400">
        <v>525000</v>
      </c>
      <c r="M184" s="1381">
        <v>63000</v>
      </c>
      <c r="N184" s="1401" t="s">
        <v>3939</v>
      </c>
      <c r="O184" s="1310" t="s">
        <v>6337</v>
      </c>
      <c r="P184" s="1389" t="s">
        <v>6136</v>
      </c>
      <c r="Q184" s="1390" t="s">
        <v>6137</v>
      </c>
      <c r="R184" s="1289" t="s">
        <v>6338</v>
      </c>
      <c r="S184" s="1345" t="s">
        <v>6056</v>
      </c>
      <c r="T184" s="1297"/>
    </row>
    <row r="185" spans="1:20" s="1292" customFormat="1" ht="20.100000000000001" customHeight="1">
      <c r="A185" s="1290"/>
      <c r="B185" s="1402" t="s">
        <v>6361</v>
      </c>
      <c r="C185" s="1399"/>
      <c r="D185" s="1399" t="s">
        <v>62</v>
      </c>
      <c r="E185" s="1373" t="s">
        <v>34</v>
      </c>
      <c r="F185" s="1399">
        <v>100</v>
      </c>
      <c r="G185" s="1380" t="s">
        <v>32</v>
      </c>
      <c r="H185" s="1192" t="s">
        <v>33</v>
      </c>
      <c r="I185" s="1388" t="s">
        <v>34</v>
      </c>
      <c r="J185" s="1388" t="s">
        <v>34</v>
      </c>
      <c r="K185" s="1388" t="s">
        <v>34</v>
      </c>
      <c r="L185" s="1400">
        <v>986000</v>
      </c>
      <c r="M185" s="1381">
        <v>118320</v>
      </c>
      <c r="N185" s="1401" t="s">
        <v>3939</v>
      </c>
      <c r="O185" s="1310" t="s">
        <v>6337</v>
      </c>
      <c r="P185" s="1389" t="s">
        <v>6136</v>
      </c>
      <c r="Q185" s="1390" t="s">
        <v>6137</v>
      </c>
      <c r="R185" s="1289" t="s">
        <v>6338</v>
      </c>
      <c r="S185" s="1345" t="s">
        <v>6056</v>
      </c>
      <c r="T185" s="1297"/>
    </row>
    <row r="186" spans="1:20" s="1292" customFormat="1" ht="20.100000000000001" customHeight="1">
      <c r="A186" s="1290"/>
      <c r="B186" s="1402" t="s">
        <v>6361</v>
      </c>
      <c r="C186" s="1399"/>
      <c r="D186" s="1399" t="s">
        <v>62</v>
      </c>
      <c r="E186" s="1373" t="s">
        <v>34</v>
      </c>
      <c r="F186" s="1399">
        <v>97.32</v>
      </c>
      <c r="G186" s="1380" t="s">
        <v>32</v>
      </c>
      <c r="H186" s="1192" t="s">
        <v>33</v>
      </c>
      <c r="I186" s="1388" t="s">
        <v>34</v>
      </c>
      <c r="J186" s="1388" t="s">
        <v>34</v>
      </c>
      <c r="K186" s="1388" t="s">
        <v>34</v>
      </c>
      <c r="L186" s="1400">
        <v>959575.2</v>
      </c>
      <c r="M186" s="1381">
        <v>115449.024</v>
      </c>
      <c r="N186" s="1401" t="s">
        <v>3939</v>
      </c>
      <c r="O186" s="1310" t="s">
        <v>6337</v>
      </c>
      <c r="P186" s="1389" t="s">
        <v>6136</v>
      </c>
      <c r="Q186" s="1390" t="s">
        <v>6137</v>
      </c>
      <c r="R186" s="1289" t="s">
        <v>6338</v>
      </c>
      <c r="S186" s="1345" t="s">
        <v>6056</v>
      </c>
      <c r="T186" s="1297"/>
    </row>
    <row r="187" spans="1:20" s="1292" customFormat="1" ht="20.100000000000001" customHeight="1">
      <c r="A187" s="1290"/>
      <c r="B187" s="1399" t="s">
        <v>228</v>
      </c>
      <c r="C187" s="1399" t="s">
        <v>251</v>
      </c>
      <c r="D187" s="1399" t="s">
        <v>62</v>
      </c>
      <c r="E187" s="1373" t="s">
        <v>34</v>
      </c>
      <c r="F187" s="1399">
        <v>15.94</v>
      </c>
      <c r="G187" s="1380" t="s">
        <v>32</v>
      </c>
      <c r="H187" s="1192" t="s">
        <v>33</v>
      </c>
      <c r="I187" s="1388" t="s">
        <v>34</v>
      </c>
      <c r="J187" s="1388" t="s">
        <v>34</v>
      </c>
      <c r="K187" s="1388" t="s">
        <v>34</v>
      </c>
      <c r="L187" s="1400">
        <v>104885.2</v>
      </c>
      <c r="M187" s="1403">
        <v>12586.224</v>
      </c>
      <c r="N187" s="1401" t="s">
        <v>3939</v>
      </c>
      <c r="O187" s="1310" t="s">
        <v>6337</v>
      </c>
      <c r="P187" s="1389" t="s">
        <v>6136</v>
      </c>
      <c r="Q187" s="1390" t="s">
        <v>6137</v>
      </c>
      <c r="R187" s="1289" t="s">
        <v>6338</v>
      </c>
      <c r="S187" s="1345" t="s">
        <v>6056</v>
      </c>
      <c r="T187" s="1297"/>
    </row>
    <row r="188" spans="1:20" s="1292" customFormat="1" ht="20.100000000000001" customHeight="1">
      <c r="A188" s="1290"/>
      <c r="B188" s="1399" t="s">
        <v>171</v>
      </c>
      <c r="C188" s="1399" t="s">
        <v>172</v>
      </c>
      <c r="D188" s="1399" t="s">
        <v>62</v>
      </c>
      <c r="E188" s="1373" t="s">
        <v>34</v>
      </c>
      <c r="F188" s="1399">
        <v>16</v>
      </c>
      <c r="G188" s="1380" t="s">
        <v>32</v>
      </c>
      <c r="H188" s="1192" t="s">
        <v>33</v>
      </c>
      <c r="I188" s="1388" t="s">
        <v>34</v>
      </c>
      <c r="J188" s="1388" t="s">
        <v>34</v>
      </c>
      <c r="K188" s="1388" t="s">
        <v>34</v>
      </c>
      <c r="L188" s="1400">
        <v>112000</v>
      </c>
      <c r="M188" s="1403">
        <v>13440</v>
      </c>
      <c r="N188" s="1401" t="s">
        <v>3939</v>
      </c>
      <c r="O188" s="1310" t="s">
        <v>6337</v>
      </c>
      <c r="P188" s="1389" t="s">
        <v>6136</v>
      </c>
      <c r="Q188" s="1390" t="s">
        <v>6137</v>
      </c>
      <c r="R188" s="1289" t="s">
        <v>6338</v>
      </c>
      <c r="S188" s="1345" t="s">
        <v>6056</v>
      </c>
      <c r="T188" s="1297"/>
    </row>
    <row r="189" spans="1:20" s="1292" customFormat="1" ht="20.100000000000001" customHeight="1">
      <c r="A189" s="1290"/>
      <c r="B189" s="1399" t="s">
        <v>171</v>
      </c>
      <c r="C189" s="1399" t="s">
        <v>172</v>
      </c>
      <c r="D189" s="1399" t="s">
        <v>62</v>
      </c>
      <c r="E189" s="1373" t="s">
        <v>34</v>
      </c>
      <c r="F189" s="1399">
        <v>1.04</v>
      </c>
      <c r="G189" s="1380" t="s">
        <v>32</v>
      </c>
      <c r="H189" s="1192" t="s">
        <v>33</v>
      </c>
      <c r="I189" s="1388" t="s">
        <v>34</v>
      </c>
      <c r="J189" s="1388" t="s">
        <v>34</v>
      </c>
      <c r="K189" s="1388" t="s">
        <v>34</v>
      </c>
      <c r="L189" s="1400">
        <v>7280</v>
      </c>
      <c r="M189" s="1403">
        <v>873.6</v>
      </c>
      <c r="N189" s="1401" t="s">
        <v>3939</v>
      </c>
      <c r="O189" s="1310" t="s">
        <v>6337</v>
      </c>
      <c r="P189" s="1389" t="s">
        <v>6136</v>
      </c>
      <c r="Q189" s="1390" t="s">
        <v>6137</v>
      </c>
      <c r="R189" s="1289" t="s">
        <v>6338</v>
      </c>
      <c r="S189" s="1345" t="s">
        <v>6056</v>
      </c>
      <c r="T189" s="1297"/>
    </row>
    <row r="190" spans="1:20" s="1292" customFormat="1" ht="20.100000000000001" customHeight="1">
      <c r="A190" s="1290"/>
      <c r="B190" s="1399" t="s">
        <v>6360</v>
      </c>
      <c r="C190" s="1399" t="s">
        <v>172</v>
      </c>
      <c r="D190" s="1399" t="s">
        <v>62</v>
      </c>
      <c r="E190" s="1373" t="s">
        <v>34</v>
      </c>
      <c r="F190" s="1399">
        <v>2.56</v>
      </c>
      <c r="G190" s="1380" t="s">
        <v>32</v>
      </c>
      <c r="H190" s="1192" t="s">
        <v>33</v>
      </c>
      <c r="I190" s="1388" t="s">
        <v>34</v>
      </c>
      <c r="J190" s="1388" t="s">
        <v>34</v>
      </c>
      <c r="K190" s="1388" t="s">
        <v>34</v>
      </c>
      <c r="L190" s="1400">
        <v>17152</v>
      </c>
      <c r="M190" s="1403">
        <v>2058.2399999999998</v>
      </c>
      <c r="N190" s="1401" t="s">
        <v>3939</v>
      </c>
      <c r="O190" s="1310" t="s">
        <v>6337</v>
      </c>
      <c r="P190" s="1389" t="s">
        <v>6136</v>
      </c>
      <c r="Q190" s="1390" t="s">
        <v>6137</v>
      </c>
      <c r="R190" s="1289" t="s">
        <v>6338</v>
      </c>
      <c r="S190" s="1345" t="s">
        <v>6056</v>
      </c>
      <c r="T190" s="1297"/>
    </row>
    <row r="191" spans="1:20" s="1292" customFormat="1" ht="20.100000000000001" customHeight="1">
      <c r="A191" s="1290"/>
      <c r="B191" s="1399" t="s">
        <v>2149</v>
      </c>
      <c r="C191" s="1399" t="s">
        <v>6362</v>
      </c>
      <c r="D191" s="1399" t="s">
        <v>62</v>
      </c>
      <c r="E191" s="1373" t="s">
        <v>34</v>
      </c>
      <c r="F191" s="1399">
        <v>9.56</v>
      </c>
      <c r="G191" s="1380" t="s">
        <v>32</v>
      </c>
      <c r="H191" s="1192" t="s">
        <v>33</v>
      </c>
      <c r="I191" s="1388" t="s">
        <v>34</v>
      </c>
      <c r="J191" s="1388" t="s">
        <v>34</v>
      </c>
      <c r="K191" s="1388" t="s">
        <v>34</v>
      </c>
      <c r="L191" s="1400">
        <v>62904.800000000003</v>
      </c>
      <c r="M191" s="1403">
        <v>7548.576</v>
      </c>
      <c r="N191" s="1401" t="s">
        <v>3939</v>
      </c>
      <c r="O191" s="1310" t="s">
        <v>6337</v>
      </c>
      <c r="P191" s="1389" t="s">
        <v>6136</v>
      </c>
      <c r="Q191" s="1390" t="s">
        <v>6137</v>
      </c>
      <c r="R191" s="1289" t="s">
        <v>6338</v>
      </c>
      <c r="S191" s="1345" t="s">
        <v>6056</v>
      </c>
      <c r="T191" s="1297"/>
    </row>
    <row r="192" spans="1:20" s="1292" customFormat="1" ht="20.100000000000001" customHeight="1">
      <c r="A192" s="1290"/>
      <c r="B192" s="1404" t="s">
        <v>29</v>
      </c>
      <c r="C192" s="1404"/>
      <c r="D192" s="1404" t="s">
        <v>62</v>
      </c>
      <c r="E192" s="1373" t="s">
        <v>34</v>
      </c>
      <c r="F192" s="1405">
        <v>181.92</v>
      </c>
      <c r="G192" s="1380" t="s">
        <v>32</v>
      </c>
      <c r="H192" s="1192" t="s">
        <v>33</v>
      </c>
      <c r="I192" s="1388" t="s">
        <v>34</v>
      </c>
      <c r="J192" s="1388" t="s">
        <v>34</v>
      </c>
      <c r="K192" s="1388" t="s">
        <v>34</v>
      </c>
      <c r="L192" s="1406">
        <v>1910159.9999999998</v>
      </c>
      <c r="M192" s="1381">
        <v>229219.20000000001</v>
      </c>
      <c r="N192" s="1407" t="s">
        <v>3939</v>
      </c>
      <c r="O192" s="1192" t="s">
        <v>6337</v>
      </c>
      <c r="P192" s="1389" t="s">
        <v>6136</v>
      </c>
      <c r="Q192" s="1390" t="s">
        <v>6137</v>
      </c>
      <c r="R192" s="1408" t="s">
        <v>6338</v>
      </c>
      <c r="S192" s="1366" t="s">
        <v>6056</v>
      </c>
      <c r="T192" s="1297"/>
    </row>
    <row r="193" spans="1:20" s="1292" customFormat="1" ht="20.100000000000001" customHeight="1">
      <c r="A193" s="1290"/>
      <c r="B193" s="1399" t="s">
        <v>29</v>
      </c>
      <c r="C193" s="1399" t="s">
        <v>173</v>
      </c>
      <c r="D193" s="1399" t="s">
        <v>62</v>
      </c>
      <c r="E193" s="1373" t="s">
        <v>34</v>
      </c>
      <c r="F193" s="1405">
        <v>69.040000000000006</v>
      </c>
      <c r="G193" s="1380" t="s">
        <v>32</v>
      </c>
      <c r="H193" s="1192" t="s">
        <v>33</v>
      </c>
      <c r="I193" s="1388" t="s">
        <v>34</v>
      </c>
      <c r="J193" s="1388" t="s">
        <v>34</v>
      </c>
      <c r="K193" s="1388" t="s">
        <v>34</v>
      </c>
      <c r="L193" s="1406">
        <v>503992</v>
      </c>
      <c r="M193" s="1381">
        <v>100798.39999999999</v>
      </c>
      <c r="N193" s="1407" t="s">
        <v>6363</v>
      </c>
      <c r="O193" s="1192" t="s">
        <v>6337</v>
      </c>
      <c r="P193" s="1389" t="s">
        <v>6136</v>
      </c>
      <c r="Q193" s="1390" t="s">
        <v>6137</v>
      </c>
      <c r="R193" s="1408" t="s">
        <v>6338</v>
      </c>
      <c r="S193" s="1366" t="s">
        <v>6056</v>
      </c>
      <c r="T193" s="1297"/>
    </row>
    <row r="194" spans="1:20" s="1292" customFormat="1" ht="20.100000000000001" customHeight="1">
      <c r="A194" s="1290"/>
      <c r="B194" s="1399" t="s">
        <v>6364</v>
      </c>
      <c r="C194" s="1399" t="s">
        <v>2778</v>
      </c>
      <c r="D194" s="1399" t="s">
        <v>62</v>
      </c>
      <c r="E194" s="1373" t="s">
        <v>34</v>
      </c>
      <c r="F194" s="1405">
        <v>65</v>
      </c>
      <c r="G194" s="1380" t="s">
        <v>32</v>
      </c>
      <c r="H194" s="1192" t="s">
        <v>33</v>
      </c>
      <c r="I194" s="1388" t="s">
        <v>34</v>
      </c>
      <c r="J194" s="1388" t="s">
        <v>34</v>
      </c>
      <c r="K194" s="1388" t="s">
        <v>34</v>
      </c>
      <c r="L194" s="1406">
        <v>468000</v>
      </c>
      <c r="M194" s="1381">
        <v>243360</v>
      </c>
      <c r="N194" s="1407" t="s">
        <v>3569</v>
      </c>
      <c r="O194" s="1192" t="s">
        <v>6365</v>
      </c>
      <c r="P194" s="1389" t="s">
        <v>6136</v>
      </c>
      <c r="Q194" s="1390" t="s">
        <v>6137</v>
      </c>
      <c r="R194" s="1408" t="s">
        <v>6366</v>
      </c>
      <c r="S194" s="1366" t="s">
        <v>6056</v>
      </c>
      <c r="T194" s="1297"/>
    </row>
    <row r="195" spans="1:20" s="1292" customFormat="1" ht="20.100000000000001" customHeight="1">
      <c r="A195" s="1290"/>
      <c r="B195" s="1399" t="s">
        <v>6341</v>
      </c>
      <c r="C195" s="1399" t="s">
        <v>173</v>
      </c>
      <c r="D195" s="1399" t="s">
        <v>62</v>
      </c>
      <c r="E195" s="1373" t="s">
        <v>34</v>
      </c>
      <c r="F195" s="1405">
        <v>60</v>
      </c>
      <c r="G195" s="1380" t="s">
        <v>32</v>
      </c>
      <c r="H195" s="1192" t="s">
        <v>33</v>
      </c>
      <c r="I195" s="1388" t="s">
        <v>34</v>
      </c>
      <c r="J195" s="1388" t="s">
        <v>34</v>
      </c>
      <c r="K195" s="1388" t="s">
        <v>34</v>
      </c>
      <c r="L195" s="1406">
        <v>570000</v>
      </c>
      <c r="M195" s="1381">
        <v>296400</v>
      </c>
      <c r="N195" s="1407" t="s">
        <v>3569</v>
      </c>
      <c r="O195" s="1192" t="s">
        <v>6365</v>
      </c>
      <c r="P195" s="1389" t="s">
        <v>6136</v>
      </c>
      <c r="Q195" s="1390" t="s">
        <v>6137</v>
      </c>
      <c r="R195" s="1408" t="s">
        <v>6366</v>
      </c>
      <c r="S195" s="1366" t="s">
        <v>6056</v>
      </c>
      <c r="T195" s="1297"/>
    </row>
    <row r="196" spans="1:20" s="1292" customFormat="1" ht="20.100000000000001" customHeight="1">
      <c r="A196" s="1290"/>
      <c r="B196" s="1399" t="s">
        <v>6341</v>
      </c>
      <c r="C196" s="1399" t="s">
        <v>173</v>
      </c>
      <c r="D196" s="1399" t="s">
        <v>62</v>
      </c>
      <c r="E196" s="1373" t="s">
        <v>34</v>
      </c>
      <c r="F196" s="1405">
        <v>1.92</v>
      </c>
      <c r="G196" s="1380" t="s">
        <v>32</v>
      </c>
      <c r="H196" s="1192" t="s">
        <v>33</v>
      </c>
      <c r="I196" s="1388" t="s">
        <v>34</v>
      </c>
      <c r="J196" s="1388" t="s">
        <v>34</v>
      </c>
      <c r="K196" s="1388" t="s">
        <v>34</v>
      </c>
      <c r="L196" s="1406">
        <v>18240</v>
      </c>
      <c r="M196" s="1381">
        <v>10944</v>
      </c>
      <c r="N196" s="1407" t="s">
        <v>3585</v>
      </c>
      <c r="O196" s="1192" t="s">
        <v>6365</v>
      </c>
      <c r="P196" s="1389" t="s">
        <v>6136</v>
      </c>
      <c r="Q196" s="1390" t="s">
        <v>6137</v>
      </c>
      <c r="R196" s="1408" t="s">
        <v>6366</v>
      </c>
      <c r="S196" s="1366" t="s">
        <v>6056</v>
      </c>
      <c r="T196" s="1297"/>
    </row>
    <row r="197" spans="1:20" s="1292" customFormat="1" ht="20.100000000000001" customHeight="1">
      <c r="A197" s="1290"/>
      <c r="B197" s="1409" t="s">
        <v>6364</v>
      </c>
      <c r="C197" s="1409" t="s">
        <v>2778</v>
      </c>
      <c r="D197" s="1409" t="s">
        <v>62</v>
      </c>
      <c r="E197" s="1373" t="s">
        <v>34</v>
      </c>
      <c r="F197" s="1410">
        <v>8.43</v>
      </c>
      <c r="G197" s="1380" t="s">
        <v>32</v>
      </c>
      <c r="H197" s="1192" t="s">
        <v>41</v>
      </c>
      <c r="I197" s="1388"/>
      <c r="J197" s="1388"/>
      <c r="K197" s="1388"/>
      <c r="L197" s="1406">
        <v>67271.399999999994</v>
      </c>
      <c r="M197" s="1381">
        <v>45744.552000000003</v>
      </c>
      <c r="N197" s="1407" t="s">
        <v>6367</v>
      </c>
      <c r="O197" s="1192" t="s">
        <v>6365</v>
      </c>
      <c r="P197" s="1389" t="s">
        <v>6136</v>
      </c>
      <c r="Q197" s="1390" t="s">
        <v>6137</v>
      </c>
      <c r="R197" s="1408" t="s">
        <v>6366</v>
      </c>
      <c r="S197" s="1366" t="s">
        <v>6056</v>
      </c>
      <c r="T197" s="1297"/>
    </row>
    <row r="198" spans="1:20" s="1292" customFormat="1" ht="20.100000000000001" customHeight="1">
      <c r="A198" s="1290"/>
      <c r="B198" s="1399" t="s">
        <v>6364</v>
      </c>
      <c r="C198" s="1399" t="s">
        <v>2778</v>
      </c>
      <c r="D198" s="1399" t="s">
        <v>62</v>
      </c>
      <c r="E198" s="1373" t="s">
        <v>34</v>
      </c>
      <c r="F198" s="1405">
        <v>70.75</v>
      </c>
      <c r="G198" s="1380" t="s">
        <v>32</v>
      </c>
      <c r="H198" s="1192" t="s">
        <v>33</v>
      </c>
      <c r="I198" s="1388" t="s">
        <v>34</v>
      </c>
      <c r="J198" s="1388" t="s">
        <v>34</v>
      </c>
      <c r="K198" s="1388" t="s">
        <v>34</v>
      </c>
      <c r="L198" s="1406">
        <v>564585</v>
      </c>
      <c r="M198" s="1381">
        <v>338751</v>
      </c>
      <c r="N198" s="1407" t="s">
        <v>3635</v>
      </c>
      <c r="O198" s="1192" t="s">
        <v>6365</v>
      </c>
      <c r="P198" s="1389" t="s">
        <v>6136</v>
      </c>
      <c r="Q198" s="1390" t="s">
        <v>6137</v>
      </c>
      <c r="R198" s="1408" t="s">
        <v>6366</v>
      </c>
      <c r="S198" s="1366" t="s">
        <v>6056</v>
      </c>
      <c r="T198" s="1297"/>
    </row>
    <row r="199" spans="1:20" s="1292" customFormat="1" ht="20.100000000000001" customHeight="1">
      <c r="A199" s="1290"/>
      <c r="B199" s="1289" t="s">
        <v>29</v>
      </c>
      <c r="C199" s="1289" t="s">
        <v>2373</v>
      </c>
      <c r="D199" s="1290" t="s">
        <v>62</v>
      </c>
      <c r="E199" s="1289">
        <v>4</v>
      </c>
      <c r="F199" s="1411">
        <v>198.82329999999999</v>
      </c>
      <c r="G199" s="1308" t="s">
        <v>32</v>
      </c>
      <c r="H199" s="1309" t="s">
        <v>33</v>
      </c>
      <c r="I199" s="1310" t="s">
        <v>34</v>
      </c>
      <c r="J199" s="1310" t="s">
        <v>6079</v>
      </c>
      <c r="K199" s="1310" t="s">
        <v>6311</v>
      </c>
      <c r="L199" s="1289">
        <v>1178863.6499999999</v>
      </c>
      <c r="M199" s="1291">
        <v>1178863.6499999999</v>
      </c>
      <c r="N199" s="1291">
        <v>2020.06</v>
      </c>
      <c r="O199" s="1308" t="s">
        <v>1766</v>
      </c>
      <c r="P199" s="1312" t="s">
        <v>6081</v>
      </c>
      <c r="Q199" s="1312">
        <v>15735090699</v>
      </c>
      <c r="R199" s="1308" t="s">
        <v>1766</v>
      </c>
      <c r="S199" s="1313" t="s">
        <v>6056</v>
      </c>
      <c r="T199" s="1297"/>
    </row>
    <row r="200" spans="1:20" s="1292" customFormat="1" ht="20.100000000000001" customHeight="1">
      <c r="A200" s="1290"/>
      <c r="B200" s="1289" t="s">
        <v>29</v>
      </c>
      <c r="C200" s="1289" t="s">
        <v>6368</v>
      </c>
      <c r="D200" s="1290" t="s">
        <v>62</v>
      </c>
      <c r="E200" s="1289">
        <v>2</v>
      </c>
      <c r="F200" s="1289">
        <v>75.459999999999994</v>
      </c>
      <c r="G200" s="1308" t="s">
        <v>32</v>
      </c>
      <c r="H200" s="1309" t="s">
        <v>33</v>
      </c>
      <c r="I200" s="1310" t="s">
        <v>34</v>
      </c>
      <c r="J200" s="1310" t="s">
        <v>6079</v>
      </c>
      <c r="K200" s="1310" t="s">
        <v>6311</v>
      </c>
      <c r="L200" s="1289">
        <v>447424.71</v>
      </c>
      <c r="M200" s="1291">
        <v>447424.71</v>
      </c>
      <c r="N200" s="1291">
        <v>2020.06</v>
      </c>
      <c r="O200" s="1308" t="s">
        <v>1766</v>
      </c>
      <c r="P200" s="1312" t="s">
        <v>6081</v>
      </c>
      <c r="Q200" s="1312">
        <v>15735090699</v>
      </c>
      <c r="R200" s="1308" t="s">
        <v>1766</v>
      </c>
      <c r="S200" s="1313" t="s">
        <v>6056</v>
      </c>
      <c r="T200" s="1297"/>
    </row>
    <row r="201" spans="1:20" s="1292" customFormat="1" ht="20.100000000000001" customHeight="1">
      <c r="A201" s="1290"/>
      <c r="B201" s="1289" t="s">
        <v>29</v>
      </c>
      <c r="C201" s="1289" t="s">
        <v>6368</v>
      </c>
      <c r="D201" s="1290" t="s">
        <v>62</v>
      </c>
      <c r="E201" s="1289">
        <v>1</v>
      </c>
      <c r="F201" s="1289">
        <v>33.130000000000003</v>
      </c>
      <c r="G201" s="1308" t="s">
        <v>32</v>
      </c>
      <c r="H201" s="1309" t="s">
        <v>33</v>
      </c>
      <c r="I201" s="1310" t="s">
        <v>34</v>
      </c>
      <c r="J201" s="1310" t="s">
        <v>6079</v>
      </c>
      <c r="K201" s="1310" t="s">
        <v>6311</v>
      </c>
      <c r="L201" s="1289">
        <v>196417.7</v>
      </c>
      <c r="M201" s="1289">
        <v>196417.7</v>
      </c>
      <c r="N201" s="1291">
        <v>2020.07</v>
      </c>
      <c r="O201" s="1308" t="s">
        <v>1766</v>
      </c>
      <c r="P201" s="1312" t="s">
        <v>6081</v>
      </c>
      <c r="Q201" s="1312">
        <v>15735090699</v>
      </c>
      <c r="R201" s="1308" t="s">
        <v>1766</v>
      </c>
      <c r="S201" s="1313" t="s">
        <v>6056</v>
      </c>
      <c r="T201" s="1297"/>
    </row>
    <row r="202" spans="1:20" s="1292" customFormat="1" ht="20.100000000000001" customHeight="1">
      <c r="A202" s="1290"/>
      <c r="B202" s="1307" t="s">
        <v>29</v>
      </c>
      <c r="C202" s="1289" t="s">
        <v>2383</v>
      </c>
      <c r="D202" s="1290" t="s">
        <v>62</v>
      </c>
      <c r="E202" s="1373" t="s">
        <v>34</v>
      </c>
      <c r="F202" s="1289">
        <v>142.66999999999999</v>
      </c>
      <c r="G202" s="1308" t="s">
        <v>32</v>
      </c>
      <c r="H202" s="1309" t="s">
        <v>33</v>
      </c>
      <c r="I202" s="1310" t="s">
        <v>34</v>
      </c>
      <c r="J202" s="1310" t="s">
        <v>6079</v>
      </c>
      <c r="K202" s="1289" t="s">
        <v>6369</v>
      </c>
      <c r="L202" s="1289">
        <v>814355.31</v>
      </c>
      <c r="M202" s="1291">
        <v>814355.31</v>
      </c>
      <c r="N202" s="1291">
        <v>2020.05</v>
      </c>
      <c r="O202" s="1308" t="s">
        <v>1766</v>
      </c>
      <c r="P202" s="1312" t="s">
        <v>6081</v>
      </c>
      <c r="Q202" s="1312">
        <v>15735090699</v>
      </c>
      <c r="R202" s="1308" t="s">
        <v>1766</v>
      </c>
      <c r="S202" s="1313" t="s">
        <v>6056</v>
      </c>
      <c r="T202" s="1297"/>
    </row>
    <row r="203" spans="1:20" s="1292" customFormat="1" ht="20.100000000000001" customHeight="1">
      <c r="A203" s="1290"/>
      <c r="B203" s="1307" t="s">
        <v>29</v>
      </c>
      <c r="C203" s="1289" t="s">
        <v>60</v>
      </c>
      <c r="D203" s="1290" t="s">
        <v>62</v>
      </c>
      <c r="E203" s="1289">
        <v>2</v>
      </c>
      <c r="F203" s="1289">
        <v>25.76</v>
      </c>
      <c r="G203" s="1308" t="s">
        <v>32</v>
      </c>
      <c r="H203" s="1309" t="s">
        <v>33</v>
      </c>
      <c r="I203" s="1310" t="s">
        <v>34</v>
      </c>
      <c r="J203" s="1310" t="s">
        <v>6079</v>
      </c>
      <c r="K203" s="1289" t="s">
        <v>5921</v>
      </c>
      <c r="L203" s="1289">
        <v>145441.42000000001</v>
      </c>
      <c r="M203" s="1291">
        <f>L203-23270.63*5</f>
        <v>29088.270000000004</v>
      </c>
      <c r="N203" s="1289">
        <v>2020.06</v>
      </c>
      <c r="O203" s="1308" t="s">
        <v>1766</v>
      </c>
      <c r="P203" s="1312" t="s">
        <v>6081</v>
      </c>
      <c r="Q203" s="1312">
        <v>15735090699</v>
      </c>
      <c r="R203" s="1308" t="s">
        <v>1766</v>
      </c>
      <c r="S203" s="1313" t="s">
        <v>6056</v>
      </c>
      <c r="T203" s="1297"/>
    </row>
    <row r="204" spans="1:20" s="1292" customFormat="1" ht="20.100000000000001" customHeight="1">
      <c r="A204" s="1290"/>
      <c r="B204" s="1307" t="s">
        <v>29</v>
      </c>
      <c r="C204" s="1289" t="s">
        <v>2383</v>
      </c>
      <c r="D204" s="1290" t="s">
        <v>62</v>
      </c>
      <c r="E204" s="1373" t="s">
        <v>34</v>
      </c>
      <c r="F204" s="1411">
        <v>124.62</v>
      </c>
      <c r="G204" s="1308" t="s">
        <v>32</v>
      </c>
      <c r="H204" s="1309" t="s">
        <v>33</v>
      </c>
      <c r="I204" s="1310" t="s">
        <v>34</v>
      </c>
      <c r="J204" s="1310" t="s">
        <v>6079</v>
      </c>
      <c r="K204" s="1289" t="s">
        <v>5921</v>
      </c>
      <c r="L204" s="1289">
        <v>716850.27</v>
      </c>
      <c r="M204" s="1291">
        <f>L204-114696.04*5</f>
        <v>143370.07000000007</v>
      </c>
      <c r="N204" s="1289">
        <v>2020.05</v>
      </c>
      <c r="O204" s="1308" t="s">
        <v>1766</v>
      </c>
      <c r="P204" s="1312" t="s">
        <v>6081</v>
      </c>
      <c r="Q204" s="1312">
        <v>15735090699</v>
      </c>
      <c r="R204" s="1308" t="s">
        <v>1766</v>
      </c>
      <c r="S204" s="1313" t="s">
        <v>6056</v>
      </c>
      <c r="T204" s="1297"/>
    </row>
    <row r="205" spans="1:20" s="1292" customFormat="1" ht="20.100000000000001" customHeight="1">
      <c r="A205" s="1290"/>
      <c r="B205" s="1307" t="s">
        <v>29</v>
      </c>
      <c r="C205" s="1289" t="s">
        <v>2383</v>
      </c>
      <c r="D205" s="1290" t="s">
        <v>62</v>
      </c>
      <c r="E205" s="1373" t="s">
        <v>34</v>
      </c>
      <c r="F205" s="1411">
        <v>25.38</v>
      </c>
      <c r="G205" s="1308" t="s">
        <v>32</v>
      </c>
      <c r="H205" s="1309" t="s">
        <v>33</v>
      </c>
      <c r="I205" s="1310" t="s">
        <v>34</v>
      </c>
      <c r="J205" s="1310" t="s">
        <v>6079</v>
      </c>
      <c r="K205" s="1289" t="s">
        <v>5921</v>
      </c>
      <c r="L205" s="1289">
        <v>145981.59</v>
      </c>
      <c r="M205" s="1291">
        <f>L205-23357.05*5</f>
        <v>29196.339999999997</v>
      </c>
      <c r="N205" s="1289">
        <v>2020.06</v>
      </c>
      <c r="O205" s="1308" t="s">
        <v>1766</v>
      </c>
      <c r="P205" s="1312" t="s">
        <v>6081</v>
      </c>
      <c r="Q205" s="1312">
        <v>15735090699</v>
      </c>
      <c r="R205" s="1308" t="s">
        <v>1766</v>
      </c>
      <c r="S205" s="1313" t="s">
        <v>6056</v>
      </c>
      <c r="T205" s="1297"/>
    </row>
    <row r="206" spans="1:20" s="1292" customFormat="1" ht="20.100000000000001" customHeight="1">
      <c r="A206" s="1290"/>
      <c r="B206" s="1307" t="s">
        <v>29</v>
      </c>
      <c r="C206" s="1289" t="s">
        <v>6370</v>
      </c>
      <c r="D206" s="1290" t="s">
        <v>62</v>
      </c>
      <c r="E206" s="1373" t="s">
        <v>34</v>
      </c>
      <c r="F206" s="1289">
        <v>84.13</v>
      </c>
      <c r="G206" s="1308" t="s">
        <v>32</v>
      </c>
      <c r="H206" s="1309" t="s">
        <v>33</v>
      </c>
      <c r="I206" s="1310" t="s">
        <v>34</v>
      </c>
      <c r="J206" s="1310" t="s">
        <v>6079</v>
      </c>
      <c r="K206" s="1289" t="s">
        <v>5921</v>
      </c>
      <c r="L206" s="1289">
        <v>515910.49</v>
      </c>
      <c r="M206" s="1291">
        <f>L206-82545.68*5</f>
        <v>103182.09000000003</v>
      </c>
      <c r="N206" s="1289">
        <v>2020.05</v>
      </c>
      <c r="O206" s="1308" t="s">
        <v>1766</v>
      </c>
      <c r="P206" s="1312" t="s">
        <v>6081</v>
      </c>
      <c r="Q206" s="1312">
        <v>15735090699</v>
      </c>
      <c r="R206" s="1308" t="s">
        <v>1766</v>
      </c>
      <c r="S206" s="1313" t="s">
        <v>6056</v>
      </c>
      <c r="T206" s="1297"/>
    </row>
    <row r="207" spans="1:20" s="1292" customFormat="1" ht="20.100000000000001" customHeight="1">
      <c r="A207" s="1290"/>
      <c r="B207" s="1307" t="s">
        <v>29</v>
      </c>
      <c r="C207" s="1289" t="s">
        <v>6370</v>
      </c>
      <c r="D207" s="1290" t="s">
        <v>62</v>
      </c>
      <c r="E207" s="1373" t="s">
        <v>34</v>
      </c>
      <c r="F207" s="1289">
        <v>21.98</v>
      </c>
      <c r="G207" s="1308" t="s">
        <v>32</v>
      </c>
      <c r="H207" s="1309" t="s">
        <v>33</v>
      </c>
      <c r="I207" s="1310" t="s">
        <v>34</v>
      </c>
      <c r="J207" s="1310" t="s">
        <v>6079</v>
      </c>
      <c r="K207" s="1289" t="s">
        <v>5921</v>
      </c>
      <c r="L207" s="1289">
        <v>134787.97</v>
      </c>
      <c r="M207" s="1289">
        <f>L207-21566.08*5</f>
        <v>26957.569999999992</v>
      </c>
      <c r="N207" s="1289">
        <v>2020.06</v>
      </c>
      <c r="O207" s="1308" t="s">
        <v>1766</v>
      </c>
      <c r="P207" s="1312" t="s">
        <v>6081</v>
      </c>
      <c r="Q207" s="1312">
        <v>15735090699</v>
      </c>
      <c r="R207" s="1308" t="s">
        <v>1766</v>
      </c>
      <c r="S207" s="1313" t="s">
        <v>6056</v>
      </c>
      <c r="T207" s="1297"/>
    </row>
    <row r="208" spans="1:20" s="1292" customFormat="1" ht="20.100000000000001" customHeight="1">
      <c r="A208" s="1290"/>
      <c r="B208" s="1307" t="s">
        <v>29</v>
      </c>
      <c r="C208" s="1289" t="s">
        <v>2383</v>
      </c>
      <c r="D208" s="1290" t="s">
        <v>62</v>
      </c>
      <c r="E208" s="1373" t="s">
        <v>34</v>
      </c>
      <c r="F208" s="1289">
        <v>39.020000000000003</v>
      </c>
      <c r="G208" s="1308" t="s">
        <v>32</v>
      </c>
      <c r="H208" s="1309" t="s">
        <v>33</v>
      </c>
      <c r="I208" s="1310" t="s">
        <v>34</v>
      </c>
      <c r="J208" s="1310" t="s">
        <v>6079</v>
      </c>
      <c r="K208" s="1289" t="s">
        <v>6369</v>
      </c>
      <c r="L208" s="1289">
        <v>222724.78</v>
      </c>
      <c r="M208" s="1289">
        <f>L208-35635.96*4</f>
        <v>80180.94</v>
      </c>
      <c r="N208" s="1289">
        <v>2020.09</v>
      </c>
      <c r="O208" s="1308" t="s">
        <v>1766</v>
      </c>
      <c r="P208" s="1312" t="s">
        <v>6081</v>
      </c>
      <c r="Q208" s="1312">
        <v>15735090699</v>
      </c>
      <c r="R208" s="1308" t="s">
        <v>1766</v>
      </c>
      <c r="S208" s="1313" t="s">
        <v>6056</v>
      </c>
      <c r="T208" s="1297"/>
    </row>
    <row r="209" spans="1:20" s="1292" customFormat="1" ht="20.100000000000001" customHeight="1">
      <c r="A209" s="1290"/>
      <c r="B209" s="1289" t="s">
        <v>29</v>
      </c>
      <c r="C209" s="1289" t="s">
        <v>6371</v>
      </c>
      <c r="D209" s="1290" t="s">
        <v>62</v>
      </c>
      <c r="E209" s="1373" t="s">
        <v>34</v>
      </c>
      <c r="F209" s="1411">
        <v>150</v>
      </c>
      <c r="G209" s="1308" t="s">
        <v>32</v>
      </c>
      <c r="H209" s="1309" t="s">
        <v>33</v>
      </c>
      <c r="I209" s="1310" t="s">
        <v>34</v>
      </c>
      <c r="J209" s="1310" t="s">
        <v>6079</v>
      </c>
      <c r="K209" s="1289" t="s">
        <v>6311</v>
      </c>
      <c r="L209" s="1411" t="s">
        <v>6372</v>
      </c>
      <c r="M209" s="1311">
        <f>L209-235929.2*2</f>
        <v>412876.11</v>
      </c>
      <c r="N209" s="1289">
        <v>2020.12</v>
      </c>
      <c r="O209" s="1308" t="s">
        <v>1766</v>
      </c>
      <c r="P209" s="1312" t="s">
        <v>6081</v>
      </c>
      <c r="Q209" s="1312">
        <v>15735090699</v>
      </c>
      <c r="R209" s="1308" t="s">
        <v>1766</v>
      </c>
      <c r="S209" s="1412" t="s">
        <v>6056</v>
      </c>
      <c r="T209" s="1297"/>
    </row>
    <row r="210" spans="1:20" s="1292" customFormat="1" ht="20.100000000000001" customHeight="1">
      <c r="A210" s="1290"/>
      <c r="B210" s="1289" t="s">
        <v>29</v>
      </c>
      <c r="C210" s="1289" t="s">
        <v>6368</v>
      </c>
      <c r="D210" s="1290" t="s">
        <v>62</v>
      </c>
      <c r="E210" s="1373" t="s">
        <v>34</v>
      </c>
      <c r="F210" s="1411">
        <v>28.498999999999999</v>
      </c>
      <c r="G210" s="1308" t="s">
        <v>32</v>
      </c>
      <c r="H210" s="1309" t="s">
        <v>33</v>
      </c>
      <c r="I210" s="1310" t="s">
        <v>34</v>
      </c>
      <c r="J210" s="1310" t="s">
        <v>6079</v>
      </c>
      <c r="K210" s="1289" t="s">
        <v>6311</v>
      </c>
      <c r="L210" s="1411">
        <v>168976.37</v>
      </c>
      <c r="M210" s="1311">
        <f>L210-45060.36*2</f>
        <v>78855.649999999994</v>
      </c>
      <c r="N210" s="1289">
        <v>2020.12</v>
      </c>
      <c r="O210" s="1308" t="s">
        <v>1766</v>
      </c>
      <c r="P210" s="1312" t="s">
        <v>6081</v>
      </c>
      <c r="Q210" s="1312">
        <v>15735090699</v>
      </c>
      <c r="R210" s="1308" t="s">
        <v>1766</v>
      </c>
      <c r="S210" s="1412" t="s">
        <v>6056</v>
      </c>
      <c r="T210" s="1297"/>
    </row>
    <row r="211" spans="1:20" s="1292" customFormat="1" ht="20.100000000000001" customHeight="1">
      <c r="A211" s="1290"/>
      <c r="B211" s="1289" t="s">
        <v>29</v>
      </c>
      <c r="C211" s="1289" t="s">
        <v>6368</v>
      </c>
      <c r="D211" s="1290" t="s">
        <v>62</v>
      </c>
      <c r="E211" s="1373" t="s">
        <v>34</v>
      </c>
      <c r="F211" s="1411">
        <v>1.0254000000000001</v>
      </c>
      <c r="G211" s="1308" t="s">
        <v>32</v>
      </c>
      <c r="H211" s="1309" t="s">
        <v>33</v>
      </c>
      <c r="I211" s="1310" t="s">
        <v>34</v>
      </c>
      <c r="J211" s="1310" t="s">
        <v>6079</v>
      </c>
      <c r="K211" s="1289" t="s">
        <v>6311</v>
      </c>
      <c r="L211" s="1411">
        <v>6079.65</v>
      </c>
      <c r="M211" s="1311">
        <f>L211-1621.24*2</f>
        <v>2837.1699999999996</v>
      </c>
      <c r="N211" s="1289">
        <v>2020.12</v>
      </c>
      <c r="O211" s="1308" t="s">
        <v>1766</v>
      </c>
      <c r="P211" s="1312" t="s">
        <v>6081</v>
      </c>
      <c r="Q211" s="1312">
        <v>15735090699</v>
      </c>
      <c r="R211" s="1308" t="s">
        <v>1766</v>
      </c>
      <c r="S211" s="1412" t="s">
        <v>6056</v>
      </c>
      <c r="T211" s="1297"/>
    </row>
    <row r="212" spans="1:20" s="1292" customFormat="1" ht="20.100000000000001" customHeight="1">
      <c r="A212" s="1290"/>
      <c r="B212" s="1289" t="s">
        <v>29</v>
      </c>
      <c r="C212" s="1289" t="s">
        <v>6373</v>
      </c>
      <c r="D212" s="1290" t="s">
        <v>62</v>
      </c>
      <c r="E212" s="1373" t="s">
        <v>34</v>
      </c>
      <c r="F212" s="1411">
        <v>48.02</v>
      </c>
      <c r="G212" s="1308" t="s">
        <v>32</v>
      </c>
      <c r="H212" s="1309" t="s">
        <v>33</v>
      </c>
      <c r="I212" s="1310" t="s">
        <v>34</v>
      </c>
      <c r="J212" s="1310" t="s">
        <v>6079</v>
      </c>
      <c r="K212" s="1289" t="s">
        <v>6311</v>
      </c>
      <c r="L212" s="1411">
        <v>320053.3</v>
      </c>
      <c r="M212" s="1311">
        <f>L212-256042.64/3*3</f>
        <v>64010.659999999974</v>
      </c>
      <c r="N212" s="1289">
        <v>2020.12</v>
      </c>
      <c r="O212" s="1308" t="s">
        <v>1766</v>
      </c>
      <c r="P212" s="1312" t="s">
        <v>6081</v>
      </c>
      <c r="Q212" s="1312">
        <v>15735090699</v>
      </c>
      <c r="R212" s="1308" t="s">
        <v>1766</v>
      </c>
      <c r="S212" s="1412" t="s">
        <v>6056</v>
      </c>
      <c r="T212" s="1297"/>
    </row>
    <row r="213" spans="1:20" s="1292" customFormat="1" ht="20.100000000000001" customHeight="1">
      <c r="A213" s="1290"/>
      <c r="B213" s="1413" t="s">
        <v>29</v>
      </c>
      <c r="C213" s="1333" t="s">
        <v>6374</v>
      </c>
      <c r="D213" s="1335" t="s">
        <v>62</v>
      </c>
      <c r="E213" s="1373" t="s">
        <v>34</v>
      </c>
      <c r="F213" s="1335">
        <v>329.84</v>
      </c>
      <c r="G213" s="1291" t="s">
        <v>32</v>
      </c>
      <c r="H213" s="1289" t="s">
        <v>6375</v>
      </c>
      <c r="I213" s="1310" t="s">
        <v>34</v>
      </c>
      <c r="J213" s="1310" t="s">
        <v>34</v>
      </c>
      <c r="K213" s="1333" t="s">
        <v>2353</v>
      </c>
      <c r="L213" s="1414">
        <v>1885633.98</v>
      </c>
      <c r="M213" s="1414">
        <v>377126.79599999997</v>
      </c>
      <c r="N213" s="1291">
        <v>2020.7</v>
      </c>
      <c r="O213" s="1335" t="s">
        <v>65</v>
      </c>
      <c r="P213" s="1331" t="s">
        <v>6076</v>
      </c>
      <c r="Q213" s="1335">
        <v>17732305201</v>
      </c>
      <c r="R213" s="1289" t="s">
        <v>6077</v>
      </c>
      <c r="S213" s="1332" t="s">
        <v>6056</v>
      </c>
      <c r="T213" s="1297"/>
    </row>
    <row r="214" spans="1:20" s="1292" customFormat="1" ht="20.100000000000001" customHeight="1">
      <c r="A214" s="1290"/>
      <c r="B214" s="1413" t="s">
        <v>29</v>
      </c>
      <c r="C214" s="1333" t="s">
        <v>6374</v>
      </c>
      <c r="D214" s="1335" t="s">
        <v>62</v>
      </c>
      <c r="E214" s="1373" t="s">
        <v>34</v>
      </c>
      <c r="F214" s="1335">
        <v>27.53</v>
      </c>
      <c r="G214" s="1291" t="s">
        <v>32</v>
      </c>
      <c r="H214" s="1289" t="s">
        <v>6375</v>
      </c>
      <c r="I214" s="1310" t="s">
        <v>34</v>
      </c>
      <c r="J214" s="1310" t="s">
        <v>34</v>
      </c>
      <c r="K214" s="1333" t="s">
        <v>2353</v>
      </c>
      <c r="L214" s="1414">
        <v>157383.89000000001</v>
      </c>
      <c r="M214" s="1414">
        <v>31476.777999999998</v>
      </c>
      <c r="N214" s="1291">
        <v>2020.7</v>
      </c>
      <c r="O214" s="1335" t="s">
        <v>65</v>
      </c>
      <c r="P214" s="1331" t="s">
        <v>6076</v>
      </c>
      <c r="Q214" s="1335">
        <v>17732305201</v>
      </c>
      <c r="R214" s="1289" t="s">
        <v>6077</v>
      </c>
      <c r="S214" s="1332" t="s">
        <v>6056</v>
      </c>
      <c r="T214" s="1297"/>
    </row>
    <row r="215" spans="1:20" s="1292" customFormat="1" ht="20.100000000000001" customHeight="1">
      <c r="A215" s="1290"/>
      <c r="B215" s="1413" t="s">
        <v>177</v>
      </c>
      <c r="C215" s="1333" t="s">
        <v>177</v>
      </c>
      <c r="D215" s="1335" t="s">
        <v>62</v>
      </c>
      <c r="E215" s="1373" t="s">
        <v>34</v>
      </c>
      <c r="F215" s="1335">
        <v>229.41</v>
      </c>
      <c r="G215" s="1291" t="s">
        <v>32</v>
      </c>
      <c r="H215" s="1289" t="s">
        <v>6375</v>
      </c>
      <c r="I215" s="1310" t="s">
        <v>34</v>
      </c>
      <c r="J215" s="1310" t="s">
        <v>34</v>
      </c>
      <c r="K215" s="1333" t="s">
        <v>229</v>
      </c>
      <c r="L215" s="1414">
        <v>1266830.44</v>
      </c>
      <c r="M215" s="1414">
        <v>253366.08799999999</v>
      </c>
      <c r="N215" s="1291">
        <v>2020.7</v>
      </c>
      <c r="O215" s="1335" t="s">
        <v>65</v>
      </c>
      <c r="P215" s="1331" t="s">
        <v>6076</v>
      </c>
      <c r="Q215" s="1335">
        <v>17732305201</v>
      </c>
      <c r="R215" s="1289" t="s">
        <v>6077</v>
      </c>
      <c r="S215" s="1332" t="s">
        <v>6056</v>
      </c>
      <c r="T215" s="1297"/>
    </row>
    <row r="216" spans="1:20" s="1292" customFormat="1" ht="20.100000000000001" customHeight="1">
      <c r="A216" s="1290"/>
      <c r="B216" s="1413" t="s">
        <v>177</v>
      </c>
      <c r="C216" s="1333" t="s">
        <v>177</v>
      </c>
      <c r="D216" s="1335" t="s">
        <v>62</v>
      </c>
      <c r="E216" s="1373" t="s">
        <v>34</v>
      </c>
      <c r="F216" s="1335">
        <v>158</v>
      </c>
      <c r="G216" s="1291" t="s">
        <v>32</v>
      </c>
      <c r="H216" s="1289" t="s">
        <v>6375</v>
      </c>
      <c r="I216" s="1310" t="s">
        <v>34</v>
      </c>
      <c r="J216" s="1310" t="s">
        <v>34</v>
      </c>
      <c r="K216" s="1333" t="s">
        <v>229</v>
      </c>
      <c r="L216" s="1414">
        <v>883681.42</v>
      </c>
      <c r="M216" s="1415">
        <v>176736.28400000001</v>
      </c>
      <c r="N216" s="1416" t="s">
        <v>3569</v>
      </c>
      <c r="O216" s="1335" t="s">
        <v>65</v>
      </c>
      <c r="P216" s="1331" t="s">
        <v>6076</v>
      </c>
      <c r="Q216" s="1335">
        <v>17732305201</v>
      </c>
      <c r="R216" s="1289" t="s">
        <v>6077</v>
      </c>
      <c r="S216" s="1332" t="s">
        <v>6056</v>
      </c>
      <c r="T216" s="1417"/>
    </row>
    <row r="217" spans="1:20" s="1292" customFormat="1" ht="20.100000000000001" customHeight="1">
      <c r="A217" s="1290"/>
      <c r="B217" s="1413" t="s">
        <v>177</v>
      </c>
      <c r="C217" s="1333" t="s">
        <v>177</v>
      </c>
      <c r="D217" s="1335" t="s">
        <v>62</v>
      </c>
      <c r="E217" s="1373" t="s">
        <v>34</v>
      </c>
      <c r="F217" s="1418">
        <v>155.61000000000001</v>
      </c>
      <c r="G217" s="1291" t="s">
        <v>32</v>
      </c>
      <c r="H217" s="1289" t="s">
        <v>6375</v>
      </c>
      <c r="I217" s="1310" t="s">
        <v>34</v>
      </c>
      <c r="J217" s="1310" t="s">
        <v>34</v>
      </c>
      <c r="K217" s="1333" t="s">
        <v>229</v>
      </c>
      <c r="L217" s="1414">
        <v>870314.34</v>
      </c>
      <c r="M217" s="1415">
        <v>174062.86799999999</v>
      </c>
      <c r="N217" s="1416" t="s">
        <v>3569</v>
      </c>
      <c r="O217" s="1335" t="s">
        <v>65</v>
      </c>
      <c r="P217" s="1331" t="s">
        <v>6076</v>
      </c>
      <c r="Q217" s="1335">
        <v>17732305201</v>
      </c>
      <c r="R217" s="1289" t="s">
        <v>6077</v>
      </c>
      <c r="S217" s="1332" t="s">
        <v>6056</v>
      </c>
      <c r="T217" s="1417"/>
    </row>
    <row r="218" spans="1:20" s="1292" customFormat="1" ht="20.100000000000001" customHeight="1">
      <c r="A218" s="1290"/>
      <c r="B218" s="1413" t="s">
        <v>29</v>
      </c>
      <c r="C218" s="1333" t="s">
        <v>6374</v>
      </c>
      <c r="D218" s="1335" t="s">
        <v>62</v>
      </c>
      <c r="E218" s="1373" t="s">
        <v>34</v>
      </c>
      <c r="F218" s="1335">
        <v>150</v>
      </c>
      <c r="G218" s="1291" t="s">
        <v>32</v>
      </c>
      <c r="H218" s="1289" t="s">
        <v>6375</v>
      </c>
      <c r="I218" s="1310" t="s">
        <v>34</v>
      </c>
      <c r="J218" s="1310" t="s">
        <v>34</v>
      </c>
      <c r="K218" s="1333" t="s">
        <v>2353</v>
      </c>
      <c r="L218" s="1414">
        <v>857522.12</v>
      </c>
      <c r="M218" s="1415">
        <v>171504.424</v>
      </c>
      <c r="N218" s="1416" t="s">
        <v>3939</v>
      </c>
      <c r="O218" s="1335" t="s">
        <v>65</v>
      </c>
      <c r="P218" s="1331" t="s">
        <v>6076</v>
      </c>
      <c r="Q218" s="1335">
        <v>17732305201</v>
      </c>
      <c r="R218" s="1289" t="s">
        <v>6077</v>
      </c>
      <c r="S218" s="1332" t="s">
        <v>6056</v>
      </c>
      <c r="T218" s="1417"/>
    </row>
    <row r="219" spans="1:20" s="1292" customFormat="1" ht="20.100000000000001" customHeight="1">
      <c r="A219" s="1290"/>
      <c r="B219" s="1413" t="s">
        <v>29</v>
      </c>
      <c r="C219" s="1333" t="s">
        <v>5907</v>
      </c>
      <c r="D219" s="1335" t="s">
        <v>62</v>
      </c>
      <c r="E219" s="1373" t="s">
        <v>34</v>
      </c>
      <c r="F219" s="1335">
        <v>150</v>
      </c>
      <c r="G219" s="1291" t="s">
        <v>32</v>
      </c>
      <c r="H219" s="1289" t="s">
        <v>6375</v>
      </c>
      <c r="I219" s="1310" t="s">
        <v>34</v>
      </c>
      <c r="J219" s="1310" t="s">
        <v>34</v>
      </c>
      <c r="K219" s="1333" t="s">
        <v>2353</v>
      </c>
      <c r="L219" s="1414">
        <v>857522.12</v>
      </c>
      <c r="M219" s="1415">
        <v>171504.424</v>
      </c>
      <c r="N219" s="1416" t="s">
        <v>3638</v>
      </c>
      <c r="O219" s="1335" t="s">
        <v>65</v>
      </c>
      <c r="P219" s="1331" t="s">
        <v>6076</v>
      </c>
      <c r="Q219" s="1335">
        <v>17732305201</v>
      </c>
      <c r="R219" s="1289" t="s">
        <v>6077</v>
      </c>
      <c r="S219" s="1332" t="s">
        <v>6056</v>
      </c>
      <c r="T219" s="1417"/>
    </row>
    <row r="220" spans="1:20" s="1292" customFormat="1" ht="20.100000000000001" customHeight="1">
      <c r="A220" s="1290"/>
      <c r="B220" s="1413" t="s">
        <v>29</v>
      </c>
      <c r="C220" s="1333" t="s">
        <v>60</v>
      </c>
      <c r="D220" s="1335" t="s">
        <v>62</v>
      </c>
      <c r="E220" s="1373" t="s">
        <v>34</v>
      </c>
      <c r="F220" s="1335">
        <v>144.30000000000001</v>
      </c>
      <c r="G220" s="1291" t="s">
        <v>32</v>
      </c>
      <c r="H220" s="1289" t="s">
        <v>6375</v>
      </c>
      <c r="I220" s="1310" t="s">
        <v>34</v>
      </c>
      <c r="J220" s="1310" t="s">
        <v>34</v>
      </c>
      <c r="K220" s="1333" t="s">
        <v>2353</v>
      </c>
      <c r="L220" s="1414">
        <v>824936.28</v>
      </c>
      <c r="M220" s="1415">
        <v>164987.25599999999</v>
      </c>
      <c r="N220" s="1416" t="s">
        <v>3638</v>
      </c>
      <c r="O220" s="1335" t="s">
        <v>65</v>
      </c>
      <c r="P220" s="1331" t="s">
        <v>6076</v>
      </c>
      <c r="Q220" s="1335">
        <v>17732305201</v>
      </c>
      <c r="R220" s="1289" t="s">
        <v>6077</v>
      </c>
      <c r="S220" s="1332" t="s">
        <v>6056</v>
      </c>
      <c r="T220" s="1417"/>
    </row>
    <row r="221" spans="1:20" s="1292" customFormat="1" ht="20.100000000000001" customHeight="1">
      <c r="A221" s="1290"/>
      <c r="B221" s="1413" t="s">
        <v>29</v>
      </c>
      <c r="C221" s="1333" t="s">
        <v>5806</v>
      </c>
      <c r="D221" s="1335" t="s">
        <v>31</v>
      </c>
      <c r="E221" s="1335">
        <v>2564</v>
      </c>
      <c r="F221" s="1335">
        <v>2564</v>
      </c>
      <c r="G221" s="1291" t="s">
        <v>32</v>
      </c>
      <c r="H221" s="1289" t="s">
        <v>6375</v>
      </c>
      <c r="I221" s="1310" t="s">
        <v>34</v>
      </c>
      <c r="J221" s="1310" t="s">
        <v>34</v>
      </c>
      <c r="K221" s="1419" t="s">
        <v>6376</v>
      </c>
      <c r="L221" s="1414">
        <v>561023.05000000005</v>
      </c>
      <c r="M221" s="1414">
        <v>112204.61</v>
      </c>
      <c r="N221" s="1416" t="s">
        <v>3569</v>
      </c>
      <c r="O221" s="1335" t="s">
        <v>65</v>
      </c>
      <c r="P221" s="1331" t="s">
        <v>6076</v>
      </c>
      <c r="Q221" s="1335">
        <v>17732305201</v>
      </c>
      <c r="R221" s="1289" t="s">
        <v>6077</v>
      </c>
      <c r="S221" s="1332" t="s">
        <v>6056</v>
      </c>
      <c r="T221" s="1417"/>
    </row>
    <row r="222" spans="1:20" s="1292" customFormat="1" ht="20.100000000000001" customHeight="1">
      <c r="A222" s="1290"/>
      <c r="B222" s="1420" t="s">
        <v>6377</v>
      </c>
      <c r="C222" s="1420" t="s">
        <v>6377</v>
      </c>
      <c r="D222" s="1420" t="s">
        <v>1477</v>
      </c>
      <c r="E222" s="1420">
        <v>1</v>
      </c>
      <c r="F222" s="1420">
        <v>1</v>
      </c>
      <c r="G222" s="1420" t="s">
        <v>32</v>
      </c>
      <c r="H222" s="1420" t="s">
        <v>6375</v>
      </c>
      <c r="I222" s="1310" t="s">
        <v>34</v>
      </c>
      <c r="J222" s="1310" t="s">
        <v>34</v>
      </c>
      <c r="K222" s="1420" t="s">
        <v>6378</v>
      </c>
      <c r="L222" s="1414">
        <v>809734.51</v>
      </c>
      <c r="M222" s="1311">
        <v>161946.902</v>
      </c>
      <c r="N222" s="1416" t="s">
        <v>3569</v>
      </c>
      <c r="O222" s="1291" t="s">
        <v>65</v>
      </c>
      <c r="P222" s="1332" t="s">
        <v>6076</v>
      </c>
      <c r="Q222" s="1291">
        <v>17732305201</v>
      </c>
      <c r="R222" s="1289" t="s">
        <v>6077</v>
      </c>
      <c r="S222" s="1332" t="s">
        <v>6056</v>
      </c>
      <c r="T222" s="1417"/>
    </row>
    <row r="223" spans="1:20" s="1292" customFormat="1" ht="20.100000000000001" customHeight="1">
      <c r="A223" s="1290"/>
      <c r="B223" s="1420" t="s">
        <v>29</v>
      </c>
      <c r="C223" s="1420" t="s">
        <v>6379</v>
      </c>
      <c r="D223" s="1335" t="s">
        <v>62</v>
      </c>
      <c r="E223" s="1373" t="s">
        <v>34</v>
      </c>
      <c r="F223" s="1420">
        <v>62.99</v>
      </c>
      <c r="G223" s="1420" t="s">
        <v>32</v>
      </c>
      <c r="H223" s="1420" t="s">
        <v>6375</v>
      </c>
      <c r="I223" s="1310" t="s">
        <v>34</v>
      </c>
      <c r="J223" s="1310" t="s">
        <v>34</v>
      </c>
      <c r="K223" s="1333" t="s">
        <v>2353</v>
      </c>
      <c r="L223" s="1414">
        <v>360102.12</v>
      </c>
      <c r="M223" s="1311">
        <v>72020.423999999999</v>
      </c>
      <c r="N223" s="1416" t="s">
        <v>3569</v>
      </c>
      <c r="O223" s="1291" t="s">
        <v>65</v>
      </c>
      <c r="P223" s="1332" t="s">
        <v>6076</v>
      </c>
      <c r="Q223" s="1291">
        <v>17732305201</v>
      </c>
      <c r="R223" s="1289" t="s">
        <v>6077</v>
      </c>
      <c r="S223" s="1332" t="s">
        <v>6056</v>
      </c>
      <c r="T223" s="1417"/>
    </row>
    <row r="224" spans="1:20" s="1292" customFormat="1" ht="20.100000000000001" customHeight="1">
      <c r="A224" s="1290"/>
      <c r="B224" s="1420" t="s">
        <v>29</v>
      </c>
      <c r="C224" s="1420" t="s">
        <v>6380</v>
      </c>
      <c r="D224" s="1335" t="s">
        <v>62</v>
      </c>
      <c r="E224" s="1373" t="s">
        <v>34</v>
      </c>
      <c r="F224" s="1420">
        <v>64.53</v>
      </c>
      <c r="G224" s="1420" t="s">
        <v>32</v>
      </c>
      <c r="H224" s="1420" t="s">
        <v>6375</v>
      </c>
      <c r="I224" s="1310" t="s">
        <v>34</v>
      </c>
      <c r="J224" s="1310" t="s">
        <v>34</v>
      </c>
      <c r="K224" s="1333" t="s">
        <v>2353</v>
      </c>
      <c r="L224" s="1414">
        <v>368906.02</v>
      </c>
      <c r="M224" s="1311">
        <v>73781.203999999998</v>
      </c>
      <c r="N224" s="1416" t="s">
        <v>3569</v>
      </c>
      <c r="O224" s="1291" t="s">
        <v>65</v>
      </c>
      <c r="P224" s="1332" t="s">
        <v>6076</v>
      </c>
      <c r="Q224" s="1291">
        <v>17732305201</v>
      </c>
      <c r="R224" s="1289" t="s">
        <v>6077</v>
      </c>
      <c r="S224" s="1332" t="s">
        <v>6056</v>
      </c>
      <c r="T224" s="1417"/>
    </row>
    <row r="225" spans="1:20" s="1292" customFormat="1" ht="20.100000000000001" customHeight="1">
      <c r="A225" s="1290"/>
      <c r="B225" s="1420" t="s">
        <v>29</v>
      </c>
      <c r="C225" s="1420" t="s">
        <v>6380</v>
      </c>
      <c r="D225" s="1335" t="s">
        <v>62</v>
      </c>
      <c r="E225" s="1373" t="s">
        <v>34</v>
      </c>
      <c r="F225" s="1420">
        <v>31.46</v>
      </c>
      <c r="G225" s="1420" t="s">
        <v>32</v>
      </c>
      <c r="H225" s="1420" t="s">
        <v>6375</v>
      </c>
      <c r="I225" s="1310" t="s">
        <v>34</v>
      </c>
      <c r="J225" s="1310" t="s">
        <v>34</v>
      </c>
      <c r="K225" s="1333" t="s">
        <v>2353</v>
      </c>
      <c r="L225" s="1414">
        <v>179850.97</v>
      </c>
      <c r="M225" s="1311">
        <v>35970.194000000003</v>
      </c>
      <c r="N225" s="1416" t="s">
        <v>3569</v>
      </c>
      <c r="O225" s="1291" t="s">
        <v>65</v>
      </c>
      <c r="P225" s="1332" t="s">
        <v>6076</v>
      </c>
      <c r="Q225" s="1291">
        <v>17732305201</v>
      </c>
      <c r="R225" s="1289" t="s">
        <v>6077</v>
      </c>
      <c r="S225" s="1332" t="s">
        <v>6056</v>
      </c>
      <c r="T225" s="1417"/>
    </row>
    <row r="226" spans="1:20" s="1292" customFormat="1" ht="20.100000000000001" customHeight="1">
      <c r="A226" s="1290"/>
      <c r="B226" s="1420" t="s">
        <v>29</v>
      </c>
      <c r="C226" s="1420" t="s">
        <v>6380</v>
      </c>
      <c r="D226" s="1335" t="s">
        <v>62</v>
      </c>
      <c r="E226" s="1373" t="s">
        <v>34</v>
      </c>
      <c r="F226" s="1420">
        <v>127.08</v>
      </c>
      <c r="G226" s="1420" t="s">
        <v>32</v>
      </c>
      <c r="H226" s="1420" t="s">
        <v>6375</v>
      </c>
      <c r="I226" s="1310" t="s">
        <v>34</v>
      </c>
      <c r="J226" s="1310" t="s">
        <v>34</v>
      </c>
      <c r="K226" s="1333" t="s">
        <v>2353</v>
      </c>
      <c r="L226" s="1414">
        <v>726492.74</v>
      </c>
      <c r="M226" s="1311">
        <v>145298.54800000001</v>
      </c>
      <c r="N226" s="1416" t="s">
        <v>3569</v>
      </c>
      <c r="O226" s="1291" t="s">
        <v>65</v>
      </c>
      <c r="P226" s="1332" t="s">
        <v>6076</v>
      </c>
      <c r="Q226" s="1291">
        <v>17732305201</v>
      </c>
      <c r="R226" s="1289" t="s">
        <v>6077</v>
      </c>
      <c r="S226" s="1332" t="s">
        <v>6056</v>
      </c>
      <c r="T226" s="1417"/>
    </row>
    <row r="227" spans="1:20" s="1292" customFormat="1" ht="20.100000000000001" customHeight="1">
      <c r="A227" s="1290"/>
      <c r="B227" s="1413" t="s">
        <v>29</v>
      </c>
      <c r="C227" s="1333" t="s">
        <v>5806</v>
      </c>
      <c r="D227" s="1335" t="s">
        <v>31</v>
      </c>
      <c r="E227" s="1421">
        <v>2287</v>
      </c>
      <c r="F227" s="1421">
        <v>2287</v>
      </c>
      <c r="G227" s="1420" t="s">
        <v>32</v>
      </c>
      <c r="H227" s="1420" t="s">
        <v>6375</v>
      </c>
      <c r="I227" s="1310" t="s">
        <v>34</v>
      </c>
      <c r="J227" s="1310" t="s">
        <v>34</v>
      </c>
      <c r="K227" s="1333" t="s">
        <v>6381</v>
      </c>
      <c r="L227" s="1414">
        <v>527316.81999999995</v>
      </c>
      <c r="M227" s="1311">
        <v>105463.364</v>
      </c>
      <c r="N227" s="1416" t="s">
        <v>3585</v>
      </c>
      <c r="O227" s="1291" t="s">
        <v>65</v>
      </c>
      <c r="P227" s="1332" t="s">
        <v>6076</v>
      </c>
      <c r="Q227" s="1291">
        <v>17732305201</v>
      </c>
      <c r="R227" s="1289" t="s">
        <v>6077</v>
      </c>
      <c r="S227" s="1332" t="s">
        <v>6056</v>
      </c>
      <c r="T227" s="1417"/>
    </row>
    <row r="228" spans="1:20" s="1292" customFormat="1" ht="20.100000000000001" customHeight="1">
      <c r="A228" s="1290"/>
      <c r="B228" s="1413" t="s">
        <v>29</v>
      </c>
      <c r="C228" s="1333" t="s">
        <v>6374</v>
      </c>
      <c r="D228" s="1335" t="s">
        <v>62</v>
      </c>
      <c r="E228" s="1373" t="s">
        <v>34</v>
      </c>
      <c r="F228" s="1421">
        <v>70.259</v>
      </c>
      <c r="G228" s="1420" t="s">
        <v>32</v>
      </c>
      <c r="H228" s="1420" t="s">
        <v>6375</v>
      </c>
      <c r="I228" s="1310" t="s">
        <v>34</v>
      </c>
      <c r="J228" s="1310" t="s">
        <v>34</v>
      </c>
      <c r="K228" s="1333" t="s">
        <v>2353</v>
      </c>
      <c r="L228" s="1414">
        <v>440206.83</v>
      </c>
      <c r="M228" s="1311">
        <v>88041.365999999995</v>
      </c>
      <c r="N228" s="1416" t="s">
        <v>3585</v>
      </c>
      <c r="O228" s="1291" t="s">
        <v>65</v>
      </c>
      <c r="P228" s="1332" t="s">
        <v>6076</v>
      </c>
      <c r="Q228" s="1291">
        <v>17732305201</v>
      </c>
      <c r="R228" s="1289" t="s">
        <v>6077</v>
      </c>
      <c r="S228" s="1332" t="s">
        <v>6056</v>
      </c>
      <c r="T228" s="1417"/>
    </row>
    <row r="229" spans="1:20" s="1292" customFormat="1" ht="20.100000000000001" customHeight="1">
      <c r="A229" s="1290"/>
      <c r="B229" s="1413" t="s">
        <v>29</v>
      </c>
      <c r="C229" s="1333" t="s">
        <v>6374</v>
      </c>
      <c r="D229" s="1335" t="s">
        <v>62</v>
      </c>
      <c r="E229" s="1373" t="s">
        <v>34</v>
      </c>
      <c r="F229" s="1421">
        <v>80.061000000000007</v>
      </c>
      <c r="G229" s="1420" t="s">
        <v>32</v>
      </c>
      <c r="H229" s="1420" t="s">
        <v>6375</v>
      </c>
      <c r="I229" s="1310" t="s">
        <v>34</v>
      </c>
      <c r="J229" s="1310" t="s">
        <v>34</v>
      </c>
      <c r="K229" s="1333" t="s">
        <v>2353</v>
      </c>
      <c r="L229" s="1414">
        <v>457693.86</v>
      </c>
      <c r="M229" s="1311">
        <v>91538.771999999997</v>
      </c>
      <c r="N229" s="1416" t="s">
        <v>3585</v>
      </c>
      <c r="O229" s="1291" t="s">
        <v>65</v>
      </c>
      <c r="P229" s="1332" t="s">
        <v>6076</v>
      </c>
      <c r="Q229" s="1291">
        <v>17732305201</v>
      </c>
      <c r="R229" s="1289" t="s">
        <v>6077</v>
      </c>
      <c r="S229" s="1332" t="s">
        <v>6056</v>
      </c>
      <c r="T229" s="1417"/>
    </row>
    <row r="230" spans="1:20" s="1292" customFormat="1" ht="20.100000000000001" customHeight="1">
      <c r="A230" s="1290"/>
      <c r="B230" s="1413" t="s">
        <v>29</v>
      </c>
      <c r="C230" s="1333" t="s">
        <v>6374</v>
      </c>
      <c r="D230" s="1335" t="s">
        <v>62</v>
      </c>
      <c r="E230" s="1373" t="s">
        <v>34</v>
      </c>
      <c r="F230" s="1421">
        <v>166</v>
      </c>
      <c r="G230" s="1420" t="s">
        <v>32</v>
      </c>
      <c r="H230" s="1420" t="s">
        <v>6375</v>
      </c>
      <c r="I230" s="1310" t="s">
        <v>34</v>
      </c>
      <c r="J230" s="1310" t="s">
        <v>34</v>
      </c>
      <c r="K230" s="1333" t="s">
        <v>2353</v>
      </c>
      <c r="L230" s="1414">
        <v>948991.15</v>
      </c>
      <c r="M230" s="1311">
        <v>189798.23</v>
      </c>
      <c r="N230" s="1416" t="s">
        <v>3585</v>
      </c>
      <c r="O230" s="1215" t="s">
        <v>65</v>
      </c>
      <c r="P230" s="1193" t="s">
        <v>6076</v>
      </c>
      <c r="Q230" s="1215">
        <v>17732305201</v>
      </c>
      <c r="R230" s="1408" t="s">
        <v>6077</v>
      </c>
      <c r="S230" s="1193" t="s">
        <v>6056</v>
      </c>
      <c r="T230" s="1417"/>
    </row>
    <row r="231" spans="1:20" s="1292" customFormat="1" ht="20.100000000000001" customHeight="1">
      <c r="A231" s="1290"/>
      <c r="B231" s="1413" t="s">
        <v>29</v>
      </c>
      <c r="C231" s="1333" t="s">
        <v>6374</v>
      </c>
      <c r="D231" s="1335" t="s">
        <v>62</v>
      </c>
      <c r="E231" s="1373" t="s">
        <v>34</v>
      </c>
      <c r="F231" s="1421">
        <v>28</v>
      </c>
      <c r="G231" s="1420" t="s">
        <v>32</v>
      </c>
      <c r="H231" s="1420" t="s">
        <v>6375</v>
      </c>
      <c r="I231" s="1310" t="s">
        <v>34</v>
      </c>
      <c r="J231" s="1310" t="s">
        <v>34</v>
      </c>
      <c r="K231" s="1333" t="s">
        <v>229</v>
      </c>
      <c r="L231" s="1414">
        <v>156601.76999999999</v>
      </c>
      <c r="M231" s="1311">
        <v>31320.353999999999</v>
      </c>
      <c r="N231" s="1416" t="s">
        <v>3686</v>
      </c>
      <c r="O231" s="1291" t="s">
        <v>65</v>
      </c>
      <c r="P231" s="1291" t="s">
        <v>6076</v>
      </c>
      <c r="Q231" s="1291">
        <v>17732305201</v>
      </c>
      <c r="R231" s="1289" t="s">
        <v>6077</v>
      </c>
      <c r="S231" s="1291" t="s">
        <v>6056</v>
      </c>
      <c r="T231" s="1417"/>
    </row>
    <row r="232" spans="1:20" s="1292" customFormat="1" ht="20.100000000000001" customHeight="1">
      <c r="A232" s="1290"/>
      <c r="B232" s="1413" t="s">
        <v>29</v>
      </c>
      <c r="C232" s="1333" t="s">
        <v>6374</v>
      </c>
      <c r="D232" s="1335" t="s">
        <v>62</v>
      </c>
      <c r="E232" s="1373" t="s">
        <v>34</v>
      </c>
      <c r="F232" s="1421">
        <v>158</v>
      </c>
      <c r="G232" s="1420" t="s">
        <v>32</v>
      </c>
      <c r="H232" s="1420" t="s">
        <v>6375</v>
      </c>
      <c r="I232" s="1310" t="s">
        <v>34</v>
      </c>
      <c r="J232" s="1310" t="s">
        <v>34</v>
      </c>
      <c r="K232" s="1333" t="s">
        <v>229</v>
      </c>
      <c r="L232" s="1414">
        <v>883681.42</v>
      </c>
      <c r="M232" s="1311">
        <v>176736.28400000001</v>
      </c>
      <c r="N232" s="1416" t="s">
        <v>3686</v>
      </c>
      <c r="O232" s="1291" t="s">
        <v>65</v>
      </c>
      <c r="P232" s="1291" t="s">
        <v>6076</v>
      </c>
      <c r="Q232" s="1291">
        <v>17732305201</v>
      </c>
      <c r="R232" s="1289" t="s">
        <v>6077</v>
      </c>
      <c r="S232" s="1291" t="s">
        <v>6056</v>
      </c>
      <c r="T232" s="1417"/>
    </row>
    <row r="233" spans="1:20" s="1292" customFormat="1" ht="20.100000000000001" customHeight="1">
      <c r="A233" s="1290"/>
      <c r="B233" s="1413" t="s">
        <v>29</v>
      </c>
      <c r="C233" s="1333" t="s">
        <v>6374</v>
      </c>
      <c r="D233" s="1335" t="s">
        <v>62</v>
      </c>
      <c r="E233" s="1373" t="s">
        <v>34</v>
      </c>
      <c r="F233" s="1421">
        <v>158</v>
      </c>
      <c r="G233" s="1420" t="s">
        <v>32</v>
      </c>
      <c r="H233" s="1420" t="s">
        <v>6375</v>
      </c>
      <c r="I233" s="1310" t="s">
        <v>34</v>
      </c>
      <c r="J233" s="1310" t="s">
        <v>34</v>
      </c>
      <c r="K233" s="1333" t="s">
        <v>229</v>
      </c>
      <c r="L233" s="1414">
        <v>883681.42</v>
      </c>
      <c r="M233" s="1311">
        <v>176736.28400000001</v>
      </c>
      <c r="N233" s="1416" t="s">
        <v>3686</v>
      </c>
      <c r="O233" s="1291" t="s">
        <v>65</v>
      </c>
      <c r="P233" s="1291" t="s">
        <v>6076</v>
      </c>
      <c r="Q233" s="1291">
        <v>17732305201</v>
      </c>
      <c r="R233" s="1289" t="s">
        <v>6077</v>
      </c>
      <c r="S233" s="1291" t="s">
        <v>6056</v>
      </c>
      <c r="T233" s="1417"/>
    </row>
    <row r="234" spans="1:20" s="1292" customFormat="1" ht="20.100000000000001" customHeight="1">
      <c r="A234" s="1290"/>
      <c r="B234" s="1413" t="s">
        <v>29</v>
      </c>
      <c r="C234" s="1333" t="s">
        <v>6374</v>
      </c>
      <c r="D234" s="1335" t="s">
        <v>62</v>
      </c>
      <c r="E234" s="1373" t="s">
        <v>34</v>
      </c>
      <c r="F234" s="1421">
        <v>98.69</v>
      </c>
      <c r="G234" s="1420" t="s">
        <v>32</v>
      </c>
      <c r="H234" s="1420" t="s">
        <v>6375</v>
      </c>
      <c r="I234" s="1310" t="s">
        <v>34</v>
      </c>
      <c r="J234" s="1310" t="s">
        <v>34</v>
      </c>
      <c r="K234" s="1333" t="s">
        <v>2353</v>
      </c>
      <c r="L234" s="1414">
        <v>696943.54</v>
      </c>
      <c r="M234" s="1311">
        <v>139388.70800000001</v>
      </c>
      <c r="N234" s="1416" t="s">
        <v>3686</v>
      </c>
      <c r="O234" s="1291" t="s">
        <v>65</v>
      </c>
      <c r="P234" s="1291" t="s">
        <v>6076</v>
      </c>
      <c r="Q234" s="1291">
        <v>17732305201</v>
      </c>
      <c r="R234" s="1289" t="s">
        <v>6077</v>
      </c>
      <c r="S234" s="1291" t="s">
        <v>6056</v>
      </c>
      <c r="T234" s="1417"/>
    </row>
    <row r="235" spans="1:20" s="1292" customFormat="1" ht="20.100000000000001" customHeight="1">
      <c r="A235" s="1290"/>
      <c r="B235" s="1413" t="s">
        <v>29</v>
      </c>
      <c r="C235" s="1333" t="s">
        <v>6374</v>
      </c>
      <c r="D235" s="1335" t="s">
        <v>62</v>
      </c>
      <c r="E235" s="1373" t="s">
        <v>34</v>
      </c>
      <c r="F235" s="1421">
        <v>108.22</v>
      </c>
      <c r="G235" s="1420" t="s">
        <v>32</v>
      </c>
      <c r="H235" s="1420" t="s">
        <v>6375</v>
      </c>
      <c r="I235" s="1310" t="s">
        <v>34</v>
      </c>
      <c r="J235" s="1310" t="s">
        <v>34</v>
      </c>
      <c r="K235" s="1333" t="s">
        <v>2353</v>
      </c>
      <c r="L235" s="1414">
        <v>785313.27</v>
      </c>
      <c r="M235" s="1311">
        <v>157062.65400000001</v>
      </c>
      <c r="N235" s="1416" t="s">
        <v>4958</v>
      </c>
      <c r="O235" s="1291" t="s">
        <v>65</v>
      </c>
      <c r="P235" s="1291" t="s">
        <v>6076</v>
      </c>
      <c r="Q235" s="1291">
        <v>17732305201</v>
      </c>
      <c r="R235" s="1289" t="s">
        <v>6077</v>
      </c>
      <c r="S235" s="1291" t="s">
        <v>6056</v>
      </c>
      <c r="T235" s="1417"/>
    </row>
    <row r="236" spans="1:20" s="1292" customFormat="1" ht="20.100000000000001" customHeight="1">
      <c r="A236" s="1290"/>
      <c r="B236" s="1413" t="s">
        <v>29</v>
      </c>
      <c r="C236" s="1333" t="s">
        <v>6374</v>
      </c>
      <c r="D236" s="1335" t="s">
        <v>62</v>
      </c>
      <c r="E236" s="1373" t="s">
        <v>34</v>
      </c>
      <c r="F236" s="1421">
        <v>110</v>
      </c>
      <c r="G236" s="1420" t="s">
        <v>32</v>
      </c>
      <c r="H236" s="1420" t="s">
        <v>6375</v>
      </c>
      <c r="I236" s="1310" t="s">
        <v>34</v>
      </c>
      <c r="J236" s="1310" t="s">
        <v>34</v>
      </c>
      <c r="K236" s="1333" t="s">
        <v>2353</v>
      </c>
      <c r="L236" s="1414">
        <v>798230.09</v>
      </c>
      <c r="M236" s="1311">
        <v>159646.01800000001</v>
      </c>
      <c r="N236" s="1416" t="s">
        <v>4958</v>
      </c>
      <c r="O236" s="1291" t="s">
        <v>65</v>
      </c>
      <c r="P236" s="1291" t="s">
        <v>6076</v>
      </c>
      <c r="Q236" s="1291">
        <v>17732305201</v>
      </c>
      <c r="R236" s="1289" t="s">
        <v>6077</v>
      </c>
      <c r="S236" s="1291" t="s">
        <v>6056</v>
      </c>
      <c r="T236" s="1417"/>
    </row>
    <row r="237" spans="1:20" s="1292" customFormat="1" ht="20.100000000000001" customHeight="1">
      <c r="A237" s="1290"/>
      <c r="B237" s="1413" t="s">
        <v>29</v>
      </c>
      <c r="C237" s="1333" t="s">
        <v>6374</v>
      </c>
      <c r="D237" s="1335" t="s">
        <v>62</v>
      </c>
      <c r="E237" s="1373" t="s">
        <v>34</v>
      </c>
      <c r="F237" s="1421">
        <v>70</v>
      </c>
      <c r="G237" s="1420" t="s">
        <v>32</v>
      </c>
      <c r="H237" s="1420" t="s">
        <v>6375</v>
      </c>
      <c r="I237" s="1310" t="s">
        <v>34</v>
      </c>
      <c r="J237" s="1310" t="s">
        <v>34</v>
      </c>
      <c r="K237" s="1333" t="s">
        <v>2353</v>
      </c>
      <c r="L237" s="1414">
        <v>507964.6</v>
      </c>
      <c r="M237" s="1311">
        <v>101592.92</v>
      </c>
      <c r="N237" s="1416" t="s">
        <v>4958</v>
      </c>
      <c r="O237" s="1291" t="s">
        <v>65</v>
      </c>
      <c r="P237" s="1291" t="s">
        <v>6076</v>
      </c>
      <c r="Q237" s="1291">
        <v>17732305201</v>
      </c>
      <c r="R237" s="1289" t="s">
        <v>6077</v>
      </c>
      <c r="S237" s="1291" t="s">
        <v>6056</v>
      </c>
      <c r="T237" s="1417"/>
    </row>
    <row r="238" spans="1:20" s="1292" customFormat="1" ht="20.100000000000001" customHeight="1">
      <c r="A238" s="1290"/>
      <c r="B238" s="1413" t="s">
        <v>29</v>
      </c>
      <c r="C238" s="1333" t="s">
        <v>6374</v>
      </c>
      <c r="D238" s="1335" t="s">
        <v>62</v>
      </c>
      <c r="E238" s="1373" t="s">
        <v>34</v>
      </c>
      <c r="F238" s="1421">
        <v>59.53</v>
      </c>
      <c r="G238" s="1420" t="s">
        <v>32</v>
      </c>
      <c r="H238" s="1420" t="s">
        <v>6375</v>
      </c>
      <c r="I238" s="1310" t="s">
        <v>34</v>
      </c>
      <c r="J238" s="1310" t="s">
        <v>34</v>
      </c>
      <c r="K238" s="1333" t="s">
        <v>2353</v>
      </c>
      <c r="L238" s="1414">
        <v>395637.43</v>
      </c>
      <c r="M238" s="1311">
        <v>79127.486000000004</v>
      </c>
      <c r="N238" s="1416" t="s">
        <v>4958</v>
      </c>
      <c r="O238" s="1291" t="s">
        <v>65</v>
      </c>
      <c r="P238" s="1291" t="s">
        <v>6076</v>
      </c>
      <c r="Q238" s="1291">
        <v>17732305201</v>
      </c>
      <c r="R238" s="1289" t="s">
        <v>6077</v>
      </c>
      <c r="S238" s="1291" t="s">
        <v>6056</v>
      </c>
      <c r="T238" s="1417"/>
    </row>
    <row r="239" spans="1:20" s="1292" customFormat="1" ht="20.100000000000001" customHeight="1">
      <c r="A239" s="1290"/>
      <c r="B239" s="1413" t="s">
        <v>29</v>
      </c>
      <c r="C239" s="1333" t="s">
        <v>6374</v>
      </c>
      <c r="D239" s="1335" t="s">
        <v>62</v>
      </c>
      <c r="E239" s="1373" t="s">
        <v>34</v>
      </c>
      <c r="F239" s="1421">
        <v>135</v>
      </c>
      <c r="G239" s="1420" t="s">
        <v>32</v>
      </c>
      <c r="H239" s="1420" t="s">
        <v>6375</v>
      </c>
      <c r="I239" s="1310" t="s">
        <v>34</v>
      </c>
      <c r="J239" s="1310" t="s">
        <v>34</v>
      </c>
      <c r="K239" s="1333" t="s">
        <v>2353</v>
      </c>
      <c r="L239" s="1414">
        <v>979646.02</v>
      </c>
      <c r="M239" s="1311">
        <v>293893.80599999998</v>
      </c>
      <c r="N239" s="1416" t="s">
        <v>6382</v>
      </c>
      <c r="O239" s="1291" t="s">
        <v>65</v>
      </c>
      <c r="P239" s="1291" t="s">
        <v>6076</v>
      </c>
      <c r="Q239" s="1291">
        <v>17732305201</v>
      </c>
      <c r="R239" s="1289" t="s">
        <v>6077</v>
      </c>
      <c r="S239" s="1291" t="s">
        <v>6056</v>
      </c>
      <c r="T239" s="1417"/>
    </row>
    <row r="240" spans="1:20" s="1292" customFormat="1" ht="20.100000000000001" customHeight="1">
      <c r="A240" s="1290"/>
      <c r="B240" s="1413" t="s">
        <v>29</v>
      </c>
      <c r="C240" s="1333" t="s">
        <v>6374</v>
      </c>
      <c r="D240" s="1335" t="s">
        <v>62</v>
      </c>
      <c r="E240" s="1373" t="s">
        <v>34</v>
      </c>
      <c r="F240" s="1421">
        <v>53</v>
      </c>
      <c r="G240" s="1420" t="s">
        <v>32</v>
      </c>
      <c r="H240" s="1420" t="s">
        <v>6375</v>
      </c>
      <c r="I240" s="1310" t="s">
        <v>34</v>
      </c>
      <c r="J240" s="1310" t="s">
        <v>34</v>
      </c>
      <c r="K240" s="1333" t="s">
        <v>2353</v>
      </c>
      <c r="L240" s="1414">
        <v>384601.77</v>
      </c>
      <c r="M240" s="1311">
        <v>115380.531</v>
      </c>
      <c r="N240" s="1416" t="s">
        <v>6382</v>
      </c>
      <c r="O240" s="1291" t="s">
        <v>65</v>
      </c>
      <c r="P240" s="1291" t="s">
        <v>6076</v>
      </c>
      <c r="Q240" s="1291">
        <v>17732305201</v>
      </c>
      <c r="R240" s="1289" t="s">
        <v>6077</v>
      </c>
      <c r="S240" s="1291" t="s">
        <v>6056</v>
      </c>
      <c r="T240" s="1417"/>
    </row>
    <row r="241" spans="1:20" s="1292" customFormat="1" ht="20.100000000000001" customHeight="1">
      <c r="A241" s="1290"/>
      <c r="B241" s="1413" t="s">
        <v>29</v>
      </c>
      <c r="C241" s="1333" t="s">
        <v>6374</v>
      </c>
      <c r="D241" s="1335" t="s">
        <v>62</v>
      </c>
      <c r="E241" s="1373" t="s">
        <v>34</v>
      </c>
      <c r="F241" s="1421">
        <v>31.29</v>
      </c>
      <c r="G241" s="1420" t="s">
        <v>32</v>
      </c>
      <c r="H241" s="1420" t="s">
        <v>6375</v>
      </c>
      <c r="I241" s="1310" t="s">
        <v>34</v>
      </c>
      <c r="J241" s="1310" t="s">
        <v>34</v>
      </c>
      <c r="K241" s="1333" t="s">
        <v>2353</v>
      </c>
      <c r="L241" s="1414">
        <v>207953.89</v>
      </c>
      <c r="M241" s="1311">
        <v>62386.167000000001</v>
      </c>
      <c r="N241" s="1416" t="s">
        <v>6382</v>
      </c>
      <c r="O241" s="1291" t="s">
        <v>65</v>
      </c>
      <c r="P241" s="1291" t="s">
        <v>6076</v>
      </c>
      <c r="Q241" s="1291">
        <v>17732305201</v>
      </c>
      <c r="R241" s="1289" t="s">
        <v>6077</v>
      </c>
      <c r="S241" s="1291" t="s">
        <v>6056</v>
      </c>
      <c r="T241" s="1417"/>
    </row>
    <row r="242" spans="1:20" s="1292" customFormat="1" ht="20.100000000000001" customHeight="1">
      <c r="A242" s="1290"/>
      <c r="B242" s="1413" t="s">
        <v>29</v>
      </c>
      <c r="C242" s="1335" t="s">
        <v>6383</v>
      </c>
      <c r="D242" s="1335" t="s">
        <v>62</v>
      </c>
      <c r="E242" s="1373" t="s">
        <v>34</v>
      </c>
      <c r="F242" s="1421">
        <v>126.58</v>
      </c>
      <c r="G242" s="1420" t="s">
        <v>32</v>
      </c>
      <c r="H242" s="1420" t="s">
        <v>6375</v>
      </c>
      <c r="I242" s="1310" t="s">
        <v>34</v>
      </c>
      <c r="J242" s="1310" t="s">
        <v>34</v>
      </c>
      <c r="K242" s="1333" t="s">
        <v>229</v>
      </c>
      <c r="L242" s="1414">
        <v>884939.82</v>
      </c>
      <c r="M242" s="1311">
        <v>265481.946</v>
      </c>
      <c r="N242" s="1416" t="s">
        <v>6382</v>
      </c>
      <c r="O242" s="1291" t="s">
        <v>65</v>
      </c>
      <c r="P242" s="1291" t="s">
        <v>6076</v>
      </c>
      <c r="Q242" s="1291">
        <v>17732305201</v>
      </c>
      <c r="R242" s="1289" t="s">
        <v>6077</v>
      </c>
      <c r="S242" s="1291" t="s">
        <v>6056</v>
      </c>
      <c r="T242" s="1417"/>
    </row>
    <row r="243" spans="1:20" s="1292" customFormat="1" ht="20.100000000000001" customHeight="1">
      <c r="A243" s="1290"/>
      <c r="B243" s="1413" t="s">
        <v>29</v>
      </c>
      <c r="C243" s="1335" t="s">
        <v>6383</v>
      </c>
      <c r="D243" s="1335" t="s">
        <v>62</v>
      </c>
      <c r="E243" s="1373" t="s">
        <v>34</v>
      </c>
      <c r="F243" s="1421">
        <v>126.58</v>
      </c>
      <c r="G243" s="1420" t="s">
        <v>32</v>
      </c>
      <c r="H243" s="1420" t="s">
        <v>6375</v>
      </c>
      <c r="I243" s="1310" t="s">
        <v>34</v>
      </c>
      <c r="J243" s="1310" t="s">
        <v>34</v>
      </c>
      <c r="K243" s="1333" t="s">
        <v>229</v>
      </c>
      <c r="L243" s="1414">
        <v>884939.82</v>
      </c>
      <c r="M243" s="1311">
        <v>265481.946</v>
      </c>
      <c r="N243" s="1416" t="s">
        <v>6382</v>
      </c>
      <c r="O243" s="1291" t="s">
        <v>65</v>
      </c>
      <c r="P243" s="1291" t="s">
        <v>6076</v>
      </c>
      <c r="Q243" s="1291">
        <v>17732305201</v>
      </c>
      <c r="R243" s="1289" t="s">
        <v>6077</v>
      </c>
      <c r="S243" s="1291" t="s">
        <v>6056</v>
      </c>
      <c r="T243" s="1417"/>
    </row>
    <row r="244" spans="1:20" s="1292" customFormat="1" ht="20.100000000000001" customHeight="1">
      <c r="A244" s="1290"/>
      <c r="B244" s="1413" t="s">
        <v>29</v>
      </c>
      <c r="C244" s="1335" t="s">
        <v>6383</v>
      </c>
      <c r="D244" s="1335" t="s">
        <v>62</v>
      </c>
      <c r="E244" s="1373" t="s">
        <v>34</v>
      </c>
      <c r="F244" s="1421">
        <v>4.5999999999999996</v>
      </c>
      <c r="G244" s="1420" t="s">
        <v>32</v>
      </c>
      <c r="H244" s="1420" t="s">
        <v>6375</v>
      </c>
      <c r="I244" s="1310" t="s">
        <v>34</v>
      </c>
      <c r="J244" s="1310" t="s">
        <v>34</v>
      </c>
      <c r="K244" s="1333" t="s">
        <v>229</v>
      </c>
      <c r="L244" s="1414">
        <v>32159.29</v>
      </c>
      <c r="M244" s="1311">
        <v>9647.7870000000003</v>
      </c>
      <c r="N244" s="1416" t="s">
        <v>6382</v>
      </c>
      <c r="O244" s="1291" t="s">
        <v>65</v>
      </c>
      <c r="P244" s="1291" t="s">
        <v>6076</v>
      </c>
      <c r="Q244" s="1291">
        <v>17732305201</v>
      </c>
      <c r="R244" s="1289" t="s">
        <v>6077</v>
      </c>
      <c r="S244" s="1291" t="s">
        <v>6056</v>
      </c>
      <c r="T244" s="1417"/>
    </row>
    <row r="245" spans="1:20" s="1292" customFormat="1" ht="20.100000000000001" customHeight="1">
      <c r="A245" s="1290"/>
      <c r="B245" s="1413" t="s">
        <v>5806</v>
      </c>
      <c r="C245" s="1333"/>
      <c r="D245" s="1335" t="s">
        <v>31</v>
      </c>
      <c r="E245" s="1373" t="s">
        <v>34</v>
      </c>
      <c r="F245" s="1335">
        <v>1527</v>
      </c>
      <c r="G245" s="1420" t="s">
        <v>32</v>
      </c>
      <c r="H245" s="1420" t="s">
        <v>6375</v>
      </c>
      <c r="I245" s="1310" t="s">
        <v>34</v>
      </c>
      <c r="J245" s="1310" t="s">
        <v>34</v>
      </c>
      <c r="K245" s="1419" t="s">
        <v>6376</v>
      </c>
      <c r="L245" s="1414">
        <v>262941.96000000002</v>
      </c>
      <c r="M245" s="1311">
        <v>78882.588000000003</v>
      </c>
      <c r="N245" s="1416" t="s">
        <v>6382</v>
      </c>
      <c r="O245" s="1291" t="s">
        <v>65</v>
      </c>
      <c r="P245" s="1291" t="s">
        <v>6076</v>
      </c>
      <c r="Q245" s="1291">
        <v>17732305201</v>
      </c>
      <c r="R245" s="1289" t="s">
        <v>6077</v>
      </c>
      <c r="S245" s="1291" t="s">
        <v>6056</v>
      </c>
      <c r="T245" s="1417"/>
    </row>
    <row r="246" spans="1:20" s="1292" customFormat="1" ht="20.100000000000001" customHeight="1">
      <c r="A246" s="1290"/>
      <c r="B246" s="1413" t="s">
        <v>5806</v>
      </c>
      <c r="C246" s="1333"/>
      <c r="D246" s="1335" t="s">
        <v>31</v>
      </c>
      <c r="E246" s="1373" t="s">
        <v>34</v>
      </c>
      <c r="F246" s="1421">
        <v>2880</v>
      </c>
      <c r="G246" s="1420" t="s">
        <v>32</v>
      </c>
      <c r="H246" s="1420" t="s">
        <v>6375</v>
      </c>
      <c r="I246" s="1310" t="s">
        <v>34</v>
      </c>
      <c r="J246" s="1310" t="s">
        <v>34</v>
      </c>
      <c r="K246" s="1333" t="s">
        <v>6381</v>
      </c>
      <c r="L246" s="1414">
        <v>630964.6</v>
      </c>
      <c r="M246" s="1311">
        <v>315482.3</v>
      </c>
      <c r="N246" s="1416" t="s">
        <v>197</v>
      </c>
      <c r="O246" s="1291" t="s">
        <v>65</v>
      </c>
      <c r="P246" s="1291" t="s">
        <v>6076</v>
      </c>
      <c r="Q246" s="1291">
        <v>17732305202</v>
      </c>
      <c r="R246" s="1289" t="s">
        <v>6077</v>
      </c>
      <c r="S246" s="1291" t="s">
        <v>6056</v>
      </c>
      <c r="T246" s="1417"/>
    </row>
    <row r="247" spans="1:20" s="1292" customFormat="1" ht="20.100000000000001" customHeight="1">
      <c r="A247" s="1290"/>
      <c r="B247" s="1413" t="s">
        <v>29</v>
      </c>
      <c r="C247" s="1335" t="s">
        <v>6383</v>
      </c>
      <c r="D247" s="1335" t="s">
        <v>62</v>
      </c>
      <c r="E247" s="1373" t="s">
        <v>34</v>
      </c>
      <c r="F247" s="1335">
        <v>23.59</v>
      </c>
      <c r="G247" s="1420" t="s">
        <v>32</v>
      </c>
      <c r="H247" s="1420" t="s">
        <v>6375</v>
      </c>
      <c r="I247" s="1310" t="s">
        <v>34</v>
      </c>
      <c r="J247" s="1310" t="s">
        <v>34</v>
      </c>
      <c r="K247" s="1333" t="s">
        <v>229</v>
      </c>
      <c r="L247" s="1414">
        <v>165756.28</v>
      </c>
      <c r="M247" s="1414">
        <v>66302.512000000002</v>
      </c>
      <c r="N247" s="1416" t="s">
        <v>3975</v>
      </c>
      <c r="O247" s="1291" t="s">
        <v>65</v>
      </c>
      <c r="P247" s="1291" t="s">
        <v>6076</v>
      </c>
      <c r="Q247" s="1291">
        <v>17732305202</v>
      </c>
      <c r="R247" s="1289" t="s">
        <v>6077</v>
      </c>
      <c r="S247" s="1291" t="s">
        <v>6056</v>
      </c>
      <c r="T247" s="1417"/>
    </row>
    <row r="248" spans="1:20" s="1292" customFormat="1" ht="20.100000000000001" customHeight="1">
      <c r="A248" s="1290"/>
      <c r="B248" s="1413" t="s">
        <v>29</v>
      </c>
      <c r="C248" s="1333" t="s">
        <v>6374</v>
      </c>
      <c r="D248" s="1335" t="s">
        <v>62</v>
      </c>
      <c r="E248" s="1373" t="s">
        <v>34</v>
      </c>
      <c r="F248" s="1421">
        <v>100.8</v>
      </c>
      <c r="G248" s="1420" t="s">
        <v>32</v>
      </c>
      <c r="H248" s="1420" t="s">
        <v>6375</v>
      </c>
      <c r="I248" s="1310" t="s">
        <v>34</v>
      </c>
      <c r="J248" s="1310" t="s">
        <v>34</v>
      </c>
      <c r="K248" s="1333" t="s">
        <v>2353</v>
      </c>
      <c r="L248" s="1414">
        <v>875035.75</v>
      </c>
      <c r="M248" s="1311">
        <v>350014.3</v>
      </c>
      <c r="N248" s="1416" t="s">
        <v>3975</v>
      </c>
      <c r="O248" s="1291" t="s">
        <v>65</v>
      </c>
      <c r="P248" s="1291" t="s">
        <v>6076</v>
      </c>
      <c r="Q248" s="1291">
        <v>17732305202</v>
      </c>
      <c r="R248" s="1289" t="s">
        <v>6077</v>
      </c>
      <c r="S248" s="1291" t="s">
        <v>6056</v>
      </c>
      <c r="T248" s="1417"/>
    </row>
    <row r="249" spans="1:20" s="1292" customFormat="1" ht="20.100000000000001" customHeight="1">
      <c r="A249" s="1290"/>
      <c r="B249" s="1413" t="s">
        <v>29</v>
      </c>
      <c r="C249" s="1333" t="s">
        <v>6374</v>
      </c>
      <c r="D249" s="1335" t="s">
        <v>62</v>
      </c>
      <c r="E249" s="1373" t="s">
        <v>34</v>
      </c>
      <c r="F249" s="1421">
        <v>100</v>
      </c>
      <c r="G249" s="1420" t="s">
        <v>32</v>
      </c>
      <c r="H249" s="1420" t="s">
        <v>6375</v>
      </c>
      <c r="I249" s="1310" t="s">
        <v>34</v>
      </c>
      <c r="J249" s="1310" t="s">
        <v>34</v>
      </c>
      <c r="K249" s="1333" t="s">
        <v>2353</v>
      </c>
      <c r="L249" s="1414">
        <v>874336.28</v>
      </c>
      <c r="M249" s="1311">
        <v>349734.51199999999</v>
      </c>
      <c r="N249" s="1416" t="s">
        <v>3975</v>
      </c>
      <c r="O249" s="1291" t="s">
        <v>65</v>
      </c>
      <c r="P249" s="1291" t="s">
        <v>6076</v>
      </c>
      <c r="Q249" s="1291">
        <v>17732305202</v>
      </c>
      <c r="R249" s="1289" t="s">
        <v>6077</v>
      </c>
      <c r="S249" s="1291" t="s">
        <v>6056</v>
      </c>
      <c r="T249" s="1417"/>
    </row>
    <row r="250" spans="1:20" s="1292" customFormat="1" ht="20.100000000000001" customHeight="1">
      <c r="A250" s="1290"/>
      <c r="B250" s="1413" t="s">
        <v>29</v>
      </c>
      <c r="C250" s="1333" t="s">
        <v>6374</v>
      </c>
      <c r="D250" s="1335" t="s">
        <v>62</v>
      </c>
      <c r="E250" s="1373" t="s">
        <v>34</v>
      </c>
      <c r="F250" s="1421">
        <v>46</v>
      </c>
      <c r="G250" s="1420" t="s">
        <v>32</v>
      </c>
      <c r="H250" s="1420" t="s">
        <v>6375</v>
      </c>
      <c r="I250" s="1310" t="s">
        <v>34</v>
      </c>
      <c r="J250" s="1310" t="s">
        <v>34</v>
      </c>
      <c r="K250" s="1333" t="s">
        <v>2353</v>
      </c>
      <c r="L250" s="1414">
        <v>402194.69</v>
      </c>
      <c r="M250" s="1311">
        <v>160877.87599999999</v>
      </c>
      <c r="N250" s="1416" t="s">
        <v>3975</v>
      </c>
      <c r="O250" s="1291" t="s">
        <v>65</v>
      </c>
      <c r="P250" s="1291" t="s">
        <v>6076</v>
      </c>
      <c r="Q250" s="1291">
        <v>17732305202</v>
      </c>
      <c r="R250" s="1289" t="s">
        <v>6077</v>
      </c>
      <c r="S250" s="1291" t="s">
        <v>6056</v>
      </c>
      <c r="T250" s="1417"/>
    </row>
    <row r="251" spans="1:20" s="1292" customFormat="1" ht="20.100000000000001" customHeight="1">
      <c r="A251" s="1290"/>
      <c r="B251" s="1413" t="s">
        <v>29</v>
      </c>
      <c r="C251" s="1333" t="s">
        <v>6374</v>
      </c>
      <c r="D251" s="1335" t="s">
        <v>62</v>
      </c>
      <c r="E251" s="1373" t="s">
        <v>34</v>
      </c>
      <c r="F251" s="1421">
        <v>100.36</v>
      </c>
      <c r="G251" s="1420" t="s">
        <v>32</v>
      </c>
      <c r="H251" s="1420" t="s">
        <v>6375</v>
      </c>
      <c r="I251" s="1310" t="s">
        <v>34</v>
      </c>
      <c r="J251" s="1310" t="s">
        <v>34</v>
      </c>
      <c r="K251" s="1333" t="s">
        <v>2353</v>
      </c>
      <c r="L251" s="1414">
        <v>877483.89</v>
      </c>
      <c r="M251" s="1311">
        <v>438741.94500000001</v>
      </c>
      <c r="N251" s="1416">
        <v>2021.06</v>
      </c>
      <c r="O251" s="1291" t="s">
        <v>65</v>
      </c>
      <c r="P251" s="1291" t="s">
        <v>6076</v>
      </c>
      <c r="Q251" s="1291">
        <v>17732305202</v>
      </c>
      <c r="R251" s="1289" t="s">
        <v>6077</v>
      </c>
      <c r="S251" s="1291" t="s">
        <v>6056</v>
      </c>
      <c r="T251" s="1417"/>
    </row>
    <row r="252" spans="1:20" s="1292" customFormat="1" ht="20.100000000000001" customHeight="1">
      <c r="A252" s="1290"/>
      <c r="B252" s="1413" t="s">
        <v>29</v>
      </c>
      <c r="C252" s="1333" t="s">
        <v>6374</v>
      </c>
      <c r="D252" s="1335" t="s">
        <v>62</v>
      </c>
      <c r="E252" s="1373" t="s">
        <v>34</v>
      </c>
      <c r="F252" s="1421">
        <v>100</v>
      </c>
      <c r="G252" s="1420" t="s">
        <v>32</v>
      </c>
      <c r="H252" s="1420" t="s">
        <v>6375</v>
      </c>
      <c r="I252" s="1310" t="s">
        <v>34</v>
      </c>
      <c r="J252" s="1310" t="s">
        <v>34</v>
      </c>
      <c r="K252" s="1333" t="s">
        <v>2353</v>
      </c>
      <c r="L252" s="1414">
        <v>874336.28</v>
      </c>
      <c r="M252" s="1311">
        <v>437168.14</v>
      </c>
      <c r="N252" s="1416">
        <v>2021.06</v>
      </c>
      <c r="O252" s="1291" t="s">
        <v>65</v>
      </c>
      <c r="P252" s="1291" t="s">
        <v>6076</v>
      </c>
      <c r="Q252" s="1291">
        <v>17732305202</v>
      </c>
      <c r="R252" s="1289" t="s">
        <v>6077</v>
      </c>
      <c r="S252" s="1291" t="s">
        <v>6056</v>
      </c>
      <c r="T252" s="1417"/>
    </row>
    <row r="253" spans="1:20" s="1292" customFormat="1" ht="20.100000000000001" customHeight="1">
      <c r="A253" s="1290"/>
      <c r="B253" s="1413" t="s">
        <v>29</v>
      </c>
      <c r="C253" s="1333" t="s">
        <v>6374</v>
      </c>
      <c r="D253" s="1335" t="s">
        <v>62</v>
      </c>
      <c r="E253" s="1373" t="s">
        <v>34</v>
      </c>
      <c r="F253" s="1421">
        <v>100</v>
      </c>
      <c r="G253" s="1420" t="s">
        <v>32</v>
      </c>
      <c r="H253" s="1420" t="s">
        <v>6375</v>
      </c>
      <c r="I253" s="1310" t="s">
        <v>34</v>
      </c>
      <c r="J253" s="1310" t="s">
        <v>34</v>
      </c>
      <c r="K253" s="1333" t="s">
        <v>2353</v>
      </c>
      <c r="L253" s="1414">
        <v>874336.28</v>
      </c>
      <c r="M253" s="1311">
        <v>437168.14</v>
      </c>
      <c r="N253" s="1416">
        <v>2021.06</v>
      </c>
      <c r="O253" s="1291" t="s">
        <v>65</v>
      </c>
      <c r="P253" s="1291" t="s">
        <v>6076</v>
      </c>
      <c r="Q253" s="1291">
        <v>17732305202</v>
      </c>
      <c r="R253" s="1289" t="s">
        <v>6077</v>
      </c>
      <c r="S253" s="1291" t="s">
        <v>6056</v>
      </c>
      <c r="T253" s="1417"/>
    </row>
    <row r="254" spans="1:20" s="1292" customFormat="1" ht="20.100000000000001" customHeight="1">
      <c r="A254" s="1290"/>
      <c r="B254" s="1413" t="s">
        <v>29</v>
      </c>
      <c r="C254" s="1335"/>
      <c r="D254" s="1335" t="s">
        <v>62</v>
      </c>
      <c r="E254" s="1421">
        <v>100</v>
      </c>
      <c r="F254" s="1421">
        <v>100</v>
      </c>
      <c r="G254" s="1420" t="s">
        <v>32</v>
      </c>
      <c r="H254" s="1420" t="s">
        <v>6375</v>
      </c>
      <c r="I254" s="1310" t="s">
        <v>34</v>
      </c>
      <c r="J254" s="1310" t="s">
        <v>34</v>
      </c>
      <c r="K254" s="1333" t="s">
        <v>2353</v>
      </c>
      <c r="L254" s="1414">
        <v>874336.28</v>
      </c>
      <c r="M254" s="1311">
        <v>43716.81</v>
      </c>
      <c r="N254" s="1416" t="s">
        <v>6384</v>
      </c>
      <c r="O254" s="1291" t="s">
        <v>65</v>
      </c>
      <c r="P254" s="1291" t="s">
        <v>6076</v>
      </c>
      <c r="Q254" s="1291">
        <v>17732305202</v>
      </c>
      <c r="R254" s="1289" t="s">
        <v>6077</v>
      </c>
      <c r="S254" s="1291" t="s">
        <v>6056</v>
      </c>
      <c r="T254" s="1417"/>
    </row>
    <row r="255" spans="1:20" s="1292" customFormat="1" ht="20.100000000000001" customHeight="1">
      <c r="A255" s="1290"/>
      <c r="B255" s="1413" t="s">
        <v>29</v>
      </c>
      <c r="C255" s="1335"/>
      <c r="D255" s="1335" t="s">
        <v>62</v>
      </c>
      <c r="E255" s="1421">
        <v>102.46</v>
      </c>
      <c r="F255" s="1421">
        <v>102.46</v>
      </c>
      <c r="G255" s="1420" t="s">
        <v>32</v>
      </c>
      <c r="H255" s="1420" t="s">
        <v>6375</v>
      </c>
      <c r="I255" s="1310" t="s">
        <v>34</v>
      </c>
      <c r="J255" s="1310" t="s">
        <v>34</v>
      </c>
      <c r="K255" s="1333" t="s">
        <v>2353</v>
      </c>
      <c r="L255" s="1414">
        <v>895844.96</v>
      </c>
      <c r="M255" s="1311">
        <v>44792.248</v>
      </c>
      <c r="N255" s="1416" t="s">
        <v>6384</v>
      </c>
      <c r="O255" s="1291" t="s">
        <v>65</v>
      </c>
      <c r="P255" s="1291" t="s">
        <v>6076</v>
      </c>
      <c r="Q255" s="1291">
        <v>17732305202</v>
      </c>
      <c r="R255" s="1289" t="s">
        <v>6077</v>
      </c>
      <c r="S255" s="1291" t="s">
        <v>6056</v>
      </c>
      <c r="T255" s="1417"/>
    </row>
    <row r="256" spans="1:20" s="1292" customFormat="1" ht="20.100000000000001" customHeight="1">
      <c r="A256" s="1290"/>
      <c r="B256" s="1413" t="s">
        <v>29</v>
      </c>
      <c r="C256" s="1335"/>
      <c r="D256" s="1335" t="s">
        <v>62</v>
      </c>
      <c r="E256" s="1421">
        <v>89.99</v>
      </c>
      <c r="F256" s="1421">
        <v>89.99</v>
      </c>
      <c r="G256" s="1420" t="s">
        <v>32</v>
      </c>
      <c r="H256" s="1420" t="s">
        <v>6375</v>
      </c>
      <c r="I256" s="1310" t="s">
        <v>34</v>
      </c>
      <c r="J256" s="1310" t="s">
        <v>34</v>
      </c>
      <c r="K256" s="1333" t="s">
        <v>2353</v>
      </c>
      <c r="L256" s="1414">
        <v>786815.22</v>
      </c>
      <c r="M256" s="1311">
        <v>39340.76</v>
      </c>
      <c r="N256" s="1416" t="s">
        <v>3982</v>
      </c>
      <c r="O256" s="1291" t="s">
        <v>65</v>
      </c>
      <c r="P256" s="1291" t="s">
        <v>6076</v>
      </c>
      <c r="Q256" s="1291">
        <v>17732305202</v>
      </c>
      <c r="R256" s="1289" t="s">
        <v>6077</v>
      </c>
      <c r="S256" s="1291" t="s">
        <v>6056</v>
      </c>
      <c r="T256" s="1417"/>
    </row>
    <row r="257" spans="1:20" s="1292" customFormat="1" ht="20.100000000000001" customHeight="1">
      <c r="A257" s="1290"/>
      <c r="B257" s="1413" t="s">
        <v>29</v>
      </c>
      <c r="C257" s="1335"/>
      <c r="D257" s="1335" t="s">
        <v>62</v>
      </c>
      <c r="E257" s="1421">
        <v>88.67</v>
      </c>
      <c r="F257" s="1421">
        <v>88.67</v>
      </c>
      <c r="G257" s="1420" t="s">
        <v>32</v>
      </c>
      <c r="H257" s="1420" t="s">
        <v>6375</v>
      </c>
      <c r="I257" s="1310" t="s">
        <v>34</v>
      </c>
      <c r="J257" s="1310" t="s">
        <v>34</v>
      </c>
      <c r="K257" s="1333" t="s">
        <v>2353</v>
      </c>
      <c r="L257" s="1414">
        <v>775273.98</v>
      </c>
      <c r="M257" s="1311">
        <v>38763.699999999997</v>
      </c>
      <c r="N257" s="1416" t="s">
        <v>3982</v>
      </c>
      <c r="O257" s="1291" t="s">
        <v>65</v>
      </c>
      <c r="P257" s="1291" t="s">
        <v>6076</v>
      </c>
      <c r="Q257" s="1291">
        <v>17732305202</v>
      </c>
      <c r="R257" s="1289" t="s">
        <v>6077</v>
      </c>
      <c r="S257" s="1291" t="s">
        <v>6056</v>
      </c>
      <c r="T257" s="1417"/>
    </row>
    <row r="258" spans="1:20" s="1292" customFormat="1" ht="20.100000000000001" customHeight="1">
      <c r="A258" s="1290"/>
      <c r="B258" s="1413" t="s">
        <v>29</v>
      </c>
      <c r="C258" s="1335"/>
      <c r="D258" s="1335" t="s">
        <v>62</v>
      </c>
      <c r="E258" s="1421">
        <v>23.37</v>
      </c>
      <c r="F258" s="1421">
        <v>23.37</v>
      </c>
      <c r="G258" s="1420" t="s">
        <v>32</v>
      </c>
      <c r="H258" s="1420" t="s">
        <v>6375</v>
      </c>
      <c r="I258" s="1310" t="s">
        <v>34</v>
      </c>
      <c r="J258" s="1310" t="s">
        <v>34</v>
      </c>
      <c r="K258" s="1333" t="s">
        <v>2353</v>
      </c>
      <c r="L258" s="1414">
        <v>204332.39</v>
      </c>
      <c r="M258" s="1311">
        <v>10216.620000000001</v>
      </c>
      <c r="N258" s="1416" t="s">
        <v>205</v>
      </c>
      <c r="O258" s="1291" t="s">
        <v>65</v>
      </c>
      <c r="P258" s="1291" t="s">
        <v>6076</v>
      </c>
      <c r="Q258" s="1291">
        <v>17732305202</v>
      </c>
      <c r="R258" s="1289" t="s">
        <v>6077</v>
      </c>
      <c r="S258" s="1291" t="s">
        <v>6056</v>
      </c>
      <c r="T258" s="1417"/>
    </row>
    <row r="259" spans="1:20" s="1292" customFormat="1" ht="20.100000000000001" customHeight="1">
      <c r="A259" s="1290"/>
      <c r="B259" s="1413" t="s">
        <v>29</v>
      </c>
      <c r="C259" s="1335"/>
      <c r="D259" s="1335" t="s">
        <v>62</v>
      </c>
      <c r="E259" s="1421">
        <v>100</v>
      </c>
      <c r="F259" s="1421">
        <v>100</v>
      </c>
      <c r="G259" s="1420" t="s">
        <v>32</v>
      </c>
      <c r="H259" s="1420" t="s">
        <v>6375</v>
      </c>
      <c r="I259" s="1310" t="s">
        <v>34</v>
      </c>
      <c r="J259" s="1310" t="s">
        <v>34</v>
      </c>
      <c r="K259" s="1333" t="s">
        <v>2353</v>
      </c>
      <c r="L259" s="1414">
        <v>874336.28</v>
      </c>
      <c r="M259" s="1311">
        <v>43716.81</v>
      </c>
      <c r="N259" s="1416" t="s">
        <v>205</v>
      </c>
      <c r="O259" s="1291" t="s">
        <v>65</v>
      </c>
      <c r="P259" s="1291" t="s">
        <v>6076</v>
      </c>
      <c r="Q259" s="1291">
        <v>17732305202</v>
      </c>
      <c r="R259" s="1289" t="s">
        <v>6077</v>
      </c>
      <c r="S259" s="1291" t="s">
        <v>6056</v>
      </c>
      <c r="T259" s="1417"/>
    </row>
    <row r="260" spans="1:20" s="1292" customFormat="1" ht="20.100000000000001" customHeight="1">
      <c r="A260" s="1290"/>
      <c r="B260" s="1413" t="s">
        <v>29</v>
      </c>
      <c r="C260" s="1335"/>
      <c r="D260" s="1335" t="s">
        <v>62</v>
      </c>
      <c r="E260" s="1421">
        <v>19.68</v>
      </c>
      <c r="F260" s="1421">
        <v>19.68</v>
      </c>
      <c r="G260" s="1420" t="s">
        <v>32</v>
      </c>
      <c r="H260" s="1420" t="s">
        <v>6375</v>
      </c>
      <c r="I260" s="1310" t="s">
        <v>34</v>
      </c>
      <c r="J260" s="1310" t="s">
        <v>34</v>
      </c>
      <c r="K260" s="1333" t="s">
        <v>2353</v>
      </c>
      <c r="L260" s="1414">
        <v>172069.38</v>
      </c>
      <c r="M260" s="1311">
        <v>8603.4689999999991</v>
      </c>
      <c r="N260" s="1416" t="s">
        <v>1954</v>
      </c>
      <c r="O260" s="1291" t="s">
        <v>65</v>
      </c>
      <c r="P260" s="1291" t="s">
        <v>6076</v>
      </c>
      <c r="Q260" s="1291">
        <v>17732305202</v>
      </c>
      <c r="R260" s="1289" t="s">
        <v>6077</v>
      </c>
      <c r="S260" s="1291" t="s">
        <v>6056</v>
      </c>
      <c r="T260" s="1417"/>
    </row>
    <row r="261" spans="1:20" s="1292" customFormat="1" ht="20.100000000000001" customHeight="1">
      <c r="A261" s="1290"/>
      <c r="B261" s="1413" t="s">
        <v>29</v>
      </c>
      <c r="C261" s="1335"/>
      <c r="D261" s="1335" t="s">
        <v>62</v>
      </c>
      <c r="E261" s="1421">
        <v>0.06</v>
      </c>
      <c r="F261" s="1421">
        <v>0.06</v>
      </c>
      <c r="G261" s="1420" t="s">
        <v>32</v>
      </c>
      <c r="H261" s="1420" t="s">
        <v>6375</v>
      </c>
      <c r="I261" s="1310" t="s">
        <v>34</v>
      </c>
      <c r="J261" s="1310" t="s">
        <v>34</v>
      </c>
      <c r="K261" s="1333" t="s">
        <v>2353</v>
      </c>
      <c r="L261" s="1414">
        <v>524.6</v>
      </c>
      <c r="M261" s="1311">
        <v>26.23</v>
      </c>
      <c r="N261" s="1416" t="s">
        <v>1954</v>
      </c>
      <c r="O261" s="1291" t="s">
        <v>65</v>
      </c>
      <c r="P261" s="1291" t="s">
        <v>6076</v>
      </c>
      <c r="Q261" s="1291">
        <v>17732305202</v>
      </c>
      <c r="R261" s="1289" t="s">
        <v>6077</v>
      </c>
      <c r="S261" s="1291" t="s">
        <v>6056</v>
      </c>
      <c r="T261" s="1417"/>
    </row>
    <row r="262" spans="1:20" s="1292" customFormat="1" ht="20.100000000000001" customHeight="1">
      <c r="A262" s="1290"/>
      <c r="B262" s="1420" t="s">
        <v>29</v>
      </c>
      <c r="C262" s="1335"/>
      <c r="D262" s="1335" t="s">
        <v>62</v>
      </c>
      <c r="E262" s="1421">
        <v>76.59</v>
      </c>
      <c r="F262" s="1421">
        <v>76.59</v>
      </c>
      <c r="G262" s="1420" t="s">
        <v>32</v>
      </c>
      <c r="H262" s="1420" t="s">
        <v>6375</v>
      </c>
      <c r="I262" s="1317" t="s">
        <v>34</v>
      </c>
      <c r="J262" s="1317" t="s">
        <v>34</v>
      </c>
      <c r="K262" s="1333" t="s">
        <v>2353</v>
      </c>
      <c r="L262" s="1414">
        <v>669654.16</v>
      </c>
      <c r="M262" s="1311">
        <v>33482.71</v>
      </c>
      <c r="N262" s="1416" t="s">
        <v>3687</v>
      </c>
      <c r="O262" s="1291" t="s">
        <v>65</v>
      </c>
      <c r="P262" s="1291" t="s">
        <v>6076</v>
      </c>
      <c r="Q262" s="1291">
        <v>17732305202</v>
      </c>
      <c r="R262" s="1289" t="s">
        <v>6077</v>
      </c>
      <c r="S262" s="1291" t="s">
        <v>6056</v>
      </c>
      <c r="T262" s="1417"/>
    </row>
    <row r="263" spans="1:20" s="1292" customFormat="1" ht="20.100000000000001" customHeight="1">
      <c r="A263" s="1290"/>
      <c r="B263" s="1420" t="s">
        <v>2367</v>
      </c>
      <c r="C263" s="1335"/>
      <c r="D263" s="1335" t="s">
        <v>62</v>
      </c>
      <c r="E263" s="1421">
        <v>172.60499999999999</v>
      </c>
      <c r="F263" s="1421">
        <v>172.60499999999999</v>
      </c>
      <c r="G263" s="1420" t="s">
        <v>32</v>
      </c>
      <c r="H263" s="1420" t="s">
        <v>6375</v>
      </c>
      <c r="I263" s="1317" t="s">
        <v>34</v>
      </c>
      <c r="J263" s="1317" t="s">
        <v>34</v>
      </c>
      <c r="K263" s="1419" t="s">
        <v>6385</v>
      </c>
      <c r="L263" s="1414">
        <v>863025</v>
      </c>
      <c r="M263" s="1311">
        <v>43151.25</v>
      </c>
      <c r="N263" s="1416" t="s">
        <v>3140</v>
      </c>
      <c r="O263" s="1291" t="s">
        <v>65</v>
      </c>
      <c r="P263" s="1291" t="s">
        <v>6076</v>
      </c>
      <c r="Q263" s="1291">
        <v>17732305202</v>
      </c>
      <c r="R263" s="1289" t="s">
        <v>6077</v>
      </c>
      <c r="S263" s="1291" t="s">
        <v>6056</v>
      </c>
      <c r="T263" s="1417"/>
    </row>
    <row r="264" spans="1:20" s="1292" customFormat="1" ht="20.100000000000001" customHeight="1">
      <c r="A264" s="1290"/>
      <c r="B264" s="1420" t="s">
        <v>6386</v>
      </c>
      <c r="C264" s="1335"/>
      <c r="D264" s="1335" t="s">
        <v>79</v>
      </c>
      <c r="E264" s="1421">
        <v>1</v>
      </c>
      <c r="F264" s="1421">
        <v>1</v>
      </c>
      <c r="G264" s="1420" t="s">
        <v>32</v>
      </c>
      <c r="H264" s="1420" t="s">
        <v>6375</v>
      </c>
      <c r="I264" s="1317" t="s">
        <v>34</v>
      </c>
      <c r="J264" s="1317" t="s">
        <v>34</v>
      </c>
      <c r="K264" s="1419" t="s">
        <v>6387</v>
      </c>
      <c r="L264" s="1414">
        <v>242376.24</v>
      </c>
      <c r="M264" s="1311">
        <v>12118.81</v>
      </c>
      <c r="N264" s="1416" t="s">
        <v>3140</v>
      </c>
      <c r="O264" s="1291" t="s">
        <v>65</v>
      </c>
      <c r="P264" s="1291" t="s">
        <v>6076</v>
      </c>
      <c r="Q264" s="1291">
        <v>17732305202</v>
      </c>
      <c r="R264" s="1289" t="s">
        <v>6077</v>
      </c>
      <c r="S264" s="1291" t="s">
        <v>6056</v>
      </c>
      <c r="T264" s="1417"/>
    </row>
    <row r="265" spans="1:20" s="1292" customFormat="1" ht="20.100000000000001" customHeight="1">
      <c r="A265" s="1290"/>
      <c r="B265" s="1420" t="s">
        <v>6388</v>
      </c>
      <c r="C265" s="1335"/>
      <c r="D265" s="1335" t="s">
        <v>62</v>
      </c>
      <c r="E265" s="1421">
        <v>154</v>
      </c>
      <c r="F265" s="1421">
        <v>154</v>
      </c>
      <c r="G265" s="1420" t="s">
        <v>32</v>
      </c>
      <c r="H265" s="1420" t="s">
        <v>6375</v>
      </c>
      <c r="I265" s="1317" t="s">
        <v>34</v>
      </c>
      <c r="J265" s="1317" t="s">
        <v>34</v>
      </c>
      <c r="K265" s="1419" t="s">
        <v>6385</v>
      </c>
      <c r="L265" s="1414">
        <v>754600</v>
      </c>
      <c r="M265" s="1311">
        <v>37730</v>
      </c>
      <c r="N265" s="1416">
        <v>2021.12</v>
      </c>
      <c r="O265" s="1291" t="s">
        <v>65</v>
      </c>
      <c r="P265" s="1291" t="s">
        <v>6076</v>
      </c>
      <c r="Q265" s="1291">
        <v>17732305202</v>
      </c>
      <c r="R265" s="1289" t="s">
        <v>6077</v>
      </c>
      <c r="S265" s="1291" t="s">
        <v>6056</v>
      </c>
      <c r="T265" s="1417"/>
    </row>
    <row r="266" spans="1:20" s="1292" customFormat="1" ht="20.100000000000001" customHeight="1">
      <c r="A266" s="1290"/>
      <c r="B266" s="1422" t="s">
        <v>135</v>
      </c>
      <c r="C266" s="1423" t="s">
        <v>6389</v>
      </c>
      <c r="D266" s="1423" t="s">
        <v>62</v>
      </c>
      <c r="E266" s="1423"/>
      <c r="F266" s="1423">
        <v>93.72</v>
      </c>
      <c r="G266" s="1420" t="s">
        <v>32</v>
      </c>
      <c r="H266" s="1420" t="s">
        <v>6390</v>
      </c>
      <c r="I266" s="1310" t="s">
        <v>34</v>
      </c>
      <c r="J266" s="1310" t="s">
        <v>34</v>
      </c>
      <c r="K266" s="1333" t="s">
        <v>2353</v>
      </c>
      <c r="L266" s="1414">
        <v>356136</v>
      </c>
      <c r="M266" s="1311">
        <v>99718.080000000016</v>
      </c>
      <c r="N266" s="1416" t="s">
        <v>6391</v>
      </c>
      <c r="O266" s="1215" t="s">
        <v>65</v>
      </c>
      <c r="P266" s="1424" t="s">
        <v>6392</v>
      </c>
      <c r="Q266" s="1425">
        <v>15032694610</v>
      </c>
      <c r="R266" s="1408" t="s">
        <v>6393</v>
      </c>
      <c r="S266" s="1193" t="s">
        <v>6056</v>
      </c>
      <c r="T266" s="1417"/>
    </row>
    <row r="267" spans="1:20" s="1292" customFormat="1" ht="20.100000000000001" customHeight="1">
      <c r="A267" s="1290"/>
      <c r="B267" s="1422" t="s">
        <v>135</v>
      </c>
      <c r="C267" s="1423" t="s">
        <v>6394</v>
      </c>
      <c r="D267" s="1423" t="s">
        <v>62</v>
      </c>
      <c r="E267" s="1423"/>
      <c r="F267" s="1423">
        <v>52.77</v>
      </c>
      <c r="G267" s="1420" t="s">
        <v>32</v>
      </c>
      <c r="H267" s="1420" t="s">
        <v>6390</v>
      </c>
      <c r="I267" s="1310" t="s">
        <v>34</v>
      </c>
      <c r="J267" s="1310" t="s">
        <v>34</v>
      </c>
      <c r="K267" s="1333" t="s">
        <v>2353</v>
      </c>
      <c r="L267" s="1414">
        <v>321756.90265486715</v>
      </c>
      <c r="M267" s="1311">
        <v>64351.380530973402</v>
      </c>
      <c r="N267" s="1416" t="s">
        <v>6395</v>
      </c>
      <c r="O267" s="1291" t="s">
        <v>65</v>
      </c>
      <c r="P267" s="1424" t="s">
        <v>6392</v>
      </c>
      <c r="Q267" s="1425">
        <v>15032694610</v>
      </c>
      <c r="R267" s="1408" t="s">
        <v>6393</v>
      </c>
      <c r="S267" s="1193" t="s">
        <v>6056</v>
      </c>
      <c r="T267" s="1417"/>
    </row>
    <row r="268" spans="1:20" s="1292" customFormat="1" ht="20.100000000000001" customHeight="1">
      <c r="A268" s="1290"/>
      <c r="B268" s="1422" t="s">
        <v>135</v>
      </c>
      <c r="C268" s="1423" t="s">
        <v>6394</v>
      </c>
      <c r="D268" s="1423" t="s">
        <v>62</v>
      </c>
      <c r="E268" s="1426"/>
      <c r="F268" s="1423">
        <v>52.77</v>
      </c>
      <c r="G268" s="1420" t="s">
        <v>32</v>
      </c>
      <c r="H268" s="1420" t="s">
        <v>6390</v>
      </c>
      <c r="I268" s="1310" t="s">
        <v>34</v>
      </c>
      <c r="J268" s="1310" t="s">
        <v>34</v>
      </c>
      <c r="K268" s="1333" t="s">
        <v>2353</v>
      </c>
      <c r="L268" s="1414">
        <v>321756.90265486715</v>
      </c>
      <c r="M268" s="1311">
        <v>64351.380530973402</v>
      </c>
      <c r="N268" s="1416" t="s">
        <v>6395</v>
      </c>
      <c r="O268" s="1291" t="s">
        <v>65</v>
      </c>
      <c r="P268" s="1424" t="s">
        <v>6392</v>
      </c>
      <c r="Q268" s="1425">
        <v>15032694610</v>
      </c>
      <c r="R268" s="1408" t="s">
        <v>6393</v>
      </c>
      <c r="S268" s="1193" t="s">
        <v>6056</v>
      </c>
      <c r="T268" s="1417"/>
    </row>
    <row r="269" spans="1:20" s="1292" customFormat="1" ht="20.100000000000001" customHeight="1">
      <c r="A269" s="1290"/>
      <c r="B269" s="1422" t="s">
        <v>6396</v>
      </c>
      <c r="C269" s="1427" t="s">
        <v>6394</v>
      </c>
      <c r="D269" s="1423" t="s">
        <v>62</v>
      </c>
      <c r="E269" s="1426"/>
      <c r="F269" s="1423">
        <v>48.83</v>
      </c>
      <c r="G269" s="1420" t="s">
        <v>32</v>
      </c>
      <c r="H269" s="1420" t="s">
        <v>6390</v>
      </c>
      <c r="I269" s="1310" t="s">
        <v>34</v>
      </c>
      <c r="J269" s="1310" t="s">
        <v>34</v>
      </c>
      <c r="K269" s="1333" t="s">
        <v>2353</v>
      </c>
      <c r="L269" s="1414">
        <v>313289.82283599995</v>
      </c>
      <c r="M269" s="1311">
        <v>137847.52204784</v>
      </c>
      <c r="N269" s="1416" t="s">
        <v>4119</v>
      </c>
      <c r="O269" s="1291" t="s">
        <v>65</v>
      </c>
      <c r="P269" s="1424" t="s">
        <v>6392</v>
      </c>
      <c r="Q269" s="1425">
        <v>15032694610</v>
      </c>
      <c r="R269" s="1408" t="s">
        <v>6393</v>
      </c>
      <c r="S269" s="1193" t="s">
        <v>6056</v>
      </c>
      <c r="T269" s="1417"/>
    </row>
    <row r="270" spans="1:20" s="1292" customFormat="1" ht="20.100000000000001" customHeight="1">
      <c r="A270" s="1290"/>
      <c r="B270" s="1427" t="s">
        <v>6397</v>
      </c>
      <c r="C270" s="1427" t="s">
        <v>6394</v>
      </c>
      <c r="D270" s="1423" t="s">
        <v>62</v>
      </c>
      <c r="E270" s="1426"/>
      <c r="F270" s="1427">
        <v>44.8</v>
      </c>
      <c r="G270" s="1420" t="s">
        <v>32</v>
      </c>
      <c r="H270" s="1420" t="s">
        <v>6390</v>
      </c>
      <c r="I270" s="1310" t="s">
        <v>34</v>
      </c>
      <c r="J270" s="1310" t="s">
        <v>6398</v>
      </c>
      <c r="K270" s="1333" t="s">
        <v>2353</v>
      </c>
      <c r="L270" s="1414">
        <v>287433.62815999996</v>
      </c>
      <c r="M270" s="1311">
        <v>126470.79639040001</v>
      </c>
      <c r="N270" s="1416" t="s">
        <v>4119</v>
      </c>
      <c r="O270" s="1291" t="s">
        <v>65</v>
      </c>
      <c r="P270" s="1424" t="s">
        <v>6392</v>
      </c>
      <c r="Q270" s="1425">
        <v>15032694610</v>
      </c>
      <c r="R270" s="1408" t="s">
        <v>6393</v>
      </c>
      <c r="S270" s="1193" t="s">
        <v>6056</v>
      </c>
      <c r="T270" s="1417"/>
    </row>
    <row r="271" spans="1:20" s="1292" customFormat="1" ht="20.100000000000001" customHeight="1">
      <c r="A271" s="1290"/>
      <c r="B271" s="1427" t="s">
        <v>6399</v>
      </c>
      <c r="C271" s="1427" t="s">
        <v>6400</v>
      </c>
      <c r="D271" s="1423" t="s">
        <v>62</v>
      </c>
      <c r="E271" s="1426"/>
      <c r="F271" s="1427">
        <v>66.459999999999994</v>
      </c>
      <c r="G271" s="1420" t="s">
        <v>32</v>
      </c>
      <c r="H271" s="1420" t="s">
        <v>6390</v>
      </c>
      <c r="I271" s="1310" t="s">
        <v>34</v>
      </c>
      <c r="J271" s="1310" t="s">
        <v>34</v>
      </c>
      <c r="K271" s="1333" t="s">
        <v>2353</v>
      </c>
      <c r="L271" s="1414">
        <v>379166.01769911509</v>
      </c>
      <c r="M271" s="1311">
        <v>212860.20530973433</v>
      </c>
      <c r="N271" s="1416" t="s">
        <v>4119</v>
      </c>
      <c r="O271" s="1291" t="s">
        <v>65</v>
      </c>
      <c r="P271" s="1424" t="s">
        <v>6392</v>
      </c>
      <c r="Q271" s="1425">
        <v>15032694610</v>
      </c>
      <c r="R271" s="1408" t="s">
        <v>6393</v>
      </c>
      <c r="S271" s="1193" t="s">
        <v>6056</v>
      </c>
      <c r="T271" s="1417"/>
    </row>
    <row r="272" spans="1:20" s="1292" customFormat="1" ht="20.100000000000001" customHeight="1">
      <c r="A272" s="1290"/>
      <c r="B272" s="1427" t="s">
        <v>6401</v>
      </c>
      <c r="C272" s="1427" t="s">
        <v>6394</v>
      </c>
      <c r="D272" s="1426" t="s">
        <v>62</v>
      </c>
      <c r="E272" s="1426"/>
      <c r="F272" s="1427">
        <v>50</v>
      </c>
      <c r="G272" s="1420" t="s">
        <v>32</v>
      </c>
      <c r="H272" s="1420" t="s">
        <v>6390</v>
      </c>
      <c r="I272" s="1310" t="s">
        <v>34</v>
      </c>
      <c r="J272" s="1310" t="s">
        <v>34</v>
      </c>
      <c r="K272" s="1333" t="s">
        <v>2353</v>
      </c>
      <c r="L272" s="1414">
        <v>323054.8672566372</v>
      </c>
      <c r="M272" s="1311">
        <v>86230.088495575095</v>
      </c>
      <c r="N272" s="1416" t="s">
        <v>6402</v>
      </c>
      <c r="O272" s="1215" t="s">
        <v>65</v>
      </c>
      <c r="P272" s="1424" t="s">
        <v>6392</v>
      </c>
      <c r="Q272" s="1425">
        <v>15032694610</v>
      </c>
      <c r="R272" s="1408" t="s">
        <v>6393</v>
      </c>
      <c r="S272" s="1193" t="s">
        <v>6056</v>
      </c>
      <c r="T272" s="1417"/>
    </row>
    <row r="273" spans="1:20" s="1292" customFormat="1" ht="20.100000000000001" customHeight="1">
      <c r="A273" s="1290"/>
      <c r="B273" s="1427" t="s">
        <v>6401</v>
      </c>
      <c r="C273" s="1427" t="s">
        <v>6394</v>
      </c>
      <c r="D273" s="1426" t="s">
        <v>62</v>
      </c>
      <c r="E273" s="1426"/>
      <c r="F273" s="1427">
        <v>50</v>
      </c>
      <c r="G273" s="1420" t="s">
        <v>32</v>
      </c>
      <c r="H273" s="1420" t="s">
        <v>6390</v>
      </c>
      <c r="I273" s="1310" t="s">
        <v>34</v>
      </c>
      <c r="J273" s="1310" t="s">
        <v>34</v>
      </c>
      <c r="K273" s="1333" t="s">
        <v>2353</v>
      </c>
      <c r="L273" s="1414">
        <v>323054.8672566372</v>
      </c>
      <c r="M273" s="1311">
        <v>86230.088495575095</v>
      </c>
      <c r="N273" s="1416" t="s">
        <v>6402</v>
      </c>
      <c r="O273" s="1215" t="s">
        <v>65</v>
      </c>
      <c r="P273" s="1424" t="s">
        <v>6392</v>
      </c>
      <c r="Q273" s="1425">
        <v>15032694610</v>
      </c>
      <c r="R273" s="1408" t="s">
        <v>6393</v>
      </c>
      <c r="S273" s="1193" t="s">
        <v>6056</v>
      </c>
      <c r="T273" s="1417"/>
    </row>
    <row r="274" spans="1:20" s="1292" customFormat="1" ht="20.100000000000001" customHeight="1">
      <c r="A274" s="1290"/>
      <c r="B274" s="1422" t="s">
        <v>135</v>
      </c>
      <c r="C274" s="1423" t="s">
        <v>6403</v>
      </c>
      <c r="D274" s="1426" t="s">
        <v>62</v>
      </c>
      <c r="E274" s="1428"/>
      <c r="F274" s="1429">
        <v>51.381</v>
      </c>
      <c r="G274" s="1420" t="s">
        <v>32</v>
      </c>
      <c r="H274" s="1420" t="s">
        <v>6390</v>
      </c>
      <c r="I274" s="1310" t="s">
        <v>34</v>
      </c>
      <c r="J274" s="1310" t="s">
        <v>34</v>
      </c>
      <c r="K274" s="1333" t="s">
        <v>2353</v>
      </c>
      <c r="L274" s="1414">
        <v>368306.28318584053</v>
      </c>
      <c r="M274" s="1311">
        <v>220983.76991150458</v>
      </c>
      <c r="N274" s="1416" t="s">
        <v>4384</v>
      </c>
      <c r="O274" s="1291" t="s">
        <v>65</v>
      </c>
      <c r="P274" s="1424" t="s">
        <v>6392</v>
      </c>
      <c r="Q274" s="1425">
        <v>15032694610</v>
      </c>
      <c r="R274" s="1408" t="s">
        <v>6393</v>
      </c>
      <c r="S274" s="1193" t="s">
        <v>6056</v>
      </c>
      <c r="T274" s="1417"/>
    </row>
    <row r="275" spans="1:20" s="1292" customFormat="1" ht="20.100000000000001" customHeight="1">
      <c r="A275" s="1430"/>
      <c r="B275" s="1422" t="s">
        <v>135</v>
      </c>
      <c r="C275" s="1427" t="s">
        <v>6404</v>
      </c>
      <c r="D275" s="1431" t="s">
        <v>62</v>
      </c>
      <c r="E275" s="1431"/>
      <c r="F275" s="1431">
        <v>58.46</v>
      </c>
      <c r="G275" s="1432" t="s">
        <v>32</v>
      </c>
      <c r="H275" s="1420" t="s">
        <v>6390</v>
      </c>
      <c r="I275" s="1192" t="s">
        <v>34</v>
      </c>
      <c r="J275" s="1192" t="s">
        <v>34</v>
      </c>
      <c r="K275" s="1333" t="s">
        <v>2353</v>
      </c>
      <c r="L275" s="1433">
        <v>439743.36</v>
      </c>
      <c r="M275" s="1433">
        <v>369384.42473921517</v>
      </c>
      <c r="N275" s="1433" t="s">
        <v>6405</v>
      </c>
      <c r="O275" s="1215" t="s">
        <v>65</v>
      </c>
      <c r="P275" s="1434" t="s">
        <v>6392</v>
      </c>
      <c r="Q275" s="1435">
        <v>15032694610</v>
      </c>
      <c r="R275" s="1408" t="s">
        <v>6393</v>
      </c>
      <c r="S275" s="1193" t="s">
        <v>6056</v>
      </c>
      <c r="T275" s="1436"/>
    </row>
    <row r="276" spans="1:20" s="1292" customFormat="1" ht="20.100000000000001" customHeight="1">
      <c r="A276" s="1430"/>
      <c r="B276" s="1437" t="s">
        <v>2380</v>
      </c>
      <c r="C276" s="1318" t="s">
        <v>6406</v>
      </c>
      <c r="D276" s="1318" t="s">
        <v>62</v>
      </c>
      <c r="E276" s="1373" t="s">
        <v>34</v>
      </c>
      <c r="F276" s="1318">
        <v>60</v>
      </c>
      <c r="G276" s="1438" t="s">
        <v>32</v>
      </c>
      <c r="H276" s="1439" t="s">
        <v>33</v>
      </c>
      <c r="I276" s="1440" t="s">
        <v>34</v>
      </c>
      <c r="J276" s="1355" t="s">
        <v>6407</v>
      </c>
      <c r="K276" s="1441" t="s">
        <v>6408</v>
      </c>
      <c r="L276" s="1318">
        <v>387000</v>
      </c>
      <c r="M276" s="1318">
        <v>113017.68</v>
      </c>
      <c r="N276" s="1438" t="s">
        <v>6409</v>
      </c>
      <c r="O276" s="1338" t="s">
        <v>6410</v>
      </c>
      <c r="P276" s="1336" t="s">
        <v>6411</v>
      </c>
      <c r="Q276" s="1442">
        <v>13269185200</v>
      </c>
      <c r="R276" s="1442" t="s">
        <v>6412</v>
      </c>
      <c r="S276" s="1443" t="s">
        <v>6089</v>
      </c>
      <c r="T276" s="1436"/>
    </row>
    <row r="277" spans="1:20" s="1292" customFormat="1" ht="20.100000000000001" customHeight="1">
      <c r="A277" s="1430"/>
      <c r="B277" s="1437" t="s">
        <v>2380</v>
      </c>
      <c r="C277" s="1318" t="s">
        <v>6406</v>
      </c>
      <c r="D277" s="1318" t="s">
        <v>62</v>
      </c>
      <c r="E277" s="1373" t="s">
        <v>34</v>
      </c>
      <c r="F277" s="1318">
        <v>39.869999999999997</v>
      </c>
      <c r="G277" s="1438" t="s">
        <v>32</v>
      </c>
      <c r="H277" s="1439" t="s">
        <v>33</v>
      </c>
      <c r="I277" s="1440" t="s">
        <v>34</v>
      </c>
      <c r="J277" s="1355" t="s">
        <v>6407</v>
      </c>
      <c r="K277" s="1441" t="s">
        <v>6413</v>
      </c>
      <c r="L277" s="1318">
        <v>261547.2</v>
      </c>
      <c r="M277" s="1318">
        <v>46291.54</v>
      </c>
      <c r="N277" s="1438" t="s">
        <v>6414</v>
      </c>
      <c r="O277" s="1338" t="s">
        <v>6410</v>
      </c>
      <c r="P277" s="1336" t="s">
        <v>6411</v>
      </c>
      <c r="Q277" s="1442">
        <v>13269185200</v>
      </c>
      <c r="R277" s="1442" t="s">
        <v>6412</v>
      </c>
      <c r="S277" s="1443" t="s">
        <v>6089</v>
      </c>
      <c r="T277" s="1436"/>
    </row>
    <row r="278" spans="1:20" s="1292" customFormat="1" ht="20.100000000000001" customHeight="1">
      <c r="A278" s="1430"/>
      <c r="B278" s="1437" t="s">
        <v>2383</v>
      </c>
      <c r="C278" s="1318" t="s">
        <v>6415</v>
      </c>
      <c r="D278" s="1318" t="s">
        <v>62</v>
      </c>
      <c r="E278" s="1373" t="s">
        <v>34</v>
      </c>
      <c r="F278" s="1318">
        <v>68.31</v>
      </c>
      <c r="G278" s="1438" t="s">
        <v>32</v>
      </c>
      <c r="H278" s="1439" t="s">
        <v>33</v>
      </c>
      <c r="I278" s="1440" t="s">
        <v>34</v>
      </c>
      <c r="J278" s="1355" t="s">
        <v>6407</v>
      </c>
      <c r="K278" s="1441" t="s">
        <v>6413</v>
      </c>
      <c r="L278" s="1318">
        <v>448113.6</v>
      </c>
      <c r="M278" s="1318">
        <v>79312.14</v>
      </c>
      <c r="N278" s="1438" t="s">
        <v>6414</v>
      </c>
      <c r="O278" s="1338" t="s">
        <v>6410</v>
      </c>
      <c r="P278" s="1336" t="s">
        <v>6411</v>
      </c>
      <c r="Q278" s="1442">
        <v>13269185200</v>
      </c>
      <c r="R278" s="1442" t="s">
        <v>6412</v>
      </c>
      <c r="S278" s="1443" t="s">
        <v>6089</v>
      </c>
      <c r="T278" s="1436"/>
    </row>
    <row r="279" spans="1:20" s="1292" customFormat="1" ht="20.100000000000001" customHeight="1">
      <c r="A279" s="1430"/>
      <c r="B279" s="1437" t="s">
        <v>6416</v>
      </c>
      <c r="C279" s="1318" t="s">
        <v>6417</v>
      </c>
      <c r="D279" s="1318" t="s">
        <v>62</v>
      </c>
      <c r="E279" s="1373" t="s">
        <v>34</v>
      </c>
      <c r="F279" s="1318">
        <v>11.2</v>
      </c>
      <c r="G279" s="1438" t="s">
        <v>32</v>
      </c>
      <c r="H279" s="1439" t="s">
        <v>33</v>
      </c>
      <c r="I279" s="1440" t="s">
        <v>34</v>
      </c>
      <c r="J279" s="1355" t="s">
        <v>6407</v>
      </c>
      <c r="K279" s="1441" t="s">
        <v>6418</v>
      </c>
      <c r="L279" s="1318">
        <v>71680</v>
      </c>
      <c r="M279" s="1318">
        <v>36157.1</v>
      </c>
      <c r="N279" s="1438" t="s">
        <v>6419</v>
      </c>
      <c r="O279" s="1338" t="s">
        <v>6410</v>
      </c>
      <c r="P279" s="1336" t="s">
        <v>6411</v>
      </c>
      <c r="Q279" s="1442">
        <v>13269185200</v>
      </c>
      <c r="R279" s="1442" t="s">
        <v>6412</v>
      </c>
      <c r="S279" s="1443" t="s">
        <v>6089</v>
      </c>
      <c r="T279" s="1436"/>
    </row>
    <row r="280" spans="1:20" s="1292" customFormat="1" ht="20.100000000000001" customHeight="1">
      <c r="A280" s="1430"/>
      <c r="B280" s="1437" t="s">
        <v>6420</v>
      </c>
      <c r="C280" s="1318" t="s">
        <v>6421</v>
      </c>
      <c r="D280" s="1318" t="s">
        <v>62</v>
      </c>
      <c r="E280" s="1373" t="s">
        <v>34</v>
      </c>
      <c r="F280" s="1318">
        <v>5.46</v>
      </c>
      <c r="G280" s="1438" t="s">
        <v>32</v>
      </c>
      <c r="H280" s="1439" t="s">
        <v>33</v>
      </c>
      <c r="I280" s="1440" t="s">
        <v>34</v>
      </c>
      <c r="J280" s="1355" t="s">
        <v>6407</v>
      </c>
      <c r="K280" s="1441" t="s">
        <v>6418</v>
      </c>
      <c r="L280" s="1318">
        <v>35217</v>
      </c>
      <c r="M280" s="1318">
        <v>16517.71</v>
      </c>
      <c r="N280" s="1438" t="s">
        <v>6422</v>
      </c>
      <c r="O280" s="1338" t="s">
        <v>6410</v>
      </c>
      <c r="P280" s="1336" t="s">
        <v>6411</v>
      </c>
      <c r="Q280" s="1442">
        <v>13269185200</v>
      </c>
      <c r="R280" s="1442" t="s">
        <v>6412</v>
      </c>
      <c r="S280" s="1443" t="s">
        <v>6089</v>
      </c>
      <c r="T280" s="1436"/>
    </row>
    <row r="281" spans="1:20" s="1292" customFormat="1" ht="20.100000000000001" customHeight="1">
      <c r="A281" s="1430"/>
      <c r="B281" s="1437" t="s">
        <v>6423</v>
      </c>
      <c r="C281" s="1318" t="s">
        <v>6424</v>
      </c>
      <c r="D281" s="1318" t="s">
        <v>62</v>
      </c>
      <c r="E281" s="1373" t="s">
        <v>34</v>
      </c>
      <c r="F281" s="1318">
        <v>45.3</v>
      </c>
      <c r="G281" s="1438" t="s">
        <v>32</v>
      </c>
      <c r="H281" s="1439" t="s">
        <v>33</v>
      </c>
      <c r="I281" s="1440" t="s">
        <v>34</v>
      </c>
      <c r="J281" s="1355" t="s">
        <v>6407</v>
      </c>
      <c r="K281" s="1441" t="s">
        <v>6418</v>
      </c>
      <c r="L281" s="1318">
        <v>292185</v>
      </c>
      <c r="M281" s="1318">
        <v>137042.51999999999</v>
      </c>
      <c r="N281" s="1438" t="s">
        <v>6422</v>
      </c>
      <c r="O281" s="1338" t="s">
        <v>6410</v>
      </c>
      <c r="P281" s="1336" t="s">
        <v>6411</v>
      </c>
      <c r="Q281" s="1442">
        <v>13269185200</v>
      </c>
      <c r="R281" s="1442" t="s">
        <v>6412</v>
      </c>
      <c r="S281" s="1443" t="s">
        <v>6089</v>
      </c>
      <c r="T281" s="1436"/>
    </row>
    <row r="282" spans="1:20" s="1292" customFormat="1" ht="20.100000000000001" customHeight="1">
      <c r="A282" s="1430"/>
      <c r="B282" s="1437" t="s">
        <v>6425</v>
      </c>
      <c r="C282" s="1318" t="s">
        <v>2361</v>
      </c>
      <c r="D282" s="1318" t="s">
        <v>62</v>
      </c>
      <c r="E282" s="1373" t="s">
        <v>34</v>
      </c>
      <c r="F282" s="1318">
        <v>69.33</v>
      </c>
      <c r="G282" s="1438" t="s">
        <v>32</v>
      </c>
      <c r="H282" s="1439" t="s">
        <v>33</v>
      </c>
      <c r="I282" s="1440" t="s">
        <v>34</v>
      </c>
      <c r="J282" s="1355" t="s">
        <v>6407</v>
      </c>
      <c r="K282" s="1441" t="s">
        <v>6418</v>
      </c>
      <c r="L282" s="1318">
        <v>447178.5</v>
      </c>
      <c r="M282" s="1318">
        <v>209738.59</v>
      </c>
      <c r="N282" s="1438" t="s">
        <v>6422</v>
      </c>
      <c r="O282" s="1338" t="s">
        <v>6410</v>
      </c>
      <c r="P282" s="1336" t="s">
        <v>6411</v>
      </c>
      <c r="Q282" s="1442">
        <v>13269185200</v>
      </c>
      <c r="R282" s="1442" t="s">
        <v>6412</v>
      </c>
      <c r="S282" s="1443" t="s">
        <v>6089</v>
      </c>
      <c r="T282" s="1436"/>
    </row>
    <row r="283" spans="1:20" s="1292" customFormat="1" ht="20.100000000000001" customHeight="1">
      <c r="A283" s="1430"/>
      <c r="B283" s="1437" t="s">
        <v>135</v>
      </c>
      <c r="C283" s="1318"/>
      <c r="D283" s="1318" t="s">
        <v>62</v>
      </c>
      <c r="E283" s="1373" t="s">
        <v>34</v>
      </c>
      <c r="F283" s="1318">
        <v>158.80600000000001</v>
      </c>
      <c r="G283" s="1438" t="s">
        <v>32</v>
      </c>
      <c r="H283" s="1439" t="s">
        <v>33</v>
      </c>
      <c r="I283" s="1440" t="s">
        <v>34</v>
      </c>
      <c r="J283" s="1355" t="s">
        <v>6407</v>
      </c>
      <c r="K283" s="1441" t="s">
        <v>6413</v>
      </c>
      <c r="L283" s="1318">
        <v>1202161.42</v>
      </c>
      <c r="M283" s="1318">
        <v>634769.57999999996</v>
      </c>
      <c r="N283" s="1438" t="s">
        <v>6426</v>
      </c>
      <c r="O283" s="1338" t="s">
        <v>6410</v>
      </c>
      <c r="P283" s="1336" t="s">
        <v>6411</v>
      </c>
      <c r="Q283" s="1442">
        <v>13269185200</v>
      </c>
      <c r="R283" s="1442" t="s">
        <v>6412</v>
      </c>
      <c r="S283" s="1443" t="s">
        <v>6089</v>
      </c>
      <c r="T283" s="1436"/>
    </row>
    <row r="284" spans="1:20" s="1292" customFormat="1" ht="20.100000000000001" customHeight="1">
      <c r="A284" s="1290"/>
      <c r="B284" s="1437" t="s">
        <v>164</v>
      </c>
      <c r="C284" s="1318"/>
      <c r="D284" s="1318" t="s">
        <v>62</v>
      </c>
      <c r="E284" s="1373" t="s">
        <v>34</v>
      </c>
      <c r="F284" s="1318">
        <v>76.28</v>
      </c>
      <c r="G284" s="1438" t="s">
        <v>32</v>
      </c>
      <c r="H284" s="1439" t="s">
        <v>33</v>
      </c>
      <c r="I284" s="1440" t="s">
        <v>34</v>
      </c>
      <c r="J284" s="1355" t="s">
        <v>6407</v>
      </c>
      <c r="K284" s="1441" t="s">
        <v>6413</v>
      </c>
      <c r="L284" s="1318">
        <v>604137.6</v>
      </c>
      <c r="M284" s="1318">
        <v>318998.88</v>
      </c>
      <c r="N284" s="1438" t="s">
        <v>6426</v>
      </c>
      <c r="O284" s="1338" t="s">
        <v>6410</v>
      </c>
      <c r="P284" s="1336" t="s">
        <v>6411</v>
      </c>
      <c r="Q284" s="1442">
        <v>13269185200</v>
      </c>
      <c r="R284" s="1442" t="s">
        <v>6412</v>
      </c>
      <c r="S284" s="1443" t="s">
        <v>6089</v>
      </c>
      <c r="T284" s="1417"/>
    </row>
    <row r="285" spans="1:20" s="1292" customFormat="1" ht="20.100000000000001" customHeight="1">
      <c r="A285" s="1290"/>
      <c r="B285" s="1437" t="s">
        <v>6427</v>
      </c>
      <c r="C285" s="1318"/>
      <c r="D285" s="1318" t="s">
        <v>62</v>
      </c>
      <c r="E285" s="1373" t="s">
        <v>34</v>
      </c>
      <c r="F285" s="1318">
        <v>373.6</v>
      </c>
      <c r="G285" s="1438" t="s">
        <v>32</v>
      </c>
      <c r="H285" s="1439" t="s">
        <v>33</v>
      </c>
      <c r="I285" s="1440" t="s">
        <v>34</v>
      </c>
      <c r="J285" s="1355" t="s">
        <v>6407</v>
      </c>
      <c r="K285" s="1441" t="s">
        <v>6428</v>
      </c>
      <c r="L285" s="1318">
        <v>3071426.4</v>
      </c>
      <c r="M285" s="1318">
        <v>2165400.9</v>
      </c>
      <c r="N285" s="1438" t="s">
        <v>6429</v>
      </c>
      <c r="O285" s="1338" t="s">
        <v>6410</v>
      </c>
      <c r="P285" s="1336" t="s">
        <v>6411</v>
      </c>
      <c r="Q285" s="1442">
        <v>13269185200</v>
      </c>
      <c r="R285" s="1442" t="s">
        <v>6412</v>
      </c>
      <c r="S285" s="1443" t="s">
        <v>6089</v>
      </c>
      <c r="T285" s="1417"/>
    </row>
    <row r="286" spans="1:20" s="1292" customFormat="1" ht="20.100000000000001" customHeight="1">
      <c r="A286" s="1444">
        <v>4</v>
      </c>
      <c r="B286" s="1298" t="s">
        <v>6430</v>
      </c>
      <c r="C286" s="1298"/>
      <c r="D286" s="1298"/>
      <c r="E286" s="1298"/>
      <c r="F286" s="1445"/>
      <c r="G286" s="1446"/>
      <c r="H286" s="1446"/>
      <c r="I286" s="1446"/>
      <c r="J286" s="1446"/>
      <c r="K286" s="1298"/>
      <c r="L286" s="1298"/>
      <c r="M286" s="1318"/>
      <c r="N286" s="1301"/>
      <c r="O286" s="1445"/>
      <c r="P286" s="1446"/>
      <c r="Q286" s="1446"/>
      <c r="R286" s="1298"/>
      <c r="S286" s="1298"/>
      <c r="T286" s="1447"/>
    </row>
    <row r="287" spans="1:20" s="1292" customFormat="1" ht="20.100000000000001" customHeight="1">
      <c r="A287" s="1290"/>
      <c r="B287" s="1298" t="s">
        <v>6161</v>
      </c>
      <c r="C287" s="1298" t="s">
        <v>353</v>
      </c>
      <c r="D287" s="1298" t="s">
        <v>62</v>
      </c>
      <c r="E287" s="1373" t="s">
        <v>34</v>
      </c>
      <c r="F287" s="1298">
        <v>364</v>
      </c>
      <c r="G287" s="1298" t="s">
        <v>32</v>
      </c>
      <c r="H287" s="1298" t="s">
        <v>6390</v>
      </c>
      <c r="I287" s="1298" t="s">
        <v>6206</v>
      </c>
      <c r="J287" s="1298" t="s">
        <v>901</v>
      </c>
      <c r="K287" s="1298" t="s">
        <v>34</v>
      </c>
      <c r="L287" s="1298" t="s">
        <v>34</v>
      </c>
      <c r="M287" s="1318">
        <v>320000</v>
      </c>
      <c r="N287" s="1301" t="s">
        <v>6431</v>
      </c>
      <c r="O287" s="1298" t="s">
        <v>6188</v>
      </c>
      <c r="P287" s="1298" t="s">
        <v>6189</v>
      </c>
      <c r="Q287" s="1298">
        <v>18631102959</v>
      </c>
      <c r="R287" s="1298" t="s">
        <v>6432</v>
      </c>
      <c r="S287" s="1298" t="s">
        <v>6150</v>
      </c>
      <c r="T287" s="1297"/>
    </row>
    <row r="288" spans="1:20" s="1292" customFormat="1" ht="20.100000000000001" customHeight="1">
      <c r="A288" s="1290"/>
      <c r="B288" s="1298" t="s">
        <v>6161</v>
      </c>
      <c r="C288" s="1298" t="s">
        <v>398</v>
      </c>
      <c r="D288" s="1298" t="s">
        <v>62</v>
      </c>
      <c r="E288" s="1373" t="s">
        <v>34</v>
      </c>
      <c r="F288" s="1298">
        <v>137.26</v>
      </c>
      <c r="G288" s="1298" t="s">
        <v>32</v>
      </c>
      <c r="H288" s="1298" t="s">
        <v>6390</v>
      </c>
      <c r="I288" s="1298" t="s">
        <v>6217</v>
      </c>
      <c r="J288" s="1298" t="s">
        <v>901</v>
      </c>
      <c r="K288" s="1298" t="s">
        <v>34</v>
      </c>
      <c r="L288" s="1298" t="s">
        <v>34</v>
      </c>
      <c r="M288" s="1318">
        <v>119326.48</v>
      </c>
      <c r="N288" s="1301" t="s">
        <v>6204</v>
      </c>
      <c r="O288" s="1298" t="s">
        <v>6188</v>
      </c>
      <c r="P288" s="1298" t="s">
        <v>6189</v>
      </c>
      <c r="Q288" s="1298">
        <v>18631102959</v>
      </c>
      <c r="R288" s="1298" t="s">
        <v>6432</v>
      </c>
      <c r="S288" s="1298" t="s">
        <v>6150</v>
      </c>
      <c r="T288" s="1297"/>
    </row>
    <row r="289" spans="1:20" s="1292" customFormat="1" ht="20.100000000000001" customHeight="1">
      <c r="A289" s="1290"/>
      <c r="B289" s="1298" t="s">
        <v>6161</v>
      </c>
      <c r="C289" s="1298" t="s">
        <v>6433</v>
      </c>
      <c r="D289" s="1298" t="s">
        <v>62</v>
      </c>
      <c r="E289" s="1373" t="s">
        <v>34</v>
      </c>
      <c r="F289" s="1298">
        <f>248.5+2.37</f>
        <v>250.87</v>
      </c>
      <c r="G289" s="1298" t="s">
        <v>32</v>
      </c>
      <c r="H289" s="1298" t="s">
        <v>6390</v>
      </c>
      <c r="I289" s="1298" t="s">
        <v>6217</v>
      </c>
      <c r="J289" s="1298" t="s">
        <v>901</v>
      </c>
      <c r="K289" s="1298" t="s">
        <v>34</v>
      </c>
      <c r="L289" s="1298" t="s">
        <v>34</v>
      </c>
      <c r="M289" s="1318">
        <v>217755.76</v>
      </c>
      <c r="N289" s="1301" t="s">
        <v>6207</v>
      </c>
      <c r="O289" s="1298" t="s">
        <v>6188</v>
      </c>
      <c r="P289" s="1298" t="s">
        <v>6189</v>
      </c>
      <c r="Q289" s="1298">
        <v>18631102959</v>
      </c>
      <c r="R289" s="1298" t="s">
        <v>6432</v>
      </c>
      <c r="S289" s="1298" t="s">
        <v>6150</v>
      </c>
      <c r="T289" s="1297"/>
    </row>
    <row r="290" spans="1:20" s="1292" customFormat="1" ht="20.100000000000001" customHeight="1">
      <c r="A290" s="1290"/>
      <c r="B290" s="1298" t="s">
        <v>6434</v>
      </c>
      <c r="C290" s="1298" t="s">
        <v>6430</v>
      </c>
      <c r="D290" s="1298" t="s">
        <v>62</v>
      </c>
      <c r="E290" s="1373" t="s">
        <v>34</v>
      </c>
      <c r="F290" s="1298">
        <v>2.1818181818181799</v>
      </c>
      <c r="G290" s="1298" t="s">
        <v>32</v>
      </c>
      <c r="H290" s="1298" t="s">
        <v>6390</v>
      </c>
      <c r="I290" s="1298" t="s">
        <v>6217</v>
      </c>
      <c r="J290" s="1298" t="s">
        <v>901</v>
      </c>
      <c r="K290" s="1298" t="s">
        <v>34</v>
      </c>
      <c r="L290" s="1298" t="s">
        <v>34</v>
      </c>
      <c r="M290" s="1318">
        <v>2400</v>
      </c>
      <c r="N290" s="1301">
        <v>2016.12</v>
      </c>
      <c r="O290" s="1298" t="s">
        <v>6188</v>
      </c>
      <c r="P290" s="1298" t="s">
        <v>6189</v>
      </c>
      <c r="Q290" s="1298">
        <v>18631102959</v>
      </c>
      <c r="R290" s="1298" t="s">
        <v>6432</v>
      </c>
      <c r="S290" s="1298" t="s">
        <v>6150</v>
      </c>
      <c r="T290" s="1297"/>
    </row>
    <row r="291" spans="1:20" s="1292" customFormat="1" ht="20.100000000000001" customHeight="1">
      <c r="A291" s="1290"/>
      <c r="B291" s="1298" t="s">
        <v>353</v>
      </c>
      <c r="C291" s="1298" t="s">
        <v>6435</v>
      </c>
      <c r="D291" s="1298" t="s">
        <v>2084</v>
      </c>
      <c r="E291" s="1373" t="s">
        <v>34</v>
      </c>
      <c r="F291" s="1298">
        <v>150.21</v>
      </c>
      <c r="G291" s="1298" t="s">
        <v>72</v>
      </c>
      <c r="H291" s="1298" t="s">
        <v>33</v>
      </c>
      <c r="I291" s="1298" t="s">
        <v>34</v>
      </c>
      <c r="J291" s="1298" t="s">
        <v>6171</v>
      </c>
      <c r="K291" s="1289" t="s">
        <v>6436</v>
      </c>
      <c r="L291" s="1289">
        <v>758560.5</v>
      </c>
      <c r="M291" s="1318">
        <v>151712.1</v>
      </c>
      <c r="N291" s="1289" t="s">
        <v>6437</v>
      </c>
      <c r="O291" s="1298" t="s">
        <v>6438</v>
      </c>
      <c r="P291" s="1298" t="s">
        <v>6175</v>
      </c>
      <c r="Q291" s="1298">
        <v>13930162225</v>
      </c>
      <c r="R291" s="1298" t="s">
        <v>6439</v>
      </c>
      <c r="S291" s="1298" t="s">
        <v>6150</v>
      </c>
      <c r="T291" s="1297"/>
    </row>
    <row r="292" spans="1:20" s="1292" customFormat="1" ht="20.100000000000001" customHeight="1">
      <c r="A292" s="1290"/>
      <c r="B292" s="1289" t="s">
        <v>398</v>
      </c>
      <c r="C292" s="1289"/>
      <c r="D292" s="1290" t="s">
        <v>62</v>
      </c>
      <c r="E292" s="1373" t="s">
        <v>34</v>
      </c>
      <c r="F292" s="1289">
        <v>563.96</v>
      </c>
      <c r="G292" s="1308" t="s">
        <v>32</v>
      </c>
      <c r="H292" s="1309" t="s">
        <v>33</v>
      </c>
      <c r="I292" s="1310" t="s">
        <v>34</v>
      </c>
      <c r="J292" s="1310" t="s">
        <v>6079</v>
      </c>
      <c r="K292" s="1289" t="s">
        <v>63</v>
      </c>
      <c r="L292" s="1411">
        <v>3615832.04</v>
      </c>
      <c r="M292" s="1318">
        <f>L292-482110.94*5</f>
        <v>1205277.3399999999</v>
      </c>
      <c r="N292" s="1289">
        <v>2020.12</v>
      </c>
      <c r="O292" s="1289" t="s">
        <v>1766</v>
      </c>
      <c r="P292" s="1290" t="s">
        <v>6081</v>
      </c>
      <c r="Q292" s="1289">
        <v>15735090699</v>
      </c>
      <c r="R292" s="1296" t="s">
        <v>1766</v>
      </c>
      <c r="S292" s="1448" t="s">
        <v>6056</v>
      </c>
      <c r="T292" s="1297"/>
    </row>
    <row r="293" spans="1:20" s="1292" customFormat="1" ht="20.100000000000001" customHeight="1">
      <c r="A293" s="1290"/>
      <c r="B293" s="1289" t="s">
        <v>6440</v>
      </c>
      <c r="C293" s="1289"/>
      <c r="D293" s="1290" t="s">
        <v>62</v>
      </c>
      <c r="E293" s="1373" t="s">
        <v>34</v>
      </c>
      <c r="F293" s="1289">
        <v>397.44</v>
      </c>
      <c r="G293" s="1308" t="s">
        <v>32</v>
      </c>
      <c r="H293" s="1309" t="s">
        <v>33</v>
      </c>
      <c r="I293" s="1310" t="s">
        <v>34</v>
      </c>
      <c r="J293" s="1310" t="s">
        <v>6079</v>
      </c>
      <c r="K293" s="1289" t="s">
        <v>63</v>
      </c>
      <c r="L293" s="1411">
        <v>2638206.7200000002</v>
      </c>
      <c r="M293" s="1318">
        <f>L293-2110565.38/6*3</f>
        <v>1582924.0300000003</v>
      </c>
      <c r="N293" s="1289">
        <v>2021.03</v>
      </c>
      <c r="O293" s="1289" t="s">
        <v>1766</v>
      </c>
      <c r="P293" s="1290" t="s">
        <v>6081</v>
      </c>
      <c r="Q293" s="1289">
        <v>15735090699</v>
      </c>
      <c r="R293" s="1296" t="s">
        <v>1766</v>
      </c>
      <c r="S293" s="1448" t="s">
        <v>6056</v>
      </c>
      <c r="T293" s="1297"/>
    </row>
    <row r="294" spans="1:20" s="1292" customFormat="1" ht="20.100000000000001" customHeight="1">
      <c r="A294" s="1290"/>
      <c r="B294" s="1325" t="s">
        <v>1593</v>
      </c>
      <c r="C294" s="1326" t="s">
        <v>398</v>
      </c>
      <c r="D294" s="1325" t="s">
        <v>2323</v>
      </c>
      <c r="E294" s="1373" t="s">
        <v>34</v>
      </c>
      <c r="F294" s="1327">
        <v>97</v>
      </c>
      <c r="G294" s="1308" t="s">
        <v>32</v>
      </c>
      <c r="H294" s="1309" t="s">
        <v>33</v>
      </c>
      <c r="I294" s="1310" t="s">
        <v>34</v>
      </c>
      <c r="J294" s="1310" t="s">
        <v>34</v>
      </c>
      <c r="K294" s="1310" t="s">
        <v>34</v>
      </c>
      <c r="L294" s="1328">
        <v>737200</v>
      </c>
      <c r="M294" s="1318">
        <f>(L294-L294*0.2)/4*3+L294*0.2</f>
        <v>589760</v>
      </c>
      <c r="N294" s="1327" t="s">
        <v>6243</v>
      </c>
      <c r="O294" s="1289" t="s">
        <v>6441</v>
      </c>
      <c r="P294" s="1325" t="s">
        <v>6236</v>
      </c>
      <c r="Q294" s="1325">
        <v>15610821906</v>
      </c>
      <c r="R294" s="1289" t="s">
        <v>6442</v>
      </c>
      <c r="S294" s="1448" t="s">
        <v>6056</v>
      </c>
      <c r="T294" s="1297"/>
    </row>
    <row r="295" spans="1:20" s="1292" customFormat="1" ht="20.100000000000001" customHeight="1">
      <c r="A295" s="1449"/>
      <c r="B295" s="1298" t="s">
        <v>6443</v>
      </c>
      <c r="C295" s="1298"/>
      <c r="D295" s="1298" t="s">
        <v>62</v>
      </c>
      <c r="E295" s="1450" t="s">
        <v>34</v>
      </c>
      <c r="F295" s="1298" t="s">
        <v>34</v>
      </c>
      <c r="G295" s="1298" t="s">
        <v>32</v>
      </c>
      <c r="H295" s="1298" t="s">
        <v>6390</v>
      </c>
      <c r="I295" s="1298" t="s">
        <v>34</v>
      </c>
      <c r="J295" s="1298" t="s">
        <v>34</v>
      </c>
      <c r="K295" s="1298" t="s">
        <v>34</v>
      </c>
      <c r="L295" s="1298" t="s">
        <v>34</v>
      </c>
      <c r="M295" s="1318">
        <v>319023</v>
      </c>
      <c r="N295" s="1301">
        <v>2016.3</v>
      </c>
      <c r="O295" s="1298" t="s">
        <v>6272</v>
      </c>
      <c r="P295" s="1298" t="s">
        <v>6273</v>
      </c>
      <c r="Q295" s="1298">
        <v>13832383939</v>
      </c>
      <c r="R295" s="1298" t="s">
        <v>6444</v>
      </c>
      <c r="S295" s="1298" t="s">
        <v>6150</v>
      </c>
      <c r="T295" s="1297"/>
    </row>
    <row r="296" spans="1:20" s="1292" customFormat="1" ht="20.100000000000001" customHeight="1">
      <c r="A296" s="1290">
        <v>5</v>
      </c>
      <c r="B296" s="1298" t="s">
        <v>6445</v>
      </c>
      <c r="C296" s="1298"/>
      <c r="D296" s="1298"/>
      <c r="E296" s="1298"/>
      <c r="F296" s="1298"/>
      <c r="G296" s="1298"/>
      <c r="H296" s="1298"/>
      <c r="I296" s="1298"/>
      <c r="J296" s="1298"/>
      <c r="K296" s="1298"/>
      <c r="L296" s="1298"/>
      <c r="M296" s="1318"/>
      <c r="N296" s="1301"/>
      <c r="O296" s="1298"/>
      <c r="P296" s="1298"/>
      <c r="Q296" s="1298"/>
      <c r="R296" s="1298"/>
      <c r="S296" s="1298"/>
      <c r="T296" s="1297"/>
    </row>
    <row r="297" spans="1:20" s="1030" customFormat="1" ht="20.100000000000001" customHeight="1">
      <c r="A297" s="1451" t="s">
        <v>6446</v>
      </c>
      <c r="B297" s="1298" t="s">
        <v>6447</v>
      </c>
      <c r="C297" s="1298"/>
      <c r="D297" s="1298"/>
      <c r="E297" s="1298"/>
      <c r="F297" s="1298"/>
      <c r="G297" s="1298"/>
      <c r="H297" s="1298"/>
      <c r="I297" s="1298"/>
      <c r="J297" s="1298"/>
      <c r="K297" s="1298"/>
      <c r="L297" s="1298"/>
      <c r="M297" s="1318"/>
      <c r="N297" s="1301"/>
      <c r="O297" s="1298"/>
      <c r="P297" s="1298"/>
      <c r="Q297" s="1298"/>
      <c r="R297" s="1298"/>
      <c r="S297" s="1298"/>
      <c r="T297" s="1323"/>
    </row>
    <row r="298" spans="1:20" s="1030" customFormat="1" ht="19.5" customHeight="1">
      <c r="A298" s="1451">
        <v>1</v>
      </c>
      <c r="B298" s="1298" t="s">
        <v>6448</v>
      </c>
      <c r="C298" s="1298" t="s">
        <v>6449</v>
      </c>
      <c r="D298" s="1298"/>
      <c r="E298" s="1298"/>
      <c r="F298" s="1298"/>
      <c r="G298" s="1298"/>
      <c r="H298" s="1298"/>
      <c r="I298" s="1298"/>
      <c r="J298" s="1298"/>
      <c r="K298" s="1298"/>
      <c r="L298" s="1298"/>
      <c r="M298" s="1318"/>
      <c r="N298" s="1301"/>
      <c r="O298" s="1298"/>
      <c r="P298" s="1298"/>
      <c r="Q298" s="1298"/>
      <c r="R298" s="1298"/>
      <c r="S298" s="1298"/>
      <c r="T298" s="1323"/>
    </row>
    <row r="299" spans="1:20" s="1030" customFormat="1" ht="19.5" customHeight="1">
      <c r="A299" s="1451"/>
      <c r="B299" s="1298" t="s">
        <v>526</v>
      </c>
      <c r="C299" s="1298" t="s">
        <v>3725</v>
      </c>
      <c r="D299" s="1298" t="s">
        <v>161</v>
      </c>
      <c r="E299" s="1298">
        <v>50</v>
      </c>
      <c r="F299" s="1298" t="s">
        <v>34</v>
      </c>
      <c r="G299" s="1298" t="s">
        <v>32</v>
      </c>
      <c r="H299" s="1298" t="s">
        <v>6146</v>
      </c>
      <c r="I299" s="1298" t="s">
        <v>34</v>
      </c>
      <c r="J299" s="1298" t="s">
        <v>34</v>
      </c>
      <c r="K299" s="1298" t="s">
        <v>34</v>
      </c>
      <c r="L299" s="1298" t="s">
        <v>34</v>
      </c>
      <c r="M299" s="1318" t="s">
        <v>34</v>
      </c>
      <c r="N299" s="1301">
        <v>2010.5</v>
      </c>
      <c r="O299" s="1298" t="s">
        <v>6051</v>
      </c>
      <c r="P299" s="1298" t="s">
        <v>6052</v>
      </c>
      <c r="Q299" s="1298">
        <v>13833153652</v>
      </c>
      <c r="R299" s="1298" t="s">
        <v>6450</v>
      </c>
      <c r="S299" s="1298" t="s">
        <v>6150</v>
      </c>
      <c r="T299" s="1298"/>
    </row>
    <row r="300" spans="1:20" s="1030" customFormat="1" ht="19.5" customHeight="1">
      <c r="A300" s="1451"/>
      <c r="B300" s="1298" t="s">
        <v>526</v>
      </c>
      <c r="C300" s="1298" t="s">
        <v>3724</v>
      </c>
      <c r="D300" s="1298" t="s">
        <v>161</v>
      </c>
      <c r="E300" s="1298">
        <v>824</v>
      </c>
      <c r="F300" s="1298" t="s">
        <v>34</v>
      </c>
      <c r="G300" s="1298" t="s">
        <v>32</v>
      </c>
      <c r="H300" s="1298" t="s">
        <v>6146</v>
      </c>
      <c r="I300" s="1298" t="s">
        <v>34</v>
      </c>
      <c r="J300" s="1298" t="s">
        <v>34</v>
      </c>
      <c r="K300" s="1298" t="s">
        <v>34</v>
      </c>
      <c r="L300" s="1298" t="s">
        <v>34</v>
      </c>
      <c r="M300" s="1318" t="s">
        <v>34</v>
      </c>
      <c r="N300" s="1301">
        <v>2010.5</v>
      </c>
      <c r="O300" s="1298" t="s">
        <v>6051</v>
      </c>
      <c r="P300" s="1298" t="s">
        <v>6052</v>
      </c>
      <c r="Q300" s="1298">
        <v>13833153652</v>
      </c>
      <c r="R300" s="1298" t="s">
        <v>6450</v>
      </c>
      <c r="S300" s="1298" t="s">
        <v>6150</v>
      </c>
      <c r="T300" s="1323"/>
    </row>
    <row r="301" spans="1:20" s="1030" customFormat="1" ht="19.5" customHeight="1">
      <c r="A301" s="1451"/>
      <c r="B301" s="1298" t="s">
        <v>526</v>
      </c>
      <c r="C301" s="1298" t="s">
        <v>3723</v>
      </c>
      <c r="D301" s="1298" t="s">
        <v>62</v>
      </c>
      <c r="E301" s="1298" t="s">
        <v>34</v>
      </c>
      <c r="F301" s="1298">
        <v>9</v>
      </c>
      <c r="G301" s="1298" t="s">
        <v>32</v>
      </c>
      <c r="H301" s="1298" t="s">
        <v>6146</v>
      </c>
      <c r="I301" s="1298" t="s">
        <v>34</v>
      </c>
      <c r="J301" s="1298" t="s">
        <v>34</v>
      </c>
      <c r="K301" s="1298" t="s">
        <v>34</v>
      </c>
      <c r="L301" s="1298" t="s">
        <v>34</v>
      </c>
      <c r="M301" s="1318" t="s">
        <v>34</v>
      </c>
      <c r="N301" s="1301">
        <v>2010.5</v>
      </c>
      <c r="O301" s="1298" t="s">
        <v>6051</v>
      </c>
      <c r="P301" s="1298" t="s">
        <v>6052</v>
      </c>
      <c r="Q301" s="1298">
        <v>13833153652</v>
      </c>
      <c r="R301" s="1298" t="s">
        <v>6450</v>
      </c>
      <c r="S301" s="1298" t="s">
        <v>6150</v>
      </c>
      <c r="T301" s="1323"/>
    </row>
    <row r="302" spans="1:20" s="1030" customFormat="1" ht="19.5" customHeight="1">
      <c r="A302" s="1451"/>
      <c r="B302" s="1298" t="s">
        <v>526</v>
      </c>
      <c r="C302" s="1298" t="s">
        <v>3723</v>
      </c>
      <c r="D302" s="1298" t="s">
        <v>62</v>
      </c>
      <c r="E302" s="1298" t="s">
        <v>34</v>
      </c>
      <c r="F302" s="1298">
        <v>33.594000000000001</v>
      </c>
      <c r="G302" s="1298" t="s">
        <v>32</v>
      </c>
      <c r="H302" s="1298" t="s">
        <v>6146</v>
      </c>
      <c r="I302" s="1298" t="s">
        <v>34</v>
      </c>
      <c r="J302" s="1298" t="s">
        <v>34</v>
      </c>
      <c r="K302" s="1298" t="s">
        <v>34</v>
      </c>
      <c r="L302" s="1298" t="s">
        <v>34</v>
      </c>
      <c r="M302" s="1318" t="s">
        <v>34</v>
      </c>
      <c r="N302" s="1301">
        <v>2010.5</v>
      </c>
      <c r="O302" s="1298" t="s">
        <v>6451</v>
      </c>
      <c r="P302" s="1298" t="s">
        <v>6052</v>
      </c>
      <c r="Q302" s="1298">
        <v>13833153652</v>
      </c>
      <c r="R302" s="1298" t="s">
        <v>6450</v>
      </c>
      <c r="S302" s="1298" t="s">
        <v>6150</v>
      </c>
      <c r="T302" s="1323"/>
    </row>
    <row r="303" spans="1:20" s="1030" customFormat="1" ht="19.5" customHeight="1">
      <c r="A303" s="1451"/>
      <c r="B303" s="1298" t="s">
        <v>526</v>
      </c>
      <c r="C303" s="1298" t="s">
        <v>3723</v>
      </c>
      <c r="D303" s="1298" t="s">
        <v>62</v>
      </c>
      <c r="E303" s="1298" t="s">
        <v>34</v>
      </c>
      <c r="F303" s="1298">
        <v>207.86600000000001</v>
      </c>
      <c r="G303" s="1298" t="s">
        <v>32</v>
      </c>
      <c r="H303" s="1298" t="s">
        <v>6146</v>
      </c>
      <c r="I303" s="1298" t="s">
        <v>34</v>
      </c>
      <c r="J303" s="1298" t="s">
        <v>34</v>
      </c>
      <c r="K303" s="1298" t="s">
        <v>34</v>
      </c>
      <c r="L303" s="1298" t="s">
        <v>34</v>
      </c>
      <c r="M303" s="1318">
        <v>206689.7</v>
      </c>
      <c r="N303" s="1301">
        <v>2012.12</v>
      </c>
      <c r="O303" s="1298" t="s">
        <v>6051</v>
      </c>
      <c r="P303" s="1298" t="s">
        <v>6052</v>
      </c>
      <c r="Q303" s="1298">
        <v>13833153652</v>
      </c>
      <c r="R303" s="1298" t="s">
        <v>6450</v>
      </c>
      <c r="S303" s="1298" t="s">
        <v>6150</v>
      </c>
      <c r="T303" s="1323"/>
    </row>
    <row r="304" spans="1:20" s="1030" customFormat="1" ht="19.5" customHeight="1">
      <c r="A304" s="1451"/>
      <c r="B304" s="1298" t="s">
        <v>526</v>
      </c>
      <c r="C304" s="1298" t="s">
        <v>3723</v>
      </c>
      <c r="D304" s="1298" t="s">
        <v>161</v>
      </c>
      <c r="E304" s="1298">
        <v>1620</v>
      </c>
      <c r="F304" s="1298" t="s">
        <v>34</v>
      </c>
      <c r="G304" s="1298" t="s">
        <v>32</v>
      </c>
      <c r="H304" s="1298" t="s">
        <v>6146</v>
      </c>
      <c r="I304" s="1298" t="s">
        <v>34</v>
      </c>
      <c r="J304" s="1298" t="s">
        <v>34</v>
      </c>
      <c r="K304" s="1298" t="s">
        <v>34</v>
      </c>
      <c r="L304" s="1298" t="s">
        <v>34</v>
      </c>
      <c r="M304" s="1318" t="s">
        <v>34</v>
      </c>
      <c r="N304" s="1301">
        <v>2010.5</v>
      </c>
      <c r="O304" s="1298" t="s">
        <v>6051</v>
      </c>
      <c r="P304" s="1298" t="s">
        <v>6052</v>
      </c>
      <c r="Q304" s="1298">
        <v>13833153652</v>
      </c>
      <c r="R304" s="1298" t="s">
        <v>6450</v>
      </c>
      <c r="S304" s="1298" t="s">
        <v>6150</v>
      </c>
      <c r="T304" s="1323"/>
    </row>
    <row r="305" spans="1:20" s="1030" customFormat="1" ht="19.5" customHeight="1">
      <c r="A305" s="1451"/>
      <c r="B305" s="1298" t="s">
        <v>526</v>
      </c>
      <c r="C305" s="1298" t="s">
        <v>3721</v>
      </c>
      <c r="D305" s="1298" t="s">
        <v>161</v>
      </c>
      <c r="E305" s="1298">
        <v>500</v>
      </c>
      <c r="F305" s="1298" t="s">
        <v>34</v>
      </c>
      <c r="G305" s="1298" t="s">
        <v>32</v>
      </c>
      <c r="H305" s="1298" t="s">
        <v>6146</v>
      </c>
      <c r="I305" s="1298" t="s">
        <v>34</v>
      </c>
      <c r="J305" s="1298" t="s">
        <v>34</v>
      </c>
      <c r="K305" s="1298" t="s">
        <v>34</v>
      </c>
      <c r="L305" s="1298" t="s">
        <v>34</v>
      </c>
      <c r="M305" s="1318" t="s">
        <v>34</v>
      </c>
      <c r="N305" s="1301">
        <v>2010.5</v>
      </c>
      <c r="O305" s="1298" t="s">
        <v>6051</v>
      </c>
      <c r="P305" s="1298" t="s">
        <v>6052</v>
      </c>
      <c r="Q305" s="1298">
        <v>13833153652</v>
      </c>
      <c r="R305" s="1298" t="s">
        <v>6450</v>
      </c>
      <c r="S305" s="1298" t="s">
        <v>6150</v>
      </c>
      <c r="T305" s="1323"/>
    </row>
    <row r="306" spans="1:20" s="1030" customFormat="1" ht="19.5" customHeight="1">
      <c r="A306" s="1451"/>
      <c r="B306" s="1298" t="s">
        <v>593</v>
      </c>
      <c r="C306" s="1298" t="s">
        <v>6452</v>
      </c>
      <c r="D306" s="1298" t="s">
        <v>161</v>
      </c>
      <c r="E306" s="1298">
        <v>1440</v>
      </c>
      <c r="F306" s="1298" t="s">
        <v>34</v>
      </c>
      <c r="G306" s="1298" t="s">
        <v>32</v>
      </c>
      <c r="H306" s="1298" t="s">
        <v>6146</v>
      </c>
      <c r="I306" s="1298" t="s">
        <v>34</v>
      </c>
      <c r="J306" s="1298" t="s">
        <v>34</v>
      </c>
      <c r="K306" s="1298" t="s">
        <v>34</v>
      </c>
      <c r="L306" s="1298" t="s">
        <v>34</v>
      </c>
      <c r="M306" s="1318" t="s">
        <v>34</v>
      </c>
      <c r="N306" s="1301">
        <v>2010.8</v>
      </c>
      <c r="O306" s="1298" t="s">
        <v>6051</v>
      </c>
      <c r="P306" s="1298" t="s">
        <v>6052</v>
      </c>
      <c r="Q306" s="1298">
        <v>13833153652</v>
      </c>
      <c r="R306" s="1298" t="s">
        <v>6450</v>
      </c>
      <c r="S306" s="1298" t="s">
        <v>6150</v>
      </c>
      <c r="T306" s="1323"/>
    </row>
    <row r="307" spans="1:20" s="1030" customFormat="1" ht="19.5" customHeight="1">
      <c r="A307" s="1451"/>
      <c r="B307" s="1298" t="s">
        <v>526</v>
      </c>
      <c r="C307" s="1298" t="s">
        <v>6453</v>
      </c>
      <c r="D307" s="1298" t="s">
        <v>62</v>
      </c>
      <c r="E307" s="1298" t="s">
        <v>34</v>
      </c>
      <c r="F307" s="1298">
        <v>127.36</v>
      </c>
      <c r="G307" s="1298" t="s">
        <v>32</v>
      </c>
      <c r="H307" s="1298" t="s">
        <v>6146</v>
      </c>
      <c r="I307" s="1298" t="s">
        <v>34</v>
      </c>
      <c r="J307" s="1298" t="s">
        <v>34</v>
      </c>
      <c r="K307" s="1298" t="s">
        <v>34</v>
      </c>
      <c r="L307" s="1298">
        <v>106976.84</v>
      </c>
      <c r="M307" s="1318">
        <v>106976.84</v>
      </c>
      <c r="N307" s="1298">
        <v>2019.8</v>
      </c>
      <c r="O307" s="1298" t="s">
        <v>6180</v>
      </c>
      <c r="P307" s="1298" t="s">
        <v>6164</v>
      </c>
      <c r="Q307" s="1298">
        <v>17732844980</v>
      </c>
      <c r="R307" s="1298" t="s">
        <v>6454</v>
      </c>
      <c r="S307" s="1298" t="s">
        <v>6150</v>
      </c>
      <c r="T307" s="1323"/>
    </row>
    <row r="308" spans="1:20" s="1030" customFormat="1" ht="19.5" customHeight="1">
      <c r="A308" s="1298"/>
      <c r="B308" s="1298" t="s">
        <v>526</v>
      </c>
      <c r="C308" s="1298">
        <v>56</v>
      </c>
      <c r="D308" s="1298" t="s">
        <v>62</v>
      </c>
      <c r="E308" s="1298" t="s">
        <v>34</v>
      </c>
      <c r="F308" s="1298">
        <v>58.65</v>
      </c>
      <c r="G308" s="1298" t="s">
        <v>32</v>
      </c>
      <c r="H308" s="1298" t="s">
        <v>33</v>
      </c>
      <c r="I308" s="1298" t="s">
        <v>34</v>
      </c>
      <c r="J308" s="1298" t="s">
        <v>34</v>
      </c>
      <c r="K308" s="1298" t="s">
        <v>34</v>
      </c>
      <c r="L308" s="1452">
        <v>57477</v>
      </c>
      <c r="M308" s="1318">
        <v>57477</v>
      </c>
      <c r="N308" s="1298">
        <v>2019.8</v>
      </c>
      <c r="O308" s="1298" t="s">
        <v>6180</v>
      </c>
      <c r="P308" s="1298" t="s">
        <v>6164</v>
      </c>
      <c r="Q308" s="1298">
        <v>17732844980</v>
      </c>
      <c r="R308" s="1298" t="s">
        <v>6455</v>
      </c>
      <c r="S308" s="1298" t="s">
        <v>6056</v>
      </c>
      <c r="T308" s="1323"/>
    </row>
    <row r="309" spans="1:20" s="1030" customFormat="1" ht="19.5" customHeight="1">
      <c r="A309" s="1451"/>
      <c r="B309" s="1298" t="s">
        <v>593</v>
      </c>
      <c r="C309" s="1298" t="s">
        <v>6456</v>
      </c>
      <c r="D309" s="1298" t="s">
        <v>161</v>
      </c>
      <c r="E309" s="1298">
        <f>6388.6-9</f>
        <v>6379.6</v>
      </c>
      <c r="F309" s="1298" t="s">
        <v>34</v>
      </c>
      <c r="G309" s="1298" t="s">
        <v>6457</v>
      </c>
      <c r="H309" s="1298" t="s">
        <v>6390</v>
      </c>
      <c r="I309" s="1298" t="s">
        <v>34</v>
      </c>
      <c r="J309" s="1298" t="s">
        <v>34</v>
      </c>
      <c r="K309" s="1298" t="s">
        <v>34</v>
      </c>
      <c r="L309" s="1298">
        <f>(6388.6-9)*42</f>
        <v>267943.2</v>
      </c>
      <c r="M309" s="1318">
        <v>0</v>
      </c>
      <c r="N309" s="1306">
        <v>38869</v>
      </c>
      <c r="O309" s="1298" t="s">
        <v>6065</v>
      </c>
      <c r="P309" s="1298" t="s">
        <v>6066</v>
      </c>
      <c r="Q309" s="1298">
        <v>18632146158</v>
      </c>
      <c r="R309" s="1298" t="s">
        <v>6458</v>
      </c>
      <c r="S309" s="1298" t="s">
        <v>6056</v>
      </c>
      <c r="T309" s="1323"/>
    </row>
    <row r="310" spans="1:20" s="1030" customFormat="1" ht="19.5" customHeight="1">
      <c r="A310" s="1451"/>
      <c r="B310" s="1298" t="s">
        <v>593</v>
      </c>
      <c r="C310" s="1298" t="s">
        <v>6459</v>
      </c>
      <c r="D310" s="1298" t="s">
        <v>464</v>
      </c>
      <c r="E310" s="1298">
        <v>110</v>
      </c>
      <c r="F310" s="1298" t="s">
        <v>34</v>
      </c>
      <c r="G310" s="1298" t="s">
        <v>6457</v>
      </c>
      <c r="H310" s="1298" t="s">
        <v>6390</v>
      </c>
      <c r="I310" s="1298" t="s">
        <v>34</v>
      </c>
      <c r="J310" s="1298" t="s">
        <v>34</v>
      </c>
      <c r="K310" s="1298" t="s">
        <v>34</v>
      </c>
      <c r="L310" s="1298">
        <f>110*42</f>
        <v>4620</v>
      </c>
      <c r="M310" s="1318">
        <v>0</v>
      </c>
      <c r="N310" s="1306">
        <v>38869</v>
      </c>
      <c r="O310" s="1298" t="s">
        <v>6065</v>
      </c>
      <c r="P310" s="1298" t="s">
        <v>6066</v>
      </c>
      <c r="Q310" s="1298">
        <v>18632146158</v>
      </c>
      <c r="R310" s="1298" t="s">
        <v>6458</v>
      </c>
      <c r="S310" s="1298" t="s">
        <v>6056</v>
      </c>
      <c r="T310" s="1323"/>
    </row>
    <row r="311" spans="1:20" s="1030" customFormat="1" ht="19.5" customHeight="1">
      <c r="A311" s="1451"/>
      <c r="B311" s="1298" t="s">
        <v>6460</v>
      </c>
      <c r="C311" s="1298">
        <v>50</v>
      </c>
      <c r="D311" s="1298" t="s">
        <v>161</v>
      </c>
      <c r="E311" s="1298">
        <v>611.5</v>
      </c>
      <c r="F311" s="1298" t="s">
        <v>34</v>
      </c>
      <c r="G311" s="1298" t="s">
        <v>6457</v>
      </c>
      <c r="H311" s="1298" t="s">
        <v>6390</v>
      </c>
      <c r="I311" s="1298" t="s">
        <v>34</v>
      </c>
      <c r="J311" s="1298" t="s">
        <v>34</v>
      </c>
      <c r="K311" s="1298" t="s">
        <v>34</v>
      </c>
      <c r="L311" s="1298">
        <f>611.5*7</f>
        <v>4280.5</v>
      </c>
      <c r="M311" s="1318">
        <v>0</v>
      </c>
      <c r="N311" s="1306">
        <v>38869</v>
      </c>
      <c r="O311" s="1298" t="s">
        <v>6065</v>
      </c>
      <c r="P311" s="1298" t="s">
        <v>6066</v>
      </c>
      <c r="Q311" s="1298">
        <v>18632146158</v>
      </c>
      <c r="R311" s="1298" t="s">
        <v>6458</v>
      </c>
      <c r="S311" s="1298" t="s">
        <v>6056</v>
      </c>
      <c r="T311" s="1323"/>
    </row>
    <row r="312" spans="1:20" s="1030" customFormat="1" ht="19.5" customHeight="1">
      <c r="A312" s="1451"/>
      <c r="B312" s="1298" t="s">
        <v>6461</v>
      </c>
      <c r="C312" s="1298"/>
      <c r="D312" s="1298" t="s">
        <v>131</v>
      </c>
      <c r="E312" s="1298">
        <v>48</v>
      </c>
      <c r="F312" s="1298" t="s">
        <v>34</v>
      </c>
      <c r="G312" s="1298" t="s">
        <v>6457</v>
      </c>
      <c r="H312" s="1298" t="s">
        <v>6390</v>
      </c>
      <c r="I312" s="1298" t="s">
        <v>34</v>
      </c>
      <c r="J312" s="1298" t="s">
        <v>34</v>
      </c>
      <c r="K312" s="1298" t="s">
        <v>34</v>
      </c>
      <c r="L312" s="1298">
        <f>48*120</f>
        <v>5760</v>
      </c>
      <c r="M312" s="1318">
        <v>0</v>
      </c>
      <c r="N312" s="1306">
        <v>38869</v>
      </c>
      <c r="O312" s="1298" t="s">
        <v>6065</v>
      </c>
      <c r="P312" s="1298" t="s">
        <v>6066</v>
      </c>
      <c r="Q312" s="1298">
        <v>18632146158</v>
      </c>
      <c r="R312" s="1298" t="s">
        <v>6458</v>
      </c>
      <c r="S312" s="1298" t="s">
        <v>6056</v>
      </c>
      <c r="T312" s="1323"/>
    </row>
    <row r="313" spans="1:20" s="1030" customFormat="1" ht="19.5" customHeight="1">
      <c r="A313" s="1451"/>
      <c r="B313" s="1298" t="s">
        <v>526</v>
      </c>
      <c r="C313" s="1298">
        <v>180</v>
      </c>
      <c r="D313" s="1298" t="s">
        <v>161</v>
      </c>
      <c r="E313" s="1298">
        <v>6501</v>
      </c>
      <c r="F313" s="1298" t="s">
        <v>34</v>
      </c>
      <c r="G313" s="1298" t="s">
        <v>6462</v>
      </c>
      <c r="H313" s="1298" t="s">
        <v>6390</v>
      </c>
      <c r="I313" s="1298" t="s">
        <v>34</v>
      </c>
      <c r="J313" s="1298" t="s">
        <v>34</v>
      </c>
      <c r="K313" s="1298" t="s">
        <v>34</v>
      </c>
      <c r="L313" s="1298">
        <f>6501*105</f>
        <v>682605</v>
      </c>
      <c r="M313" s="1318">
        <v>0</v>
      </c>
      <c r="N313" s="1306">
        <v>38869</v>
      </c>
      <c r="O313" s="1298" t="s">
        <v>6065</v>
      </c>
      <c r="P313" s="1298" t="s">
        <v>6066</v>
      </c>
      <c r="Q313" s="1298">
        <v>18632146158</v>
      </c>
      <c r="R313" s="1298" t="s">
        <v>6458</v>
      </c>
      <c r="S313" s="1298" t="s">
        <v>6056</v>
      </c>
      <c r="T313" s="1323"/>
    </row>
    <row r="314" spans="1:20" s="1030" customFormat="1" ht="19.5" customHeight="1">
      <c r="A314" s="1451"/>
      <c r="B314" s="1298" t="s">
        <v>6463</v>
      </c>
      <c r="C314" s="1298">
        <v>360</v>
      </c>
      <c r="D314" s="1298" t="s">
        <v>31</v>
      </c>
      <c r="E314" s="1298">
        <v>82</v>
      </c>
      <c r="F314" s="1298" t="s">
        <v>34</v>
      </c>
      <c r="G314" s="1298" t="s">
        <v>6008</v>
      </c>
      <c r="H314" s="1298" t="s">
        <v>6390</v>
      </c>
      <c r="I314" s="1298" t="s">
        <v>34</v>
      </c>
      <c r="J314" s="1298" t="s">
        <v>34</v>
      </c>
      <c r="K314" s="1298" t="s">
        <v>34</v>
      </c>
      <c r="L314" s="1298">
        <f>82*374.78</f>
        <v>30731.96</v>
      </c>
      <c r="M314" s="1318">
        <v>0</v>
      </c>
      <c r="N314" s="1306">
        <v>38869</v>
      </c>
      <c r="O314" s="1298" t="s">
        <v>6065</v>
      </c>
      <c r="P314" s="1298" t="s">
        <v>6066</v>
      </c>
      <c r="Q314" s="1298">
        <v>18632146158</v>
      </c>
      <c r="R314" s="1298" t="s">
        <v>6458</v>
      </c>
      <c r="S314" s="1298" t="s">
        <v>6056</v>
      </c>
      <c r="T314" s="1323"/>
    </row>
    <row r="315" spans="1:20" s="1030" customFormat="1" ht="19.5" customHeight="1">
      <c r="A315" s="1451"/>
      <c r="B315" s="1298" t="s">
        <v>6463</v>
      </c>
      <c r="C315" s="1298">
        <v>400</v>
      </c>
      <c r="D315" s="1298" t="s">
        <v>31</v>
      </c>
      <c r="E315" s="1298">
        <v>86</v>
      </c>
      <c r="F315" s="1298" t="s">
        <v>34</v>
      </c>
      <c r="G315" s="1298" t="s">
        <v>6008</v>
      </c>
      <c r="H315" s="1298" t="s">
        <v>6390</v>
      </c>
      <c r="I315" s="1298" t="s">
        <v>34</v>
      </c>
      <c r="J315" s="1298" t="s">
        <v>34</v>
      </c>
      <c r="K315" s="1298" t="s">
        <v>34</v>
      </c>
      <c r="L315" s="1298">
        <f>86*398</f>
        <v>34228</v>
      </c>
      <c r="M315" s="1318">
        <v>0</v>
      </c>
      <c r="N315" s="1306">
        <v>38869</v>
      </c>
      <c r="O315" s="1298" t="s">
        <v>6065</v>
      </c>
      <c r="P315" s="1298" t="s">
        <v>6066</v>
      </c>
      <c r="Q315" s="1298">
        <v>18632146158</v>
      </c>
      <c r="R315" s="1298" t="s">
        <v>6458</v>
      </c>
      <c r="S315" s="1298" t="s">
        <v>6056</v>
      </c>
      <c r="T315" s="1323"/>
    </row>
    <row r="316" spans="1:20" s="1030" customFormat="1" ht="19.5" customHeight="1">
      <c r="A316" s="1451"/>
      <c r="B316" s="1298" t="s">
        <v>6464</v>
      </c>
      <c r="C316" s="1298" t="s">
        <v>6465</v>
      </c>
      <c r="D316" s="1298" t="s">
        <v>31</v>
      </c>
      <c r="E316" s="1298">
        <v>6000</v>
      </c>
      <c r="F316" s="1298" t="s">
        <v>34</v>
      </c>
      <c r="G316" s="1298" t="s">
        <v>6008</v>
      </c>
      <c r="H316" s="1298" t="s">
        <v>6146</v>
      </c>
      <c r="I316" s="1298" t="s">
        <v>34</v>
      </c>
      <c r="J316" s="1298" t="s">
        <v>34</v>
      </c>
      <c r="K316" s="1298" t="s">
        <v>34</v>
      </c>
      <c r="L316" s="1298">
        <f>6000*4</f>
        <v>24000</v>
      </c>
      <c r="M316" s="1318">
        <v>0</v>
      </c>
      <c r="N316" s="1306">
        <v>38869</v>
      </c>
      <c r="O316" s="1298" t="s">
        <v>6065</v>
      </c>
      <c r="P316" s="1298" t="s">
        <v>6066</v>
      </c>
      <c r="Q316" s="1298">
        <v>18632146158</v>
      </c>
      <c r="R316" s="1298" t="s">
        <v>6458</v>
      </c>
      <c r="S316" s="1298" t="s">
        <v>6056</v>
      </c>
      <c r="T316" s="1323"/>
    </row>
    <row r="317" spans="1:20" s="1030" customFormat="1" ht="19.5" customHeight="1">
      <c r="A317" s="1451"/>
      <c r="B317" s="1298" t="s">
        <v>6466</v>
      </c>
      <c r="C317" s="1298"/>
      <c r="D317" s="1298" t="s">
        <v>31</v>
      </c>
      <c r="E317" s="1298">
        <v>31</v>
      </c>
      <c r="F317" s="1298" t="s">
        <v>34</v>
      </c>
      <c r="G317" s="1298" t="s">
        <v>6467</v>
      </c>
      <c r="H317" s="1298" t="s">
        <v>6390</v>
      </c>
      <c r="I317" s="1298" t="s">
        <v>34</v>
      </c>
      <c r="J317" s="1298" t="s">
        <v>34</v>
      </c>
      <c r="K317" s="1298" t="s">
        <v>34</v>
      </c>
      <c r="L317" s="1298">
        <f>31*22.47</f>
        <v>696.56999999999994</v>
      </c>
      <c r="M317" s="1318">
        <v>0</v>
      </c>
      <c r="N317" s="1306">
        <v>38869</v>
      </c>
      <c r="O317" s="1298" t="s">
        <v>6065</v>
      </c>
      <c r="P317" s="1298" t="s">
        <v>6066</v>
      </c>
      <c r="Q317" s="1298">
        <v>18632146158</v>
      </c>
      <c r="R317" s="1298" t="s">
        <v>6458</v>
      </c>
      <c r="S317" s="1298" t="s">
        <v>6056</v>
      </c>
      <c r="T317" s="1323"/>
    </row>
    <row r="318" spans="1:20" s="1030" customFormat="1" ht="19.5" customHeight="1">
      <c r="A318" s="1451"/>
      <c r="B318" s="1298" t="s">
        <v>6466</v>
      </c>
      <c r="C318" s="1298"/>
      <c r="D318" s="1298" t="s">
        <v>31</v>
      </c>
      <c r="E318" s="1298">
        <v>1710</v>
      </c>
      <c r="F318" s="1298" t="s">
        <v>34</v>
      </c>
      <c r="G318" s="1298" t="s">
        <v>6462</v>
      </c>
      <c r="H318" s="1298" t="s">
        <v>6390</v>
      </c>
      <c r="I318" s="1298" t="s">
        <v>34</v>
      </c>
      <c r="J318" s="1298" t="s">
        <v>34</v>
      </c>
      <c r="K318" s="1298" t="s">
        <v>34</v>
      </c>
      <c r="L318" s="1298">
        <f>1710*22.47</f>
        <v>38423.699999999997</v>
      </c>
      <c r="M318" s="1318">
        <v>0</v>
      </c>
      <c r="N318" s="1306">
        <v>38869</v>
      </c>
      <c r="O318" s="1298" t="s">
        <v>6065</v>
      </c>
      <c r="P318" s="1298" t="s">
        <v>6066</v>
      </c>
      <c r="Q318" s="1298">
        <v>18632146158</v>
      </c>
      <c r="R318" s="1298" t="s">
        <v>6458</v>
      </c>
      <c r="S318" s="1298" t="s">
        <v>6056</v>
      </c>
      <c r="T318" s="1323"/>
    </row>
    <row r="319" spans="1:20" s="1030" customFormat="1" ht="19.5" customHeight="1">
      <c r="A319" s="1451"/>
      <c r="B319" s="1298" t="s">
        <v>6468</v>
      </c>
      <c r="C319" s="1298"/>
      <c r="D319" s="1298" t="s">
        <v>31</v>
      </c>
      <c r="E319" s="1298">
        <v>300</v>
      </c>
      <c r="F319" s="1298" t="s">
        <v>34</v>
      </c>
      <c r="G319" s="1298" t="s">
        <v>6462</v>
      </c>
      <c r="H319" s="1298" t="s">
        <v>6390</v>
      </c>
      <c r="I319" s="1298" t="s">
        <v>34</v>
      </c>
      <c r="J319" s="1298" t="s">
        <v>34</v>
      </c>
      <c r="K319" s="1298" t="s">
        <v>34</v>
      </c>
      <c r="L319" s="1298">
        <f>300*26.7</f>
        <v>8010</v>
      </c>
      <c r="M319" s="1318">
        <v>0</v>
      </c>
      <c r="N319" s="1306">
        <v>38869</v>
      </c>
      <c r="O319" s="1298" t="s">
        <v>6065</v>
      </c>
      <c r="P319" s="1298" t="s">
        <v>6066</v>
      </c>
      <c r="Q319" s="1298">
        <v>18632146158</v>
      </c>
      <c r="R319" s="1298" t="s">
        <v>6458</v>
      </c>
      <c r="S319" s="1298" t="s">
        <v>6056</v>
      </c>
      <c r="T319" s="1323"/>
    </row>
    <row r="320" spans="1:20" s="1030" customFormat="1" ht="19.5" customHeight="1">
      <c r="A320" s="1451"/>
      <c r="B320" s="1298" t="s">
        <v>6468</v>
      </c>
      <c r="C320" s="1298"/>
      <c r="D320" s="1298" t="s">
        <v>31</v>
      </c>
      <c r="E320" s="1298">
        <v>879</v>
      </c>
      <c r="F320" s="1298" t="s">
        <v>34</v>
      </c>
      <c r="G320" s="1298" t="s">
        <v>6462</v>
      </c>
      <c r="H320" s="1298" t="s">
        <v>6390</v>
      </c>
      <c r="I320" s="1298" t="s">
        <v>34</v>
      </c>
      <c r="J320" s="1298" t="s">
        <v>34</v>
      </c>
      <c r="K320" s="1298" t="s">
        <v>34</v>
      </c>
      <c r="L320" s="1298">
        <f>879*34</f>
        <v>29886</v>
      </c>
      <c r="M320" s="1318">
        <v>0</v>
      </c>
      <c r="N320" s="1306">
        <v>38869</v>
      </c>
      <c r="O320" s="1298" t="s">
        <v>6065</v>
      </c>
      <c r="P320" s="1298" t="s">
        <v>6066</v>
      </c>
      <c r="Q320" s="1298">
        <v>18632146158</v>
      </c>
      <c r="R320" s="1298" t="s">
        <v>6458</v>
      </c>
      <c r="S320" s="1298" t="s">
        <v>6056</v>
      </c>
      <c r="T320" s="1323"/>
    </row>
    <row r="321" spans="1:20" s="1030" customFormat="1" ht="19.5" customHeight="1">
      <c r="A321" s="1451"/>
      <c r="B321" s="1298" t="s">
        <v>6468</v>
      </c>
      <c r="C321" s="1298"/>
      <c r="D321" s="1298" t="s">
        <v>31</v>
      </c>
      <c r="E321" s="1298">
        <v>85</v>
      </c>
      <c r="F321" s="1298" t="s">
        <v>34</v>
      </c>
      <c r="G321" s="1298" t="s">
        <v>6462</v>
      </c>
      <c r="H321" s="1298" t="s">
        <v>6390</v>
      </c>
      <c r="I321" s="1298" t="s">
        <v>34</v>
      </c>
      <c r="J321" s="1298" t="s">
        <v>34</v>
      </c>
      <c r="K321" s="1298" t="s">
        <v>34</v>
      </c>
      <c r="L321" s="1298">
        <f>85*35</f>
        <v>2975</v>
      </c>
      <c r="M321" s="1318">
        <v>0</v>
      </c>
      <c r="N321" s="1306">
        <v>38869</v>
      </c>
      <c r="O321" s="1298" t="s">
        <v>6065</v>
      </c>
      <c r="P321" s="1298" t="s">
        <v>6066</v>
      </c>
      <c r="Q321" s="1298">
        <v>18632146158</v>
      </c>
      <c r="R321" s="1298" t="s">
        <v>6458</v>
      </c>
      <c r="S321" s="1298" t="s">
        <v>6056</v>
      </c>
      <c r="T321" s="1323"/>
    </row>
    <row r="322" spans="1:20" s="1030" customFormat="1" ht="19.5" customHeight="1">
      <c r="A322" s="1451"/>
      <c r="B322" s="1298" t="s">
        <v>6468</v>
      </c>
      <c r="C322" s="1298"/>
      <c r="D322" s="1298" t="s">
        <v>31</v>
      </c>
      <c r="E322" s="1298">
        <v>308</v>
      </c>
      <c r="F322" s="1298" t="s">
        <v>34</v>
      </c>
      <c r="G322" s="1298" t="s">
        <v>6457</v>
      </c>
      <c r="H322" s="1298" t="s">
        <v>6390</v>
      </c>
      <c r="I322" s="1298" t="s">
        <v>34</v>
      </c>
      <c r="J322" s="1298" t="s">
        <v>34</v>
      </c>
      <c r="K322" s="1298" t="s">
        <v>34</v>
      </c>
      <c r="L322" s="1298">
        <f>308*36</f>
        <v>11088</v>
      </c>
      <c r="M322" s="1318">
        <v>0</v>
      </c>
      <c r="N322" s="1306">
        <v>38869</v>
      </c>
      <c r="O322" s="1298" t="s">
        <v>6065</v>
      </c>
      <c r="P322" s="1298" t="s">
        <v>6066</v>
      </c>
      <c r="Q322" s="1298">
        <v>18632146158</v>
      </c>
      <c r="R322" s="1298" t="s">
        <v>6458</v>
      </c>
      <c r="S322" s="1298" t="s">
        <v>6056</v>
      </c>
      <c r="T322" s="1323"/>
    </row>
    <row r="323" spans="1:20" s="1030" customFormat="1" ht="19.5" customHeight="1">
      <c r="A323" s="1451"/>
      <c r="B323" s="1298" t="s">
        <v>6469</v>
      </c>
      <c r="C323" s="1298" t="s">
        <v>3721</v>
      </c>
      <c r="D323" s="1298" t="s">
        <v>131</v>
      </c>
      <c r="E323" s="1298">
        <v>896</v>
      </c>
      <c r="F323" s="1298" t="s">
        <v>34</v>
      </c>
      <c r="G323" s="1298" t="s">
        <v>6462</v>
      </c>
      <c r="H323" s="1298" t="s">
        <v>6390</v>
      </c>
      <c r="I323" s="1298" t="s">
        <v>34</v>
      </c>
      <c r="J323" s="1298" t="s">
        <v>34</v>
      </c>
      <c r="K323" s="1298" t="s">
        <v>34</v>
      </c>
      <c r="L323" s="1298">
        <f>896*28</f>
        <v>25088</v>
      </c>
      <c r="M323" s="1318">
        <v>0</v>
      </c>
      <c r="N323" s="1306">
        <v>38869</v>
      </c>
      <c r="O323" s="1298" t="s">
        <v>6065</v>
      </c>
      <c r="P323" s="1298" t="s">
        <v>6066</v>
      </c>
      <c r="Q323" s="1298">
        <v>18632146158</v>
      </c>
      <c r="R323" s="1298" t="s">
        <v>6458</v>
      </c>
      <c r="S323" s="1298" t="s">
        <v>6056</v>
      </c>
      <c r="T323" s="1323"/>
    </row>
    <row r="324" spans="1:20" s="1030" customFormat="1" ht="19.5" customHeight="1">
      <c r="A324" s="1451"/>
      <c r="B324" s="1298" t="s">
        <v>6469</v>
      </c>
      <c r="C324" s="1298" t="s">
        <v>6470</v>
      </c>
      <c r="D324" s="1298" t="s">
        <v>131</v>
      </c>
      <c r="E324" s="1298">
        <v>864</v>
      </c>
      <c r="F324" s="1298" t="s">
        <v>34</v>
      </c>
      <c r="G324" s="1298" t="s">
        <v>6462</v>
      </c>
      <c r="H324" s="1298" t="s">
        <v>6390</v>
      </c>
      <c r="I324" s="1298" t="s">
        <v>34</v>
      </c>
      <c r="J324" s="1298" t="s">
        <v>34</v>
      </c>
      <c r="K324" s="1298" t="s">
        <v>34</v>
      </c>
      <c r="L324" s="1298">
        <f>864*27</f>
        <v>23328</v>
      </c>
      <c r="M324" s="1318">
        <v>0</v>
      </c>
      <c r="N324" s="1306">
        <v>38869</v>
      </c>
      <c r="O324" s="1298" t="s">
        <v>6065</v>
      </c>
      <c r="P324" s="1298" t="s">
        <v>6066</v>
      </c>
      <c r="Q324" s="1298">
        <v>18632146158</v>
      </c>
      <c r="R324" s="1298" t="s">
        <v>6458</v>
      </c>
      <c r="S324" s="1298" t="s">
        <v>6056</v>
      </c>
      <c r="T324" s="1323"/>
    </row>
    <row r="325" spans="1:20" s="1030" customFormat="1" ht="19.5" customHeight="1">
      <c r="A325" s="1451"/>
      <c r="B325" s="1298" t="s">
        <v>6469</v>
      </c>
      <c r="C325" s="1298" t="s">
        <v>6471</v>
      </c>
      <c r="D325" s="1298" t="s">
        <v>131</v>
      </c>
      <c r="E325" s="1298">
        <v>317</v>
      </c>
      <c r="F325" s="1298" t="s">
        <v>34</v>
      </c>
      <c r="G325" s="1298" t="s">
        <v>6462</v>
      </c>
      <c r="H325" s="1298" t="s">
        <v>6390</v>
      </c>
      <c r="I325" s="1298" t="s">
        <v>34</v>
      </c>
      <c r="J325" s="1298" t="s">
        <v>34</v>
      </c>
      <c r="K325" s="1298" t="s">
        <v>34</v>
      </c>
      <c r="L325" s="1298">
        <f>317*33</f>
        <v>10461</v>
      </c>
      <c r="M325" s="1318">
        <v>0</v>
      </c>
      <c r="N325" s="1306">
        <v>38869</v>
      </c>
      <c r="O325" s="1298" t="s">
        <v>6065</v>
      </c>
      <c r="P325" s="1298" t="s">
        <v>6066</v>
      </c>
      <c r="Q325" s="1298">
        <v>18632146158</v>
      </c>
      <c r="R325" s="1298" t="s">
        <v>6458</v>
      </c>
      <c r="S325" s="1298" t="s">
        <v>6056</v>
      </c>
      <c r="T325" s="1323"/>
    </row>
    <row r="326" spans="1:20" s="1030" customFormat="1" ht="19.5" customHeight="1">
      <c r="A326" s="1451"/>
      <c r="B326" s="1298" t="s">
        <v>6469</v>
      </c>
      <c r="C326" s="1298" t="s">
        <v>2944</v>
      </c>
      <c r="D326" s="1298" t="s">
        <v>131</v>
      </c>
      <c r="E326" s="1298">
        <v>112</v>
      </c>
      <c r="F326" s="1298" t="s">
        <v>34</v>
      </c>
      <c r="G326" s="1298" t="s">
        <v>6457</v>
      </c>
      <c r="H326" s="1298" t="s">
        <v>6390</v>
      </c>
      <c r="I326" s="1298" t="s">
        <v>34</v>
      </c>
      <c r="J326" s="1298" t="s">
        <v>34</v>
      </c>
      <c r="K326" s="1298" t="s">
        <v>34</v>
      </c>
      <c r="L326" s="1298">
        <f>112*38</f>
        <v>4256</v>
      </c>
      <c r="M326" s="1318">
        <v>0</v>
      </c>
      <c r="N326" s="1306">
        <v>38869</v>
      </c>
      <c r="O326" s="1298" t="s">
        <v>6065</v>
      </c>
      <c r="P326" s="1298" t="s">
        <v>6066</v>
      </c>
      <c r="Q326" s="1298">
        <v>18632146158</v>
      </c>
      <c r="R326" s="1298" t="s">
        <v>6458</v>
      </c>
      <c r="S326" s="1298" t="s">
        <v>6056</v>
      </c>
      <c r="T326" s="1323"/>
    </row>
    <row r="327" spans="1:20" s="1030" customFormat="1" ht="19.5" customHeight="1">
      <c r="A327" s="1451"/>
      <c r="B327" s="1298" t="s">
        <v>6469</v>
      </c>
      <c r="C327" s="1298" t="s">
        <v>6472</v>
      </c>
      <c r="D327" s="1298" t="s">
        <v>131</v>
      </c>
      <c r="E327" s="1298">
        <v>659</v>
      </c>
      <c r="F327" s="1298" t="s">
        <v>34</v>
      </c>
      <c r="G327" s="1298" t="s">
        <v>6457</v>
      </c>
      <c r="H327" s="1298" t="s">
        <v>6390</v>
      </c>
      <c r="I327" s="1298" t="s">
        <v>34</v>
      </c>
      <c r="J327" s="1298" t="s">
        <v>34</v>
      </c>
      <c r="K327" s="1298" t="s">
        <v>34</v>
      </c>
      <c r="L327" s="1298">
        <f>659*38</f>
        <v>25042</v>
      </c>
      <c r="M327" s="1318">
        <v>0</v>
      </c>
      <c r="N327" s="1306">
        <v>38869</v>
      </c>
      <c r="O327" s="1298" t="s">
        <v>6065</v>
      </c>
      <c r="P327" s="1298" t="s">
        <v>6066</v>
      </c>
      <c r="Q327" s="1298">
        <v>18632146158</v>
      </c>
      <c r="R327" s="1298" t="s">
        <v>6458</v>
      </c>
      <c r="S327" s="1298" t="s">
        <v>6056</v>
      </c>
      <c r="T327" s="1323"/>
    </row>
    <row r="328" spans="1:20" s="1030" customFormat="1" ht="19.5" customHeight="1">
      <c r="A328" s="1451"/>
      <c r="B328" s="1298" t="s">
        <v>6469</v>
      </c>
      <c r="C328" s="1298" t="s">
        <v>6473</v>
      </c>
      <c r="D328" s="1298" t="s">
        <v>131</v>
      </c>
      <c r="E328" s="1298">
        <v>1593</v>
      </c>
      <c r="F328" s="1298" t="s">
        <v>34</v>
      </c>
      <c r="G328" s="1298" t="s">
        <v>6462</v>
      </c>
      <c r="H328" s="1298" t="s">
        <v>6390</v>
      </c>
      <c r="I328" s="1298" t="s">
        <v>34</v>
      </c>
      <c r="J328" s="1298" t="s">
        <v>34</v>
      </c>
      <c r="K328" s="1298" t="s">
        <v>34</v>
      </c>
      <c r="L328" s="1298">
        <f>1593*38</f>
        <v>60534</v>
      </c>
      <c r="M328" s="1318">
        <v>0</v>
      </c>
      <c r="N328" s="1306">
        <v>38869</v>
      </c>
      <c r="O328" s="1298" t="s">
        <v>6065</v>
      </c>
      <c r="P328" s="1298" t="s">
        <v>6066</v>
      </c>
      <c r="Q328" s="1298">
        <v>18632146158</v>
      </c>
      <c r="R328" s="1298" t="s">
        <v>6458</v>
      </c>
      <c r="S328" s="1298" t="s">
        <v>6056</v>
      </c>
      <c r="T328" s="1323"/>
    </row>
    <row r="329" spans="1:20" s="1030" customFormat="1" ht="19.5" customHeight="1">
      <c r="A329" s="1451"/>
      <c r="B329" s="1298" t="s">
        <v>6474</v>
      </c>
      <c r="C329" s="1298" t="s">
        <v>6475</v>
      </c>
      <c r="D329" s="1298" t="s">
        <v>31</v>
      </c>
      <c r="E329" s="1298">
        <v>10000</v>
      </c>
      <c r="F329" s="1298" t="s">
        <v>34</v>
      </c>
      <c r="G329" s="1298" t="s">
        <v>6462</v>
      </c>
      <c r="H329" s="1298" t="s">
        <v>6390</v>
      </c>
      <c r="I329" s="1298" t="s">
        <v>34</v>
      </c>
      <c r="J329" s="1298" t="s">
        <v>34</v>
      </c>
      <c r="K329" s="1298" t="s">
        <v>34</v>
      </c>
      <c r="L329" s="1298">
        <f>10000*6.8</f>
        <v>68000</v>
      </c>
      <c r="M329" s="1318">
        <v>0</v>
      </c>
      <c r="N329" s="1306">
        <v>38869</v>
      </c>
      <c r="O329" s="1298" t="s">
        <v>6065</v>
      </c>
      <c r="P329" s="1298" t="s">
        <v>6066</v>
      </c>
      <c r="Q329" s="1298">
        <v>18632146158</v>
      </c>
      <c r="R329" s="1298" t="s">
        <v>6458</v>
      </c>
      <c r="S329" s="1298" t="s">
        <v>6056</v>
      </c>
      <c r="T329" s="1323"/>
    </row>
    <row r="330" spans="1:20" s="1030" customFormat="1" ht="19.5" customHeight="1">
      <c r="A330" s="1451"/>
      <c r="B330" s="1298" t="s">
        <v>526</v>
      </c>
      <c r="C330" s="1298" t="s">
        <v>6476</v>
      </c>
      <c r="D330" s="1298" t="s">
        <v>6477</v>
      </c>
      <c r="E330" s="1298">
        <v>228</v>
      </c>
      <c r="F330" s="1298" t="s">
        <v>34</v>
      </c>
      <c r="G330" s="1298" t="s">
        <v>6462</v>
      </c>
      <c r="H330" s="1298" t="s">
        <v>6390</v>
      </c>
      <c r="I330" s="1298" t="s">
        <v>34</v>
      </c>
      <c r="J330" s="1298" t="s">
        <v>34</v>
      </c>
      <c r="K330" s="1298" t="s">
        <v>34</v>
      </c>
      <c r="L330" s="1298">
        <f>228*380</f>
        <v>86640</v>
      </c>
      <c r="M330" s="1318">
        <v>0</v>
      </c>
      <c r="N330" s="1306">
        <v>38869</v>
      </c>
      <c r="O330" s="1298" t="s">
        <v>6065</v>
      </c>
      <c r="P330" s="1298" t="s">
        <v>6066</v>
      </c>
      <c r="Q330" s="1298">
        <v>18632146158</v>
      </c>
      <c r="R330" s="1298" t="s">
        <v>6458</v>
      </c>
      <c r="S330" s="1298" t="s">
        <v>6056</v>
      </c>
      <c r="T330" s="1323"/>
    </row>
    <row r="331" spans="1:20" s="1030" customFormat="1" ht="20.100000000000001" customHeight="1">
      <c r="A331" s="1451"/>
      <c r="B331" s="1298" t="s">
        <v>6478</v>
      </c>
      <c r="C331" s="1298" t="s">
        <v>6479</v>
      </c>
      <c r="D331" s="1298" t="s">
        <v>31</v>
      </c>
      <c r="E331" s="1298">
        <v>1</v>
      </c>
      <c r="F331" s="1298" t="s">
        <v>34</v>
      </c>
      <c r="G331" s="1298" t="s">
        <v>32</v>
      </c>
      <c r="H331" s="1298" t="s">
        <v>6390</v>
      </c>
      <c r="I331" s="1298" t="s">
        <v>34</v>
      </c>
      <c r="J331" s="1298" t="s">
        <v>34</v>
      </c>
      <c r="K331" s="1298" t="s">
        <v>34</v>
      </c>
      <c r="L331" s="1298" t="s">
        <v>34</v>
      </c>
      <c r="M331" s="1318">
        <v>394.32</v>
      </c>
      <c r="N331" s="1301" t="s">
        <v>6480</v>
      </c>
      <c r="O331" s="1298" t="s">
        <v>6188</v>
      </c>
      <c r="P331" s="1298" t="s">
        <v>6189</v>
      </c>
      <c r="Q331" s="1298">
        <v>18631102959</v>
      </c>
      <c r="R331" s="1298" t="s">
        <v>6432</v>
      </c>
      <c r="S331" s="1298" t="s">
        <v>6150</v>
      </c>
      <c r="T331" s="1323"/>
    </row>
    <row r="332" spans="1:20" s="1030" customFormat="1" ht="20.100000000000001" customHeight="1">
      <c r="A332" s="1451"/>
      <c r="B332" s="1298" t="s">
        <v>514</v>
      </c>
      <c r="C332" s="1298" t="s">
        <v>6481</v>
      </c>
      <c r="D332" s="1298" t="s">
        <v>31</v>
      </c>
      <c r="E332" s="1298">
        <v>2</v>
      </c>
      <c r="F332" s="1298" t="s">
        <v>34</v>
      </c>
      <c r="G332" s="1298" t="s">
        <v>32</v>
      </c>
      <c r="H332" s="1298" t="s">
        <v>6390</v>
      </c>
      <c r="I332" s="1298" t="s">
        <v>34</v>
      </c>
      <c r="J332" s="1298" t="s">
        <v>34</v>
      </c>
      <c r="K332" s="1298" t="s">
        <v>34</v>
      </c>
      <c r="L332" s="1298" t="s">
        <v>34</v>
      </c>
      <c r="M332" s="1318">
        <v>78.239999999999895</v>
      </c>
      <c r="N332" s="1301" t="s">
        <v>6480</v>
      </c>
      <c r="O332" s="1298" t="s">
        <v>6188</v>
      </c>
      <c r="P332" s="1298" t="s">
        <v>6189</v>
      </c>
      <c r="Q332" s="1298">
        <v>18631102959</v>
      </c>
      <c r="R332" s="1298" t="s">
        <v>6432</v>
      </c>
      <c r="S332" s="1298" t="s">
        <v>6150</v>
      </c>
      <c r="T332" s="1323"/>
    </row>
    <row r="333" spans="1:20" s="1030" customFormat="1" ht="20.100000000000001" customHeight="1">
      <c r="A333" s="1451"/>
      <c r="B333" s="1298" t="s">
        <v>593</v>
      </c>
      <c r="C333" s="1298" t="s">
        <v>6482</v>
      </c>
      <c r="D333" s="1298" t="s">
        <v>2633</v>
      </c>
      <c r="E333" s="1298">
        <v>80</v>
      </c>
      <c r="F333" s="1298" t="s">
        <v>34</v>
      </c>
      <c r="G333" s="1298" t="s">
        <v>32</v>
      </c>
      <c r="H333" s="1298" t="s">
        <v>6390</v>
      </c>
      <c r="I333" s="1298" t="s">
        <v>34</v>
      </c>
      <c r="J333" s="1298" t="s">
        <v>34</v>
      </c>
      <c r="K333" s="1298" t="s">
        <v>34</v>
      </c>
      <c r="L333" s="1298" t="s">
        <v>34</v>
      </c>
      <c r="M333" s="1318">
        <v>1930.24</v>
      </c>
      <c r="N333" s="1301" t="s">
        <v>6480</v>
      </c>
      <c r="O333" s="1298" t="s">
        <v>6188</v>
      </c>
      <c r="P333" s="1298" t="s">
        <v>6189</v>
      </c>
      <c r="Q333" s="1298">
        <v>18631102959</v>
      </c>
      <c r="R333" s="1298" t="s">
        <v>6432</v>
      </c>
      <c r="S333" s="1298" t="s">
        <v>6150</v>
      </c>
      <c r="T333" s="1323"/>
    </row>
    <row r="334" spans="1:20" s="1030" customFormat="1" ht="20.100000000000001" customHeight="1">
      <c r="A334" s="1451"/>
      <c r="B334" s="1298" t="s">
        <v>593</v>
      </c>
      <c r="C334" s="1298" t="s">
        <v>6483</v>
      </c>
      <c r="D334" s="1298" t="s">
        <v>2633</v>
      </c>
      <c r="E334" s="1298">
        <v>39</v>
      </c>
      <c r="F334" s="1298" t="s">
        <v>34</v>
      </c>
      <c r="G334" s="1298" t="s">
        <v>32</v>
      </c>
      <c r="H334" s="1298" t="s">
        <v>6390</v>
      </c>
      <c r="I334" s="1298" t="s">
        <v>34</v>
      </c>
      <c r="J334" s="1298" t="s">
        <v>34</v>
      </c>
      <c r="K334" s="1298" t="s">
        <v>34</v>
      </c>
      <c r="L334" s="1298" t="s">
        <v>34</v>
      </c>
      <c r="M334" s="1318">
        <v>1810.71</v>
      </c>
      <c r="N334" s="1301" t="s">
        <v>6480</v>
      </c>
      <c r="O334" s="1298" t="s">
        <v>6188</v>
      </c>
      <c r="P334" s="1298" t="s">
        <v>6189</v>
      </c>
      <c r="Q334" s="1298">
        <v>18631102959</v>
      </c>
      <c r="R334" s="1298" t="s">
        <v>6432</v>
      </c>
      <c r="S334" s="1298" t="s">
        <v>6150</v>
      </c>
      <c r="T334" s="1323"/>
    </row>
    <row r="335" spans="1:20" s="1030" customFormat="1" ht="20.100000000000001" customHeight="1">
      <c r="A335" s="1451"/>
      <c r="B335" s="1298" t="s">
        <v>593</v>
      </c>
      <c r="C335" s="1298" t="s">
        <v>6484</v>
      </c>
      <c r="D335" s="1298" t="s">
        <v>2633</v>
      </c>
      <c r="E335" s="1298">
        <v>188</v>
      </c>
      <c r="F335" s="1298" t="s">
        <v>34</v>
      </c>
      <c r="G335" s="1298" t="s">
        <v>32</v>
      </c>
      <c r="H335" s="1298" t="s">
        <v>6390</v>
      </c>
      <c r="I335" s="1298" t="s">
        <v>34</v>
      </c>
      <c r="J335" s="1298" t="s">
        <v>34</v>
      </c>
      <c r="K335" s="1298" t="s">
        <v>34</v>
      </c>
      <c r="L335" s="1298" t="s">
        <v>34</v>
      </c>
      <c r="M335" s="1318">
        <v>2055.1799999999998</v>
      </c>
      <c r="N335" s="1301" t="s">
        <v>6480</v>
      </c>
      <c r="O335" s="1298" t="s">
        <v>6188</v>
      </c>
      <c r="P335" s="1298" t="s">
        <v>6189</v>
      </c>
      <c r="Q335" s="1298">
        <v>18631102959</v>
      </c>
      <c r="R335" s="1298" t="s">
        <v>6432</v>
      </c>
      <c r="S335" s="1298" t="s">
        <v>6150</v>
      </c>
      <c r="T335" s="1323"/>
    </row>
    <row r="336" spans="1:20" s="1030" customFormat="1" ht="20.100000000000001" customHeight="1">
      <c r="A336" s="1451"/>
      <c r="B336" s="1298" t="s">
        <v>593</v>
      </c>
      <c r="C336" s="1298" t="s">
        <v>6485</v>
      </c>
      <c r="D336" s="1298" t="s">
        <v>2633</v>
      </c>
      <c r="E336" s="1298">
        <v>189</v>
      </c>
      <c r="F336" s="1298" t="s">
        <v>34</v>
      </c>
      <c r="G336" s="1298" t="s">
        <v>32</v>
      </c>
      <c r="H336" s="1298" t="s">
        <v>6390</v>
      </c>
      <c r="I336" s="1298" t="s">
        <v>34</v>
      </c>
      <c r="J336" s="1298" t="s">
        <v>34</v>
      </c>
      <c r="K336" s="1298" t="s">
        <v>34</v>
      </c>
      <c r="L336" s="1298" t="s">
        <v>34</v>
      </c>
      <c r="M336" s="1318">
        <v>1203.57</v>
      </c>
      <c r="N336" s="1301" t="s">
        <v>6480</v>
      </c>
      <c r="O336" s="1298" t="s">
        <v>6188</v>
      </c>
      <c r="P336" s="1298" t="s">
        <v>6189</v>
      </c>
      <c r="Q336" s="1298">
        <v>18631102959</v>
      </c>
      <c r="R336" s="1298" t="s">
        <v>6432</v>
      </c>
      <c r="S336" s="1298" t="s">
        <v>6150</v>
      </c>
      <c r="T336" s="1323"/>
    </row>
    <row r="337" spans="1:20" s="1030" customFormat="1" ht="20.100000000000001" customHeight="1">
      <c r="A337" s="1451"/>
      <c r="B337" s="1298" t="s">
        <v>526</v>
      </c>
      <c r="C337" s="1298" t="s">
        <v>6486</v>
      </c>
      <c r="D337" s="1298" t="s">
        <v>2633</v>
      </c>
      <c r="E337" s="1298">
        <v>21</v>
      </c>
      <c r="F337" s="1298" t="s">
        <v>34</v>
      </c>
      <c r="G337" s="1298" t="s">
        <v>32</v>
      </c>
      <c r="H337" s="1298" t="s">
        <v>6390</v>
      </c>
      <c r="I337" s="1298" t="s">
        <v>34</v>
      </c>
      <c r="J337" s="1298" t="s">
        <v>34</v>
      </c>
      <c r="K337" s="1298" t="s">
        <v>34</v>
      </c>
      <c r="L337" s="1298" t="s">
        <v>34</v>
      </c>
      <c r="M337" s="1318">
        <v>1920.24</v>
      </c>
      <c r="N337" s="1301" t="s">
        <v>6480</v>
      </c>
      <c r="O337" s="1298" t="s">
        <v>6188</v>
      </c>
      <c r="P337" s="1298" t="s">
        <v>6189</v>
      </c>
      <c r="Q337" s="1298">
        <v>18631102959</v>
      </c>
      <c r="R337" s="1298" t="s">
        <v>6432</v>
      </c>
      <c r="S337" s="1298" t="s">
        <v>6150</v>
      </c>
      <c r="T337" s="1323"/>
    </row>
    <row r="338" spans="1:20" s="1030" customFormat="1" ht="20.100000000000001" customHeight="1">
      <c r="A338" s="1451"/>
      <c r="B338" s="1298" t="s">
        <v>526</v>
      </c>
      <c r="C338" s="1298" t="s">
        <v>6487</v>
      </c>
      <c r="D338" s="1298" t="s">
        <v>2633</v>
      </c>
      <c r="E338" s="1298">
        <v>24</v>
      </c>
      <c r="F338" s="1298" t="s">
        <v>34</v>
      </c>
      <c r="G338" s="1298" t="s">
        <v>32</v>
      </c>
      <c r="H338" s="1298" t="s">
        <v>6390</v>
      </c>
      <c r="I338" s="1298" t="s">
        <v>34</v>
      </c>
      <c r="J338" s="1298" t="s">
        <v>34</v>
      </c>
      <c r="K338" s="1298" t="s">
        <v>34</v>
      </c>
      <c r="L338" s="1298" t="s">
        <v>34</v>
      </c>
      <c r="M338" s="1318">
        <v>2425.6499999999901</v>
      </c>
      <c r="N338" s="1301" t="s">
        <v>6480</v>
      </c>
      <c r="O338" s="1298" t="s">
        <v>6188</v>
      </c>
      <c r="P338" s="1298" t="s">
        <v>6189</v>
      </c>
      <c r="Q338" s="1298">
        <v>18631102959</v>
      </c>
      <c r="R338" s="1298" t="s">
        <v>6432</v>
      </c>
      <c r="S338" s="1298" t="s">
        <v>6150</v>
      </c>
      <c r="T338" s="1323"/>
    </row>
    <row r="339" spans="1:20" s="1030" customFormat="1" ht="20.100000000000001" customHeight="1">
      <c r="A339" s="1451"/>
      <c r="B339" s="1298" t="s">
        <v>526</v>
      </c>
      <c r="C339" s="1298" t="s">
        <v>6485</v>
      </c>
      <c r="D339" s="1298" t="s">
        <v>2633</v>
      </c>
      <c r="E339" s="1298">
        <v>155</v>
      </c>
      <c r="F339" s="1298" t="s">
        <v>34</v>
      </c>
      <c r="G339" s="1298" t="s">
        <v>32</v>
      </c>
      <c r="H339" s="1298" t="s">
        <v>6390</v>
      </c>
      <c r="I339" s="1298" t="s">
        <v>34</v>
      </c>
      <c r="J339" s="1298" t="s">
        <v>34</v>
      </c>
      <c r="K339" s="1298" t="s">
        <v>34</v>
      </c>
      <c r="L339" s="1298" t="s">
        <v>34</v>
      </c>
      <c r="M339" s="1318">
        <v>1068.26</v>
      </c>
      <c r="N339" s="1301" t="s">
        <v>6480</v>
      </c>
      <c r="O339" s="1298" t="s">
        <v>6188</v>
      </c>
      <c r="P339" s="1298" t="s">
        <v>6189</v>
      </c>
      <c r="Q339" s="1298">
        <v>18631102959</v>
      </c>
      <c r="R339" s="1298" t="s">
        <v>6432</v>
      </c>
      <c r="S339" s="1298" t="s">
        <v>6150</v>
      </c>
      <c r="T339" s="1323"/>
    </row>
    <row r="340" spans="1:20" s="1030" customFormat="1" ht="20.100000000000001" customHeight="1">
      <c r="A340" s="1451"/>
      <c r="B340" s="1298" t="s">
        <v>6488</v>
      </c>
      <c r="C340" s="1298" t="s">
        <v>6489</v>
      </c>
      <c r="D340" s="1298" t="s">
        <v>62</v>
      </c>
      <c r="E340" s="1298" t="s">
        <v>34</v>
      </c>
      <c r="F340" s="1298">
        <v>158.39599999999999</v>
      </c>
      <c r="G340" s="1298" t="s">
        <v>32</v>
      </c>
      <c r="H340" s="1298" t="s">
        <v>6390</v>
      </c>
      <c r="I340" s="1298" t="s">
        <v>34</v>
      </c>
      <c r="J340" s="1298" t="s">
        <v>34</v>
      </c>
      <c r="K340" s="1298" t="s">
        <v>34</v>
      </c>
      <c r="L340" s="1298" t="s">
        <v>34</v>
      </c>
      <c r="M340" s="1318">
        <v>20908.29</v>
      </c>
      <c r="N340" s="1301" t="s">
        <v>6480</v>
      </c>
      <c r="O340" s="1298" t="s">
        <v>6188</v>
      </c>
      <c r="P340" s="1298" t="s">
        <v>6189</v>
      </c>
      <c r="Q340" s="1298">
        <v>18631102959</v>
      </c>
      <c r="R340" s="1298" t="s">
        <v>6432</v>
      </c>
      <c r="S340" s="1298" t="s">
        <v>6150</v>
      </c>
      <c r="T340" s="1323"/>
    </row>
    <row r="341" spans="1:20" s="1030" customFormat="1" ht="20.100000000000001" customHeight="1">
      <c r="A341" s="1451"/>
      <c r="B341" s="1298" t="s">
        <v>4366</v>
      </c>
      <c r="C341" s="1298" t="s">
        <v>6490</v>
      </c>
      <c r="D341" s="1298" t="s">
        <v>464</v>
      </c>
      <c r="E341" s="1298">
        <v>13</v>
      </c>
      <c r="F341" s="1298" t="s">
        <v>34</v>
      </c>
      <c r="G341" s="1298" t="s">
        <v>32</v>
      </c>
      <c r="H341" s="1298" t="s">
        <v>6390</v>
      </c>
      <c r="I341" s="1298" t="s">
        <v>34</v>
      </c>
      <c r="J341" s="1298" t="s">
        <v>34</v>
      </c>
      <c r="K341" s="1298" t="s">
        <v>34</v>
      </c>
      <c r="L341" s="1298" t="s">
        <v>34</v>
      </c>
      <c r="M341" s="1318">
        <v>2065.96000000001</v>
      </c>
      <c r="N341" s="1301" t="s">
        <v>6491</v>
      </c>
      <c r="O341" s="1298" t="s">
        <v>6188</v>
      </c>
      <c r="P341" s="1298" t="s">
        <v>6189</v>
      </c>
      <c r="Q341" s="1298">
        <v>18631102959</v>
      </c>
      <c r="R341" s="1298" t="s">
        <v>6432</v>
      </c>
      <c r="S341" s="1298" t="s">
        <v>6150</v>
      </c>
      <c r="T341" s="1323"/>
    </row>
    <row r="342" spans="1:20" s="1030" customFormat="1" ht="20.100000000000001" customHeight="1">
      <c r="A342" s="1451"/>
      <c r="B342" s="1298" t="s">
        <v>4366</v>
      </c>
      <c r="C342" s="1298" t="s">
        <v>6492</v>
      </c>
      <c r="D342" s="1298" t="s">
        <v>464</v>
      </c>
      <c r="E342" s="1298">
        <v>14</v>
      </c>
      <c r="F342" s="1298" t="s">
        <v>34</v>
      </c>
      <c r="G342" s="1298" t="s">
        <v>32</v>
      </c>
      <c r="H342" s="1298" t="s">
        <v>6390</v>
      </c>
      <c r="I342" s="1298" t="s">
        <v>34</v>
      </c>
      <c r="J342" s="1298" t="s">
        <v>34</v>
      </c>
      <c r="K342" s="1298" t="s">
        <v>34</v>
      </c>
      <c r="L342" s="1298" t="s">
        <v>34</v>
      </c>
      <c r="M342" s="1318">
        <v>2193.09</v>
      </c>
      <c r="N342" s="1301" t="s">
        <v>6491</v>
      </c>
      <c r="O342" s="1298" t="s">
        <v>6188</v>
      </c>
      <c r="P342" s="1298" t="s">
        <v>6189</v>
      </c>
      <c r="Q342" s="1298">
        <v>18631102959</v>
      </c>
      <c r="R342" s="1298" t="s">
        <v>6432</v>
      </c>
      <c r="S342" s="1298" t="s">
        <v>6150</v>
      </c>
      <c r="T342" s="1323"/>
    </row>
    <row r="343" spans="1:20" s="1030" customFormat="1" ht="20.100000000000001" customHeight="1">
      <c r="A343" s="1451"/>
      <c r="B343" s="1298" t="s">
        <v>4366</v>
      </c>
      <c r="C343" s="1298" t="s">
        <v>6493</v>
      </c>
      <c r="D343" s="1298" t="s">
        <v>464</v>
      </c>
      <c r="E343" s="1298">
        <v>12</v>
      </c>
      <c r="F343" s="1298" t="s">
        <v>34</v>
      </c>
      <c r="G343" s="1298" t="s">
        <v>32</v>
      </c>
      <c r="H343" s="1298" t="s">
        <v>6390</v>
      </c>
      <c r="I343" s="1298" t="s">
        <v>34</v>
      </c>
      <c r="J343" s="1298" t="s">
        <v>34</v>
      </c>
      <c r="K343" s="1298" t="s">
        <v>34</v>
      </c>
      <c r="L343" s="1298" t="s">
        <v>34</v>
      </c>
      <c r="M343" s="1318">
        <v>3269.04</v>
      </c>
      <c r="N343" s="1301" t="s">
        <v>6491</v>
      </c>
      <c r="O343" s="1298" t="s">
        <v>6188</v>
      </c>
      <c r="P343" s="1298" t="s">
        <v>6189</v>
      </c>
      <c r="Q343" s="1298">
        <v>18631102959</v>
      </c>
      <c r="R343" s="1298" t="s">
        <v>6432</v>
      </c>
      <c r="S343" s="1298" t="s">
        <v>6150</v>
      </c>
      <c r="T343" s="1323"/>
    </row>
    <row r="344" spans="1:20" s="1030" customFormat="1" ht="20.100000000000001" customHeight="1">
      <c r="A344" s="1451"/>
      <c r="B344" s="1298" t="s">
        <v>6494</v>
      </c>
      <c r="C344" s="1298" t="s">
        <v>6495</v>
      </c>
      <c r="D344" s="1298" t="s">
        <v>31</v>
      </c>
      <c r="E344" s="1298">
        <v>2</v>
      </c>
      <c r="F344" s="1298" t="s">
        <v>34</v>
      </c>
      <c r="G344" s="1298" t="s">
        <v>32</v>
      </c>
      <c r="H344" s="1298" t="s">
        <v>6390</v>
      </c>
      <c r="I344" s="1298" t="s">
        <v>34</v>
      </c>
      <c r="J344" s="1298" t="s">
        <v>34</v>
      </c>
      <c r="K344" s="1298" t="s">
        <v>34</v>
      </c>
      <c r="L344" s="1298" t="s">
        <v>34</v>
      </c>
      <c r="M344" s="1318">
        <v>73.599999999999895</v>
      </c>
      <c r="N344" s="1301" t="s">
        <v>6496</v>
      </c>
      <c r="O344" s="1298" t="s">
        <v>6188</v>
      </c>
      <c r="P344" s="1298" t="s">
        <v>6189</v>
      </c>
      <c r="Q344" s="1298">
        <v>18631102959</v>
      </c>
      <c r="R344" s="1298" t="s">
        <v>6432</v>
      </c>
      <c r="S344" s="1298" t="s">
        <v>6150</v>
      </c>
      <c r="T344" s="1323"/>
    </row>
    <row r="345" spans="1:20" s="1030" customFormat="1" ht="20.100000000000001" customHeight="1">
      <c r="A345" s="1451"/>
      <c r="B345" s="1298" t="s">
        <v>6497</v>
      </c>
      <c r="C345" s="1298" t="s">
        <v>6498</v>
      </c>
      <c r="D345" s="1298" t="s">
        <v>31</v>
      </c>
      <c r="E345" s="1298">
        <v>60</v>
      </c>
      <c r="F345" s="1298" t="s">
        <v>34</v>
      </c>
      <c r="G345" s="1298" t="s">
        <v>32</v>
      </c>
      <c r="H345" s="1298" t="s">
        <v>6390</v>
      </c>
      <c r="I345" s="1298" t="s">
        <v>34</v>
      </c>
      <c r="J345" s="1298" t="s">
        <v>34</v>
      </c>
      <c r="K345" s="1298" t="s">
        <v>34</v>
      </c>
      <c r="L345" s="1298" t="s">
        <v>34</v>
      </c>
      <c r="M345" s="1318">
        <v>2592</v>
      </c>
      <c r="N345" s="1301" t="s">
        <v>6496</v>
      </c>
      <c r="O345" s="1298" t="s">
        <v>6188</v>
      </c>
      <c r="P345" s="1298" t="s">
        <v>6189</v>
      </c>
      <c r="Q345" s="1298">
        <v>18631102959</v>
      </c>
      <c r="R345" s="1298" t="s">
        <v>6432</v>
      </c>
      <c r="S345" s="1298" t="s">
        <v>6150</v>
      </c>
      <c r="T345" s="1323"/>
    </row>
    <row r="346" spans="1:20" s="1030" customFormat="1" ht="20.100000000000001" customHeight="1">
      <c r="A346" s="1451"/>
      <c r="B346" s="1298" t="s">
        <v>6499</v>
      </c>
      <c r="C346" s="1298" t="s">
        <v>6500</v>
      </c>
      <c r="D346" s="1298" t="s">
        <v>31</v>
      </c>
      <c r="E346" s="1298">
        <v>45</v>
      </c>
      <c r="F346" s="1298" t="s">
        <v>34</v>
      </c>
      <c r="G346" s="1298" t="s">
        <v>32</v>
      </c>
      <c r="H346" s="1298" t="s">
        <v>6390</v>
      </c>
      <c r="I346" s="1298" t="s">
        <v>34</v>
      </c>
      <c r="J346" s="1298" t="s">
        <v>34</v>
      </c>
      <c r="K346" s="1298" t="s">
        <v>34</v>
      </c>
      <c r="L346" s="1298" t="s">
        <v>34</v>
      </c>
      <c r="M346" s="1318">
        <v>1800</v>
      </c>
      <c r="N346" s="1301" t="s">
        <v>6496</v>
      </c>
      <c r="O346" s="1298" t="s">
        <v>6188</v>
      </c>
      <c r="P346" s="1298" t="s">
        <v>6189</v>
      </c>
      <c r="Q346" s="1298">
        <v>18631102959</v>
      </c>
      <c r="R346" s="1298" t="s">
        <v>6432</v>
      </c>
      <c r="S346" s="1298" t="s">
        <v>6150</v>
      </c>
      <c r="T346" s="1323"/>
    </row>
    <row r="347" spans="1:20" s="1030" customFormat="1" ht="20.100000000000001" customHeight="1">
      <c r="A347" s="1451"/>
      <c r="B347" s="1298" t="s">
        <v>6501</v>
      </c>
      <c r="C347" s="1298" t="s">
        <v>6502</v>
      </c>
      <c r="D347" s="1298" t="s">
        <v>31</v>
      </c>
      <c r="E347" s="1298">
        <v>58</v>
      </c>
      <c r="F347" s="1298" t="s">
        <v>34</v>
      </c>
      <c r="G347" s="1298" t="s">
        <v>32</v>
      </c>
      <c r="H347" s="1298" t="s">
        <v>6390</v>
      </c>
      <c r="I347" s="1298" t="s">
        <v>34</v>
      </c>
      <c r="J347" s="1298" t="s">
        <v>34</v>
      </c>
      <c r="K347" s="1298" t="s">
        <v>34</v>
      </c>
      <c r="L347" s="1298" t="s">
        <v>34</v>
      </c>
      <c r="M347" s="1318">
        <v>3248</v>
      </c>
      <c r="N347" s="1301" t="s">
        <v>6496</v>
      </c>
      <c r="O347" s="1298" t="s">
        <v>6188</v>
      </c>
      <c r="P347" s="1298" t="s">
        <v>6189</v>
      </c>
      <c r="Q347" s="1298">
        <v>18631102959</v>
      </c>
      <c r="R347" s="1298" t="s">
        <v>6432</v>
      </c>
      <c r="S347" s="1298" t="s">
        <v>6150</v>
      </c>
      <c r="T347" s="1323"/>
    </row>
    <row r="348" spans="1:20" s="1030" customFormat="1" ht="20.100000000000001" customHeight="1">
      <c r="A348" s="1451"/>
      <c r="B348" s="1298" t="s">
        <v>6503</v>
      </c>
      <c r="C348" s="1298" t="s">
        <v>6504</v>
      </c>
      <c r="D348" s="1298" t="s">
        <v>31</v>
      </c>
      <c r="E348" s="1298">
        <v>29</v>
      </c>
      <c r="F348" s="1298" t="s">
        <v>34</v>
      </c>
      <c r="G348" s="1298" t="s">
        <v>32</v>
      </c>
      <c r="H348" s="1298" t="s">
        <v>6390</v>
      </c>
      <c r="I348" s="1298" t="s">
        <v>34</v>
      </c>
      <c r="J348" s="1298" t="s">
        <v>34</v>
      </c>
      <c r="K348" s="1298" t="s">
        <v>34</v>
      </c>
      <c r="L348" s="1298" t="s">
        <v>34</v>
      </c>
      <c r="M348" s="1318">
        <v>1044</v>
      </c>
      <c r="N348" s="1301" t="s">
        <v>6496</v>
      </c>
      <c r="O348" s="1298" t="s">
        <v>6188</v>
      </c>
      <c r="P348" s="1298" t="s">
        <v>6189</v>
      </c>
      <c r="Q348" s="1298">
        <v>18631102959</v>
      </c>
      <c r="R348" s="1298" t="s">
        <v>6432</v>
      </c>
      <c r="S348" s="1298" t="s">
        <v>6150</v>
      </c>
      <c r="T348" s="1323"/>
    </row>
    <row r="349" spans="1:20" s="1030" customFormat="1" ht="20.100000000000001" customHeight="1">
      <c r="A349" s="1451"/>
      <c r="B349" s="1298" t="s">
        <v>6499</v>
      </c>
      <c r="C349" s="1298" t="s">
        <v>6505</v>
      </c>
      <c r="D349" s="1298" t="s">
        <v>31</v>
      </c>
      <c r="E349" s="1298">
        <v>12</v>
      </c>
      <c r="F349" s="1298" t="s">
        <v>34</v>
      </c>
      <c r="G349" s="1298" t="s">
        <v>32</v>
      </c>
      <c r="H349" s="1298" t="s">
        <v>6390</v>
      </c>
      <c r="I349" s="1298" t="s">
        <v>34</v>
      </c>
      <c r="J349" s="1298" t="s">
        <v>34</v>
      </c>
      <c r="K349" s="1298" t="s">
        <v>34</v>
      </c>
      <c r="L349" s="1298" t="s">
        <v>34</v>
      </c>
      <c r="M349" s="1318">
        <v>652.79999999999905</v>
      </c>
      <c r="N349" s="1301" t="s">
        <v>6496</v>
      </c>
      <c r="O349" s="1298" t="s">
        <v>6188</v>
      </c>
      <c r="P349" s="1298" t="s">
        <v>6189</v>
      </c>
      <c r="Q349" s="1298">
        <v>18631102959</v>
      </c>
      <c r="R349" s="1298" t="s">
        <v>6432</v>
      </c>
      <c r="S349" s="1298" t="s">
        <v>6150</v>
      </c>
      <c r="T349" s="1323"/>
    </row>
    <row r="350" spans="1:20" s="1030" customFormat="1" ht="20.100000000000001" customHeight="1">
      <c r="A350" s="1451"/>
      <c r="B350" s="1298" t="s">
        <v>6494</v>
      </c>
      <c r="C350" s="1298" t="s">
        <v>6506</v>
      </c>
      <c r="D350" s="1298" t="s">
        <v>31</v>
      </c>
      <c r="E350" s="1298">
        <v>42</v>
      </c>
      <c r="F350" s="1298" t="s">
        <v>34</v>
      </c>
      <c r="G350" s="1298" t="s">
        <v>32</v>
      </c>
      <c r="H350" s="1298" t="s">
        <v>6390</v>
      </c>
      <c r="I350" s="1298" t="s">
        <v>34</v>
      </c>
      <c r="J350" s="1298" t="s">
        <v>34</v>
      </c>
      <c r="K350" s="1298" t="s">
        <v>34</v>
      </c>
      <c r="L350" s="1298" t="s">
        <v>34</v>
      </c>
      <c r="M350" s="1318">
        <v>2352</v>
      </c>
      <c r="N350" s="1301" t="s">
        <v>6496</v>
      </c>
      <c r="O350" s="1298" t="s">
        <v>6188</v>
      </c>
      <c r="P350" s="1298" t="s">
        <v>6189</v>
      </c>
      <c r="Q350" s="1298">
        <v>18631102959</v>
      </c>
      <c r="R350" s="1298" t="s">
        <v>6432</v>
      </c>
      <c r="S350" s="1298" t="s">
        <v>6150</v>
      </c>
      <c r="T350" s="1323"/>
    </row>
    <row r="351" spans="1:20" s="1030" customFormat="1" ht="20.100000000000001" customHeight="1">
      <c r="A351" s="1451"/>
      <c r="B351" s="1298" t="s">
        <v>526</v>
      </c>
      <c r="C351" s="1298" t="s">
        <v>6507</v>
      </c>
      <c r="D351" s="1298" t="s">
        <v>2633</v>
      </c>
      <c r="E351" s="1298">
        <v>3000</v>
      </c>
      <c r="F351" s="1298" t="s">
        <v>34</v>
      </c>
      <c r="G351" s="1298" t="s">
        <v>32</v>
      </c>
      <c r="H351" s="1298" t="s">
        <v>6390</v>
      </c>
      <c r="I351" s="1298" t="s">
        <v>34</v>
      </c>
      <c r="J351" s="1298" t="s">
        <v>34</v>
      </c>
      <c r="K351" s="1298" t="s">
        <v>34</v>
      </c>
      <c r="L351" s="1298" t="s">
        <v>34</v>
      </c>
      <c r="M351" s="1318">
        <v>1920</v>
      </c>
      <c r="N351" s="1301" t="s">
        <v>6508</v>
      </c>
      <c r="O351" s="1298" t="s">
        <v>6188</v>
      </c>
      <c r="P351" s="1298" t="s">
        <v>6189</v>
      </c>
      <c r="Q351" s="1298">
        <v>18631102959</v>
      </c>
      <c r="R351" s="1298" t="s">
        <v>6432</v>
      </c>
      <c r="S351" s="1298" t="s">
        <v>6150</v>
      </c>
      <c r="T351" s="1323"/>
    </row>
    <row r="352" spans="1:20" s="1030" customFormat="1" ht="20.100000000000001" customHeight="1">
      <c r="A352" s="1451"/>
      <c r="B352" s="1298" t="s">
        <v>526</v>
      </c>
      <c r="C352" s="1298" t="s">
        <v>6509</v>
      </c>
      <c r="D352" s="1298" t="s">
        <v>2633</v>
      </c>
      <c r="E352" s="1298">
        <v>3625</v>
      </c>
      <c r="F352" s="1298" t="s">
        <v>34</v>
      </c>
      <c r="G352" s="1298" t="s">
        <v>32</v>
      </c>
      <c r="H352" s="1298" t="s">
        <v>6390</v>
      </c>
      <c r="I352" s="1298" t="s">
        <v>34</v>
      </c>
      <c r="J352" s="1298" t="s">
        <v>34</v>
      </c>
      <c r="K352" s="1298" t="s">
        <v>34</v>
      </c>
      <c r="L352" s="1298" t="s">
        <v>34</v>
      </c>
      <c r="M352" s="1318">
        <v>2320</v>
      </c>
      <c r="N352" s="1301" t="s">
        <v>6508</v>
      </c>
      <c r="O352" s="1298" t="s">
        <v>6188</v>
      </c>
      <c r="P352" s="1298" t="s">
        <v>6189</v>
      </c>
      <c r="Q352" s="1298">
        <v>18631102959</v>
      </c>
      <c r="R352" s="1298" t="s">
        <v>6432</v>
      </c>
      <c r="S352" s="1298" t="s">
        <v>6150</v>
      </c>
      <c r="T352" s="1323"/>
    </row>
    <row r="353" spans="1:20" s="1030" customFormat="1" ht="20.100000000000001" customHeight="1">
      <c r="A353" s="1451"/>
      <c r="B353" s="1298" t="s">
        <v>526</v>
      </c>
      <c r="C353" s="1298" t="s">
        <v>6510</v>
      </c>
      <c r="D353" s="1298" t="s">
        <v>2633</v>
      </c>
      <c r="E353" s="1298">
        <v>330</v>
      </c>
      <c r="F353" s="1298" t="s">
        <v>34</v>
      </c>
      <c r="G353" s="1298" t="s">
        <v>32</v>
      </c>
      <c r="H353" s="1298" t="s">
        <v>6390</v>
      </c>
      <c r="I353" s="1298" t="s">
        <v>34</v>
      </c>
      <c r="J353" s="1298" t="s">
        <v>34</v>
      </c>
      <c r="K353" s="1298" t="s">
        <v>34</v>
      </c>
      <c r="L353" s="1298" t="s">
        <v>34</v>
      </c>
      <c r="M353" s="1318">
        <v>2534.4</v>
      </c>
      <c r="N353" s="1301" t="s">
        <v>6508</v>
      </c>
      <c r="O353" s="1298" t="s">
        <v>6188</v>
      </c>
      <c r="P353" s="1298" t="s">
        <v>6189</v>
      </c>
      <c r="Q353" s="1298">
        <v>18631102959</v>
      </c>
      <c r="R353" s="1298" t="s">
        <v>6432</v>
      </c>
      <c r="S353" s="1298" t="s">
        <v>6150</v>
      </c>
      <c r="T353" s="1323"/>
    </row>
    <row r="354" spans="1:20" s="1030" customFormat="1" ht="20.100000000000001" customHeight="1">
      <c r="A354" s="1451"/>
      <c r="B354" s="1298" t="s">
        <v>526</v>
      </c>
      <c r="C354" s="1298" t="s">
        <v>6511</v>
      </c>
      <c r="D354" s="1298" t="s">
        <v>2633</v>
      </c>
      <c r="E354" s="1298">
        <v>555</v>
      </c>
      <c r="F354" s="1298" t="s">
        <v>34</v>
      </c>
      <c r="G354" s="1298" t="s">
        <v>32</v>
      </c>
      <c r="H354" s="1298" t="s">
        <v>6390</v>
      </c>
      <c r="I354" s="1298" t="s">
        <v>34</v>
      </c>
      <c r="J354" s="1298" t="s">
        <v>34</v>
      </c>
      <c r="K354" s="1298" t="s">
        <v>34</v>
      </c>
      <c r="L354" s="1298" t="s">
        <v>34</v>
      </c>
      <c r="M354" s="1318">
        <v>177.6</v>
      </c>
      <c r="N354" s="1301" t="s">
        <v>6508</v>
      </c>
      <c r="O354" s="1298" t="s">
        <v>6188</v>
      </c>
      <c r="P354" s="1298" t="s">
        <v>6189</v>
      </c>
      <c r="Q354" s="1298">
        <v>18631102959</v>
      </c>
      <c r="R354" s="1298" t="s">
        <v>6432</v>
      </c>
      <c r="S354" s="1298" t="s">
        <v>6150</v>
      </c>
      <c r="T354" s="1323"/>
    </row>
    <row r="355" spans="1:20" s="1030" customFormat="1" ht="20.100000000000001" customHeight="1">
      <c r="A355" s="1451"/>
      <c r="B355" s="1298" t="s">
        <v>526</v>
      </c>
      <c r="C355" s="1298" t="s">
        <v>6512</v>
      </c>
      <c r="D355" s="1298" t="s">
        <v>2633</v>
      </c>
      <c r="E355" s="1298">
        <v>1830</v>
      </c>
      <c r="F355" s="1298" t="s">
        <v>34</v>
      </c>
      <c r="G355" s="1298" t="s">
        <v>32</v>
      </c>
      <c r="H355" s="1298" t="s">
        <v>6390</v>
      </c>
      <c r="I355" s="1298" t="s">
        <v>34</v>
      </c>
      <c r="J355" s="1298" t="s">
        <v>34</v>
      </c>
      <c r="K355" s="1298" t="s">
        <v>34</v>
      </c>
      <c r="L355" s="1298" t="s">
        <v>34</v>
      </c>
      <c r="M355" s="1318">
        <v>6148.7999999999902</v>
      </c>
      <c r="N355" s="1301" t="s">
        <v>6508</v>
      </c>
      <c r="O355" s="1298" t="s">
        <v>6188</v>
      </c>
      <c r="P355" s="1298" t="s">
        <v>6189</v>
      </c>
      <c r="Q355" s="1298">
        <v>18631102959</v>
      </c>
      <c r="R355" s="1298" t="s">
        <v>6432</v>
      </c>
      <c r="S355" s="1298" t="s">
        <v>6150</v>
      </c>
      <c r="T355" s="1323"/>
    </row>
    <row r="356" spans="1:20" s="1030" customFormat="1" ht="20.100000000000001" customHeight="1">
      <c r="A356" s="1451"/>
      <c r="B356" s="1298" t="s">
        <v>4366</v>
      </c>
      <c r="C356" s="1298" t="s">
        <v>6513</v>
      </c>
      <c r="D356" s="1298" t="s">
        <v>62</v>
      </c>
      <c r="E356" s="1298">
        <v>3.681</v>
      </c>
      <c r="F356" s="1298" t="s">
        <v>34</v>
      </c>
      <c r="G356" s="1298" t="s">
        <v>32</v>
      </c>
      <c r="H356" s="1298" t="s">
        <v>6390</v>
      </c>
      <c r="I356" s="1298" t="s">
        <v>34</v>
      </c>
      <c r="J356" s="1298" t="s">
        <v>34</v>
      </c>
      <c r="K356" s="1298" t="s">
        <v>34</v>
      </c>
      <c r="L356" s="1298" t="s">
        <v>34</v>
      </c>
      <c r="M356" s="1318">
        <v>2061.36</v>
      </c>
      <c r="N356" s="1301">
        <v>2016.11</v>
      </c>
      <c r="O356" s="1298" t="s">
        <v>6188</v>
      </c>
      <c r="P356" s="1298" t="s">
        <v>6189</v>
      </c>
      <c r="Q356" s="1298">
        <v>18631102959</v>
      </c>
      <c r="R356" s="1298" t="s">
        <v>6432</v>
      </c>
      <c r="S356" s="1298" t="s">
        <v>6150</v>
      </c>
      <c r="T356" s="1323"/>
    </row>
    <row r="357" spans="1:20" s="1030" customFormat="1" ht="20.100000000000001" customHeight="1">
      <c r="A357" s="1451"/>
      <c r="B357" s="1298" t="s">
        <v>6488</v>
      </c>
      <c r="C357" s="1298" t="s">
        <v>6513</v>
      </c>
      <c r="D357" s="1298" t="s">
        <v>62</v>
      </c>
      <c r="E357" s="1298">
        <v>1860</v>
      </c>
      <c r="F357" s="1298" t="s">
        <v>34</v>
      </c>
      <c r="G357" s="1298" t="s">
        <v>32</v>
      </c>
      <c r="H357" s="1298" t="s">
        <v>6390</v>
      </c>
      <c r="I357" s="1298" t="s">
        <v>34</v>
      </c>
      <c r="J357" s="1298" t="s">
        <v>34</v>
      </c>
      <c r="K357" s="1298" t="s">
        <v>34</v>
      </c>
      <c r="L357" s="1298" t="s">
        <v>34</v>
      </c>
      <c r="M357" s="1318">
        <v>61610.640000000101</v>
      </c>
      <c r="N357" s="1301">
        <v>2017.9</v>
      </c>
      <c r="O357" s="1298" t="s">
        <v>6188</v>
      </c>
      <c r="P357" s="1298" t="s">
        <v>6189</v>
      </c>
      <c r="Q357" s="1298">
        <v>18631102959</v>
      </c>
      <c r="R357" s="1298" t="s">
        <v>6432</v>
      </c>
      <c r="S357" s="1298" t="s">
        <v>6150</v>
      </c>
      <c r="T357" s="1323"/>
    </row>
    <row r="358" spans="1:20" s="1030" customFormat="1" ht="20.100000000000001" customHeight="1">
      <c r="A358" s="1451"/>
      <c r="B358" s="1298" t="s">
        <v>526</v>
      </c>
      <c r="C358" s="1298" t="s">
        <v>6514</v>
      </c>
      <c r="D358" s="1298" t="s">
        <v>161</v>
      </c>
      <c r="E358" s="1298">
        <v>120</v>
      </c>
      <c r="F358" s="1298">
        <v>10</v>
      </c>
      <c r="G358" s="1298" t="s">
        <v>87</v>
      </c>
      <c r="H358" s="1298" t="s">
        <v>6390</v>
      </c>
      <c r="I358" s="1298" t="s">
        <v>34</v>
      </c>
      <c r="J358" s="1298" t="s">
        <v>34</v>
      </c>
      <c r="K358" s="1298" t="s">
        <v>34</v>
      </c>
      <c r="L358" s="1298" t="s">
        <v>34</v>
      </c>
      <c r="M358" s="1318">
        <v>7200</v>
      </c>
      <c r="N358" s="1301">
        <v>2010.5</v>
      </c>
      <c r="O358" s="1298" t="s">
        <v>6075</v>
      </c>
      <c r="P358" s="1298" t="s">
        <v>6076</v>
      </c>
      <c r="Q358" s="1298">
        <v>17732305201</v>
      </c>
      <c r="R358" s="1289" t="s">
        <v>6077</v>
      </c>
      <c r="S358" s="1298" t="s">
        <v>6150</v>
      </c>
      <c r="T358" s="1323"/>
    </row>
    <row r="359" spans="1:20" s="1030" customFormat="1" ht="20.100000000000001" customHeight="1">
      <c r="A359" s="1451"/>
      <c r="B359" s="1298" t="s">
        <v>513</v>
      </c>
      <c r="C359" s="1298"/>
      <c r="D359" s="1298" t="s">
        <v>62</v>
      </c>
      <c r="E359" s="1298" t="s">
        <v>34</v>
      </c>
      <c r="F359" s="1298">
        <v>84.486999999999995</v>
      </c>
      <c r="G359" s="1298" t="s">
        <v>32</v>
      </c>
      <c r="H359" s="1298" t="s">
        <v>6390</v>
      </c>
      <c r="I359" s="1298" t="s">
        <v>34</v>
      </c>
      <c r="J359" s="1298" t="s">
        <v>34</v>
      </c>
      <c r="K359" s="1298" t="s">
        <v>34</v>
      </c>
      <c r="L359" s="1298" t="s">
        <v>34</v>
      </c>
      <c r="M359" s="1318">
        <v>53602.977371174398</v>
      </c>
      <c r="N359" s="1301">
        <v>2015.05</v>
      </c>
      <c r="O359" s="1298" t="s">
        <v>6123</v>
      </c>
      <c r="P359" s="1298" t="s">
        <v>6124</v>
      </c>
      <c r="Q359" s="1298">
        <v>13930179988</v>
      </c>
      <c r="R359" s="1298" t="s">
        <v>6125</v>
      </c>
      <c r="S359" s="1298" t="s">
        <v>6150</v>
      </c>
      <c r="T359" s="1323"/>
    </row>
    <row r="360" spans="1:20" s="1030" customFormat="1" ht="20.100000000000001" customHeight="1">
      <c r="A360" s="1451"/>
      <c r="B360" s="1298" t="s">
        <v>513</v>
      </c>
      <c r="C360" s="1298"/>
      <c r="D360" s="1298" t="s">
        <v>62</v>
      </c>
      <c r="E360" s="1298" t="s">
        <v>34</v>
      </c>
      <c r="F360" s="1298">
        <v>11.717000000000001</v>
      </c>
      <c r="G360" s="1298" t="s">
        <v>32</v>
      </c>
      <c r="H360" s="1298" t="s">
        <v>6390</v>
      </c>
      <c r="I360" s="1298" t="s">
        <v>34</v>
      </c>
      <c r="J360" s="1298" t="s">
        <v>34</v>
      </c>
      <c r="K360" s="1298" t="s">
        <v>34</v>
      </c>
      <c r="L360" s="1298" t="s">
        <v>34</v>
      </c>
      <c r="M360" s="1318">
        <v>7495.17</v>
      </c>
      <c r="N360" s="1301">
        <v>2015.05</v>
      </c>
      <c r="O360" s="1298" t="s">
        <v>6123</v>
      </c>
      <c r="P360" s="1298" t="s">
        <v>6124</v>
      </c>
      <c r="Q360" s="1298">
        <v>13930179988</v>
      </c>
      <c r="R360" s="1298" t="s">
        <v>6125</v>
      </c>
      <c r="S360" s="1298" t="s">
        <v>6150</v>
      </c>
      <c r="T360" s="1323"/>
    </row>
    <row r="361" spans="1:20" s="1030" customFormat="1" ht="20.100000000000001" customHeight="1">
      <c r="A361" s="1451"/>
      <c r="B361" s="1298" t="s">
        <v>513</v>
      </c>
      <c r="C361" s="1298"/>
      <c r="D361" s="1298" t="s">
        <v>62</v>
      </c>
      <c r="E361" s="1298" t="s">
        <v>34</v>
      </c>
      <c r="F361" s="1298">
        <v>25.9</v>
      </c>
      <c r="G361" s="1298" t="s">
        <v>32</v>
      </c>
      <c r="H361" s="1298" t="s">
        <v>6390</v>
      </c>
      <c r="I361" s="1298" t="s">
        <v>34</v>
      </c>
      <c r="J361" s="1298" t="s">
        <v>34</v>
      </c>
      <c r="K361" s="1298" t="s">
        <v>34</v>
      </c>
      <c r="L361" s="1298" t="s">
        <v>34</v>
      </c>
      <c r="M361" s="1318">
        <v>33670</v>
      </c>
      <c r="N361" s="1301">
        <v>2015.05</v>
      </c>
      <c r="O361" s="1298" t="s">
        <v>6123</v>
      </c>
      <c r="P361" s="1298" t="s">
        <v>6124</v>
      </c>
      <c r="Q361" s="1298">
        <v>13930179988</v>
      </c>
      <c r="R361" s="1298" t="s">
        <v>6125</v>
      </c>
      <c r="S361" s="1298" t="s">
        <v>6150</v>
      </c>
      <c r="T361" s="1323"/>
    </row>
    <row r="362" spans="1:20" s="1030" customFormat="1" ht="20.100000000000001" customHeight="1">
      <c r="A362" s="1451"/>
      <c r="B362" s="1298" t="s">
        <v>513</v>
      </c>
      <c r="C362" s="1298"/>
      <c r="D362" s="1298" t="s">
        <v>62</v>
      </c>
      <c r="E362" s="1298" t="s">
        <v>34</v>
      </c>
      <c r="F362" s="1298">
        <v>25.908999999999999</v>
      </c>
      <c r="G362" s="1298" t="s">
        <v>32</v>
      </c>
      <c r="H362" s="1298" t="s">
        <v>6390</v>
      </c>
      <c r="I362" s="1298" t="s">
        <v>34</v>
      </c>
      <c r="J362" s="1298" t="s">
        <v>34</v>
      </c>
      <c r="K362" s="1298" t="s">
        <v>34</v>
      </c>
      <c r="L362" s="1298" t="s">
        <v>34</v>
      </c>
      <c r="M362" s="1318">
        <v>15243.8795225617</v>
      </c>
      <c r="N362" s="1301">
        <v>2015.05</v>
      </c>
      <c r="O362" s="1298" t="s">
        <v>6123</v>
      </c>
      <c r="P362" s="1298" t="s">
        <v>6124</v>
      </c>
      <c r="Q362" s="1298">
        <v>13930179988</v>
      </c>
      <c r="R362" s="1298" t="s">
        <v>6125</v>
      </c>
      <c r="S362" s="1298" t="s">
        <v>6150</v>
      </c>
      <c r="T362" s="1323"/>
    </row>
    <row r="363" spans="1:20" s="1030" customFormat="1" ht="20.100000000000001" customHeight="1">
      <c r="A363" s="1451"/>
      <c r="B363" s="1453" t="s">
        <v>593</v>
      </c>
      <c r="C363" s="1454" t="s">
        <v>6515</v>
      </c>
      <c r="D363" s="1454" t="s">
        <v>62</v>
      </c>
      <c r="E363" s="1298" t="s">
        <v>34</v>
      </c>
      <c r="F363" s="1455">
        <v>4.6520000000000001</v>
      </c>
      <c r="G363" s="1455" t="s">
        <v>32</v>
      </c>
      <c r="H363" s="1455" t="s">
        <v>179</v>
      </c>
      <c r="I363" s="1298" t="s">
        <v>34</v>
      </c>
      <c r="J363" s="1456" t="s">
        <v>6221</v>
      </c>
      <c r="K363" s="1298" t="s">
        <v>34</v>
      </c>
      <c r="L363" s="1298" t="s">
        <v>34</v>
      </c>
      <c r="M363" s="1318">
        <v>6494.3899999999903</v>
      </c>
      <c r="N363" s="1455" t="s">
        <v>3686</v>
      </c>
      <c r="O363" s="1455" t="s">
        <v>6516</v>
      </c>
      <c r="P363" s="1457" t="s">
        <v>6517</v>
      </c>
      <c r="Q363" s="1457">
        <v>18931863533</v>
      </c>
      <c r="R363" s="1298" t="s">
        <v>6518</v>
      </c>
      <c r="S363" s="1298" t="s">
        <v>6150</v>
      </c>
      <c r="T363" s="1323"/>
    </row>
    <row r="364" spans="1:20" s="1030" customFormat="1" ht="20.100000000000001" customHeight="1">
      <c r="A364" s="1451"/>
      <c r="B364" s="1453" t="s">
        <v>526</v>
      </c>
      <c r="C364" s="1454" t="s">
        <v>6519</v>
      </c>
      <c r="D364" s="1454" t="s">
        <v>62</v>
      </c>
      <c r="E364" s="1298" t="s">
        <v>34</v>
      </c>
      <c r="F364" s="1455">
        <v>12.231999999999999</v>
      </c>
      <c r="G364" s="1455" t="s">
        <v>32</v>
      </c>
      <c r="H364" s="1455" t="s">
        <v>179</v>
      </c>
      <c r="I364" s="1298" t="s">
        <v>34</v>
      </c>
      <c r="J364" s="1456" t="s">
        <v>6221</v>
      </c>
      <c r="K364" s="1298" t="s">
        <v>34</v>
      </c>
      <c r="L364" s="1298" t="s">
        <v>34</v>
      </c>
      <c r="M364" s="1318">
        <v>17076.349999999999</v>
      </c>
      <c r="N364" s="1455" t="s">
        <v>3686</v>
      </c>
      <c r="O364" s="1455" t="s">
        <v>6516</v>
      </c>
      <c r="P364" s="1457" t="s">
        <v>6517</v>
      </c>
      <c r="Q364" s="1457">
        <v>18931863533</v>
      </c>
      <c r="R364" s="1298" t="s">
        <v>6518</v>
      </c>
      <c r="S364" s="1298" t="s">
        <v>6150</v>
      </c>
      <c r="T364" s="1323"/>
    </row>
    <row r="365" spans="1:20" s="1030" customFormat="1" ht="20.100000000000001" customHeight="1">
      <c r="A365" s="1451">
        <v>2</v>
      </c>
      <c r="B365" s="1298" t="s">
        <v>6520</v>
      </c>
      <c r="C365" s="1298"/>
      <c r="D365" s="1298"/>
      <c r="E365" s="1298"/>
      <c r="F365" s="1298"/>
      <c r="G365" s="1298"/>
      <c r="H365" s="1298"/>
      <c r="I365" s="1298"/>
      <c r="J365" s="1298"/>
      <c r="K365" s="1298"/>
      <c r="L365" s="1298"/>
      <c r="M365" s="1318"/>
      <c r="N365" s="1301"/>
      <c r="O365" s="1298"/>
      <c r="P365" s="1298"/>
      <c r="Q365" s="1298"/>
      <c r="R365" s="1298"/>
      <c r="S365" s="1298"/>
      <c r="T365" s="1323"/>
    </row>
    <row r="366" spans="1:20" s="1030" customFormat="1" ht="20.100000000000001" customHeight="1">
      <c r="A366" s="1451"/>
      <c r="B366" s="1298" t="s">
        <v>890</v>
      </c>
      <c r="C366" s="1298" t="s">
        <v>4430</v>
      </c>
      <c r="D366" s="1298" t="s">
        <v>62</v>
      </c>
      <c r="E366" s="1298" t="s">
        <v>34</v>
      </c>
      <c r="F366" s="1298">
        <v>13.97</v>
      </c>
      <c r="G366" s="1298" t="s">
        <v>32</v>
      </c>
      <c r="H366" s="1298" t="s">
        <v>6146</v>
      </c>
      <c r="I366" s="1298" t="s">
        <v>34</v>
      </c>
      <c r="J366" s="1298" t="s">
        <v>34</v>
      </c>
      <c r="K366" s="1298" t="s">
        <v>34</v>
      </c>
      <c r="L366" s="1298" t="s">
        <v>34</v>
      </c>
      <c r="M366" s="1318" t="s">
        <v>34</v>
      </c>
      <c r="N366" s="1301">
        <v>2013.6</v>
      </c>
      <c r="O366" s="1298" t="s">
        <v>6051</v>
      </c>
      <c r="P366" s="1298" t="s">
        <v>6052</v>
      </c>
      <c r="Q366" s="1298">
        <v>13833153652</v>
      </c>
      <c r="R366" s="1298" t="s">
        <v>6450</v>
      </c>
      <c r="S366" s="1298" t="s">
        <v>6150</v>
      </c>
      <c r="T366" s="1323"/>
    </row>
    <row r="367" spans="1:20" s="1030" customFormat="1" ht="20.100000000000001" customHeight="1">
      <c r="A367" s="1451"/>
      <c r="B367" s="1298" t="s">
        <v>6520</v>
      </c>
      <c r="C367" s="1298" t="s">
        <v>6521</v>
      </c>
      <c r="D367" s="1298" t="s">
        <v>161</v>
      </c>
      <c r="E367" s="1298">
        <v>1328.97</v>
      </c>
      <c r="F367" s="1298" t="s">
        <v>34</v>
      </c>
      <c r="G367" s="1298" t="s">
        <v>6462</v>
      </c>
      <c r="H367" s="1298" t="s">
        <v>6390</v>
      </c>
      <c r="I367" s="1298" t="s">
        <v>34</v>
      </c>
      <c r="J367" s="1298" t="s">
        <v>34</v>
      </c>
      <c r="K367" s="1298" t="s">
        <v>34</v>
      </c>
      <c r="L367" s="1298">
        <f>1328.97*149.59</f>
        <v>198800.62230000002</v>
      </c>
      <c r="M367" s="1318">
        <v>0</v>
      </c>
      <c r="N367" s="1306">
        <v>38869</v>
      </c>
      <c r="O367" s="1298" t="s">
        <v>6065</v>
      </c>
      <c r="P367" s="1298" t="s">
        <v>6066</v>
      </c>
      <c r="Q367" s="1298">
        <v>18632146158</v>
      </c>
      <c r="R367" s="1298" t="s">
        <v>6458</v>
      </c>
      <c r="S367" s="1298" t="s">
        <v>6056</v>
      </c>
      <c r="T367" s="1323"/>
    </row>
    <row r="368" spans="1:20" s="1030" customFormat="1" ht="20.100000000000001" customHeight="1">
      <c r="A368" s="1451"/>
      <c r="B368" s="1298" t="s">
        <v>6520</v>
      </c>
      <c r="C368" s="1298" t="s">
        <v>6522</v>
      </c>
      <c r="D368" s="1298" t="s">
        <v>161</v>
      </c>
      <c r="E368" s="1298">
        <v>635.57000000000005</v>
      </c>
      <c r="F368" s="1298" t="s">
        <v>34</v>
      </c>
      <c r="G368" s="1298" t="s">
        <v>6462</v>
      </c>
      <c r="H368" s="1298" t="s">
        <v>6390</v>
      </c>
      <c r="I368" s="1298" t="s">
        <v>34</v>
      </c>
      <c r="J368" s="1298" t="s">
        <v>34</v>
      </c>
      <c r="K368" s="1298" t="s">
        <v>34</v>
      </c>
      <c r="L368" s="1298">
        <f>635.57*366</f>
        <v>232618.62000000002</v>
      </c>
      <c r="M368" s="1318">
        <v>0</v>
      </c>
      <c r="N368" s="1306">
        <v>38869</v>
      </c>
      <c r="O368" s="1298" t="s">
        <v>6065</v>
      </c>
      <c r="P368" s="1298" t="s">
        <v>6066</v>
      </c>
      <c r="Q368" s="1298">
        <v>18632146158</v>
      </c>
      <c r="R368" s="1298" t="s">
        <v>6458</v>
      </c>
      <c r="S368" s="1298" t="s">
        <v>6056</v>
      </c>
      <c r="T368" s="1323"/>
    </row>
    <row r="369" spans="1:20" s="1030" customFormat="1" ht="20.100000000000001" customHeight="1">
      <c r="A369" s="1451">
        <v>3</v>
      </c>
      <c r="B369" s="1298" t="s">
        <v>6523</v>
      </c>
      <c r="C369" s="1298"/>
      <c r="D369" s="1298"/>
      <c r="E369" s="1298"/>
      <c r="F369" s="1298"/>
      <c r="G369" s="1298"/>
      <c r="H369" s="1298"/>
      <c r="I369" s="1298"/>
      <c r="J369" s="1298"/>
      <c r="K369" s="1298"/>
      <c r="L369" s="1298"/>
      <c r="M369" s="1318"/>
      <c r="N369" s="1301"/>
      <c r="O369" s="1298"/>
      <c r="P369" s="1298"/>
      <c r="Q369" s="1298"/>
      <c r="R369" s="1298"/>
      <c r="S369" s="1298"/>
      <c r="T369" s="1323"/>
    </row>
    <row r="370" spans="1:20" s="1030" customFormat="1" ht="20.100000000000001" customHeight="1">
      <c r="A370" s="1451"/>
      <c r="B370" s="1298" t="s">
        <v>6523</v>
      </c>
      <c r="C370" s="1298"/>
      <c r="D370" s="1298"/>
      <c r="E370" s="1298"/>
      <c r="F370" s="1298"/>
      <c r="G370" s="1298" t="s">
        <v>32</v>
      </c>
      <c r="H370" s="1298" t="s">
        <v>6146</v>
      </c>
      <c r="I370" s="1298" t="s">
        <v>34</v>
      </c>
      <c r="J370" s="1298" t="s">
        <v>34</v>
      </c>
      <c r="K370" s="1298" t="s">
        <v>34</v>
      </c>
      <c r="L370" s="1298" t="s">
        <v>34</v>
      </c>
      <c r="M370" s="1318" t="s">
        <v>34</v>
      </c>
      <c r="N370" s="1301">
        <v>2010.5</v>
      </c>
      <c r="O370" s="1298" t="s">
        <v>6051</v>
      </c>
      <c r="P370" s="1298" t="s">
        <v>6052</v>
      </c>
      <c r="Q370" s="1298">
        <v>13833153652</v>
      </c>
      <c r="R370" s="1298" t="s">
        <v>6450</v>
      </c>
      <c r="S370" s="1298" t="s">
        <v>6150</v>
      </c>
      <c r="T370" s="1323"/>
    </row>
    <row r="371" spans="1:20" s="1030" customFormat="1" ht="20.100000000000001" customHeight="1">
      <c r="A371" s="1451"/>
      <c r="B371" s="1298" t="s">
        <v>981</v>
      </c>
      <c r="C371" s="1298" t="s">
        <v>5948</v>
      </c>
      <c r="D371" s="1298" t="s">
        <v>31</v>
      </c>
      <c r="E371" s="1298">
        <v>11</v>
      </c>
      <c r="F371" s="1298" t="s">
        <v>34</v>
      </c>
      <c r="G371" s="1298" t="s">
        <v>32</v>
      </c>
      <c r="H371" s="1298" t="s">
        <v>6146</v>
      </c>
      <c r="I371" s="1298" t="s">
        <v>34</v>
      </c>
      <c r="J371" s="1298" t="s">
        <v>34</v>
      </c>
      <c r="K371" s="1298" t="s">
        <v>34</v>
      </c>
      <c r="L371" s="1298" t="s">
        <v>34</v>
      </c>
      <c r="M371" s="1318" t="s">
        <v>34</v>
      </c>
      <c r="N371" s="1301">
        <v>2010.5</v>
      </c>
      <c r="O371" s="1298" t="s">
        <v>6051</v>
      </c>
      <c r="P371" s="1298" t="s">
        <v>6052</v>
      </c>
      <c r="Q371" s="1298">
        <v>13833153652</v>
      </c>
      <c r="R371" s="1298" t="s">
        <v>6450</v>
      </c>
      <c r="S371" s="1298" t="s">
        <v>6150</v>
      </c>
      <c r="T371" s="1323"/>
    </row>
    <row r="372" spans="1:20" s="1030" customFormat="1" ht="20.100000000000001" customHeight="1">
      <c r="A372" s="1451"/>
      <c r="B372" s="1298" t="s">
        <v>981</v>
      </c>
      <c r="C372" s="1298" t="s">
        <v>5948</v>
      </c>
      <c r="D372" s="1298" t="s">
        <v>31</v>
      </c>
      <c r="E372" s="1298">
        <v>17</v>
      </c>
      <c r="F372" s="1298" t="s">
        <v>34</v>
      </c>
      <c r="G372" s="1298" t="s">
        <v>32</v>
      </c>
      <c r="H372" s="1298" t="s">
        <v>6146</v>
      </c>
      <c r="I372" s="1298" t="s">
        <v>34</v>
      </c>
      <c r="J372" s="1298" t="s">
        <v>34</v>
      </c>
      <c r="K372" s="1298" t="s">
        <v>34</v>
      </c>
      <c r="L372" s="1298" t="s">
        <v>34</v>
      </c>
      <c r="M372" s="1318" t="s">
        <v>34</v>
      </c>
      <c r="N372" s="1301">
        <v>2010.5</v>
      </c>
      <c r="O372" s="1298" t="s">
        <v>6051</v>
      </c>
      <c r="P372" s="1298" t="s">
        <v>6052</v>
      </c>
      <c r="Q372" s="1298">
        <v>13833153652</v>
      </c>
      <c r="R372" s="1298" t="s">
        <v>6450</v>
      </c>
      <c r="S372" s="1298" t="s">
        <v>6150</v>
      </c>
      <c r="T372" s="1323"/>
    </row>
    <row r="373" spans="1:20" s="1030" customFormat="1" ht="20.100000000000001" customHeight="1">
      <c r="A373" s="1451"/>
      <c r="B373" s="1298" t="s">
        <v>981</v>
      </c>
      <c r="C373" s="1298" t="s">
        <v>6524</v>
      </c>
      <c r="D373" s="1298" t="s">
        <v>31</v>
      </c>
      <c r="E373" s="1298">
        <v>8</v>
      </c>
      <c r="F373" s="1298" t="s">
        <v>34</v>
      </c>
      <c r="G373" s="1298" t="s">
        <v>32</v>
      </c>
      <c r="H373" s="1298" t="s">
        <v>6146</v>
      </c>
      <c r="I373" s="1298" t="s">
        <v>34</v>
      </c>
      <c r="J373" s="1298" t="s">
        <v>34</v>
      </c>
      <c r="K373" s="1298" t="s">
        <v>34</v>
      </c>
      <c r="L373" s="1298" t="s">
        <v>34</v>
      </c>
      <c r="M373" s="1318" t="s">
        <v>34</v>
      </c>
      <c r="N373" s="1301">
        <v>2010.5</v>
      </c>
      <c r="O373" s="1298" t="s">
        <v>6051</v>
      </c>
      <c r="P373" s="1298" t="s">
        <v>6052</v>
      </c>
      <c r="Q373" s="1298">
        <v>13833153652</v>
      </c>
      <c r="R373" s="1298" t="s">
        <v>6450</v>
      </c>
      <c r="S373" s="1298" t="s">
        <v>6150</v>
      </c>
      <c r="T373" s="1323"/>
    </row>
    <row r="374" spans="1:20" s="1030" customFormat="1" ht="20.100000000000001" customHeight="1">
      <c r="A374" s="1451"/>
      <c r="B374" s="1298" t="s">
        <v>981</v>
      </c>
      <c r="C374" s="1298" t="s">
        <v>6524</v>
      </c>
      <c r="D374" s="1298" t="s">
        <v>31</v>
      </c>
      <c r="E374" s="1298">
        <v>26</v>
      </c>
      <c r="F374" s="1298" t="s">
        <v>34</v>
      </c>
      <c r="G374" s="1298" t="s">
        <v>32</v>
      </c>
      <c r="H374" s="1298" t="s">
        <v>6146</v>
      </c>
      <c r="I374" s="1298" t="s">
        <v>34</v>
      </c>
      <c r="J374" s="1298" t="s">
        <v>6398</v>
      </c>
      <c r="K374" s="1298" t="s">
        <v>34</v>
      </c>
      <c r="L374" s="1298" t="s">
        <v>34</v>
      </c>
      <c r="M374" s="1318" t="s">
        <v>34</v>
      </c>
      <c r="N374" s="1301">
        <v>2010.5</v>
      </c>
      <c r="O374" s="1298" t="s">
        <v>6051</v>
      </c>
      <c r="P374" s="1298" t="s">
        <v>6052</v>
      </c>
      <c r="Q374" s="1298">
        <v>13833153652</v>
      </c>
      <c r="R374" s="1298" t="s">
        <v>6450</v>
      </c>
      <c r="S374" s="1298" t="s">
        <v>6150</v>
      </c>
      <c r="T374" s="1323"/>
    </row>
    <row r="375" spans="1:20" s="1030" customFormat="1" ht="20.100000000000001" customHeight="1">
      <c r="A375" s="1451"/>
      <c r="B375" s="1298" t="s">
        <v>981</v>
      </c>
      <c r="C375" s="1298" t="s">
        <v>6525</v>
      </c>
      <c r="D375" s="1298" t="s">
        <v>464</v>
      </c>
      <c r="E375" s="1298">
        <v>21</v>
      </c>
      <c r="F375" s="1298" t="s">
        <v>34</v>
      </c>
      <c r="G375" s="1298" t="s">
        <v>32</v>
      </c>
      <c r="H375" s="1298" t="s">
        <v>6146</v>
      </c>
      <c r="I375" s="1298" t="s">
        <v>34</v>
      </c>
      <c r="J375" s="1298" t="s">
        <v>34</v>
      </c>
      <c r="K375" s="1298" t="s">
        <v>34</v>
      </c>
      <c r="L375" s="1298" t="s">
        <v>34</v>
      </c>
      <c r="M375" s="1318" t="s">
        <v>34</v>
      </c>
      <c r="N375" s="1301">
        <v>2010.5</v>
      </c>
      <c r="O375" s="1298" t="s">
        <v>6051</v>
      </c>
      <c r="P375" s="1298" t="s">
        <v>6052</v>
      </c>
      <c r="Q375" s="1298">
        <v>13833153652</v>
      </c>
      <c r="R375" s="1298" t="s">
        <v>6450</v>
      </c>
      <c r="S375" s="1298" t="s">
        <v>6150</v>
      </c>
      <c r="T375" s="1323"/>
    </row>
    <row r="376" spans="1:20" s="1030" customFormat="1" ht="20.100000000000001" customHeight="1">
      <c r="A376" s="1451"/>
      <c r="B376" s="1298" t="s">
        <v>981</v>
      </c>
      <c r="C376" s="1298" t="s">
        <v>6525</v>
      </c>
      <c r="D376" s="1298" t="s">
        <v>464</v>
      </c>
      <c r="E376" s="1298">
        <v>11</v>
      </c>
      <c r="F376" s="1298" t="s">
        <v>34</v>
      </c>
      <c r="G376" s="1298" t="s">
        <v>32</v>
      </c>
      <c r="H376" s="1298" t="s">
        <v>6146</v>
      </c>
      <c r="I376" s="1298" t="s">
        <v>34</v>
      </c>
      <c r="J376" s="1298" t="s">
        <v>34</v>
      </c>
      <c r="K376" s="1298" t="s">
        <v>34</v>
      </c>
      <c r="L376" s="1298" t="s">
        <v>34</v>
      </c>
      <c r="M376" s="1318" t="s">
        <v>34</v>
      </c>
      <c r="N376" s="1301">
        <v>2018.4</v>
      </c>
      <c r="O376" s="1298" t="s">
        <v>6051</v>
      </c>
      <c r="P376" s="1298" t="s">
        <v>6052</v>
      </c>
      <c r="Q376" s="1298">
        <v>13833153652</v>
      </c>
      <c r="R376" s="1298" t="s">
        <v>6450</v>
      </c>
      <c r="S376" s="1298" t="s">
        <v>6150</v>
      </c>
      <c r="T376" s="1323"/>
    </row>
    <row r="377" spans="1:20" s="1030" customFormat="1" ht="20.100000000000001" customHeight="1">
      <c r="A377" s="1451"/>
      <c r="B377" s="1298" t="s">
        <v>981</v>
      </c>
      <c r="C377" s="1298" t="s">
        <v>5964</v>
      </c>
      <c r="D377" s="1298" t="s">
        <v>464</v>
      </c>
      <c r="E377" s="1298">
        <v>50</v>
      </c>
      <c r="F377" s="1298" t="s">
        <v>34</v>
      </c>
      <c r="G377" s="1298" t="s">
        <v>32</v>
      </c>
      <c r="H377" s="1298" t="s">
        <v>6146</v>
      </c>
      <c r="I377" s="1298" t="s">
        <v>34</v>
      </c>
      <c r="J377" s="1298" t="s">
        <v>34</v>
      </c>
      <c r="K377" s="1298" t="s">
        <v>34</v>
      </c>
      <c r="L377" s="1298" t="s">
        <v>34</v>
      </c>
      <c r="M377" s="1318" t="s">
        <v>34</v>
      </c>
      <c r="N377" s="1301">
        <v>2010.5</v>
      </c>
      <c r="O377" s="1298" t="s">
        <v>6051</v>
      </c>
      <c r="P377" s="1298" t="s">
        <v>6052</v>
      </c>
      <c r="Q377" s="1298">
        <v>13833153652</v>
      </c>
      <c r="R377" s="1298" t="s">
        <v>6450</v>
      </c>
      <c r="S377" s="1298" t="s">
        <v>6150</v>
      </c>
      <c r="T377" s="1323"/>
    </row>
    <row r="378" spans="1:20" s="1030" customFormat="1" ht="20.100000000000001" customHeight="1">
      <c r="A378" s="1451"/>
      <c r="B378" s="1298" t="s">
        <v>981</v>
      </c>
      <c r="C378" s="1298" t="s">
        <v>6526</v>
      </c>
      <c r="D378" s="1298" t="s">
        <v>464</v>
      </c>
      <c r="E378" s="1298">
        <v>12</v>
      </c>
      <c r="F378" s="1298" t="s">
        <v>34</v>
      </c>
      <c r="G378" s="1298" t="s">
        <v>32</v>
      </c>
      <c r="H378" s="1298" t="s">
        <v>6146</v>
      </c>
      <c r="I378" s="1298" t="s">
        <v>34</v>
      </c>
      <c r="J378" s="1298" t="s">
        <v>34</v>
      </c>
      <c r="K378" s="1298" t="s">
        <v>34</v>
      </c>
      <c r="L378" s="1298" t="s">
        <v>34</v>
      </c>
      <c r="M378" s="1318" t="s">
        <v>34</v>
      </c>
      <c r="N378" s="1301">
        <v>2010.5</v>
      </c>
      <c r="O378" s="1298" t="s">
        <v>6051</v>
      </c>
      <c r="P378" s="1298" t="s">
        <v>6052</v>
      </c>
      <c r="Q378" s="1298">
        <v>13833153652</v>
      </c>
      <c r="R378" s="1298" t="s">
        <v>6450</v>
      </c>
      <c r="S378" s="1298" t="s">
        <v>6150</v>
      </c>
      <c r="T378" s="1323"/>
    </row>
    <row r="379" spans="1:20" s="1030" customFormat="1" ht="20.100000000000001" customHeight="1">
      <c r="A379" s="1451"/>
      <c r="B379" s="1298" t="s">
        <v>981</v>
      </c>
      <c r="C379" s="1298" t="s">
        <v>6526</v>
      </c>
      <c r="D379" s="1298" t="s">
        <v>464</v>
      </c>
      <c r="E379" s="1298">
        <v>31</v>
      </c>
      <c r="F379" s="1298" t="s">
        <v>34</v>
      </c>
      <c r="G379" s="1298" t="s">
        <v>32</v>
      </c>
      <c r="H379" s="1298" t="s">
        <v>6146</v>
      </c>
      <c r="I379" s="1298" t="s">
        <v>34</v>
      </c>
      <c r="J379" s="1298" t="s">
        <v>34</v>
      </c>
      <c r="K379" s="1298" t="s">
        <v>34</v>
      </c>
      <c r="L379" s="1298" t="s">
        <v>34</v>
      </c>
      <c r="M379" s="1318" t="s">
        <v>34</v>
      </c>
      <c r="N379" s="1301">
        <v>2010.5</v>
      </c>
      <c r="O379" s="1298" t="s">
        <v>6051</v>
      </c>
      <c r="P379" s="1298" t="s">
        <v>6052</v>
      </c>
      <c r="Q379" s="1298">
        <v>13833153652</v>
      </c>
      <c r="R379" s="1298" t="s">
        <v>6450</v>
      </c>
      <c r="S379" s="1298" t="s">
        <v>6150</v>
      </c>
      <c r="T379" s="1323"/>
    </row>
    <row r="380" spans="1:20" s="1030" customFormat="1" ht="20.100000000000001" customHeight="1">
      <c r="A380" s="1451"/>
      <c r="B380" s="1298" t="s">
        <v>981</v>
      </c>
      <c r="C380" s="1298" t="s">
        <v>5962</v>
      </c>
      <c r="D380" s="1298" t="s">
        <v>464</v>
      </c>
      <c r="E380" s="1298">
        <v>5</v>
      </c>
      <c r="F380" s="1298" t="s">
        <v>34</v>
      </c>
      <c r="G380" s="1298" t="s">
        <v>32</v>
      </c>
      <c r="H380" s="1298" t="s">
        <v>6146</v>
      </c>
      <c r="I380" s="1298" t="s">
        <v>34</v>
      </c>
      <c r="J380" s="1298" t="s">
        <v>34</v>
      </c>
      <c r="K380" s="1298" t="s">
        <v>34</v>
      </c>
      <c r="L380" s="1298" t="s">
        <v>34</v>
      </c>
      <c r="M380" s="1318" t="s">
        <v>34</v>
      </c>
      <c r="N380" s="1301">
        <v>2010.5</v>
      </c>
      <c r="O380" s="1298" t="s">
        <v>6051</v>
      </c>
      <c r="P380" s="1298" t="s">
        <v>6052</v>
      </c>
      <c r="Q380" s="1298">
        <v>13833153652</v>
      </c>
      <c r="R380" s="1298" t="s">
        <v>6450</v>
      </c>
      <c r="S380" s="1298" t="s">
        <v>6150</v>
      </c>
      <c r="T380" s="1323"/>
    </row>
    <row r="381" spans="1:20" s="1030" customFormat="1" ht="20.100000000000001" customHeight="1">
      <c r="A381" s="1451"/>
      <c r="B381" s="1298" t="s">
        <v>981</v>
      </c>
      <c r="C381" s="1298" t="s">
        <v>5962</v>
      </c>
      <c r="D381" s="1298" t="s">
        <v>464</v>
      </c>
      <c r="E381" s="1298">
        <v>26</v>
      </c>
      <c r="F381" s="1298" t="s">
        <v>34</v>
      </c>
      <c r="G381" s="1298" t="s">
        <v>32</v>
      </c>
      <c r="H381" s="1298" t="s">
        <v>6146</v>
      </c>
      <c r="I381" s="1298" t="s">
        <v>34</v>
      </c>
      <c r="J381" s="1298" t="s">
        <v>34</v>
      </c>
      <c r="K381" s="1298" t="s">
        <v>34</v>
      </c>
      <c r="L381" s="1298" t="s">
        <v>34</v>
      </c>
      <c r="M381" s="1318" t="s">
        <v>34</v>
      </c>
      <c r="N381" s="1301">
        <v>2010.5</v>
      </c>
      <c r="O381" s="1298" t="s">
        <v>6051</v>
      </c>
      <c r="P381" s="1298" t="s">
        <v>6052</v>
      </c>
      <c r="Q381" s="1298">
        <v>13833153652</v>
      </c>
      <c r="R381" s="1298" t="s">
        <v>6450</v>
      </c>
      <c r="S381" s="1298" t="s">
        <v>6150</v>
      </c>
      <c r="T381" s="1323"/>
    </row>
    <row r="382" spans="1:20" s="1030" customFormat="1" ht="20.100000000000001" customHeight="1">
      <c r="A382" s="1451"/>
      <c r="B382" s="1298" t="s">
        <v>981</v>
      </c>
      <c r="C382" s="1298" t="s">
        <v>5949</v>
      </c>
      <c r="D382" s="1298" t="s">
        <v>464</v>
      </c>
      <c r="E382" s="1298">
        <v>89</v>
      </c>
      <c r="F382" s="1298" t="s">
        <v>34</v>
      </c>
      <c r="G382" s="1298" t="s">
        <v>32</v>
      </c>
      <c r="H382" s="1298" t="s">
        <v>6146</v>
      </c>
      <c r="I382" s="1298" t="s">
        <v>34</v>
      </c>
      <c r="J382" s="1298" t="s">
        <v>34</v>
      </c>
      <c r="K382" s="1298" t="s">
        <v>34</v>
      </c>
      <c r="L382" s="1298" t="s">
        <v>34</v>
      </c>
      <c r="M382" s="1318" t="s">
        <v>34</v>
      </c>
      <c r="N382" s="1301">
        <v>2010.5</v>
      </c>
      <c r="O382" s="1298" t="s">
        <v>6051</v>
      </c>
      <c r="P382" s="1298" t="s">
        <v>6052</v>
      </c>
      <c r="Q382" s="1298">
        <v>13833153652</v>
      </c>
      <c r="R382" s="1298" t="s">
        <v>6450</v>
      </c>
      <c r="S382" s="1298" t="s">
        <v>6150</v>
      </c>
      <c r="T382" s="1323"/>
    </row>
    <row r="383" spans="1:20" s="1030" customFormat="1" ht="20.100000000000001" customHeight="1">
      <c r="A383" s="1451"/>
      <c r="B383" s="1298" t="s">
        <v>981</v>
      </c>
      <c r="C383" s="1298" t="s">
        <v>5949</v>
      </c>
      <c r="D383" s="1298" t="s">
        <v>464</v>
      </c>
      <c r="E383" s="1298">
        <v>217</v>
      </c>
      <c r="F383" s="1298" t="s">
        <v>34</v>
      </c>
      <c r="G383" s="1298" t="s">
        <v>32</v>
      </c>
      <c r="H383" s="1298" t="s">
        <v>6146</v>
      </c>
      <c r="I383" s="1298" t="s">
        <v>34</v>
      </c>
      <c r="J383" s="1298" t="s">
        <v>34</v>
      </c>
      <c r="K383" s="1298" t="s">
        <v>34</v>
      </c>
      <c r="L383" s="1298" t="s">
        <v>34</v>
      </c>
      <c r="M383" s="1318">
        <v>49014.5</v>
      </c>
      <c r="N383" s="1301">
        <v>2015.3</v>
      </c>
      <c r="O383" s="1298" t="s">
        <v>6051</v>
      </c>
      <c r="P383" s="1298" t="s">
        <v>6052</v>
      </c>
      <c r="Q383" s="1298">
        <v>13833153652</v>
      </c>
      <c r="R383" s="1298" t="s">
        <v>6450</v>
      </c>
      <c r="S383" s="1298" t="s">
        <v>6150</v>
      </c>
      <c r="T383" s="1323"/>
    </row>
    <row r="384" spans="1:20" s="1030" customFormat="1" ht="20.100000000000001" customHeight="1">
      <c r="A384" s="1451"/>
      <c r="B384" s="1298" t="s">
        <v>981</v>
      </c>
      <c r="C384" s="1298" t="s">
        <v>5949</v>
      </c>
      <c r="D384" s="1298" t="s">
        <v>464</v>
      </c>
      <c r="E384" s="1298">
        <v>233</v>
      </c>
      <c r="F384" s="1298" t="s">
        <v>34</v>
      </c>
      <c r="G384" s="1298" t="s">
        <v>32</v>
      </c>
      <c r="H384" s="1298" t="s">
        <v>6146</v>
      </c>
      <c r="I384" s="1298" t="s">
        <v>34</v>
      </c>
      <c r="J384" s="1298" t="s">
        <v>34</v>
      </c>
      <c r="K384" s="1298" t="s">
        <v>34</v>
      </c>
      <c r="L384" s="1298" t="s">
        <v>34</v>
      </c>
      <c r="M384" s="1318" t="s">
        <v>34</v>
      </c>
      <c r="N384" s="1301">
        <v>2015.3</v>
      </c>
      <c r="O384" s="1298" t="s">
        <v>6051</v>
      </c>
      <c r="P384" s="1298" t="s">
        <v>6052</v>
      </c>
      <c r="Q384" s="1298">
        <v>13833153652</v>
      </c>
      <c r="R384" s="1298" t="s">
        <v>6450</v>
      </c>
      <c r="S384" s="1298" t="s">
        <v>6150</v>
      </c>
      <c r="T384" s="1323"/>
    </row>
    <row r="385" spans="1:20" s="1030" customFormat="1" ht="20.100000000000001" customHeight="1">
      <c r="A385" s="1451"/>
      <c r="B385" s="1298" t="s">
        <v>981</v>
      </c>
      <c r="C385" s="1298" t="s">
        <v>5949</v>
      </c>
      <c r="D385" s="1298" t="s">
        <v>464</v>
      </c>
      <c r="E385" s="1298">
        <v>3</v>
      </c>
      <c r="F385" s="1298">
        <v>3</v>
      </c>
      <c r="G385" s="1298" t="s">
        <v>87</v>
      </c>
      <c r="H385" s="1298" t="s">
        <v>6146</v>
      </c>
      <c r="I385" s="1298" t="s">
        <v>34</v>
      </c>
      <c r="J385" s="1298" t="s">
        <v>34</v>
      </c>
      <c r="K385" s="1298" t="s">
        <v>34</v>
      </c>
      <c r="L385" s="1298" t="s">
        <v>34</v>
      </c>
      <c r="M385" s="1318">
        <v>4585.5600000000004</v>
      </c>
      <c r="N385" s="1301" t="s">
        <v>6527</v>
      </c>
      <c r="O385" s="1298" t="s">
        <v>6075</v>
      </c>
      <c r="P385" s="1298" t="s">
        <v>6076</v>
      </c>
      <c r="Q385" s="1298">
        <v>17732305201</v>
      </c>
      <c r="R385" s="1289" t="s">
        <v>6077</v>
      </c>
      <c r="S385" s="1298" t="s">
        <v>6150</v>
      </c>
      <c r="T385" s="1323"/>
    </row>
    <row r="386" spans="1:20" s="1030" customFormat="1" ht="20.100000000000001" customHeight="1">
      <c r="A386" s="1451">
        <v>4</v>
      </c>
      <c r="B386" s="1298" t="s">
        <v>6528</v>
      </c>
      <c r="C386" s="1298"/>
      <c r="D386" s="1298"/>
      <c r="E386" s="1298"/>
      <c r="F386" s="1298"/>
      <c r="G386" s="1298"/>
      <c r="H386" s="1298"/>
      <c r="I386" s="1298"/>
      <c r="J386" s="1298"/>
      <c r="K386" s="1298"/>
      <c r="L386" s="1298"/>
      <c r="M386" s="1318"/>
      <c r="N386" s="1301"/>
      <c r="O386" s="1298"/>
      <c r="P386" s="1298"/>
      <c r="Q386" s="1298"/>
      <c r="R386" s="1298"/>
      <c r="S386" s="1298"/>
      <c r="T386" s="1323"/>
    </row>
    <row r="387" spans="1:20" s="1030" customFormat="1" ht="20.100000000000001" customHeight="1">
      <c r="A387" s="1451"/>
      <c r="B387" s="1298" t="s">
        <v>6529</v>
      </c>
      <c r="C387" s="1298" t="s">
        <v>5960</v>
      </c>
      <c r="D387" s="1298" t="s">
        <v>464</v>
      </c>
      <c r="E387" s="1298">
        <v>4</v>
      </c>
      <c r="F387" s="1298" t="s">
        <v>34</v>
      </c>
      <c r="G387" s="1298" t="s">
        <v>32</v>
      </c>
      <c r="H387" s="1298" t="s">
        <v>6146</v>
      </c>
      <c r="I387" s="1298" t="s">
        <v>34</v>
      </c>
      <c r="J387" s="1298" t="s">
        <v>34</v>
      </c>
      <c r="K387" s="1298" t="s">
        <v>34</v>
      </c>
      <c r="L387" s="1298" t="s">
        <v>34</v>
      </c>
      <c r="M387" s="1318" t="s">
        <v>34</v>
      </c>
      <c r="N387" s="1301">
        <v>2010.5</v>
      </c>
      <c r="O387" s="1298" t="s">
        <v>6051</v>
      </c>
      <c r="P387" s="1298" t="s">
        <v>6052</v>
      </c>
      <c r="Q387" s="1298">
        <v>13833153652</v>
      </c>
      <c r="R387" s="1298" t="s">
        <v>6450</v>
      </c>
      <c r="S387" s="1298" t="s">
        <v>6150</v>
      </c>
      <c r="T387" s="1323"/>
    </row>
    <row r="388" spans="1:20" s="1030" customFormat="1" ht="20.100000000000001" customHeight="1">
      <c r="A388" s="1451"/>
      <c r="B388" s="1298" t="s">
        <v>6529</v>
      </c>
      <c r="C388" s="1298" t="s">
        <v>5960</v>
      </c>
      <c r="D388" s="1298" t="s">
        <v>464</v>
      </c>
      <c r="E388" s="1298">
        <v>56</v>
      </c>
      <c r="F388" s="1298" t="s">
        <v>34</v>
      </c>
      <c r="G388" s="1298" t="s">
        <v>32</v>
      </c>
      <c r="H388" s="1298" t="s">
        <v>6146</v>
      </c>
      <c r="I388" s="1298" t="s">
        <v>34</v>
      </c>
      <c r="J388" s="1298" t="s">
        <v>34</v>
      </c>
      <c r="K388" s="1298" t="s">
        <v>34</v>
      </c>
      <c r="L388" s="1298" t="s">
        <v>34</v>
      </c>
      <c r="M388" s="1318" t="s">
        <v>34</v>
      </c>
      <c r="N388" s="1301">
        <v>2010.5</v>
      </c>
      <c r="O388" s="1298" t="s">
        <v>6051</v>
      </c>
      <c r="P388" s="1298" t="s">
        <v>6052</v>
      </c>
      <c r="Q388" s="1298">
        <v>13833153652</v>
      </c>
      <c r="R388" s="1298" t="s">
        <v>6450</v>
      </c>
      <c r="S388" s="1298" t="s">
        <v>6150</v>
      </c>
      <c r="T388" s="1323"/>
    </row>
    <row r="389" spans="1:20" s="1030" customFormat="1" ht="20.100000000000001" customHeight="1">
      <c r="A389" s="1451"/>
      <c r="B389" s="1298" t="s">
        <v>6529</v>
      </c>
      <c r="C389" s="1298" t="s">
        <v>5949</v>
      </c>
      <c r="D389" s="1298" t="s">
        <v>464</v>
      </c>
      <c r="E389" s="1298">
        <v>30</v>
      </c>
      <c r="F389" s="1298" t="s">
        <v>34</v>
      </c>
      <c r="G389" s="1298" t="s">
        <v>32</v>
      </c>
      <c r="H389" s="1298" t="s">
        <v>6146</v>
      </c>
      <c r="I389" s="1298" t="s">
        <v>34</v>
      </c>
      <c r="J389" s="1298" t="s">
        <v>34</v>
      </c>
      <c r="K389" s="1298" t="s">
        <v>34</v>
      </c>
      <c r="L389" s="1298" t="s">
        <v>34</v>
      </c>
      <c r="M389" s="1318" t="s">
        <v>34</v>
      </c>
      <c r="N389" s="1301">
        <v>2010.5</v>
      </c>
      <c r="O389" s="1298" t="s">
        <v>6051</v>
      </c>
      <c r="P389" s="1298" t="s">
        <v>6052</v>
      </c>
      <c r="Q389" s="1298">
        <v>13833153652</v>
      </c>
      <c r="R389" s="1298" t="s">
        <v>6450</v>
      </c>
      <c r="S389" s="1298" t="s">
        <v>6150</v>
      </c>
      <c r="T389" s="1458"/>
    </row>
    <row r="390" spans="1:20" s="1030" customFormat="1" ht="20.100000000000001" customHeight="1">
      <c r="A390" s="1451"/>
      <c r="B390" s="1298" t="s">
        <v>6530</v>
      </c>
      <c r="C390" s="1298" t="s">
        <v>6531</v>
      </c>
      <c r="D390" s="1298" t="s">
        <v>464</v>
      </c>
      <c r="E390" s="1298">
        <v>1</v>
      </c>
      <c r="F390" s="1298" t="s">
        <v>34</v>
      </c>
      <c r="G390" s="1298" t="s">
        <v>32</v>
      </c>
      <c r="H390" s="1298" t="s">
        <v>6146</v>
      </c>
      <c r="I390" s="1298" t="s">
        <v>34</v>
      </c>
      <c r="J390" s="1298" t="s">
        <v>34</v>
      </c>
      <c r="K390" s="1298" t="s">
        <v>34</v>
      </c>
      <c r="L390" s="1298" t="s">
        <v>34</v>
      </c>
      <c r="M390" s="1318" t="s">
        <v>34</v>
      </c>
      <c r="N390" s="1301">
        <v>2010.5</v>
      </c>
      <c r="O390" s="1298" t="s">
        <v>6051</v>
      </c>
      <c r="P390" s="1298" t="s">
        <v>6052</v>
      </c>
      <c r="Q390" s="1298">
        <v>13833153652</v>
      </c>
      <c r="R390" s="1298" t="s">
        <v>6450</v>
      </c>
      <c r="S390" s="1298" t="s">
        <v>6150</v>
      </c>
      <c r="T390" s="1323"/>
    </row>
    <row r="391" spans="1:20" s="1030" customFormat="1" ht="20.100000000000001" customHeight="1">
      <c r="A391" s="1451"/>
      <c r="B391" s="1298" t="s">
        <v>6530</v>
      </c>
      <c r="C391" s="1298" t="s">
        <v>6531</v>
      </c>
      <c r="D391" s="1298" t="s">
        <v>464</v>
      </c>
      <c r="E391" s="1298">
        <v>4</v>
      </c>
      <c r="F391" s="1298" t="s">
        <v>34</v>
      </c>
      <c r="G391" s="1298" t="s">
        <v>32</v>
      </c>
      <c r="H391" s="1298" t="s">
        <v>6146</v>
      </c>
      <c r="I391" s="1298" t="s">
        <v>34</v>
      </c>
      <c r="J391" s="1298" t="s">
        <v>34</v>
      </c>
      <c r="K391" s="1298" t="s">
        <v>34</v>
      </c>
      <c r="L391" s="1298" t="s">
        <v>34</v>
      </c>
      <c r="M391" s="1318" t="s">
        <v>34</v>
      </c>
      <c r="N391" s="1301">
        <v>2010.5</v>
      </c>
      <c r="O391" s="1298" t="s">
        <v>6051</v>
      </c>
      <c r="P391" s="1298" t="s">
        <v>6052</v>
      </c>
      <c r="Q391" s="1298">
        <v>13833153652</v>
      </c>
      <c r="R391" s="1298" t="s">
        <v>6450</v>
      </c>
      <c r="S391" s="1298" t="s">
        <v>6150</v>
      </c>
      <c r="T391" s="1323"/>
    </row>
    <row r="392" spans="1:20" s="1030" customFormat="1" ht="20.100000000000001" customHeight="1">
      <c r="A392" s="1451"/>
      <c r="B392" s="1298" t="s">
        <v>6532</v>
      </c>
      <c r="C392" s="1298"/>
      <c r="D392" s="1298" t="s">
        <v>31</v>
      </c>
      <c r="E392" s="1298">
        <v>363</v>
      </c>
      <c r="F392" s="1298" t="s">
        <v>34</v>
      </c>
      <c r="G392" s="1298" t="s">
        <v>32</v>
      </c>
      <c r="H392" s="1298" t="s">
        <v>6146</v>
      </c>
      <c r="I392" s="1298" t="s">
        <v>34</v>
      </c>
      <c r="J392" s="1298" t="s">
        <v>34</v>
      </c>
      <c r="K392" s="1298" t="s">
        <v>34</v>
      </c>
      <c r="L392" s="1298" t="s">
        <v>34</v>
      </c>
      <c r="M392" s="1318" t="s">
        <v>34</v>
      </c>
      <c r="N392" s="1301">
        <v>2006.3</v>
      </c>
      <c r="O392" s="1298" t="s">
        <v>6051</v>
      </c>
      <c r="P392" s="1298" t="s">
        <v>6052</v>
      </c>
      <c r="Q392" s="1298">
        <v>13833153652</v>
      </c>
      <c r="R392" s="1298" t="s">
        <v>6450</v>
      </c>
      <c r="S392" s="1298" t="s">
        <v>6150</v>
      </c>
      <c r="T392" s="1323"/>
    </row>
    <row r="393" spans="1:20" s="1030" customFormat="1" ht="20.100000000000001" customHeight="1">
      <c r="A393" s="1451"/>
      <c r="B393" s="1298" t="s">
        <v>6532</v>
      </c>
      <c r="C393" s="1298"/>
      <c r="D393" s="1298" t="s">
        <v>31</v>
      </c>
      <c r="E393" s="1298">
        <v>67</v>
      </c>
      <c r="F393" s="1298" t="s">
        <v>34</v>
      </c>
      <c r="G393" s="1298" t="s">
        <v>32</v>
      </c>
      <c r="H393" s="1298" t="s">
        <v>6146</v>
      </c>
      <c r="I393" s="1298" t="s">
        <v>34</v>
      </c>
      <c r="J393" s="1298" t="s">
        <v>34</v>
      </c>
      <c r="K393" s="1298" t="s">
        <v>34</v>
      </c>
      <c r="L393" s="1298" t="s">
        <v>34</v>
      </c>
      <c r="M393" s="1318" t="s">
        <v>34</v>
      </c>
      <c r="N393" s="1301">
        <v>2006.3</v>
      </c>
      <c r="O393" s="1298" t="s">
        <v>6051</v>
      </c>
      <c r="P393" s="1298" t="s">
        <v>6052</v>
      </c>
      <c r="Q393" s="1298">
        <v>13833153652</v>
      </c>
      <c r="R393" s="1298" t="s">
        <v>6450</v>
      </c>
      <c r="S393" s="1298" t="s">
        <v>6150</v>
      </c>
      <c r="T393" s="1323"/>
    </row>
    <row r="394" spans="1:20" s="1030" customFormat="1" ht="20.100000000000001" customHeight="1">
      <c r="A394" s="1451"/>
      <c r="B394" s="1298" t="s">
        <v>6533</v>
      </c>
      <c r="C394" s="1298"/>
      <c r="D394" s="1298" t="s">
        <v>31</v>
      </c>
      <c r="E394" s="1298">
        <v>37</v>
      </c>
      <c r="F394" s="1298" t="s">
        <v>34</v>
      </c>
      <c r="G394" s="1298" t="s">
        <v>32</v>
      </c>
      <c r="H394" s="1298" t="s">
        <v>6146</v>
      </c>
      <c r="I394" s="1298" t="s">
        <v>34</v>
      </c>
      <c r="J394" s="1298" t="s">
        <v>34</v>
      </c>
      <c r="K394" s="1298" t="s">
        <v>34</v>
      </c>
      <c r="L394" s="1298" t="s">
        <v>34</v>
      </c>
      <c r="M394" s="1318" t="s">
        <v>34</v>
      </c>
      <c r="N394" s="1301">
        <v>2006.3</v>
      </c>
      <c r="O394" s="1298" t="s">
        <v>6051</v>
      </c>
      <c r="P394" s="1298" t="s">
        <v>6052</v>
      </c>
      <c r="Q394" s="1298">
        <v>13833153652</v>
      </c>
      <c r="R394" s="1298" t="s">
        <v>6450</v>
      </c>
      <c r="S394" s="1298" t="s">
        <v>6150</v>
      </c>
      <c r="T394" s="1323"/>
    </row>
    <row r="395" spans="1:20" s="1030" customFormat="1" ht="20.100000000000001" customHeight="1">
      <c r="A395" s="1451"/>
      <c r="B395" s="1298" t="s">
        <v>6533</v>
      </c>
      <c r="C395" s="1298"/>
      <c r="D395" s="1298" t="s">
        <v>31</v>
      </c>
      <c r="E395" s="1298">
        <v>63</v>
      </c>
      <c r="F395" s="1298" t="s">
        <v>34</v>
      </c>
      <c r="G395" s="1298" t="s">
        <v>32</v>
      </c>
      <c r="H395" s="1298" t="s">
        <v>6146</v>
      </c>
      <c r="I395" s="1298" t="s">
        <v>34</v>
      </c>
      <c r="J395" s="1298" t="s">
        <v>34</v>
      </c>
      <c r="K395" s="1298" t="s">
        <v>34</v>
      </c>
      <c r="L395" s="1298" t="s">
        <v>34</v>
      </c>
      <c r="M395" s="1318" t="s">
        <v>34</v>
      </c>
      <c r="N395" s="1301">
        <v>2006.3</v>
      </c>
      <c r="O395" s="1298" t="s">
        <v>6051</v>
      </c>
      <c r="P395" s="1298" t="s">
        <v>6052</v>
      </c>
      <c r="Q395" s="1298">
        <v>13833153652</v>
      </c>
      <c r="R395" s="1298" t="s">
        <v>6450</v>
      </c>
      <c r="S395" s="1298" t="s">
        <v>6150</v>
      </c>
      <c r="T395" s="1323"/>
    </row>
    <row r="396" spans="1:20" s="1030" customFormat="1" ht="20.100000000000001" customHeight="1">
      <c r="A396" s="1451"/>
      <c r="B396" s="1298" t="s">
        <v>6534</v>
      </c>
      <c r="C396" s="1298"/>
      <c r="D396" s="1298" t="s">
        <v>6535</v>
      </c>
      <c r="E396" s="1298">
        <v>1479</v>
      </c>
      <c r="F396" s="1298" t="s">
        <v>34</v>
      </c>
      <c r="G396" s="1298" t="s">
        <v>32</v>
      </c>
      <c r="H396" s="1298" t="s">
        <v>6146</v>
      </c>
      <c r="I396" s="1298" t="s">
        <v>34</v>
      </c>
      <c r="J396" s="1298" t="s">
        <v>34</v>
      </c>
      <c r="K396" s="1298" t="s">
        <v>34</v>
      </c>
      <c r="L396" s="1298" t="s">
        <v>34</v>
      </c>
      <c r="M396" s="1318" t="s">
        <v>34</v>
      </c>
      <c r="N396" s="1301">
        <v>2006.3</v>
      </c>
      <c r="O396" s="1298" t="s">
        <v>6051</v>
      </c>
      <c r="P396" s="1298" t="s">
        <v>6052</v>
      </c>
      <c r="Q396" s="1298">
        <v>13833153652</v>
      </c>
      <c r="R396" s="1298" t="s">
        <v>6450</v>
      </c>
      <c r="S396" s="1298" t="s">
        <v>6150</v>
      </c>
      <c r="T396" s="1323"/>
    </row>
    <row r="397" spans="1:20" s="1030" customFormat="1" ht="20.100000000000001" customHeight="1">
      <c r="A397" s="1451"/>
      <c r="B397" s="1298" t="s">
        <v>6536</v>
      </c>
      <c r="C397" s="1298"/>
      <c r="D397" s="1298" t="s">
        <v>79</v>
      </c>
      <c r="E397" s="1298">
        <v>7633</v>
      </c>
      <c r="F397" s="1298" t="s">
        <v>34</v>
      </c>
      <c r="G397" s="1298" t="s">
        <v>32</v>
      </c>
      <c r="H397" s="1298" t="s">
        <v>6146</v>
      </c>
      <c r="I397" s="1298" t="s">
        <v>34</v>
      </c>
      <c r="J397" s="1298" t="s">
        <v>34</v>
      </c>
      <c r="K397" s="1298" t="s">
        <v>34</v>
      </c>
      <c r="L397" s="1298" t="s">
        <v>34</v>
      </c>
      <c r="M397" s="1318" t="s">
        <v>34</v>
      </c>
      <c r="N397" s="1301">
        <v>2006.3</v>
      </c>
      <c r="O397" s="1298" t="s">
        <v>6051</v>
      </c>
      <c r="P397" s="1298" t="s">
        <v>6052</v>
      </c>
      <c r="Q397" s="1298">
        <v>13833153652</v>
      </c>
      <c r="R397" s="1298" t="s">
        <v>6450</v>
      </c>
      <c r="S397" s="1298" t="s">
        <v>6150</v>
      </c>
      <c r="T397" s="1323"/>
    </row>
    <row r="398" spans="1:20" s="1030" customFormat="1" ht="20.100000000000001" customHeight="1">
      <c r="A398" s="1451"/>
      <c r="B398" s="1298" t="s">
        <v>133</v>
      </c>
      <c r="C398" s="1298"/>
      <c r="D398" s="1298" t="s">
        <v>79</v>
      </c>
      <c r="E398" s="1298">
        <v>1584</v>
      </c>
      <c r="F398" s="1298" t="s">
        <v>34</v>
      </c>
      <c r="G398" s="1298" t="s">
        <v>32</v>
      </c>
      <c r="H398" s="1298" t="s">
        <v>6146</v>
      </c>
      <c r="I398" s="1298" t="s">
        <v>34</v>
      </c>
      <c r="J398" s="1298" t="s">
        <v>34</v>
      </c>
      <c r="K398" s="1298" t="s">
        <v>34</v>
      </c>
      <c r="L398" s="1298" t="s">
        <v>34</v>
      </c>
      <c r="M398" s="1318" t="s">
        <v>34</v>
      </c>
      <c r="N398" s="1301">
        <v>2006.3</v>
      </c>
      <c r="O398" s="1298" t="s">
        <v>6051</v>
      </c>
      <c r="P398" s="1298" t="s">
        <v>6052</v>
      </c>
      <c r="Q398" s="1298">
        <v>13833153652</v>
      </c>
      <c r="R398" s="1298" t="s">
        <v>6450</v>
      </c>
      <c r="S398" s="1298" t="s">
        <v>6150</v>
      </c>
      <c r="T398" s="1323"/>
    </row>
    <row r="399" spans="1:20" s="1030" customFormat="1" ht="20.100000000000001" customHeight="1">
      <c r="A399" s="1451"/>
      <c r="B399" s="1298" t="s">
        <v>6537</v>
      </c>
      <c r="C399" s="1298"/>
      <c r="D399" s="1298"/>
      <c r="E399" s="1298"/>
      <c r="F399" s="1298"/>
      <c r="G399" s="1298"/>
      <c r="H399" s="1298"/>
      <c r="I399" s="1298"/>
      <c r="J399" s="1298"/>
      <c r="K399" s="1298"/>
      <c r="L399" s="1298"/>
      <c r="M399" s="1318"/>
      <c r="N399" s="1301"/>
      <c r="O399" s="1298"/>
      <c r="P399" s="1298"/>
      <c r="Q399" s="1298"/>
      <c r="R399" s="1298"/>
      <c r="S399" s="1298"/>
      <c r="T399" s="1323"/>
    </row>
    <row r="400" spans="1:20" s="1030" customFormat="1" ht="20.100000000000001" customHeight="1">
      <c r="A400" s="1459" t="s">
        <v>6538</v>
      </c>
      <c r="B400" s="1298" t="s">
        <v>6539</v>
      </c>
      <c r="C400" s="1298"/>
      <c r="D400" s="1298"/>
      <c r="E400" s="1298"/>
      <c r="F400" s="1298"/>
      <c r="G400" s="1298"/>
      <c r="H400" s="1298"/>
      <c r="I400" s="1298"/>
      <c r="J400" s="1298"/>
      <c r="K400" s="1298"/>
      <c r="L400" s="1298"/>
      <c r="M400" s="1318"/>
      <c r="N400" s="1301"/>
      <c r="O400" s="1298"/>
      <c r="P400" s="1298"/>
      <c r="Q400" s="1298"/>
      <c r="R400" s="1298"/>
      <c r="S400" s="1298"/>
      <c r="T400" s="1323"/>
    </row>
    <row r="401" spans="1:20" s="1030" customFormat="1" ht="20.100000000000001" customHeight="1">
      <c r="A401" s="1321">
        <v>1</v>
      </c>
      <c r="B401" s="1298" t="s">
        <v>6540</v>
      </c>
      <c r="C401" s="1298"/>
      <c r="D401" s="1298"/>
      <c r="E401" s="1298"/>
      <c r="F401" s="1298"/>
      <c r="G401" s="1298"/>
      <c r="H401" s="1298"/>
      <c r="I401" s="1298"/>
      <c r="J401" s="1298"/>
      <c r="K401" s="1298"/>
      <c r="L401" s="1298"/>
      <c r="M401" s="1318"/>
      <c r="N401" s="1301"/>
      <c r="O401" s="1298"/>
      <c r="P401" s="1298"/>
      <c r="Q401" s="1298"/>
      <c r="R401" s="1298"/>
      <c r="S401" s="1298"/>
      <c r="T401" s="1323"/>
    </row>
    <row r="402" spans="1:20" s="1030" customFormat="1" ht="20.100000000000001" customHeight="1">
      <c r="A402" s="1321"/>
      <c r="B402" s="1298" t="s">
        <v>6537</v>
      </c>
      <c r="C402" s="1298"/>
      <c r="D402" s="1298"/>
      <c r="E402" s="1298"/>
      <c r="F402" s="1298"/>
      <c r="G402" s="1298"/>
      <c r="H402" s="1298"/>
      <c r="I402" s="1298"/>
      <c r="J402" s="1298"/>
      <c r="K402" s="1298"/>
      <c r="L402" s="1298"/>
      <c r="M402" s="1318"/>
      <c r="N402" s="1301"/>
      <c r="O402" s="1298"/>
      <c r="P402" s="1298"/>
      <c r="Q402" s="1298"/>
      <c r="R402" s="1298"/>
      <c r="S402" s="1298"/>
      <c r="T402" s="1323"/>
    </row>
    <row r="403" spans="1:20" s="1030" customFormat="1" ht="20.100000000000001" customHeight="1">
      <c r="A403" s="1321">
        <v>2</v>
      </c>
      <c r="B403" s="1298" t="s">
        <v>6541</v>
      </c>
      <c r="C403" s="1298"/>
      <c r="D403" s="1298"/>
      <c r="E403" s="1298"/>
      <c r="F403" s="1298"/>
      <c r="G403" s="1298"/>
      <c r="H403" s="1298"/>
      <c r="I403" s="1298"/>
      <c r="J403" s="1298"/>
      <c r="K403" s="1298"/>
      <c r="L403" s="1298"/>
      <c r="M403" s="1318"/>
      <c r="N403" s="1301"/>
      <c r="O403" s="1298"/>
      <c r="P403" s="1298"/>
      <c r="Q403" s="1298"/>
      <c r="R403" s="1298"/>
      <c r="S403" s="1298"/>
      <c r="T403" s="1323"/>
    </row>
    <row r="404" spans="1:20" s="1030" customFormat="1" ht="20.100000000000001" customHeight="1">
      <c r="A404" s="1321"/>
      <c r="B404" s="1298" t="s">
        <v>6537</v>
      </c>
      <c r="C404" s="1298"/>
      <c r="D404" s="1298"/>
      <c r="E404" s="1298"/>
      <c r="F404" s="1298"/>
      <c r="G404" s="1298"/>
      <c r="H404" s="1298"/>
      <c r="I404" s="1298"/>
      <c r="J404" s="1298"/>
      <c r="K404" s="1298"/>
      <c r="L404" s="1298"/>
      <c r="M404" s="1318"/>
      <c r="N404" s="1301"/>
      <c r="O404" s="1298"/>
      <c r="P404" s="1298"/>
      <c r="Q404" s="1298"/>
      <c r="R404" s="1298"/>
      <c r="S404" s="1298"/>
      <c r="T404" s="1323"/>
    </row>
    <row r="405" spans="1:20" s="1030" customFormat="1" ht="20.100000000000001" customHeight="1">
      <c r="A405" s="1321">
        <v>3</v>
      </c>
      <c r="B405" s="1298" t="s">
        <v>6542</v>
      </c>
      <c r="C405" s="1298"/>
      <c r="D405" s="1298"/>
      <c r="E405" s="1298"/>
      <c r="F405" s="1298"/>
      <c r="G405" s="1298"/>
      <c r="H405" s="1298"/>
      <c r="I405" s="1298"/>
      <c r="J405" s="1298"/>
      <c r="K405" s="1298"/>
      <c r="L405" s="1298"/>
      <c r="M405" s="1318"/>
      <c r="N405" s="1301"/>
      <c r="O405" s="1298"/>
      <c r="P405" s="1298"/>
      <c r="Q405" s="1298"/>
      <c r="R405" s="1298"/>
      <c r="S405" s="1298"/>
      <c r="T405" s="1323"/>
    </row>
    <row r="406" spans="1:20" s="1030" customFormat="1" ht="20.100000000000001" customHeight="1">
      <c r="A406" s="1321"/>
      <c r="B406" s="1298" t="s">
        <v>6537</v>
      </c>
      <c r="C406" s="1298"/>
      <c r="D406" s="1298"/>
      <c r="E406" s="1298"/>
      <c r="F406" s="1298"/>
      <c r="G406" s="1298"/>
      <c r="H406" s="1298"/>
      <c r="I406" s="1298"/>
      <c r="J406" s="1298"/>
      <c r="K406" s="1298"/>
      <c r="L406" s="1298"/>
      <c r="M406" s="1318"/>
      <c r="N406" s="1301"/>
      <c r="O406" s="1298"/>
      <c r="P406" s="1298"/>
      <c r="Q406" s="1298"/>
      <c r="R406" s="1298"/>
      <c r="S406" s="1298"/>
      <c r="T406" s="1323"/>
    </row>
    <row r="407" spans="1:20" s="1030" customFormat="1" ht="20.100000000000001" customHeight="1">
      <c r="A407" s="1321">
        <v>4</v>
      </c>
      <c r="B407" s="1298" t="s">
        <v>6543</v>
      </c>
      <c r="C407" s="1298"/>
      <c r="D407" s="1298"/>
      <c r="E407" s="1298"/>
      <c r="F407" s="1298"/>
      <c r="G407" s="1298"/>
      <c r="H407" s="1298"/>
      <c r="I407" s="1298"/>
      <c r="J407" s="1298"/>
      <c r="K407" s="1298"/>
      <c r="L407" s="1298"/>
      <c r="M407" s="1318"/>
      <c r="N407" s="1301"/>
      <c r="O407" s="1298"/>
      <c r="P407" s="1298"/>
      <c r="Q407" s="1298"/>
      <c r="R407" s="1298"/>
      <c r="S407" s="1298"/>
      <c r="T407" s="1323"/>
    </row>
    <row r="408" spans="1:20" s="1030" customFormat="1" ht="20.100000000000001" customHeight="1">
      <c r="A408" s="1321"/>
      <c r="B408" s="1298" t="s">
        <v>6537</v>
      </c>
      <c r="C408" s="1298"/>
      <c r="D408" s="1298"/>
      <c r="E408" s="1298"/>
      <c r="F408" s="1298"/>
      <c r="G408" s="1298"/>
      <c r="H408" s="1298"/>
      <c r="I408" s="1298"/>
      <c r="J408" s="1298"/>
      <c r="K408" s="1298"/>
      <c r="L408" s="1298"/>
      <c r="M408" s="1318"/>
      <c r="N408" s="1301"/>
      <c r="O408" s="1298"/>
      <c r="P408" s="1298"/>
      <c r="Q408" s="1298"/>
      <c r="R408" s="1298"/>
      <c r="S408" s="1298"/>
      <c r="T408" s="1323"/>
    </row>
    <row r="409" spans="1:20" s="1030" customFormat="1" ht="20.100000000000001" customHeight="1">
      <c r="A409" s="1321">
        <v>5</v>
      </c>
      <c r="B409" s="1298" t="s">
        <v>6544</v>
      </c>
      <c r="C409" s="1298"/>
      <c r="D409" s="1298"/>
      <c r="E409" s="1298"/>
      <c r="F409" s="1298"/>
      <c r="G409" s="1298"/>
      <c r="H409" s="1298"/>
      <c r="I409" s="1298"/>
      <c r="J409" s="1298"/>
      <c r="K409" s="1298"/>
      <c r="L409" s="1298"/>
      <c r="M409" s="1318"/>
      <c r="N409" s="1301"/>
      <c r="O409" s="1298"/>
      <c r="P409" s="1298"/>
      <c r="Q409" s="1298"/>
      <c r="R409" s="1298"/>
      <c r="S409" s="1298"/>
      <c r="T409" s="1323"/>
    </row>
    <row r="410" spans="1:20" s="1030" customFormat="1" ht="20.100000000000001" customHeight="1">
      <c r="A410" s="1321"/>
      <c r="B410" s="1298" t="s">
        <v>6537</v>
      </c>
      <c r="C410" s="1298"/>
      <c r="D410" s="1298"/>
      <c r="E410" s="1298"/>
      <c r="F410" s="1298"/>
      <c r="G410" s="1298"/>
      <c r="H410" s="1298"/>
      <c r="I410" s="1298"/>
      <c r="J410" s="1298"/>
      <c r="K410" s="1298"/>
      <c r="L410" s="1298"/>
      <c r="M410" s="1318"/>
      <c r="N410" s="1301"/>
      <c r="O410" s="1298"/>
      <c r="P410" s="1298"/>
      <c r="Q410" s="1298"/>
      <c r="R410" s="1298"/>
      <c r="S410" s="1298"/>
      <c r="T410" s="1323"/>
    </row>
    <row r="411" spans="1:20" s="1030" customFormat="1" ht="20.100000000000001" customHeight="1">
      <c r="A411" s="1321">
        <v>6</v>
      </c>
      <c r="B411" s="1298" t="s">
        <v>6545</v>
      </c>
      <c r="C411" s="1298"/>
      <c r="D411" s="1298"/>
      <c r="E411" s="1298"/>
      <c r="F411" s="1298"/>
      <c r="G411" s="1298"/>
      <c r="H411" s="1298"/>
      <c r="I411" s="1298"/>
      <c r="J411" s="1298"/>
      <c r="K411" s="1298"/>
      <c r="L411" s="1298"/>
      <c r="M411" s="1318"/>
      <c r="N411" s="1301"/>
      <c r="O411" s="1298"/>
      <c r="P411" s="1298"/>
      <c r="Q411" s="1298"/>
      <c r="R411" s="1298"/>
      <c r="S411" s="1298"/>
      <c r="T411" s="1323"/>
    </row>
    <row r="412" spans="1:20" s="1030" customFormat="1" ht="20.100000000000001" customHeight="1">
      <c r="A412" s="1321"/>
      <c r="B412" s="1298" t="s">
        <v>6537</v>
      </c>
      <c r="C412" s="1298"/>
      <c r="D412" s="1298"/>
      <c r="E412" s="1298"/>
      <c r="F412" s="1298"/>
      <c r="G412" s="1298"/>
      <c r="H412" s="1298"/>
      <c r="I412" s="1298"/>
      <c r="J412" s="1298"/>
      <c r="K412" s="1298"/>
      <c r="L412" s="1298"/>
      <c r="M412" s="1318"/>
      <c r="N412" s="1301"/>
      <c r="O412" s="1298"/>
      <c r="P412" s="1298"/>
      <c r="Q412" s="1298"/>
      <c r="R412" s="1298"/>
      <c r="S412" s="1298"/>
      <c r="T412" s="1323"/>
    </row>
    <row r="413" spans="1:20" s="1030" customFormat="1" ht="20.100000000000001" customHeight="1">
      <c r="A413" s="1459" t="s">
        <v>6546</v>
      </c>
      <c r="B413" s="1298" t="s">
        <v>6547</v>
      </c>
      <c r="C413" s="1298"/>
      <c r="D413" s="1298"/>
      <c r="E413" s="1298"/>
      <c r="F413" s="1298"/>
      <c r="G413" s="1298"/>
      <c r="H413" s="1298"/>
      <c r="I413" s="1298"/>
      <c r="J413" s="1298"/>
      <c r="K413" s="1298"/>
      <c r="L413" s="1298"/>
      <c r="M413" s="1318"/>
      <c r="N413" s="1301"/>
      <c r="O413" s="1298"/>
      <c r="P413" s="1298"/>
      <c r="Q413" s="1298"/>
      <c r="R413" s="1298"/>
      <c r="S413" s="1298"/>
      <c r="T413" s="1323"/>
    </row>
    <row r="414" spans="1:20" s="1030" customFormat="1" ht="20.100000000000001" customHeight="1">
      <c r="A414" s="1321">
        <v>1</v>
      </c>
      <c r="B414" s="1298" t="s">
        <v>6548</v>
      </c>
      <c r="C414" s="1298"/>
      <c r="D414" s="1298"/>
      <c r="E414" s="1298"/>
      <c r="F414" s="1298"/>
      <c r="G414" s="1298"/>
      <c r="H414" s="1298"/>
      <c r="I414" s="1298"/>
      <c r="J414" s="1298"/>
      <c r="K414" s="1298"/>
      <c r="L414" s="1298"/>
      <c r="M414" s="1318"/>
      <c r="N414" s="1301"/>
      <c r="O414" s="1298"/>
      <c r="P414" s="1298"/>
      <c r="Q414" s="1298"/>
      <c r="R414" s="1298"/>
      <c r="S414" s="1298"/>
      <c r="T414" s="1323"/>
    </row>
    <row r="415" spans="1:20" s="1292" customFormat="1" ht="20.100000000000001" customHeight="1">
      <c r="A415" s="1290"/>
      <c r="B415" s="1298" t="s">
        <v>2962</v>
      </c>
      <c r="C415" s="1298" t="s">
        <v>6549</v>
      </c>
      <c r="D415" s="1298" t="s">
        <v>2084</v>
      </c>
      <c r="E415" s="1298" t="s">
        <v>34</v>
      </c>
      <c r="F415" s="1298">
        <v>157.13999999999999</v>
      </c>
      <c r="G415" s="1298" t="s">
        <v>72</v>
      </c>
      <c r="H415" s="1298" t="s">
        <v>33</v>
      </c>
      <c r="I415" s="1298" t="s">
        <v>34</v>
      </c>
      <c r="J415" s="1298" t="s">
        <v>6171</v>
      </c>
      <c r="K415" s="1289" t="s">
        <v>52</v>
      </c>
      <c r="L415" s="1289">
        <v>903555</v>
      </c>
      <c r="M415" s="1318">
        <v>180711</v>
      </c>
      <c r="N415" s="1289" t="s">
        <v>6437</v>
      </c>
      <c r="O415" s="1298" t="s">
        <v>6438</v>
      </c>
      <c r="P415" s="1298" t="s">
        <v>6175</v>
      </c>
      <c r="Q415" s="1298">
        <v>13930162225</v>
      </c>
      <c r="R415" s="1298" t="s">
        <v>6439</v>
      </c>
      <c r="S415" s="1298" t="s">
        <v>6150</v>
      </c>
      <c r="T415" s="1297"/>
    </row>
    <row r="416" spans="1:20" s="1030" customFormat="1" ht="20.100000000000001" customHeight="1">
      <c r="A416" s="1321"/>
      <c r="B416" s="1298" t="s">
        <v>6550</v>
      </c>
      <c r="C416" s="1298" t="s">
        <v>6551</v>
      </c>
      <c r="D416" s="1298" t="s">
        <v>62</v>
      </c>
      <c r="E416" s="1298" t="s">
        <v>34</v>
      </c>
      <c r="F416" s="1298">
        <v>72</v>
      </c>
      <c r="G416" s="1298" t="s">
        <v>32</v>
      </c>
      <c r="H416" s="1298" t="s">
        <v>6390</v>
      </c>
      <c r="I416" s="1298" t="s">
        <v>34</v>
      </c>
      <c r="J416" s="1298" t="s">
        <v>34</v>
      </c>
      <c r="K416" s="1298" t="s">
        <v>34</v>
      </c>
      <c r="L416" s="1298" t="s">
        <v>34</v>
      </c>
      <c r="M416" s="1318">
        <v>332400</v>
      </c>
      <c r="N416" s="1301">
        <v>2016.2</v>
      </c>
      <c r="O416" s="1298" t="s">
        <v>6272</v>
      </c>
      <c r="P416" s="1298" t="s">
        <v>6273</v>
      </c>
      <c r="Q416" s="1298">
        <v>13832383939</v>
      </c>
      <c r="R416" s="1298" t="s">
        <v>6444</v>
      </c>
      <c r="S416" s="1298" t="s">
        <v>6150</v>
      </c>
      <c r="T416" s="1323"/>
    </row>
    <row r="417" spans="1:20" s="1030" customFormat="1" ht="20.100000000000001" customHeight="1">
      <c r="A417" s="1321"/>
      <c r="B417" s="1298" t="s">
        <v>2962</v>
      </c>
      <c r="C417" s="1460" t="s">
        <v>1141</v>
      </c>
      <c r="D417" s="1460" t="s">
        <v>62</v>
      </c>
      <c r="E417" s="1298" t="s">
        <v>34</v>
      </c>
      <c r="F417" s="1461">
        <v>94.89</v>
      </c>
      <c r="G417" s="1308" t="s">
        <v>32</v>
      </c>
      <c r="H417" s="1462" t="s">
        <v>33</v>
      </c>
      <c r="I417" s="1463" t="s">
        <v>34</v>
      </c>
      <c r="J417" s="1463" t="s">
        <v>6079</v>
      </c>
      <c r="K417" s="1463" t="s">
        <v>6311</v>
      </c>
      <c r="L417" s="1464">
        <v>636518.76</v>
      </c>
      <c r="M417" s="1318">
        <f>L417-50921.5*10</f>
        <v>127303.76000000001</v>
      </c>
      <c r="N417" s="1308">
        <v>2019.08</v>
      </c>
      <c r="O417" s="1308" t="s">
        <v>1766</v>
      </c>
      <c r="P417" s="1312" t="s">
        <v>6081</v>
      </c>
      <c r="Q417" s="1312">
        <v>15735090699</v>
      </c>
      <c r="R417" s="1308" t="s">
        <v>1766</v>
      </c>
      <c r="S417" s="1313" t="s">
        <v>6056</v>
      </c>
      <c r="T417" s="1323"/>
    </row>
    <row r="418" spans="1:20" s="1030" customFormat="1" ht="20.100000000000001" customHeight="1">
      <c r="A418" s="1321"/>
      <c r="B418" s="1298" t="s">
        <v>2962</v>
      </c>
      <c r="C418" s="1460" t="s">
        <v>1141</v>
      </c>
      <c r="D418" s="1460" t="s">
        <v>62</v>
      </c>
      <c r="E418" s="1298" t="s">
        <v>34</v>
      </c>
      <c r="F418" s="1461">
        <v>105.24</v>
      </c>
      <c r="G418" s="1308" t="s">
        <v>32</v>
      </c>
      <c r="H418" s="1462" t="s">
        <v>33</v>
      </c>
      <c r="I418" s="1463" t="s">
        <v>34</v>
      </c>
      <c r="J418" s="1463" t="s">
        <v>6079</v>
      </c>
      <c r="K418" s="1463" t="s">
        <v>6311</v>
      </c>
      <c r="L418" s="1464">
        <v>702220.88</v>
      </c>
      <c r="M418" s="1318">
        <f>L418-56177.67*10</f>
        <v>140444.18000000005</v>
      </c>
      <c r="N418" s="1308">
        <v>2019.12</v>
      </c>
      <c r="O418" s="1308" t="s">
        <v>1766</v>
      </c>
      <c r="P418" s="1312" t="s">
        <v>6081</v>
      </c>
      <c r="Q418" s="1312">
        <v>15735090699</v>
      </c>
      <c r="R418" s="1308" t="s">
        <v>1766</v>
      </c>
      <c r="S418" s="1313" t="s">
        <v>6056</v>
      </c>
      <c r="T418" s="1323"/>
    </row>
    <row r="419" spans="1:20" s="1030" customFormat="1" ht="20.100000000000001" customHeight="1">
      <c r="A419" s="1321"/>
      <c r="B419" s="1460" t="s">
        <v>2962</v>
      </c>
      <c r="C419" s="1460" t="s">
        <v>1141</v>
      </c>
      <c r="D419" s="1460" t="s">
        <v>62</v>
      </c>
      <c r="E419" s="1298" t="s">
        <v>34</v>
      </c>
      <c r="F419" s="1461">
        <v>110</v>
      </c>
      <c r="G419" s="1308" t="s">
        <v>32</v>
      </c>
      <c r="H419" s="1462" t="s">
        <v>33</v>
      </c>
      <c r="I419" s="1463" t="s">
        <v>6398</v>
      </c>
      <c r="J419" s="1463" t="s">
        <v>6079</v>
      </c>
      <c r="K419" s="1463" t="s">
        <v>6311</v>
      </c>
      <c r="L419" s="1464">
        <v>733982.3</v>
      </c>
      <c r="M419" s="1318">
        <f>L419-58718.58*10</f>
        <v>146796.5</v>
      </c>
      <c r="N419" s="1308">
        <v>2020.01</v>
      </c>
      <c r="O419" s="1308" t="s">
        <v>1766</v>
      </c>
      <c r="P419" s="1312" t="s">
        <v>6081</v>
      </c>
      <c r="Q419" s="1312">
        <v>15735090699</v>
      </c>
      <c r="R419" s="1308" t="s">
        <v>1766</v>
      </c>
      <c r="S419" s="1313" t="s">
        <v>6056</v>
      </c>
      <c r="T419" s="1323"/>
    </row>
    <row r="420" spans="1:20" s="1030" customFormat="1" ht="20.100000000000001" customHeight="1">
      <c r="A420" s="1321"/>
      <c r="B420" s="1460" t="s">
        <v>2962</v>
      </c>
      <c r="C420" s="1460" t="s">
        <v>1141</v>
      </c>
      <c r="D420" s="1460" t="s">
        <v>62</v>
      </c>
      <c r="E420" s="1298" t="s">
        <v>34</v>
      </c>
      <c r="F420" s="1461">
        <v>93.56</v>
      </c>
      <c r="G420" s="1308" t="s">
        <v>32</v>
      </c>
      <c r="H420" s="1462" t="s">
        <v>33</v>
      </c>
      <c r="I420" s="1463" t="s">
        <v>34</v>
      </c>
      <c r="J420" s="1463" t="s">
        <v>6079</v>
      </c>
      <c r="K420" s="1463" t="s">
        <v>6311</v>
      </c>
      <c r="L420" s="1464">
        <v>624307.26</v>
      </c>
      <c r="M420" s="1318">
        <f>L420-49944.58*10</f>
        <v>124861.45999999996</v>
      </c>
      <c r="N420" s="1308">
        <v>2020.06</v>
      </c>
      <c r="O420" s="1308" t="s">
        <v>1766</v>
      </c>
      <c r="P420" s="1312" t="s">
        <v>6081</v>
      </c>
      <c r="Q420" s="1312">
        <v>15735090699</v>
      </c>
      <c r="R420" s="1308" t="s">
        <v>1766</v>
      </c>
      <c r="S420" s="1313" t="s">
        <v>6056</v>
      </c>
      <c r="T420" s="1323"/>
    </row>
    <row r="421" spans="1:20" s="1030" customFormat="1" ht="20.100000000000001" customHeight="1">
      <c r="A421" s="1321"/>
      <c r="B421" s="1460" t="s">
        <v>6552</v>
      </c>
      <c r="C421" s="1460"/>
      <c r="D421" s="1460" t="s">
        <v>62</v>
      </c>
      <c r="E421" s="1298" t="s">
        <v>34</v>
      </c>
      <c r="F421" s="1461">
        <v>5.77</v>
      </c>
      <c r="G421" s="1308" t="s">
        <v>32</v>
      </c>
      <c r="H421" s="1309" t="s">
        <v>33</v>
      </c>
      <c r="I421" s="1310" t="s">
        <v>34</v>
      </c>
      <c r="J421" s="1310" t="s">
        <v>6079</v>
      </c>
      <c r="K421" s="1310" t="s">
        <v>6311</v>
      </c>
      <c r="L421" s="1464">
        <v>34620</v>
      </c>
      <c r="M421" s="1318">
        <f>L421-5539.2*5</f>
        <v>6924</v>
      </c>
      <c r="N421" s="1465">
        <v>2020.1</v>
      </c>
      <c r="O421" s="1308" t="s">
        <v>1766</v>
      </c>
      <c r="P421" s="1312" t="s">
        <v>6081</v>
      </c>
      <c r="Q421" s="1312">
        <v>15735090699</v>
      </c>
      <c r="R421" s="1308" t="s">
        <v>1766</v>
      </c>
      <c r="S421" s="1308" t="s">
        <v>6056</v>
      </c>
      <c r="T421" s="1323"/>
    </row>
    <row r="422" spans="1:20" s="1030" customFormat="1" ht="20.100000000000001" customHeight="1">
      <c r="A422" s="1321"/>
      <c r="B422" s="1460" t="s">
        <v>2962</v>
      </c>
      <c r="C422" s="1460" t="s">
        <v>4144</v>
      </c>
      <c r="D422" s="1460" t="s">
        <v>62</v>
      </c>
      <c r="E422" s="1298" t="s">
        <v>34</v>
      </c>
      <c r="F422" s="1461">
        <v>1.25</v>
      </c>
      <c r="G422" s="1308" t="s">
        <v>32</v>
      </c>
      <c r="H422" s="1309" t="s">
        <v>33</v>
      </c>
      <c r="I422" s="1310" t="s">
        <v>34</v>
      </c>
      <c r="J422" s="1310" t="s">
        <v>6079</v>
      </c>
      <c r="K422" s="1310" t="s">
        <v>6311</v>
      </c>
      <c r="L422" s="1466">
        <v>8340.7099999999991</v>
      </c>
      <c r="M422" s="1318">
        <v>1668.1420000000001</v>
      </c>
      <c r="N422" s="1465">
        <v>2020.12</v>
      </c>
      <c r="O422" s="1308" t="s">
        <v>1766</v>
      </c>
      <c r="P422" s="1312" t="s">
        <v>6081</v>
      </c>
      <c r="Q422" s="1312">
        <v>15735090699</v>
      </c>
      <c r="R422" s="1308" t="s">
        <v>1766</v>
      </c>
      <c r="S422" s="1308" t="s">
        <v>6056</v>
      </c>
      <c r="T422" s="1323"/>
    </row>
    <row r="423" spans="1:20" s="1030" customFormat="1" ht="20.100000000000001" customHeight="1">
      <c r="A423" s="1321"/>
      <c r="B423" s="1460" t="s">
        <v>2962</v>
      </c>
      <c r="C423" s="1460" t="s">
        <v>4144</v>
      </c>
      <c r="D423" s="1460" t="s">
        <v>62</v>
      </c>
      <c r="E423" s="1298" t="s">
        <v>34</v>
      </c>
      <c r="F423" s="1461">
        <v>0.30007499999999998</v>
      </c>
      <c r="G423" s="1308" t="s">
        <v>32</v>
      </c>
      <c r="H423" s="1309" t="s">
        <v>33</v>
      </c>
      <c r="I423" s="1310" t="s">
        <v>34</v>
      </c>
      <c r="J423" s="1310" t="s">
        <v>6079</v>
      </c>
      <c r="K423" s="1310" t="s">
        <v>6311</v>
      </c>
      <c r="L423" s="1466">
        <v>1769.91</v>
      </c>
      <c r="M423" s="1318">
        <f>L423*0.2</f>
        <v>353.98200000000003</v>
      </c>
      <c r="N423" s="1465">
        <v>2021.03</v>
      </c>
      <c r="O423" s="1308" t="s">
        <v>1766</v>
      </c>
      <c r="P423" s="1312" t="s">
        <v>6081</v>
      </c>
      <c r="Q423" s="1312">
        <v>15735090699</v>
      </c>
      <c r="R423" s="1308" t="s">
        <v>1766</v>
      </c>
      <c r="S423" s="1308" t="s">
        <v>6056</v>
      </c>
      <c r="T423" s="1323"/>
    </row>
    <row r="424" spans="1:20" s="1030" customFormat="1" ht="20.100000000000001" customHeight="1">
      <c r="A424" s="1321"/>
      <c r="B424" s="1467" t="s">
        <v>2937</v>
      </c>
      <c r="C424" s="1460" t="s">
        <v>1141</v>
      </c>
      <c r="D424" s="1460" t="s">
        <v>79</v>
      </c>
      <c r="E424" s="1460">
        <v>1</v>
      </c>
      <c r="F424" s="1461" t="s">
        <v>34</v>
      </c>
      <c r="G424" s="1308" t="s">
        <v>32</v>
      </c>
      <c r="H424" s="1309" t="s">
        <v>33</v>
      </c>
      <c r="I424" s="1310" t="s">
        <v>34</v>
      </c>
      <c r="J424" s="1310" t="s">
        <v>6079</v>
      </c>
      <c r="K424" s="1310" t="s">
        <v>6311</v>
      </c>
      <c r="L424" s="1464">
        <v>228318.58</v>
      </c>
      <c r="M424" s="1318">
        <f>L424-36530.9729999999*5</f>
        <v>45663.715000000462</v>
      </c>
      <c r="N424" s="1465">
        <v>2020.1</v>
      </c>
      <c r="O424" s="1308" t="s">
        <v>1766</v>
      </c>
      <c r="P424" s="1312" t="s">
        <v>6081</v>
      </c>
      <c r="Q424" s="1312">
        <v>15735090699</v>
      </c>
      <c r="R424" s="1308" t="s">
        <v>1766</v>
      </c>
      <c r="S424" s="1308" t="s">
        <v>6056</v>
      </c>
      <c r="T424" s="1323"/>
    </row>
    <row r="425" spans="1:20" s="1030" customFormat="1" ht="20.100000000000001" customHeight="1">
      <c r="A425" s="1321"/>
      <c r="B425" s="1413" t="s">
        <v>2928</v>
      </c>
      <c r="C425" s="1335" t="s">
        <v>6553</v>
      </c>
      <c r="D425" s="1335" t="s">
        <v>1477</v>
      </c>
      <c r="E425" s="1421">
        <v>1</v>
      </c>
      <c r="F425" s="1421">
        <v>1</v>
      </c>
      <c r="G425" s="1420" t="s">
        <v>32</v>
      </c>
      <c r="H425" s="1420" t="s">
        <v>6375</v>
      </c>
      <c r="I425" s="1310" t="s">
        <v>34</v>
      </c>
      <c r="J425" s="1310" t="s">
        <v>34</v>
      </c>
      <c r="K425" s="1420" t="s">
        <v>6378</v>
      </c>
      <c r="L425" s="1414">
        <v>1148495.57</v>
      </c>
      <c r="M425" s="1318">
        <v>229699.114</v>
      </c>
      <c r="N425" s="1416" t="s">
        <v>3686</v>
      </c>
      <c r="O425" s="1291" t="s">
        <v>65</v>
      </c>
      <c r="P425" s="1291" t="s">
        <v>6076</v>
      </c>
      <c r="Q425" s="1291">
        <v>17732305201</v>
      </c>
      <c r="R425" s="1289" t="s">
        <v>6077</v>
      </c>
      <c r="S425" s="1291" t="s">
        <v>6056</v>
      </c>
      <c r="T425" s="1323"/>
    </row>
    <row r="426" spans="1:20" s="1030" customFormat="1" ht="20.100000000000001" customHeight="1">
      <c r="A426" s="1321"/>
      <c r="B426" s="1413" t="s">
        <v>6554</v>
      </c>
      <c r="C426" s="1335" t="s">
        <v>5974</v>
      </c>
      <c r="D426" s="1335" t="s">
        <v>1477</v>
      </c>
      <c r="E426" s="1421">
        <v>1</v>
      </c>
      <c r="F426" s="1421">
        <v>1</v>
      </c>
      <c r="G426" s="1420" t="s">
        <v>32</v>
      </c>
      <c r="H426" s="1420" t="s">
        <v>6375</v>
      </c>
      <c r="I426" s="1310" t="s">
        <v>34</v>
      </c>
      <c r="J426" s="1310" t="s">
        <v>34</v>
      </c>
      <c r="K426" s="1420" t="s">
        <v>6378</v>
      </c>
      <c r="L426" s="1414">
        <v>504424.78</v>
      </c>
      <c r="M426" s="1318">
        <v>100884.95600000001</v>
      </c>
      <c r="N426" s="1416" t="s">
        <v>3686</v>
      </c>
      <c r="O426" s="1291" t="s">
        <v>65</v>
      </c>
      <c r="P426" s="1291" t="s">
        <v>6076</v>
      </c>
      <c r="Q426" s="1291">
        <v>17732305201</v>
      </c>
      <c r="R426" s="1289" t="s">
        <v>6077</v>
      </c>
      <c r="S426" s="1291" t="s">
        <v>6056</v>
      </c>
      <c r="T426" s="1323"/>
    </row>
    <row r="427" spans="1:20" s="1030" customFormat="1" ht="20.100000000000001" customHeight="1">
      <c r="A427" s="1321"/>
      <c r="B427" s="1420" t="s">
        <v>6555</v>
      </c>
      <c r="C427" s="1335"/>
      <c r="D427" s="1335" t="s">
        <v>1477</v>
      </c>
      <c r="E427" s="1421">
        <v>1</v>
      </c>
      <c r="F427" s="1421">
        <v>1</v>
      </c>
      <c r="G427" s="1420" t="s">
        <v>32</v>
      </c>
      <c r="H427" s="1420" t="s">
        <v>6375</v>
      </c>
      <c r="I427" s="1310" t="s">
        <v>34</v>
      </c>
      <c r="J427" s="1310" t="s">
        <v>34</v>
      </c>
      <c r="K427" s="1310" t="s">
        <v>6556</v>
      </c>
      <c r="L427" s="1414">
        <v>379600</v>
      </c>
      <c r="M427" s="1311">
        <v>18980</v>
      </c>
      <c r="N427" s="1416" t="s">
        <v>1954</v>
      </c>
      <c r="O427" s="1291" t="s">
        <v>65</v>
      </c>
      <c r="P427" s="1291" t="s">
        <v>6076</v>
      </c>
      <c r="Q427" s="1291">
        <v>17732305202</v>
      </c>
      <c r="R427" s="1289" t="s">
        <v>6077</v>
      </c>
      <c r="S427" s="1291" t="s">
        <v>6056</v>
      </c>
      <c r="T427" s="1323"/>
    </row>
    <row r="428" spans="1:20" s="1030" customFormat="1" ht="20.100000000000001" customHeight="1">
      <c r="A428" s="1321"/>
      <c r="B428" s="1420" t="s">
        <v>6557</v>
      </c>
      <c r="C428" s="1335"/>
      <c r="D428" s="1335" t="s">
        <v>1477</v>
      </c>
      <c r="E428" s="1421">
        <v>1</v>
      </c>
      <c r="F428" s="1421">
        <v>1</v>
      </c>
      <c r="G428" s="1420" t="s">
        <v>32</v>
      </c>
      <c r="H428" s="1420" t="s">
        <v>6375</v>
      </c>
      <c r="I428" s="1310" t="s">
        <v>34</v>
      </c>
      <c r="J428" s="1310" t="s">
        <v>34</v>
      </c>
      <c r="K428" s="1310" t="s">
        <v>6556</v>
      </c>
      <c r="L428" s="1414">
        <v>38000</v>
      </c>
      <c r="M428" s="1311">
        <v>1900</v>
      </c>
      <c r="N428" s="1416" t="s">
        <v>1954</v>
      </c>
      <c r="O428" s="1291" t="s">
        <v>65</v>
      </c>
      <c r="P428" s="1291" t="s">
        <v>6076</v>
      </c>
      <c r="Q428" s="1291">
        <v>17732305202</v>
      </c>
      <c r="R428" s="1289" t="s">
        <v>6077</v>
      </c>
      <c r="S428" s="1291" t="s">
        <v>6056</v>
      </c>
      <c r="T428" s="1323"/>
    </row>
    <row r="429" spans="1:20" s="1030" customFormat="1" ht="20.100000000000001" customHeight="1">
      <c r="A429" s="1321"/>
      <c r="B429" s="1420" t="s">
        <v>6558</v>
      </c>
      <c r="C429" s="1335" t="s">
        <v>6559</v>
      </c>
      <c r="D429" s="1335" t="s">
        <v>1477</v>
      </c>
      <c r="E429" s="1421">
        <v>1</v>
      </c>
      <c r="F429" s="1421">
        <v>1</v>
      </c>
      <c r="G429" s="1420" t="s">
        <v>32</v>
      </c>
      <c r="H429" s="1420" t="s">
        <v>6375</v>
      </c>
      <c r="I429" s="1310" t="s">
        <v>34</v>
      </c>
      <c r="J429" s="1310" t="s">
        <v>34</v>
      </c>
      <c r="K429" s="1310" t="s">
        <v>6556</v>
      </c>
      <c r="L429" s="1414">
        <v>35000</v>
      </c>
      <c r="M429" s="1311">
        <v>1750</v>
      </c>
      <c r="N429" s="1416" t="s">
        <v>1954</v>
      </c>
      <c r="O429" s="1291" t="s">
        <v>65</v>
      </c>
      <c r="P429" s="1291" t="s">
        <v>6076</v>
      </c>
      <c r="Q429" s="1291">
        <v>17732305202</v>
      </c>
      <c r="R429" s="1289" t="s">
        <v>6077</v>
      </c>
      <c r="S429" s="1291" t="s">
        <v>6056</v>
      </c>
      <c r="T429" s="1323"/>
    </row>
    <row r="430" spans="1:20" s="1030" customFormat="1" ht="20.100000000000001" customHeight="1">
      <c r="A430" s="1321"/>
      <c r="B430" s="1420" t="s">
        <v>2928</v>
      </c>
      <c r="C430" s="1335"/>
      <c r="D430" s="1335" t="s">
        <v>1477</v>
      </c>
      <c r="E430" s="1421">
        <v>1</v>
      </c>
      <c r="F430" s="1421">
        <v>1</v>
      </c>
      <c r="G430" s="1420" t="s">
        <v>32</v>
      </c>
      <c r="H430" s="1420" t="s">
        <v>6375</v>
      </c>
      <c r="I430" s="1298" t="s">
        <v>34</v>
      </c>
      <c r="J430" s="1298" t="s">
        <v>34</v>
      </c>
      <c r="K430" s="1333" t="s">
        <v>6556</v>
      </c>
      <c r="L430" s="1414">
        <v>730000</v>
      </c>
      <c r="M430" s="1311">
        <v>36500</v>
      </c>
      <c r="N430" s="1416" t="s">
        <v>1954</v>
      </c>
      <c r="O430" s="1291" t="s">
        <v>65</v>
      </c>
      <c r="P430" s="1291" t="s">
        <v>6076</v>
      </c>
      <c r="Q430" s="1291">
        <v>17732305202</v>
      </c>
      <c r="R430" s="1289" t="s">
        <v>6077</v>
      </c>
      <c r="S430" s="1291" t="s">
        <v>6056</v>
      </c>
      <c r="T430" s="1323"/>
    </row>
    <row r="431" spans="1:20" s="1030" customFormat="1" ht="20.100000000000001" customHeight="1">
      <c r="A431" s="1321"/>
      <c r="B431" s="1420" t="s">
        <v>6559</v>
      </c>
      <c r="C431" s="1335"/>
      <c r="D431" s="1335" t="s">
        <v>1477</v>
      </c>
      <c r="E431" s="1421">
        <v>1</v>
      </c>
      <c r="F431" s="1421">
        <v>1</v>
      </c>
      <c r="G431" s="1420" t="s">
        <v>32</v>
      </c>
      <c r="H431" s="1420" t="s">
        <v>6375</v>
      </c>
      <c r="I431" s="1298" t="s">
        <v>34</v>
      </c>
      <c r="J431" s="1298" t="s">
        <v>34</v>
      </c>
      <c r="K431" s="1333" t="s">
        <v>6556</v>
      </c>
      <c r="L431" s="1414">
        <v>415304</v>
      </c>
      <c r="M431" s="1311">
        <v>20765.2</v>
      </c>
      <c r="N431" s="1416" t="s">
        <v>1954</v>
      </c>
      <c r="O431" s="1291" t="s">
        <v>65</v>
      </c>
      <c r="P431" s="1291" t="s">
        <v>6076</v>
      </c>
      <c r="Q431" s="1291">
        <v>17732305202</v>
      </c>
      <c r="R431" s="1289" t="s">
        <v>6077</v>
      </c>
      <c r="S431" s="1291" t="s">
        <v>6056</v>
      </c>
      <c r="T431" s="1323"/>
    </row>
    <row r="432" spans="1:20" s="1030" customFormat="1" ht="20.100000000000001" customHeight="1">
      <c r="A432" s="1321"/>
      <c r="B432" s="1420" t="s">
        <v>6560</v>
      </c>
      <c r="C432" s="1335"/>
      <c r="D432" s="1335" t="s">
        <v>1477</v>
      </c>
      <c r="E432" s="1421">
        <v>1</v>
      </c>
      <c r="F432" s="1421">
        <v>1</v>
      </c>
      <c r="G432" s="1420" t="s">
        <v>32</v>
      </c>
      <c r="H432" s="1420" t="s">
        <v>6375</v>
      </c>
      <c r="I432" s="1298" t="s">
        <v>34</v>
      </c>
      <c r="J432" s="1298" t="s">
        <v>34</v>
      </c>
      <c r="K432" s="1333" t="s">
        <v>6561</v>
      </c>
      <c r="L432" s="1414">
        <v>47000</v>
      </c>
      <c r="M432" s="1311">
        <v>2350</v>
      </c>
      <c r="N432" s="1416" t="s">
        <v>3687</v>
      </c>
      <c r="O432" s="1291" t="s">
        <v>65</v>
      </c>
      <c r="P432" s="1291" t="s">
        <v>6076</v>
      </c>
      <c r="Q432" s="1291">
        <v>17732305202</v>
      </c>
      <c r="R432" s="1289" t="s">
        <v>6077</v>
      </c>
      <c r="S432" s="1291" t="s">
        <v>6056</v>
      </c>
      <c r="T432" s="1323"/>
    </row>
    <row r="433" spans="1:20" s="1030" customFormat="1" ht="20.100000000000001" customHeight="1">
      <c r="A433" s="1321"/>
      <c r="B433" s="1420" t="s">
        <v>6562</v>
      </c>
      <c r="C433" s="1335"/>
      <c r="D433" s="1335" t="s">
        <v>1477</v>
      </c>
      <c r="E433" s="1421">
        <v>1</v>
      </c>
      <c r="F433" s="1421">
        <v>1</v>
      </c>
      <c r="G433" s="1420" t="s">
        <v>32</v>
      </c>
      <c r="H433" s="1420" t="s">
        <v>6375</v>
      </c>
      <c r="I433" s="1298" t="s">
        <v>34</v>
      </c>
      <c r="J433" s="1298" t="s">
        <v>34</v>
      </c>
      <c r="K433" s="1333" t="s">
        <v>6561</v>
      </c>
      <c r="L433" s="1414">
        <v>96000</v>
      </c>
      <c r="M433" s="1311">
        <v>4800</v>
      </c>
      <c r="N433" s="1416" t="s">
        <v>3687</v>
      </c>
      <c r="O433" s="1291" t="s">
        <v>65</v>
      </c>
      <c r="P433" s="1291" t="s">
        <v>6076</v>
      </c>
      <c r="Q433" s="1291">
        <v>17732305202</v>
      </c>
      <c r="R433" s="1289" t="s">
        <v>6077</v>
      </c>
      <c r="S433" s="1291" t="s">
        <v>6056</v>
      </c>
      <c r="T433" s="1323"/>
    </row>
    <row r="434" spans="1:20" s="1030" customFormat="1" ht="20.100000000000001" customHeight="1">
      <c r="A434" s="1321"/>
      <c r="B434" s="1420" t="s">
        <v>6559</v>
      </c>
      <c r="C434" s="1335"/>
      <c r="D434" s="1335" t="s">
        <v>1477</v>
      </c>
      <c r="E434" s="1421">
        <v>1</v>
      </c>
      <c r="F434" s="1421">
        <v>1</v>
      </c>
      <c r="G434" s="1420" t="s">
        <v>32</v>
      </c>
      <c r="H434" s="1420" t="s">
        <v>6375</v>
      </c>
      <c r="I434" s="1298" t="s">
        <v>34</v>
      </c>
      <c r="J434" s="1298" t="s">
        <v>34</v>
      </c>
      <c r="K434" s="1333" t="s">
        <v>6561</v>
      </c>
      <c r="L434" s="1414">
        <v>143000</v>
      </c>
      <c r="M434" s="1311">
        <v>7150</v>
      </c>
      <c r="N434" s="1416" t="s">
        <v>3687</v>
      </c>
      <c r="O434" s="1291" t="s">
        <v>65</v>
      </c>
      <c r="P434" s="1291" t="s">
        <v>6076</v>
      </c>
      <c r="Q434" s="1291">
        <v>17732305202</v>
      </c>
      <c r="R434" s="1289" t="s">
        <v>6077</v>
      </c>
      <c r="S434" s="1291" t="s">
        <v>6056</v>
      </c>
      <c r="T434" s="1323"/>
    </row>
    <row r="435" spans="1:20" s="1030" customFormat="1" ht="20.100000000000001" customHeight="1">
      <c r="A435" s="1321"/>
      <c r="B435" s="1420" t="s">
        <v>6559</v>
      </c>
      <c r="C435" s="1335"/>
      <c r="D435" s="1335" t="s">
        <v>1477</v>
      </c>
      <c r="E435" s="1421">
        <v>1</v>
      </c>
      <c r="F435" s="1421">
        <v>1</v>
      </c>
      <c r="G435" s="1420" t="s">
        <v>32</v>
      </c>
      <c r="H435" s="1420" t="s">
        <v>6375</v>
      </c>
      <c r="I435" s="1298" t="s">
        <v>34</v>
      </c>
      <c r="J435" s="1298" t="s">
        <v>34</v>
      </c>
      <c r="K435" s="1333" t="s">
        <v>6561</v>
      </c>
      <c r="L435" s="1414">
        <v>84000</v>
      </c>
      <c r="M435" s="1311">
        <v>4200</v>
      </c>
      <c r="N435" s="1416" t="s">
        <v>3687</v>
      </c>
      <c r="O435" s="1291" t="s">
        <v>65</v>
      </c>
      <c r="P435" s="1291" t="s">
        <v>6076</v>
      </c>
      <c r="Q435" s="1291">
        <v>17732305202</v>
      </c>
      <c r="R435" s="1289" t="s">
        <v>6077</v>
      </c>
      <c r="S435" s="1291" t="s">
        <v>6056</v>
      </c>
      <c r="T435" s="1323"/>
    </row>
    <row r="436" spans="1:20" s="1030" customFormat="1" ht="20.100000000000001" customHeight="1">
      <c r="A436" s="1321"/>
      <c r="B436" s="1420" t="s">
        <v>6555</v>
      </c>
      <c r="C436" s="1335"/>
      <c r="D436" s="1335" t="s">
        <v>1477</v>
      </c>
      <c r="E436" s="1421">
        <v>2</v>
      </c>
      <c r="F436" s="1421">
        <v>2</v>
      </c>
      <c r="G436" s="1420" t="s">
        <v>32</v>
      </c>
      <c r="H436" s="1420" t="s">
        <v>6375</v>
      </c>
      <c r="I436" s="1298" t="s">
        <v>34</v>
      </c>
      <c r="J436" s="1298" t="s">
        <v>34</v>
      </c>
      <c r="K436" s="1419" t="s">
        <v>6563</v>
      </c>
      <c r="L436" s="1414">
        <v>759200</v>
      </c>
      <c r="M436" s="1311">
        <v>37960</v>
      </c>
      <c r="N436" s="1416" t="s">
        <v>3140</v>
      </c>
      <c r="O436" s="1291" t="s">
        <v>65</v>
      </c>
      <c r="P436" s="1291" t="s">
        <v>6076</v>
      </c>
      <c r="Q436" s="1291">
        <v>17732305202</v>
      </c>
      <c r="R436" s="1289" t="s">
        <v>6077</v>
      </c>
      <c r="S436" s="1291" t="s">
        <v>6056</v>
      </c>
      <c r="T436" s="1323"/>
    </row>
    <row r="437" spans="1:20" s="1030" customFormat="1" ht="20.100000000000001" customHeight="1">
      <c r="A437" s="1321"/>
      <c r="B437" s="1420" t="s">
        <v>2928</v>
      </c>
      <c r="C437" s="1335"/>
      <c r="D437" s="1335" t="s">
        <v>1477</v>
      </c>
      <c r="E437" s="1421">
        <v>1</v>
      </c>
      <c r="F437" s="1421">
        <v>1</v>
      </c>
      <c r="G437" s="1420" t="s">
        <v>32</v>
      </c>
      <c r="H437" s="1420" t="s">
        <v>6375</v>
      </c>
      <c r="I437" s="1298" t="s">
        <v>34</v>
      </c>
      <c r="J437" s="1298" t="s">
        <v>34</v>
      </c>
      <c r="K437" s="1419" t="s">
        <v>6563</v>
      </c>
      <c r="L437" s="1414">
        <v>730000</v>
      </c>
      <c r="M437" s="1311">
        <v>36500</v>
      </c>
      <c r="N437" s="1416" t="s">
        <v>3140</v>
      </c>
      <c r="O437" s="1291" t="s">
        <v>65</v>
      </c>
      <c r="P437" s="1291" t="s">
        <v>6076</v>
      </c>
      <c r="Q437" s="1291">
        <v>17732305202</v>
      </c>
      <c r="R437" s="1289" t="s">
        <v>6077</v>
      </c>
      <c r="S437" s="1291" t="s">
        <v>6056</v>
      </c>
      <c r="T437" s="1323"/>
    </row>
    <row r="438" spans="1:20" s="1030" customFormat="1" ht="20.100000000000001" customHeight="1">
      <c r="A438" s="1321"/>
      <c r="B438" s="1420" t="s">
        <v>6559</v>
      </c>
      <c r="C438" s="1335"/>
      <c r="D438" s="1335" t="s">
        <v>1477</v>
      </c>
      <c r="E438" s="1421">
        <v>2</v>
      </c>
      <c r="F438" s="1421">
        <v>2</v>
      </c>
      <c r="G438" s="1420" t="s">
        <v>32</v>
      </c>
      <c r="H438" s="1420" t="s">
        <v>6375</v>
      </c>
      <c r="I438" s="1298" t="s">
        <v>34</v>
      </c>
      <c r="J438" s="1298" t="s">
        <v>34</v>
      </c>
      <c r="K438" s="1419" t="s">
        <v>6563</v>
      </c>
      <c r="L438" s="1414">
        <v>168000</v>
      </c>
      <c r="M438" s="1311">
        <v>8400</v>
      </c>
      <c r="N438" s="1416" t="s">
        <v>3140</v>
      </c>
      <c r="O438" s="1291" t="s">
        <v>65</v>
      </c>
      <c r="P438" s="1291" t="s">
        <v>6076</v>
      </c>
      <c r="Q438" s="1291">
        <v>17732305202</v>
      </c>
      <c r="R438" s="1289" t="s">
        <v>6077</v>
      </c>
      <c r="S438" s="1291" t="s">
        <v>6056</v>
      </c>
      <c r="T438" s="1323"/>
    </row>
    <row r="439" spans="1:20" s="1030" customFormat="1" ht="20.100000000000001" customHeight="1">
      <c r="A439" s="1321"/>
      <c r="B439" s="1420" t="s">
        <v>6559</v>
      </c>
      <c r="C439" s="1335"/>
      <c r="D439" s="1335" t="s">
        <v>1477</v>
      </c>
      <c r="E439" s="1421">
        <v>1</v>
      </c>
      <c r="F439" s="1421">
        <v>1</v>
      </c>
      <c r="G439" s="1420" t="s">
        <v>32</v>
      </c>
      <c r="H439" s="1420" t="s">
        <v>6375</v>
      </c>
      <c r="I439" s="1298" t="s">
        <v>34</v>
      </c>
      <c r="J439" s="1298" t="s">
        <v>34</v>
      </c>
      <c r="K439" s="1419" t="s">
        <v>6564</v>
      </c>
      <c r="L439" s="1414">
        <v>730000</v>
      </c>
      <c r="M439" s="1311">
        <v>36500</v>
      </c>
      <c r="N439" s="1416" t="s">
        <v>3140</v>
      </c>
      <c r="O439" s="1291" t="s">
        <v>65</v>
      </c>
      <c r="P439" s="1291" t="s">
        <v>6076</v>
      </c>
      <c r="Q439" s="1291">
        <v>17732305202</v>
      </c>
      <c r="R439" s="1289" t="s">
        <v>6077</v>
      </c>
      <c r="S439" s="1291" t="s">
        <v>6056</v>
      </c>
      <c r="T439" s="1323"/>
    </row>
    <row r="440" spans="1:20" s="1030" customFormat="1" ht="20.100000000000001" customHeight="1">
      <c r="A440" s="1321"/>
      <c r="B440" s="1420" t="s">
        <v>2928</v>
      </c>
      <c r="C440" s="1335"/>
      <c r="D440" s="1335" t="s">
        <v>1477</v>
      </c>
      <c r="E440" s="1421">
        <v>1</v>
      </c>
      <c r="F440" s="1421">
        <v>1</v>
      </c>
      <c r="G440" s="1420" t="s">
        <v>32</v>
      </c>
      <c r="H440" s="1420" t="s">
        <v>6375</v>
      </c>
      <c r="I440" s="1298" t="s">
        <v>34</v>
      </c>
      <c r="J440" s="1298" t="s">
        <v>34</v>
      </c>
      <c r="K440" s="1419" t="s">
        <v>6564</v>
      </c>
      <c r="L440" s="1414">
        <v>84000</v>
      </c>
      <c r="M440" s="1311">
        <v>4200</v>
      </c>
      <c r="N440" s="1416" t="s">
        <v>3140</v>
      </c>
      <c r="O440" s="1291" t="s">
        <v>65</v>
      </c>
      <c r="P440" s="1291" t="s">
        <v>6076</v>
      </c>
      <c r="Q440" s="1291">
        <v>17732305202</v>
      </c>
      <c r="R440" s="1289" t="s">
        <v>6077</v>
      </c>
      <c r="S440" s="1291" t="s">
        <v>6056</v>
      </c>
      <c r="T440" s="1323"/>
    </row>
    <row r="441" spans="1:20" s="1030" customFormat="1" ht="20.100000000000001" customHeight="1">
      <c r="A441" s="1321"/>
      <c r="B441" s="1420" t="s">
        <v>6565</v>
      </c>
      <c r="C441" s="1335" t="s">
        <v>5960</v>
      </c>
      <c r="D441" s="1335" t="s">
        <v>1477</v>
      </c>
      <c r="E441" s="1421">
        <v>1</v>
      </c>
      <c r="F441" s="1421">
        <v>1</v>
      </c>
      <c r="G441" s="1420" t="s">
        <v>32</v>
      </c>
      <c r="H441" s="1420" t="s">
        <v>6375</v>
      </c>
      <c r="I441" s="1298" t="s">
        <v>34</v>
      </c>
      <c r="J441" s="1298" t="s">
        <v>34</v>
      </c>
      <c r="K441" s="1419" t="s">
        <v>6378</v>
      </c>
      <c r="L441" s="1414">
        <v>373893.79</v>
      </c>
      <c r="M441" s="1311">
        <v>18694.689999999999</v>
      </c>
      <c r="N441" s="1416" t="s">
        <v>3140</v>
      </c>
      <c r="O441" s="1291" t="s">
        <v>65</v>
      </c>
      <c r="P441" s="1291" t="s">
        <v>6076</v>
      </c>
      <c r="Q441" s="1291">
        <v>17732305202</v>
      </c>
      <c r="R441" s="1289" t="s">
        <v>6077</v>
      </c>
      <c r="S441" s="1291" t="s">
        <v>6056</v>
      </c>
      <c r="T441" s="1323"/>
    </row>
    <row r="442" spans="1:20" s="1030" customFormat="1" ht="20.100000000000001" customHeight="1">
      <c r="A442" s="1321"/>
      <c r="B442" s="1420" t="s">
        <v>2928</v>
      </c>
      <c r="C442" s="1335"/>
      <c r="D442" s="1335" t="s">
        <v>1477</v>
      </c>
      <c r="E442" s="1421">
        <v>1</v>
      </c>
      <c r="F442" s="1421">
        <v>1</v>
      </c>
      <c r="G442" s="1420" t="s">
        <v>32</v>
      </c>
      <c r="H442" s="1420" t="s">
        <v>6375</v>
      </c>
      <c r="I442" s="1298" t="s">
        <v>34</v>
      </c>
      <c r="J442" s="1298" t="s">
        <v>34</v>
      </c>
      <c r="K442" s="1419" t="s">
        <v>6564</v>
      </c>
      <c r="L442" s="1414">
        <v>840000</v>
      </c>
      <c r="M442" s="1311">
        <v>42000</v>
      </c>
      <c r="N442" s="1416">
        <v>2021.12</v>
      </c>
      <c r="O442" s="1291" t="s">
        <v>65</v>
      </c>
      <c r="P442" s="1291" t="s">
        <v>6076</v>
      </c>
      <c r="Q442" s="1291">
        <v>17732305202</v>
      </c>
      <c r="R442" s="1289" t="s">
        <v>6077</v>
      </c>
      <c r="S442" s="1291" t="s">
        <v>6056</v>
      </c>
      <c r="T442" s="1323"/>
    </row>
    <row r="443" spans="1:20" s="1030" customFormat="1" ht="20.100000000000001" customHeight="1">
      <c r="A443" s="1321"/>
      <c r="B443" s="1420" t="s">
        <v>6562</v>
      </c>
      <c r="C443" s="1335"/>
      <c r="D443" s="1335" t="s">
        <v>1477</v>
      </c>
      <c r="E443" s="1421">
        <v>1</v>
      </c>
      <c r="F443" s="1421">
        <v>1</v>
      </c>
      <c r="G443" s="1420" t="s">
        <v>32</v>
      </c>
      <c r="H443" s="1420" t="s">
        <v>6375</v>
      </c>
      <c r="I443" s="1298" t="s">
        <v>34</v>
      </c>
      <c r="J443" s="1298" t="s">
        <v>34</v>
      </c>
      <c r="K443" s="1419" t="s">
        <v>6566</v>
      </c>
      <c r="L443" s="1414">
        <v>96000</v>
      </c>
      <c r="M443" s="1311">
        <v>4800</v>
      </c>
      <c r="N443" s="1416">
        <v>2021.12</v>
      </c>
      <c r="O443" s="1291" t="s">
        <v>65</v>
      </c>
      <c r="P443" s="1291" t="s">
        <v>6076</v>
      </c>
      <c r="Q443" s="1291">
        <v>17732305202</v>
      </c>
      <c r="R443" s="1289" t="s">
        <v>6077</v>
      </c>
      <c r="S443" s="1291" t="s">
        <v>6056</v>
      </c>
      <c r="T443" s="1323"/>
    </row>
    <row r="444" spans="1:20" s="1030" customFormat="1" ht="20.100000000000001" customHeight="1">
      <c r="A444" s="1321"/>
      <c r="B444" s="1420" t="s">
        <v>6567</v>
      </c>
      <c r="C444" s="1335"/>
      <c r="D444" s="1335" t="s">
        <v>1477</v>
      </c>
      <c r="E444" s="1421">
        <v>1</v>
      </c>
      <c r="F444" s="1421">
        <v>1</v>
      </c>
      <c r="G444" s="1420" t="s">
        <v>32</v>
      </c>
      <c r="H444" s="1420" t="s">
        <v>6375</v>
      </c>
      <c r="I444" s="1298" t="s">
        <v>34</v>
      </c>
      <c r="J444" s="1298" t="s">
        <v>34</v>
      </c>
      <c r="K444" s="1419" t="s">
        <v>6566</v>
      </c>
      <c r="L444" s="1414">
        <v>133600</v>
      </c>
      <c r="M444" s="1311">
        <v>6680</v>
      </c>
      <c r="N444" s="1416">
        <v>2021.12</v>
      </c>
      <c r="O444" s="1291" t="s">
        <v>65</v>
      </c>
      <c r="P444" s="1291" t="s">
        <v>6076</v>
      </c>
      <c r="Q444" s="1291">
        <v>17732305202</v>
      </c>
      <c r="R444" s="1289" t="s">
        <v>6077</v>
      </c>
      <c r="S444" s="1291" t="s">
        <v>6056</v>
      </c>
      <c r="T444" s="1323"/>
    </row>
    <row r="445" spans="1:20" s="1030" customFormat="1" ht="20.100000000000001" customHeight="1">
      <c r="A445" s="1321"/>
      <c r="B445" s="1420" t="s">
        <v>6559</v>
      </c>
      <c r="C445" s="1335"/>
      <c r="D445" s="1335" t="s">
        <v>1477</v>
      </c>
      <c r="E445" s="1421">
        <v>1</v>
      </c>
      <c r="F445" s="1421">
        <v>1</v>
      </c>
      <c r="G445" s="1420" t="s">
        <v>32</v>
      </c>
      <c r="H445" s="1420" t="s">
        <v>6375</v>
      </c>
      <c r="I445" s="1298" t="s">
        <v>34</v>
      </c>
      <c r="J445" s="1298" t="s">
        <v>34</v>
      </c>
      <c r="K445" s="1419" t="s">
        <v>6566</v>
      </c>
      <c r="L445" s="1414">
        <v>84000</v>
      </c>
      <c r="M445" s="1311">
        <v>4200</v>
      </c>
      <c r="N445" s="1416">
        <v>2021.12</v>
      </c>
      <c r="O445" s="1291" t="s">
        <v>65</v>
      </c>
      <c r="P445" s="1291" t="s">
        <v>6076</v>
      </c>
      <c r="Q445" s="1291">
        <v>17732305202</v>
      </c>
      <c r="R445" s="1289" t="s">
        <v>6077</v>
      </c>
      <c r="S445" s="1291" t="s">
        <v>6056</v>
      </c>
      <c r="T445" s="1323"/>
    </row>
    <row r="446" spans="1:20" s="1030" customFormat="1" ht="20.100000000000001" customHeight="1">
      <c r="A446" s="1321"/>
      <c r="B446" s="1420" t="s">
        <v>2928</v>
      </c>
      <c r="C446" s="1420" t="s">
        <v>6568</v>
      </c>
      <c r="D446" s="1335" t="s">
        <v>1477</v>
      </c>
      <c r="E446" s="1421">
        <v>1</v>
      </c>
      <c r="F446" s="1421">
        <v>1</v>
      </c>
      <c r="G446" s="1420" t="s">
        <v>32</v>
      </c>
      <c r="H446" s="1420" t="s">
        <v>6375</v>
      </c>
      <c r="I446" s="1298" t="s">
        <v>34</v>
      </c>
      <c r="J446" s="1298" t="s">
        <v>34</v>
      </c>
      <c r="K446" s="1419" t="s">
        <v>6566</v>
      </c>
      <c r="L446" s="1414">
        <v>730000</v>
      </c>
      <c r="M446" s="1311">
        <v>36500</v>
      </c>
      <c r="N446" s="1416">
        <v>2021.12</v>
      </c>
      <c r="O446" s="1291" t="s">
        <v>65</v>
      </c>
      <c r="P446" s="1291" t="s">
        <v>6076</v>
      </c>
      <c r="Q446" s="1291">
        <v>17732305202</v>
      </c>
      <c r="R446" s="1289" t="s">
        <v>6077</v>
      </c>
      <c r="S446" s="1291" t="s">
        <v>6056</v>
      </c>
      <c r="T446" s="1323"/>
    </row>
    <row r="447" spans="1:20" s="1030" customFormat="1" ht="20.100000000000001" customHeight="1">
      <c r="A447" s="1321"/>
      <c r="B447" s="1309" t="s">
        <v>6569</v>
      </c>
      <c r="C447" s="1309"/>
      <c r="D447" s="1309" t="s">
        <v>79</v>
      </c>
      <c r="E447" s="1468">
        <v>1</v>
      </c>
      <c r="F447" s="1469">
        <v>145</v>
      </c>
      <c r="G447" s="1468" t="s">
        <v>32</v>
      </c>
      <c r="H447" s="1380" t="s">
        <v>33</v>
      </c>
      <c r="I447" s="1298" t="s">
        <v>34</v>
      </c>
      <c r="J447" s="1298" t="s">
        <v>34</v>
      </c>
      <c r="K447" s="1419" t="s">
        <v>6570</v>
      </c>
      <c r="L447" s="1373">
        <v>949200</v>
      </c>
      <c r="M447" s="1470">
        <f>L447*0.8</f>
        <v>759360</v>
      </c>
      <c r="N447" s="1471">
        <v>2021.11</v>
      </c>
      <c r="O447" s="1324" t="s">
        <v>6571</v>
      </c>
      <c r="P447" s="1335" t="s">
        <v>6572</v>
      </c>
      <c r="Q447" s="1335">
        <v>18631154030</v>
      </c>
      <c r="R447" s="1472" t="s">
        <v>3576</v>
      </c>
      <c r="S447" s="1313" t="s">
        <v>6056</v>
      </c>
      <c r="T447" s="1323"/>
    </row>
    <row r="448" spans="1:20" s="1292" customFormat="1" ht="20.100000000000001" customHeight="1">
      <c r="A448" s="1290"/>
      <c r="B448" s="1473" t="s">
        <v>6573</v>
      </c>
      <c r="C448" s="1474" t="s">
        <v>6574</v>
      </c>
      <c r="D448" s="1336" t="s">
        <v>62</v>
      </c>
      <c r="E448" s="1442">
        <v>1</v>
      </c>
      <c r="F448" s="1475">
        <v>166.34</v>
      </c>
      <c r="G448" s="1442" t="s">
        <v>32</v>
      </c>
      <c r="H448" s="1442" t="s">
        <v>33</v>
      </c>
      <c r="I448" s="1298" t="s">
        <v>34</v>
      </c>
      <c r="J448" s="1442" t="s">
        <v>6407</v>
      </c>
      <c r="K448" s="1442" t="s">
        <v>2353</v>
      </c>
      <c r="L448" s="1443">
        <v>1156063</v>
      </c>
      <c r="M448" s="1318">
        <v>378535.31</v>
      </c>
      <c r="N448" s="1476">
        <v>44042</v>
      </c>
      <c r="O448" s="1289" t="s">
        <v>6575</v>
      </c>
      <c r="P448" s="1290" t="s">
        <v>6576</v>
      </c>
      <c r="Q448" s="1289">
        <v>13269185200</v>
      </c>
      <c r="R448" s="1296" t="s">
        <v>6577</v>
      </c>
      <c r="S448" s="1320" t="s">
        <v>6089</v>
      </c>
      <c r="T448" s="1297"/>
    </row>
    <row r="449" spans="1:20" s="1292" customFormat="1" ht="20.100000000000001" customHeight="1">
      <c r="A449" s="1290"/>
      <c r="B449" s="1473" t="s">
        <v>6578</v>
      </c>
      <c r="C449" s="1474" t="s">
        <v>6421</v>
      </c>
      <c r="D449" s="1336" t="s">
        <v>62</v>
      </c>
      <c r="E449" s="1442">
        <v>1</v>
      </c>
      <c r="F449" s="1475">
        <v>121.88</v>
      </c>
      <c r="G449" s="1442" t="s">
        <v>32</v>
      </c>
      <c r="H449" s="1442" t="s">
        <v>33</v>
      </c>
      <c r="I449" s="1298" t="s">
        <v>34</v>
      </c>
      <c r="J449" s="1442" t="s">
        <v>6407</v>
      </c>
      <c r="K449" s="1442" t="s">
        <v>2353</v>
      </c>
      <c r="L449" s="1443">
        <v>847066</v>
      </c>
      <c r="M449" s="1318">
        <v>277357.84000000003</v>
      </c>
      <c r="N449" s="1476">
        <v>44042</v>
      </c>
      <c r="O449" s="1289" t="s">
        <v>6575</v>
      </c>
      <c r="P449" s="1290" t="s">
        <v>6576</v>
      </c>
      <c r="Q449" s="1289">
        <v>13269185200</v>
      </c>
      <c r="R449" s="1296" t="s">
        <v>6577</v>
      </c>
      <c r="S449" s="1320" t="s">
        <v>6089</v>
      </c>
      <c r="T449" s="1297"/>
    </row>
    <row r="450" spans="1:20" s="1292" customFormat="1" ht="20.100000000000001" customHeight="1">
      <c r="A450" s="1290"/>
      <c r="B450" s="1473" t="s">
        <v>6578</v>
      </c>
      <c r="C450" s="1474" t="s">
        <v>6421</v>
      </c>
      <c r="D450" s="1336" t="s">
        <v>62</v>
      </c>
      <c r="E450" s="1336" t="s">
        <v>34</v>
      </c>
      <c r="F450" s="1475">
        <v>163.34</v>
      </c>
      <c r="G450" s="1442" t="s">
        <v>32</v>
      </c>
      <c r="H450" s="1442" t="s">
        <v>33</v>
      </c>
      <c r="I450" s="1298" t="s">
        <v>34</v>
      </c>
      <c r="J450" s="1442" t="s">
        <v>6407</v>
      </c>
      <c r="K450" s="1442" t="s">
        <v>2353</v>
      </c>
      <c r="L450" s="1443">
        <v>1151547</v>
      </c>
      <c r="M450" s="1318">
        <v>458580.59</v>
      </c>
      <c r="N450" s="1476">
        <v>44418</v>
      </c>
      <c r="O450" s="1289" t="s">
        <v>6575</v>
      </c>
      <c r="P450" s="1290" t="s">
        <v>6576</v>
      </c>
      <c r="Q450" s="1289">
        <v>13269185200</v>
      </c>
      <c r="R450" s="1296" t="s">
        <v>6577</v>
      </c>
      <c r="S450" s="1320" t="s">
        <v>6089</v>
      </c>
      <c r="T450" s="1297"/>
    </row>
    <row r="451" spans="1:20" s="1292" customFormat="1" ht="20.100000000000001" customHeight="1">
      <c r="A451" s="1290"/>
      <c r="B451" s="1473" t="s">
        <v>6573</v>
      </c>
      <c r="C451" s="1474" t="s">
        <v>6574</v>
      </c>
      <c r="D451" s="1336" t="s">
        <v>62</v>
      </c>
      <c r="E451" s="1336" t="s">
        <v>34</v>
      </c>
      <c r="F451" s="1475">
        <v>20.05</v>
      </c>
      <c r="G451" s="1442" t="s">
        <v>32</v>
      </c>
      <c r="H451" s="1442" t="s">
        <v>33</v>
      </c>
      <c r="I451" s="1298" t="s">
        <v>34</v>
      </c>
      <c r="J451" s="1442" t="s">
        <v>6407</v>
      </c>
      <c r="K451" s="1442" t="s">
        <v>2353</v>
      </c>
      <c r="L451" s="1443">
        <v>191878.5</v>
      </c>
      <c r="M451" s="1318">
        <v>137541.22</v>
      </c>
      <c r="N451" s="1476">
        <v>44418</v>
      </c>
      <c r="O451" s="1289" t="s">
        <v>6575</v>
      </c>
      <c r="P451" s="1290" t="s">
        <v>6576</v>
      </c>
      <c r="Q451" s="1289">
        <v>13269185200</v>
      </c>
      <c r="R451" s="1296" t="s">
        <v>6577</v>
      </c>
      <c r="S451" s="1320" t="s">
        <v>6089</v>
      </c>
      <c r="T451" s="1297"/>
    </row>
    <row r="452" spans="1:20" s="1292" customFormat="1" ht="20.100000000000001" customHeight="1">
      <c r="A452" s="1290"/>
      <c r="B452" s="1473" t="s">
        <v>6578</v>
      </c>
      <c r="C452" s="1474" t="s">
        <v>6421</v>
      </c>
      <c r="D452" s="1336" t="s">
        <v>62</v>
      </c>
      <c r="E452" s="1336" t="s">
        <v>34</v>
      </c>
      <c r="F452" s="1475">
        <v>156.86000000000001</v>
      </c>
      <c r="G452" s="1442" t="s">
        <v>32</v>
      </c>
      <c r="H452" s="1442" t="s">
        <v>33</v>
      </c>
      <c r="I452" s="1298" t="s">
        <v>34</v>
      </c>
      <c r="J452" s="1442" t="s">
        <v>6407</v>
      </c>
      <c r="K452" s="1442" t="s">
        <v>2353</v>
      </c>
      <c r="L452" s="1443">
        <v>1501150.2</v>
      </c>
      <c r="M452" s="1318">
        <v>1076045.72</v>
      </c>
      <c r="N452" s="1476">
        <v>44418</v>
      </c>
      <c r="O452" s="1289" t="s">
        <v>6575</v>
      </c>
      <c r="P452" s="1290" t="s">
        <v>6576</v>
      </c>
      <c r="Q452" s="1289">
        <v>13269185200</v>
      </c>
      <c r="R452" s="1296" t="s">
        <v>6577</v>
      </c>
      <c r="S452" s="1320" t="s">
        <v>6089</v>
      </c>
      <c r="T452" s="1297"/>
    </row>
    <row r="453" spans="1:20" s="1292" customFormat="1" ht="20.100000000000001" customHeight="1">
      <c r="A453" s="1430"/>
      <c r="B453" s="1477" t="s">
        <v>6573</v>
      </c>
      <c r="C453" s="1478" t="s">
        <v>6574</v>
      </c>
      <c r="D453" s="1479" t="s">
        <v>62</v>
      </c>
      <c r="E453" s="1480"/>
      <c r="F453" s="1481">
        <v>173.6</v>
      </c>
      <c r="G453" s="1480" t="s">
        <v>32</v>
      </c>
      <c r="H453" s="1480" t="s">
        <v>33</v>
      </c>
      <c r="I453" s="1303" t="s">
        <v>34</v>
      </c>
      <c r="J453" s="1480" t="s">
        <v>6407</v>
      </c>
      <c r="K453" s="1480" t="s">
        <v>2353</v>
      </c>
      <c r="L453" s="1482">
        <v>1458240</v>
      </c>
      <c r="M453" s="1483">
        <v>856016.98</v>
      </c>
      <c r="N453" s="1484">
        <v>44418</v>
      </c>
      <c r="O453" s="1408" t="s">
        <v>6575</v>
      </c>
      <c r="P453" s="1430" t="s">
        <v>6576</v>
      </c>
      <c r="Q453" s="1408">
        <v>13269185200</v>
      </c>
      <c r="R453" s="1485" t="s">
        <v>6577</v>
      </c>
      <c r="S453" s="1486" t="s">
        <v>6089</v>
      </c>
      <c r="T453" s="1297"/>
    </row>
    <row r="454" spans="1:20" s="1292" customFormat="1" ht="20.100000000000001" customHeight="1">
      <c r="A454" s="1290"/>
      <c r="B454" s="1487" t="s">
        <v>6579</v>
      </c>
      <c r="C454" s="1487" t="s">
        <v>6580</v>
      </c>
      <c r="D454" s="1290" t="s">
        <v>62</v>
      </c>
      <c r="E454" s="1488"/>
      <c r="F454" s="1310">
        <v>180</v>
      </c>
      <c r="G454" s="1289" t="s">
        <v>32</v>
      </c>
      <c r="H454" s="1289" t="s">
        <v>33</v>
      </c>
      <c r="I454" s="1303" t="s">
        <v>34</v>
      </c>
      <c r="J454" s="1289" t="s">
        <v>6407</v>
      </c>
      <c r="K454" s="1289" t="s">
        <v>2353</v>
      </c>
      <c r="L454" s="1489">
        <v>1540800</v>
      </c>
      <c r="M454" s="1345">
        <v>1431716.81</v>
      </c>
      <c r="N454" s="1392">
        <v>44615</v>
      </c>
      <c r="O454" s="1289" t="s">
        <v>6581</v>
      </c>
      <c r="P454" s="1290" t="s">
        <v>6411</v>
      </c>
      <c r="Q454" s="1289">
        <v>13269185200</v>
      </c>
      <c r="R454" s="1289" t="s">
        <v>6412</v>
      </c>
      <c r="S454" s="1291" t="s">
        <v>6089</v>
      </c>
      <c r="T454" s="1297"/>
    </row>
    <row r="455" spans="1:20" s="1030" customFormat="1" ht="20.100000000000001" customHeight="1">
      <c r="A455" s="1490">
        <v>2</v>
      </c>
      <c r="B455" s="1298" t="s">
        <v>6582</v>
      </c>
      <c r="C455" s="1298"/>
      <c r="D455" s="1298"/>
      <c r="E455" s="1298"/>
      <c r="F455" s="1298"/>
      <c r="G455" s="1298"/>
      <c r="H455" s="1298"/>
      <c r="I455" s="1298"/>
      <c r="J455" s="1298"/>
      <c r="K455" s="1298"/>
      <c r="L455" s="1298"/>
      <c r="M455" s="1298"/>
      <c r="N455" s="1301"/>
      <c r="O455" s="1298"/>
      <c r="P455" s="1298"/>
      <c r="Q455" s="1298"/>
      <c r="R455" s="1298"/>
      <c r="S455" s="1298"/>
      <c r="T455" s="1323"/>
    </row>
    <row r="456" spans="1:20" s="1030" customFormat="1" ht="20.100000000000001" customHeight="1">
      <c r="A456" s="1321"/>
      <c r="B456" s="1298" t="s">
        <v>6537</v>
      </c>
      <c r="C456" s="1298"/>
      <c r="D456" s="1298"/>
      <c r="E456" s="1298"/>
      <c r="F456" s="1298"/>
      <c r="G456" s="1298"/>
      <c r="H456" s="1298"/>
      <c r="I456" s="1298"/>
      <c r="J456" s="1298"/>
      <c r="K456" s="1298"/>
      <c r="L456" s="1298"/>
      <c r="M456" s="1298"/>
      <c r="N456" s="1301"/>
      <c r="O456" s="1298"/>
      <c r="P456" s="1298"/>
      <c r="Q456" s="1298"/>
      <c r="R456" s="1298"/>
      <c r="S456" s="1298"/>
      <c r="T456" s="1323"/>
    </row>
    <row r="457" spans="1:20" s="1030" customFormat="1" ht="20.100000000000001" customHeight="1">
      <c r="A457" s="1321">
        <v>3</v>
      </c>
      <c r="B457" s="1298" t="s">
        <v>6583</v>
      </c>
      <c r="C457" s="1298"/>
      <c r="D457" s="1298"/>
      <c r="E457" s="1298"/>
      <c r="F457" s="1298"/>
      <c r="G457" s="1298"/>
      <c r="H457" s="1298"/>
      <c r="I457" s="1298"/>
      <c r="J457" s="1298"/>
      <c r="K457" s="1298"/>
      <c r="L457" s="1298"/>
      <c r="M457" s="1298"/>
      <c r="N457" s="1301"/>
      <c r="O457" s="1298"/>
      <c r="P457" s="1298"/>
      <c r="Q457" s="1298"/>
      <c r="R457" s="1298"/>
      <c r="S457" s="1298"/>
      <c r="T457" s="1323"/>
    </row>
    <row r="458" spans="1:20" s="1030" customFormat="1" ht="20.100000000000001" customHeight="1">
      <c r="A458" s="1321"/>
      <c r="B458" s="1298" t="s">
        <v>6584</v>
      </c>
      <c r="C458" s="1298" t="s">
        <v>6162</v>
      </c>
      <c r="D458" s="1298" t="s">
        <v>2084</v>
      </c>
      <c r="E458" s="1336" t="s">
        <v>34</v>
      </c>
      <c r="F458" s="1298">
        <v>10.284000000000001</v>
      </c>
      <c r="G458" s="1298" t="s">
        <v>72</v>
      </c>
      <c r="H458" s="1298" t="s">
        <v>6146</v>
      </c>
      <c r="I458" s="1298" t="s">
        <v>179</v>
      </c>
      <c r="J458" s="1298" t="s">
        <v>34</v>
      </c>
      <c r="K458" s="1298" t="s">
        <v>34</v>
      </c>
      <c r="L458" s="1298" t="s">
        <v>34</v>
      </c>
      <c r="M458" s="1298">
        <v>12215</v>
      </c>
      <c r="N458" s="1301">
        <v>2014.07</v>
      </c>
      <c r="O458" s="1298" t="s">
        <v>6163</v>
      </c>
      <c r="P458" s="1298" t="s">
        <v>6164</v>
      </c>
      <c r="Q458" s="1298">
        <v>17732844980</v>
      </c>
      <c r="R458" s="1298" t="s">
        <v>6454</v>
      </c>
      <c r="S458" s="1298" t="s">
        <v>6150</v>
      </c>
      <c r="T458" s="1323"/>
    </row>
    <row r="459" spans="1:20" s="1030" customFormat="1" ht="20.100000000000001" customHeight="1">
      <c r="A459" s="1321"/>
      <c r="B459" s="1298" t="s">
        <v>6584</v>
      </c>
      <c r="C459" s="1298" t="s">
        <v>6168</v>
      </c>
      <c r="D459" s="1298" t="s">
        <v>2084</v>
      </c>
      <c r="E459" s="1336" t="s">
        <v>34</v>
      </c>
      <c r="F459" s="1298">
        <v>8.3800000000000008</v>
      </c>
      <c r="G459" s="1298" t="s">
        <v>72</v>
      </c>
      <c r="H459" s="1298" t="s">
        <v>6146</v>
      </c>
      <c r="I459" s="1298" t="s">
        <v>179</v>
      </c>
      <c r="J459" s="1298" t="s">
        <v>34</v>
      </c>
      <c r="K459" s="1298" t="s">
        <v>34</v>
      </c>
      <c r="L459" s="1298" t="s">
        <v>34</v>
      </c>
      <c r="M459" s="1298">
        <v>9962</v>
      </c>
      <c r="N459" s="1301">
        <v>2014.07</v>
      </c>
      <c r="O459" s="1298" t="s">
        <v>6163</v>
      </c>
      <c r="P459" s="1298" t="s">
        <v>6164</v>
      </c>
      <c r="Q459" s="1298">
        <v>17732844980</v>
      </c>
      <c r="R459" s="1298" t="s">
        <v>6454</v>
      </c>
      <c r="S459" s="1298" t="s">
        <v>6150</v>
      </c>
      <c r="T459" s="1323"/>
    </row>
    <row r="460" spans="1:20" s="1030" customFormat="1" ht="20.100000000000001" customHeight="1">
      <c r="A460" s="1321"/>
      <c r="B460" s="1298" t="s">
        <v>6585</v>
      </c>
      <c r="C460" s="1298" t="s">
        <v>6169</v>
      </c>
      <c r="D460" s="1298" t="s">
        <v>2084</v>
      </c>
      <c r="E460" s="1336" t="s">
        <v>34</v>
      </c>
      <c r="F460" s="1298">
        <v>8.1</v>
      </c>
      <c r="G460" s="1298" t="s">
        <v>72</v>
      </c>
      <c r="H460" s="1298" t="s">
        <v>6146</v>
      </c>
      <c r="I460" s="1298" t="s">
        <v>179</v>
      </c>
      <c r="J460" s="1298" t="s">
        <v>34</v>
      </c>
      <c r="K460" s="1298" t="s">
        <v>34</v>
      </c>
      <c r="L460" s="1298" t="s">
        <v>34</v>
      </c>
      <c r="M460" s="1298">
        <v>7857</v>
      </c>
      <c r="N460" s="1301" t="s">
        <v>6170</v>
      </c>
      <c r="O460" s="1298" t="s">
        <v>6163</v>
      </c>
      <c r="P460" s="1298" t="s">
        <v>6164</v>
      </c>
      <c r="Q460" s="1298">
        <v>17732844980</v>
      </c>
      <c r="R460" s="1298" t="s">
        <v>6454</v>
      </c>
      <c r="S460" s="1298" t="s">
        <v>6150</v>
      </c>
      <c r="T460" s="1323"/>
    </row>
    <row r="461" spans="1:20" s="1030" customFormat="1" ht="20.100000000000001" customHeight="1">
      <c r="A461" s="1459" t="s">
        <v>6586</v>
      </c>
      <c r="B461" s="1298" t="s">
        <v>6587</v>
      </c>
      <c r="C461" s="1298"/>
      <c r="D461" s="1298"/>
      <c r="E461" s="1298"/>
      <c r="F461" s="1298"/>
      <c r="G461" s="1298"/>
      <c r="H461" s="1298"/>
      <c r="I461" s="1298"/>
      <c r="J461" s="1298"/>
      <c r="K461" s="1298"/>
      <c r="L461" s="1298"/>
      <c r="M461" s="1298"/>
      <c r="N461" s="1301"/>
      <c r="O461" s="1298"/>
      <c r="P461" s="1298"/>
      <c r="Q461" s="1298"/>
      <c r="R461" s="1298"/>
      <c r="S461" s="1298"/>
      <c r="T461" s="1323"/>
    </row>
    <row r="462" spans="1:20" ht="20.100000000000001" customHeight="1">
      <c r="A462" s="1321">
        <v>1</v>
      </c>
      <c r="B462" s="1298" t="s">
        <v>6588</v>
      </c>
      <c r="C462" s="1298"/>
      <c r="D462" s="1298"/>
      <c r="E462" s="1298"/>
      <c r="F462" s="1298"/>
      <c r="G462" s="1298"/>
      <c r="H462" s="1298"/>
      <c r="I462" s="1298"/>
      <c r="J462" s="1298"/>
      <c r="K462" s="1298"/>
      <c r="L462" s="1298"/>
      <c r="M462" s="1298"/>
      <c r="N462" s="1301"/>
      <c r="O462" s="1298"/>
      <c r="P462" s="1298"/>
      <c r="Q462" s="1298"/>
      <c r="R462" s="1298"/>
      <c r="S462" s="1298"/>
      <c r="T462" s="1491"/>
    </row>
    <row r="463" spans="1:20" ht="20.100000000000001" customHeight="1">
      <c r="A463" s="1321"/>
      <c r="B463" s="1420" t="s">
        <v>6589</v>
      </c>
      <c r="C463" s="1335" t="s">
        <v>3030</v>
      </c>
      <c r="D463" s="1335" t="s">
        <v>1477</v>
      </c>
      <c r="E463" s="1421">
        <v>1</v>
      </c>
      <c r="F463" s="1421">
        <v>1</v>
      </c>
      <c r="G463" s="1420" t="s">
        <v>32</v>
      </c>
      <c r="H463" s="1420" t="s">
        <v>6375</v>
      </c>
      <c r="I463" s="1492" t="s">
        <v>34</v>
      </c>
      <c r="J463" s="1492" t="s">
        <v>34</v>
      </c>
      <c r="K463" s="1333" t="s">
        <v>6556</v>
      </c>
      <c r="L463" s="1414">
        <v>760950</v>
      </c>
      <c r="M463" s="1311">
        <v>38047.5</v>
      </c>
      <c r="N463" s="1416" t="s">
        <v>1954</v>
      </c>
      <c r="O463" s="1291" t="s">
        <v>65</v>
      </c>
      <c r="P463" s="1291" t="s">
        <v>6076</v>
      </c>
      <c r="Q463" s="1291">
        <v>17732305202</v>
      </c>
      <c r="R463" s="1289" t="s">
        <v>6077</v>
      </c>
      <c r="S463" s="1291" t="s">
        <v>6056</v>
      </c>
      <c r="T463" s="1491"/>
    </row>
    <row r="464" spans="1:20" ht="20.100000000000001" customHeight="1">
      <c r="A464" s="1321"/>
      <c r="B464" s="1420" t="s">
        <v>3044</v>
      </c>
      <c r="C464" s="1335"/>
      <c r="D464" s="1335" t="s">
        <v>1477</v>
      </c>
      <c r="E464" s="1421">
        <v>1</v>
      </c>
      <c r="F464" s="1421">
        <v>1</v>
      </c>
      <c r="G464" s="1420" t="s">
        <v>32</v>
      </c>
      <c r="H464" s="1420" t="s">
        <v>6375</v>
      </c>
      <c r="I464" s="1492" t="s">
        <v>34</v>
      </c>
      <c r="J464" s="1492" t="s">
        <v>34</v>
      </c>
      <c r="K464" s="1333" t="s">
        <v>6561</v>
      </c>
      <c r="L464" s="1414">
        <v>121000</v>
      </c>
      <c r="M464" s="1311">
        <v>6050</v>
      </c>
      <c r="N464" s="1416" t="s">
        <v>3687</v>
      </c>
      <c r="O464" s="1291" t="s">
        <v>65</v>
      </c>
      <c r="P464" s="1291" t="s">
        <v>6076</v>
      </c>
      <c r="Q464" s="1291">
        <v>17732305202</v>
      </c>
      <c r="R464" s="1289" t="s">
        <v>6077</v>
      </c>
      <c r="S464" s="1291" t="s">
        <v>6056</v>
      </c>
      <c r="T464" s="1491"/>
    </row>
    <row r="465" spans="1:20" ht="20.100000000000001" customHeight="1">
      <c r="A465" s="1321"/>
      <c r="B465" s="1420" t="s">
        <v>6590</v>
      </c>
      <c r="C465" s="1335"/>
      <c r="D465" s="1335" t="s">
        <v>1477</v>
      </c>
      <c r="E465" s="1421">
        <v>1</v>
      </c>
      <c r="F465" s="1421">
        <v>1</v>
      </c>
      <c r="G465" s="1420" t="s">
        <v>32</v>
      </c>
      <c r="H465" s="1420" t="s">
        <v>6375</v>
      </c>
      <c r="I465" s="1492" t="s">
        <v>34</v>
      </c>
      <c r="J465" s="1492" t="s">
        <v>34</v>
      </c>
      <c r="K465" s="1333" t="s">
        <v>6561</v>
      </c>
      <c r="L465" s="1414">
        <v>6500</v>
      </c>
      <c r="M465" s="1311">
        <v>325</v>
      </c>
      <c r="N465" s="1416" t="s">
        <v>3687</v>
      </c>
      <c r="O465" s="1291" t="s">
        <v>65</v>
      </c>
      <c r="P465" s="1291" t="s">
        <v>6076</v>
      </c>
      <c r="Q465" s="1291">
        <v>17732305202</v>
      </c>
      <c r="R465" s="1289" t="s">
        <v>6077</v>
      </c>
      <c r="S465" s="1291" t="s">
        <v>6056</v>
      </c>
      <c r="T465" s="1491"/>
    </row>
    <row r="466" spans="1:20" ht="20.100000000000001" customHeight="1">
      <c r="A466" s="1321"/>
      <c r="B466" s="1420" t="s">
        <v>6591</v>
      </c>
      <c r="C466" s="1335"/>
      <c r="D466" s="1335" t="s">
        <v>1477</v>
      </c>
      <c r="E466" s="1421">
        <v>1</v>
      </c>
      <c r="F466" s="1421">
        <v>1</v>
      </c>
      <c r="G466" s="1420" t="s">
        <v>32</v>
      </c>
      <c r="H466" s="1420" t="s">
        <v>6375</v>
      </c>
      <c r="I466" s="1492" t="s">
        <v>34</v>
      </c>
      <c r="J466" s="1492" t="s">
        <v>34</v>
      </c>
      <c r="K466" s="1333" t="s">
        <v>6561</v>
      </c>
      <c r="L466" s="1414">
        <v>960000</v>
      </c>
      <c r="M466" s="1311">
        <v>48000</v>
      </c>
      <c r="N466" s="1416" t="s">
        <v>3687</v>
      </c>
      <c r="O466" s="1291" t="s">
        <v>65</v>
      </c>
      <c r="P466" s="1291" t="s">
        <v>6076</v>
      </c>
      <c r="Q466" s="1291">
        <v>17732305202</v>
      </c>
      <c r="R466" s="1289" t="s">
        <v>6077</v>
      </c>
      <c r="S466" s="1291" t="s">
        <v>6056</v>
      </c>
      <c r="T466" s="1491"/>
    </row>
    <row r="467" spans="1:20" ht="20.100000000000001" customHeight="1">
      <c r="A467" s="1321"/>
      <c r="B467" s="1420" t="s">
        <v>6591</v>
      </c>
      <c r="C467" s="1335"/>
      <c r="D467" s="1335" t="s">
        <v>4006</v>
      </c>
      <c r="E467" s="1421">
        <v>1</v>
      </c>
      <c r="F467" s="1421">
        <v>1</v>
      </c>
      <c r="G467" s="1420" t="s">
        <v>32</v>
      </c>
      <c r="H467" s="1420" t="s">
        <v>6375</v>
      </c>
      <c r="I467" s="1492" t="s">
        <v>34</v>
      </c>
      <c r="J467" s="1492" t="s">
        <v>34</v>
      </c>
      <c r="K467" s="1419" t="s">
        <v>6563</v>
      </c>
      <c r="L467" s="1414">
        <v>712000</v>
      </c>
      <c r="M467" s="1311">
        <v>35600</v>
      </c>
      <c r="N467" s="1416" t="s">
        <v>3140</v>
      </c>
      <c r="O467" s="1291" t="s">
        <v>65</v>
      </c>
      <c r="P467" s="1291" t="s">
        <v>6076</v>
      </c>
      <c r="Q467" s="1291">
        <v>17732305202</v>
      </c>
      <c r="R467" s="1289" t="s">
        <v>6077</v>
      </c>
      <c r="S467" s="1291" t="s">
        <v>6056</v>
      </c>
      <c r="T467" s="1491"/>
    </row>
    <row r="468" spans="1:20" ht="20.100000000000001" customHeight="1">
      <c r="A468" s="1321"/>
      <c r="B468" s="1420" t="s">
        <v>6592</v>
      </c>
      <c r="C468" s="1335" t="s">
        <v>6593</v>
      </c>
      <c r="D468" s="1335" t="s">
        <v>4006</v>
      </c>
      <c r="E468" s="1421">
        <v>1</v>
      </c>
      <c r="F468" s="1421">
        <v>1</v>
      </c>
      <c r="G468" s="1420" t="s">
        <v>32</v>
      </c>
      <c r="H468" s="1420" t="s">
        <v>6375</v>
      </c>
      <c r="I468" s="1492" t="s">
        <v>34</v>
      </c>
      <c r="J468" s="1492" t="s">
        <v>34</v>
      </c>
      <c r="K468" s="1419" t="s">
        <v>6563</v>
      </c>
      <c r="L468" s="1414">
        <v>183475</v>
      </c>
      <c r="M468" s="1311">
        <v>9173.75</v>
      </c>
      <c r="N468" s="1416" t="s">
        <v>3140</v>
      </c>
      <c r="O468" s="1291" t="s">
        <v>65</v>
      </c>
      <c r="P468" s="1291" t="s">
        <v>6076</v>
      </c>
      <c r="Q468" s="1291">
        <v>17732305202</v>
      </c>
      <c r="R468" s="1289" t="s">
        <v>6077</v>
      </c>
      <c r="S468" s="1291" t="s">
        <v>6056</v>
      </c>
      <c r="T468" s="1491"/>
    </row>
    <row r="469" spans="1:20" ht="20.100000000000001" customHeight="1">
      <c r="A469" s="1321"/>
      <c r="B469" s="1420" t="s">
        <v>3044</v>
      </c>
      <c r="C469" s="1335" t="s">
        <v>6594</v>
      </c>
      <c r="D469" s="1335" t="s">
        <v>4006</v>
      </c>
      <c r="E469" s="1421">
        <v>1</v>
      </c>
      <c r="F469" s="1421">
        <v>1</v>
      </c>
      <c r="G469" s="1420" t="s">
        <v>32</v>
      </c>
      <c r="H469" s="1420" t="s">
        <v>6375</v>
      </c>
      <c r="I469" s="1492" t="s">
        <v>34</v>
      </c>
      <c r="J469" s="1492" t="s">
        <v>34</v>
      </c>
      <c r="K469" s="1419" t="s">
        <v>6566</v>
      </c>
      <c r="L469" s="1414">
        <v>121000</v>
      </c>
      <c r="M469" s="1311">
        <v>6050</v>
      </c>
      <c r="N469" s="1416">
        <v>2021.12</v>
      </c>
      <c r="O469" s="1291" t="s">
        <v>65</v>
      </c>
      <c r="P469" s="1291" t="s">
        <v>6076</v>
      </c>
      <c r="Q469" s="1291">
        <v>17732305202</v>
      </c>
      <c r="R469" s="1289" t="s">
        <v>6077</v>
      </c>
      <c r="S469" s="1291" t="s">
        <v>6056</v>
      </c>
      <c r="T469" s="1491"/>
    </row>
    <row r="470" spans="1:20" ht="20.100000000000001" customHeight="1">
      <c r="A470" s="1321"/>
      <c r="B470" s="1420" t="s">
        <v>6591</v>
      </c>
      <c r="C470" s="1420" t="s">
        <v>6595</v>
      </c>
      <c r="D470" s="1335" t="s">
        <v>1477</v>
      </c>
      <c r="E470" s="1421">
        <v>1</v>
      </c>
      <c r="F470" s="1421">
        <v>1</v>
      </c>
      <c r="G470" s="1420" t="s">
        <v>32</v>
      </c>
      <c r="H470" s="1420" t="s">
        <v>6375</v>
      </c>
      <c r="I470" s="1492" t="s">
        <v>34</v>
      </c>
      <c r="J470" s="1492" t="s">
        <v>34</v>
      </c>
      <c r="K470" s="1419" t="s">
        <v>6566</v>
      </c>
      <c r="L470" s="1414">
        <v>712000</v>
      </c>
      <c r="M470" s="1311">
        <v>35600</v>
      </c>
      <c r="N470" s="1416">
        <v>2021.12</v>
      </c>
      <c r="O470" s="1291" t="s">
        <v>65</v>
      </c>
      <c r="P470" s="1291" t="s">
        <v>6076</v>
      </c>
      <c r="Q470" s="1291">
        <v>17732305202</v>
      </c>
      <c r="R470" s="1289" t="s">
        <v>6077</v>
      </c>
      <c r="S470" s="1291" t="s">
        <v>6056</v>
      </c>
      <c r="T470" s="1491"/>
    </row>
    <row r="471" spans="1:20">
      <c r="A471" s="1321">
        <v>2</v>
      </c>
      <c r="B471" s="1298" t="s">
        <v>6596</v>
      </c>
      <c r="C471" s="1298"/>
      <c r="D471" s="1298"/>
      <c r="E471" s="1298"/>
      <c r="F471" s="1298"/>
      <c r="G471" s="1298"/>
      <c r="H471" s="1298"/>
      <c r="I471" s="1298"/>
      <c r="J471" s="1298"/>
      <c r="K471" s="1298"/>
      <c r="L471" s="1298"/>
      <c r="M471" s="1298"/>
      <c r="N471" s="1301"/>
      <c r="O471" s="1298"/>
      <c r="P471" s="1298"/>
      <c r="Q471" s="1298"/>
      <c r="R471" s="1298"/>
      <c r="S471" s="1298"/>
      <c r="T471" s="1491"/>
    </row>
    <row r="472" spans="1:20">
      <c r="A472" s="1321"/>
      <c r="B472" s="1298" t="s">
        <v>6537</v>
      </c>
      <c r="C472" s="1298"/>
      <c r="D472" s="1298"/>
      <c r="E472" s="1298"/>
      <c r="F472" s="1298"/>
      <c r="G472" s="1298"/>
      <c r="H472" s="1298"/>
      <c r="I472" s="1298"/>
      <c r="J472" s="1298"/>
      <c r="K472" s="1298"/>
      <c r="L472" s="1298"/>
      <c r="M472" s="1298"/>
      <c r="N472" s="1301"/>
      <c r="O472" s="1298"/>
      <c r="P472" s="1298"/>
      <c r="Q472" s="1298"/>
      <c r="R472" s="1298"/>
      <c r="S472" s="1298"/>
      <c r="T472" s="1491"/>
    </row>
    <row r="473" spans="1:20">
      <c r="A473" s="1459" t="s">
        <v>6597</v>
      </c>
      <c r="B473" s="1298" t="s">
        <v>6598</v>
      </c>
      <c r="C473" s="1298"/>
      <c r="D473" s="1298"/>
      <c r="E473" s="1298"/>
      <c r="F473" s="1298"/>
      <c r="G473" s="1298"/>
      <c r="H473" s="1298"/>
      <c r="I473" s="1298"/>
      <c r="J473" s="1298"/>
      <c r="K473" s="1298"/>
      <c r="L473" s="1298"/>
      <c r="M473" s="1298"/>
      <c r="N473" s="1301"/>
      <c r="O473" s="1298"/>
      <c r="P473" s="1298"/>
      <c r="Q473" s="1298"/>
      <c r="R473" s="1298"/>
      <c r="S473" s="1298"/>
      <c r="T473" s="1491"/>
    </row>
    <row r="474" spans="1:20">
      <c r="A474" s="1321">
        <v>1</v>
      </c>
      <c r="B474" s="1298" t="s">
        <v>6599</v>
      </c>
      <c r="C474" s="1298"/>
      <c r="D474" s="1298"/>
      <c r="E474" s="1298"/>
      <c r="F474" s="1298"/>
      <c r="G474" s="1298"/>
      <c r="H474" s="1298"/>
      <c r="I474" s="1298"/>
      <c r="J474" s="1298"/>
      <c r="K474" s="1298"/>
      <c r="L474" s="1298"/>
      <c r="M474" s="1298"/>
      <c r="N474" s="1301"/>
      <c r="O474" s="1298"/>
      <c r="P474" s="1298"/>
      <c r="Q474" s="1298"/>
      <c r="R474" s="1298"/>
      <c r="S474" s="1298"/>
      <c r="T474" s="1491"/>
    </row>
    <row r="475" spans="1:20">
      <c r="A475" s="1321"/>
      <c r="B475" s="1298" t="s">
        <v>6537</v>
      </c>
      <c r="C475" s="1298"/>
      <c r="D475" s="1298"/>
      <c r="E475" s="1298"/>
      <c r="F475" s="1298"/>
      <c r="G475" s="1298"/>
      <c r="H475" s="1298"/>
      <c r="I475" s="1298"/>
      <c r="J475" s="1298"/>
      <c r="K475" s="1298"/>
      <c r="L475" s="1298"/>
      <c r="M475" s="1298"/>
      <c r="N475" s="1301"/>
      <c r="O475" s="1298"/>
      <c r="P475" s="1298"/>
      <c r="Q475" s="1298"/>
      <c r="R475" s="1298"/>
      <c r="S475" s="1298"/>
      <c r="T475" s="1491"/>
    </row>
    <row r="476" spans="1:20">
      <c r="A476" s="1321">
        <v>2</v>
      </c>
      <c r="B476" s="1298" t="s">
        <v>6600</v>
      </c>
      <c r="C476" s="1298"/>
      <c r="D476" s="1298"/>
      <c r="E476" s="1298"/>
      <c r="F476" s="1298"/>
      <c r="G476" s="1298"/>
      <c r="H476" s="1298"/>
      <c r="I476" s="1298"/>
      <c r="J476" s="1298"/>
      <c r="K476" s="1298"/>
      <c r="L476" s="1298"/>
      <c r="M476" s="1298"/>
      <c r="N476" s="1301"/>
      <c r="O476" s="1298"/>
      <c r="P476" s="1298"/>
      <c r="Q476" s="1298"/>
      <c r="R476" s="1298"/>
      <c r="S476" s="1298"/>
      <c r="T476" s="1491"/>
    </row>
    <row r="477" spans="1:20">
      <c r="A477" s="1321"/>
      <c r="B477" s="1298" t="s">
        <v>6537</v>
      </c>
      <c r="C477" s="1298"/>
      <c r="D477" s="1298"/>
      <c r="E477" s="1298"/>
      <c r="F477" s="1298"/>
      <c r="G477" s="1298"/>
      <c r="H477" s="1298"/>
      <c r="I477" s="1298"/>
      <c r="J477" s="1298"/>
      <c r="K477" s="1298"/>
      <c r="L477" s="1298"/>
      <c r="M477" s="1298"/>
      <c r="N477" s="1301"/>
      <c r="O477" s="1298"/>
      <c r="P477" s="1298"/>
      <c r="Q477" s="1298"/>
      <c r="R477" s="1298"/>
      <c r="S477" s="1298"/>
      <c r="T477" s="1491"/>
    </row>
    <row r="478" spans="1:20">
      <c r="A478" s="1321">
        <v>3</v>
      </c>
      <c r="B478" s="1298" t="s">
        <v>6601</v>
      </c>
      <c r="C478" s="1298"/>
      <c r="D478" s="1298"/>
      <c r="E478" s="1298"/>
      <c r="F478" s="1298"/>
      <c r="G478" s="1298"/>
      <c r="H478" s="1298"/>
      <c r="I478" s="1298"/>
      <c r="J478" s="1298"/>
      <c r="K478" s="1298"/>
      <c r="L478" s="1298"/>
      <c r="M478" s="1298"/>
      <c r="N478" s="1301"/>
      <c r="O478" s="1298"/>
      <c r="P478" s="1298"/>
      <c r="Q478" s="1298"/>
      <c r="R478" s="1298"/>
      <c r="S478" s="1298"/>
      <c r="T478" s="1491"/>
    </row>
    <row r="479" spans="1:20">
      <c r="A479" s="1321"/>
      <c r="B479" s="1298" t="s">
        <v>6602</v>
      </c>
      <c r="C479" s="1298"/>
      <c r="D479" s="1298"/>
      <c r="E479" s="1298"/>
      <c r="F479" s="1298"/>
      <c r="G479" s="1298" t="s">
        <v>6603</v>
      </c>
      <c r="H479" s="1298" t="s">
        <v>6146</v>
      </c>
      <c r="I479" s="1298" t="s">
        <v>179</v>
      </c>
      <c r="J479" s="1298" t="s">
        <v>34</v>
      </c>
      <c r="K479" s="1298" t="s">
        <v>34</v>
      </c>
      <c r="L479" s="1298" t="s">
        <v>34</v>
      </c>
      <c r="M479" s="1298">
        <v>2341.3000000000002</v>
      </c>
      <c r="N479" s="1301">
        <v>2012.6</v>
      </c>
      <c r="O479" s="1298" t="s">
        <v>6604</v>
      </c>
      <c r="P479" s="1298" t="s">
        <v>6164</v>
      </c>
      <c r="Q479" s="1298">
        <v>17732844980</v>
      </c>
      <c r="R479" s="1298" t="s">
        <v>6454</v>
      </c>
      <c r="S479" s="1298" t="s">
        <v>6150</v>
      </c>
      <c r="T479" s="1491"/>
    </row>
    <row r="480" spans="1:20">
      <c r="A480" s="1321"/>
      <c r="B480" s="1298" t="s">
        <v>6605</v>
      </c>
      <c r="C480" s="1298" t="s">
        <v>6606</v>
      </c>
      <c r="D480" s="1298" t="s">
        <v>888</v>
      </c>
      <c r="E480" s="1298">
        <v>133.79</v>
      </c>
      <c r="F480" s="1298"/>
      <c r="G480" s="1298" t="s">
        <v>6603</v>
      </c>
      <c r="H480" s="1298" t="s">
        <v>6146</v>
      </c>
      <c r="I480" s="1298" t="s">
        <v>179</v>
      </c>
      <c r="J480" s="1298" t="s">
        <v>34</v>
      </c>
      <c r="K480" s="1298" t="s">
        <v>34</v>
      </c>
      <c r="L480" s="1298" t="s">
        <v>34</v>
      </c>
      <c r="M480" s="1298">
        <v>4549.2</v>
      </c>
      <c r="N480" s="1301">
        <v>2012.11</v>
      </c>
      <c r="O480" s="1298" t="s">
        <v>6607</v>
      </c>
      <c r="P480" s="1298" t="s">
        <v>6164</v>
      </c>
      <c r="Q480" s="1298">
        <v>17732844980</v>
      </c>
      <c r="R480" s="1298" t="s">
        <v>6454</v>
      </c>
      <c r="S480" s="1298" t="s">
        <v>6150</v>
      </c>
      <c r="T480" s="1491"/>
    </row>
    <row r="481" spans="1:20">
      <c r="A481" s="1321"/>
      <c r="B481" s="1298" t="s">
        <v>6605</v>
      </c>
      <c r="C481" s="1298" t="s">
        <v>6606</v>
      </c>
      <c r="D481" s="1298" t="s">
        <v>888</v>
      </c>
      <c r="E481" s="1298">
        <v>267.60000000000002</v>
      </c>
      <c r="F481" s="1298"/>
      <c r="G481" s="1298" t="s">
        <v>6603</v>
      </c>
      <c r="H481" s="1298" t="s">
        <v>6146</v>
      </c>
      <c r="I481" s="1298" t="s">
        <v>179</v>
      </c>
      <c r="J481" s="1298" t="s">
        <v>34</v>
      </c>
      <c r="K481" s="1298" t="s">
        <v>34</v>
      </c>
      <c r="L481" s="1298" t="s">
        <v>34</v>
      </c>
      <c r="M481" s="1298">
        <v>2516.6999999999998</v>
      </c>
      <c r="N481" s="1301">
        <v>2009.4</v>
      </c>
      <c r="O481" s="1298" t="s">
        <v>6163</v>
      </c>
      <c r="P481" s="1298" t="s">
        <v>6164</v>
      </c>
      <c r="Q481" s="1298">
        <v>17732844980</v>
      </c>
      <c r="R481" s="1298" t="s">
        <v>6454</v>
      </c>
      <c r="S481" s="1298" t="s">
        <v>6150</v>
      </c>
      <c r="T481" s="1491"/>
    </row>
    <row r="482" spans="1:20">
      <c r="A482" s="1321"/>
      <c r="B482" s="1298" t="s">
        <v>6605</v>
      </c>
      <c r="C482" s="1298" t="s">
        <v>6608</v>
      </c>
      <c r="D482" s="1298" t="s">
        <v>888</v>
      </c>
      <c r="E482" s="1298">
        <v>138</v>
      </c>
      <c r="F482" s="1298"/>
      <c r="G482" s="1298" t="s">
        <v>6603</v>
      </c>
      <c r="H482" s="1298" t="s">
        <v>6146</v>
      </c>
      <c r="I482" s="1298" t="s">
        <v>179</v>
      </c>
      <c r="J482" s="1298" t="s">
        <v>34</v>
      </c>
      <c r="K482" s="1298" t="s">
        <v>34</v>
      </c>
      <c r="L482" s="1298" t="s">
        <v>34</v>
      </c>
      <c r="M482" s="1298">
        <v>390</v>
      </c>
      <c r="N482" s="1301">
        <v>2009.5</v>
      </c>
      <c r="O482" s="1298" t="s">
        <v>6163</v>
      </c>
      <c r="P482" s="1298" t="s">
        <v>6164</v>
      </c>
      <c r="Q482" s="1298">
        <v>17732844980</v>
      </c>
      <c r="R482" s="1298" t="s">
        <v>6454</v>
      </c>
      <c r="S482" s="1298" t="s">
        <v>6150</v>
      </c>
      <c r="T482" s="1491"/>
    </row>
    <row r="483" spans="1:20">
      <c r="A483" s="1321"/>
      <c r="B483" s="1298" t="s">
        <v>6609</v>
      </c>
      <c r="C483" s="1298" t="s">
        <v>6610</v>
      </c>
      <c r="D483" s="1298" t="s">
        <v>1218</v>
      </c>
      <c r="E483" s="1298">
        <v>1</v>
      </c>
      <c r="F483" s="1298"/>
      <c r="G483" s="1298" t="s">
        <v>6603</v>
      </c>
      <c r="H483" s="1298" t="s">
        <v>6146</v>
      </c>
      <c r="I483" s="1298" t="s">
        <v>179</v>
      </c>
      <c r="J483" s="1298" t="s">
        <v>34</v>
      </c>
      <c r="K483" s="1298" t="s">
        <v>34</v>
      </c>
      <c r="L483" s="1298" t="s">
        <v>34</v>
      </c>
      <c r="M483" s="1298">
        <v>325</v>
      </c>
      <c r="N483" s="1301">
        <v>2009.5</v>
      </c>
      <c r="O483" s="1298" t="s">
        <v>6163</v>
      </c>
      <c r="P483" s="1298" t="s">
        <v>6164</v>
      </c>
      <c r="Q483" s="1298">
        <v>17732844980</v>
      </c>
      <c r="R483" s="1298" t="s">
        <v>6454</v>
      </c>
      <c r="S483" s="1298" t="s">
        <v>6150</v>
      </c>
      <c r="T483" s="1491"/>
    </row>
    <row r="484" spans="1:20">
      <c r="A484" s="1321"/>
      <c r="B484" s="1298" t="s">
        <v>6611</v>
      </c>
      <c r="C484" s="1298" t="s">
        <v>6612</v>
      </c>
      <c r="D484" s="1298" t="s">
        <v>1218</v>
      </c>
      <c r="E484" s="1298">
        <v>4</v>
      </c>
      <c r="F484" s="1298"/>
      <c r="G484" s="1298" t="s">
        <v>6603</v>
      </c>
      <c r="H484" s="1298" t="s">
        <v>6146</v>
      </c>
      <c r="I484" s="1298" t="s">
        <v>179</v>
      </c>
      <c r="J484" s="1298" t="s">
        <v>34</v>
      </c>
      <c r="K484" s="1298" t="s">
        <v>34</v>
      </c>
      <c r="L484" s="1298" t="s">
        <v>34</v>
      </c>
      <c r="M484" s="1298">
        <v>270</v>
      </c>
      <c r="N484" s="1301">
        <v>2009.5</v>
      </c>
      <c r="O484" s="1298" t="s">
        <v>6163</v>
      </c>
      <c r="P484" s="1298" t="s">
        <v>6164</v>
      </c>
      <c r="Q484" s="1298">
        <v>17732844980</v>
      </c>
      <c r="R484" s="1298" t="s">
        <v>6454</v>
      </c>
      <c r="S484" s="1298" t="s">
        <v>6150</v>
      </c>
      <c r="T484" s="1491"/>
    </row>
    <row r="485" spans="1:20">
      <c r="A485" s="1321"/>
      <c r="B485" s="1298" t="s">
        <v>6609</v>
      </c>
      <c r="C485" s="1298" t="s">
        <v>6613</v>
      </c>
      <c r="D485" s="1298" t="s">
        <v>1218</v>
      </c>
      <c r="E485" s="1298">
        <v>1</v>
      </c>
      <c r="F485" s="1298"/>
      <c r="G485" s="1298" t="s">
        <v>32</v>
      </c>
      <c r="H485" s="1298" t="s">
        <v>6146</v>
      </c>
      <c r="I485" s="1298" t="s">
        <v>179</v>
      </c>
      <c r="J485" s="1298" t="s">
        <v>34</v>
      </c>
      <c r="K485" s="1298" t="s">
        <v>34</v>
      </c>
      <c r="L485" s="1298" t="s">
        <v>34</v>
      </c>
      <c r="M485" s="1298">
        <v>14056.8</v>
      </c>
      <c r="N485" s="1301">
        <v>2017.02</v>
      </c>
      <c r="O485" s="1298" t="s">
        <v>6614</v>
      </c>
      <c r="P485" s="1298" t="s">
        <v>6164</v>
      </c>
      <c r="Q485" s="1298">
        <v>17732844980</v>
      </c>
      <c r="R485" s="1298" t="s">
        <v>6454</v>
      </c>
      <c r="S485" s="1298" t="s">
        <v>6150</v>
      </c>
      <c r="T485" s="1491"/>
    </row>
    <row r="486" spans="1:20">
      <c r="A486" s="1321"/>
      <c r="B486" s="1298" t="s">
        <v>6605</v>
      </c>
      <c r="C486" s="1298" t="s">
        <v>6615</v>
      </c>
      <c r="D486" s="1298" t="s">
        <v>888</v>
      </c>
      <c r="E486" s="1298">
        <v>472.5</v>
      </c>
      <c r="F486" s="1298"/>
      <c r="G486" s="1298" t="s">
        <v>32</v>
      </c>
      <c r="H486" s="1298" t="s">
        <v>6146</v>
      </c>
      <c r="I486" s="1298" t="s">
        <v>179</v>
      </c>
      <c r="J486" s="1298" t="s">
        <v>34</v>
      </c>
      <c r="K486" s="1298" t="s">
        <v>34</v>
      </c>
      <c r="L486" s="1298" t="s">
        <v>6398</v>
      </c>
      <c r="M486" s="1298">
        <v>885.5</v>
      </c>
      <c r="N486" s="1301">
        <v>2017.12</v>
      </c>
      <c r="O486" s="1298" t="s">
        <v>6180</v>
      </c>
      <c r="P486" s="1298" t="s">
        <v>6164</v>
      </c>
      <c r="Q486" s="1298">
        <v>17732844980</v>
      </c>
      <c r="R486" s="1298" t="s">
        <v>6454</v>
      </c>
      <c r="S486" s="1298" t="s">
        <v>6150</v>
      </c>
      <c r="T486" s="1491"/>
    </row>
    <row r="487" spans="1:20">
      <c r="A487" s="1321"/>
      <c r="B487" s="1298" t="s">
        <v>6605</v>
      </c>
      <c r="C487" s="1298" t="s">
        <v>6606</v>
      </c>
      <c r="D487" s="1298" t="s">
        <v>888</v>
      </c>
      <c r="E487" s="1298">
        <v>77</v>
      </c>
      <c r="F487" s="1298">
        <v>77</v>
      </c>
      <c r="G487" s="1298" t="s">
        <v>32</v>
      </c>
      <c r="H487" s="1298" t="s">
        <v>6146</v>
      </c>
      <c r="I487" s="1298" t="s">
        <v>179</v>
      </c>
      <c r="J487" s="1298" t="s">
        <v>34</v>
      </c>
      <c r="K487" s="1298" t="s">
        <v>34</v>
      </c>
      <c r="L487" s="1298" t="s">
        <v>34</v>
      </c>
      <c r="M487" s="1298">
        <v>1715</v>
      </c>
      <c r="N487" s="1301">
        <v>2018.7</v>
      </c>
      <c r="O487" s="1298" t="s">
        <v>6180</v>
      </c>
      <c r="P487" s="1298" t="s">
        <v>6164</v>
      </c>
      <c r="Q487" s="1298">
        <v>17732844980</v>
      </c>
      <c r="R487" s="1298" t="s">
        <v>6454</v>
      </c>
      <c r="S487" s="1298" t="s">
        <v>6150</v>
      </c>
      <c r="T487" s="1491"/>
    </row>
    <row r="488" spans="1:20">
      <c r="A488" s="1321"/>
      <c r="B488" s="1298" t="s">
        <v>3291</v>
      </c>
      <c r="C488" s="1298"/>
      <c r="D488" s="1298" t="s">
        <v>888</v>
      </c>
      <c r="E488" s="1298">
        <v>217.5</v>
      </c>
      <c r="F488" s="1298" t="s">
        <v>34</v>
      </c>
      <c r="G488" s="1298" t="s">
        <v>32</v>
      </c>
      <c r="H488" s="1298" t="s">
        <v>33</v>
      </c>
      <c r="I488" s="1298" t="s">
        <v>179</v>
      </c>
      <c r="J488" s="1298" t="s">
        <v>34</v>
      </c>
      <c r="K488" s="1298" t="s">
        <v>34</v>
      </c>
      <c r="L488" s="1298" t="s">
        <v>34</v>
      </c>
      <c r="M488" s="1298">
        <v>2555.6</v>
      </c>
      <c r="N488" s="1298">
        <v>2018.7</v>
      </c>
      <c r="O488" s="1298" t="s">
        <v>6180</v>
      </c>
      <c r="P488" s="1298" t="s">
        <v>6164</v>
      </c>
      <c r="Q488" s="1298">
        <v>17732844981</v>
      </c>
      <c r="R488" s="1298" t="s">
        <v>6455</v>
      </c>
      <c r="S488" s="1298" t="s">
        <v>6056</v>
      </c>
      <c r="T488" s="1491"/>
    </row>
    <row r="489" spans="1:20">
      <c r="A489" s="1321"/>
      <c r="B489" s="1298" t="s">
        <v>3291</v>
      </c>
      <c r="C489" s="1298"/>
      <c r="D489" s="1298" t="s">
        <v>888</v>
      </c>
      <c r="E489" s="1298">
        <v>552.5</v>
      </c>
      <c r="F489" s="1298" t="s">
        <v>34</v>
      </c>
      <c r="G489" s="1298" t="s">
        <v>32</v>
      </c>
      <c r="H489" s="1298" t="s">
        <v>33</v>
      </c>
      <c r="I489" s="1298" t="s">
        <v>179</v>
      </c>
      <c r="J489" s="1298" t="s">
        <v>34</v>
      </c>
      <c r="K489" s="1298" t="s">
        <v>34</v>
      </c>
      <c r="L489" s="1298" t="s">
        <v>34</v>
      </c>
      <c r="M489" s="1298">
        <v>6491.8</v>
      </c>
      <c r="N489" s="1298">
        <v>2018.7</v>
      </c>
      <c r="O489" s="1298" t="s">
        <v>6180</v>
      </c>
      <c r="P489" s="1298" t="s">
        <v>6164</v>
      </c>
      <c r="Q489" s="1298">
        <v>17732844982</v>
      </c>
      <c r="R489" s="1298" t="s">
        <v>6455</v>
      </c>
      <c r="S489" s="1298" t="s">
        <v>6056</v>
      </c>
      <c r="T489" s="1491"/>
    </row>
    <row r="490" spans="1:20">
      <c r="A490" s="1321"/>
      <c r="B490" s="1298" t="s">
        <v>1573</v>
      </c>
      <c r="C490" s="1298"/>
      <c r="D490" s="1298" t="s">
        <v>603</v>
      </c>
      <c r="E490" s="1298">
        <v>1600</v>
      </c>
      <c r="F490" s="1298" t="s">
        <v>34</v>
      </c>
      <c r="G490" s="1298" t="s">
        <v>32</v>
      </c>
      <c r="H490" s="1298" t="s">
        <v>33</v>
      </c>
      <c r="I490" s="1298" t="s">
        <v>179</v>
      </c>
      <c r="J490" s="1298" t="s">
        <v>34</v>
      </c>
      <c r="K490" s="1298" t="s">
        <v>34</v>
      </c>
      <c r="L490" s="1298" t="s">
        <v>34</v>
      </c>
      <c r="M490" s="1298">
        <v>2240</v>
      </c>
      <c r="N490" s="1298">
        <v>2018.7</v>
      </c>
      <c r="O490" s="1298" t="s">
        <v>6180</v>
      </c>
      <c r="P490" s="1298" t="s">
        <v>6164</v>
      </c>
      <c r="Q490" s="1298">
        <v>17732844983</v>
      </c>
      <c r="R490" s="1298" t="s">
        <v>6455</v>
      </c>
      <c r="S490" s="1298" t="s">
        <v>6056</v>
      </c>
      <c r="T490" s="1491"/>
    </row>
    <row r="491" spans="1:20">
      <c r="A491" s="1321"/>
      <c r="B491" s="1298" t="s">
        <v>1573</v>
      </c>
      <c r="C491" s="1298"/>
      <c r="D491" s="1298" t="s">
        <v>603</v>
      </c>
      <c r="E491" s="1298">
        <v>1600</v>
      </c>
      <c r="F491" s="1298" t="s">
        <v>34</v>
      </c>
      <c r="G491" s="1298" t="s">
        <v>32</v>
      </c>
      <c r="H491" s="1298" t="s">
        <v>33</v>
      </c>
      <c r="I491" s="1298" t="s">
        <v>179</v>
      </c>
      <c r="J491" s="1298" t="s">
        <v>34</v>
      </c>
      <c r="K491" s="1298" t="s">
        <v>34</v>
      </c>
      <c r="L491" s="1298" t="s">
        <v>34</v>
      </c>
      <c r="M491" s="1298">
        <v>4800</v>
      </c>
      <c r="N491" s="1298">
        <v>2018.7</v>
      </c>
      <c r="O491" s="1298" t="s">
        <v>6180</v>
      </c>
      <c r="P491" s="1298" t="s">
        <v>6164</v>
      </c>
      <c r="Q491" s="1298">
        <v>17732844984</v>
      </c>
      <c r="R491" s="1298" t="s">
        <v>6455</v>
      </c>
      <c r="S491" s="1298" t="s">
        <v>6056</v>
      </c>
      <c r="T491" s="1491"/>
    </row>
    <row r="492" spans="1:20">
      <c r="A492" s="1321"/>
      <c r="B492" s="1452" t="s">
        <v>6616</v>
      </c>
      <c r="C492" s="1452" t="s">
        <v>6617</v>
      </c>
      <c r="D492" s="1452" t="s">
        <v>6618</v>
      </c>
      <c r="E492" s="1452">
        <v>1</v>
      </c>
      <c r="F492" s="1452">
        <v>1</v>
      </c>
      <c r="G492" s="1452" t="s">
        <v>32</v>
      </c>
      <c r="H492" s="1298" t="s">
        <v>33</v>
      </c>
      <c r="I492" s="1298" t="s">
        <v>179</v>
      </c>
      <c r="J492" s="1298" t="s">
        <v>34</v>
      </c>
      <c r="K492" s="1298" t="s">
        <v>34</v>
      </c>
      <c r="L492" s="1298" t="s">
        <v>34</v>
      </c>
      <c r="M492" s="1452">
        <v>277.75</v>
      </c>
      <c r="N492" s="1452">
        <v>2020.12</v>
      </c>
      <c r="O492" s="1298" t="s">
        <v>6619</v>
      </c>
      <c r="P492" s="1467" t="s">
        <v>6164</v>
      </c>
      <c r="Q492" s="1310">
        <v>17732844980</v>
      </c>
      <c r="R492" s="1298" t="s">
        <v>6455</v>
      </c>
      <c r="S492" s="1298" t="s">
        <v>6056</v>
      </c>
      <c r="T492" s="1491"/>
    </row>
    <row r="493" spans="1:20">
      <c r="A493" s="1321"/>
      <c r="B493" s="1452" t="s">
        <v>6620</v>
      </c>
      <c r="C493" s="1452" t="s">
        <v>6621</v>
      </c>
      <c r="D493" s="1452" t="s">
        <v>6618</v>
      </c>
      <c r="E493" s="1452">
        <v>1</v>
      </c>
      <c r="F493" s="1452">
        <v>1</v>
      </c>
      <c r="G493" s="1452" t="s">
        <v>32</v>
      </c>
      <c r="H493" s="1298" t="s">
        <v>33</v>
      </c>
      <c r="I493" s="1298" t="s">
        <v>179</v>
      </c>
      <c r="J493" s="1298" t="s">
        <v>34</v>
      </c>
      <c r="K493" s="1298" t="s">
        <v>34</v>
      </c>
      <c r="L493" s="1298" t="s">
        <v>34</v>
      </c>
      <c r="M493" s="1452">
        <v>176.75</v>
      </c>
      <c r="N493" s="1452">
        <v>2020.12</v>
      </c>
      <c r="O493" s="1298" t="s">
        <v>6619</v>
      </c>
      <c r="P493" s="1467" t="s">
        <v>6164</v>
      </c>
      <c r="Q493" s="1310">
        <v>17732844980</v>
      </c>
      <c r="R493" s="1298" t="s">
        <v>6455</v>
      </c>
      <c r="S493" s="1298" t="s">
        <v>6056</v>
      </c>
      <c r="T493" s="1491"/>
    </row>
    <row r="494" spans="1:20">
      <c r="A494" s="1321"/>
      <c r="B494" s="1452" t="s">
        <v>6622</v>
      </c>
      <c r="C494" s="1452" t="s">
        <v>6623</v>
      </c>
      <c r="D494" s="1452" t="s">
        <v>6618</v>
      </c>
      <c r="E494" s="1452">
        <v>1</v>
      </c>
      <c r="F494" s="1452">
        <v>1</v>
      </c>
      <c r="G494" s="1452" t="s">
        <v>32</v>
      </c>
      <c r="H494" s="1298" t="s">
        <v>33</v>
      </c>
      <c r="I494" s="1298" t="s">
        <v>179</v>
      </c>
      <c r="J494" s="1298" t="s">
        <v>34</v>
      </c>
      <c r="K494" s="1298" t="s">
        <v>34</v>
      </c>
      <c r="L494" s="1298" t="s">
        <v>34</v>
      </c>
      <c r="M494" s="1452">
        <v>191.9</v>
      </c>
      <c r="N494" s="1452">
        <v>2020.12</v>
      </c>
      <c r="O494" s="1298" t="s">
        <v>6619</v>
      </c>
      <c r="P494" s="1467" t="s">
        <v>6164</v>
      </c>
      <c r="Q494" s="1310">
        <v>17732844980</v>
      </c>
      <c r="R494" s="1298" t="s">
        <v>6455</v>
      </c>
      <c r="S494" s="1298" t="s">
        <v>6056</v>
      </c>
      <c r="T494" s="1491"/>
    </row>
    <row r="495" spans="1:20">
      <c r="A495" s="1321"/>
      <c r="B495" s="1298" t="s">
        <v>1367</v>
      </c>
      <c r="C495" s="1298"/>
      <c r="D495" s="1298" t="s">
        <v>888</v>
      </c>
      <c r="E495" s="1298">
        <v>337.08</v>
      </c>
      <c r="F495" s="1298" t="s">
        <v>34</v>
      </c>
      <c r="G495" s="1298" t="s">
        <v>6624</v>
      </c>
      <c r="H495" s="1298" t="s">
        <v>6146</v>
      </c>
      <c r="I495" s="1298" t="s">
        <v>179</v>
      </c>
      <c r="J495" s="1298" t="s">
        <v>34</v>
      </c>
      <c r="K495" s="1298" t="s">
        <v>34</v>
      </c>
      <c r="L495" s="1298"/>
      <c r="M495" s="1298" t="s">
        <v>34</v>
      </c>
      <c r="N495" s="1306">
        <v>38869</v>
      </c>
      <c r="O495" s="1298" t="s">
        <v>6625</v>
      </c>
      <c r="P495" s="1298" t="s">
        <v>6066</v>
      </c>
      <c r="Q495" s="1298">
        <v>18632146158</v>
      </c>
      <c r="R495" s="1298" t="s">
        <v>6458</v>
      </c>
      <c r="S495" s="1298" t="s">
        <v>6150</v>
      </c>
      <c r="T495" s="1491"/>
    </row>
    <row r="496" spans="1:20">
      <c r="A496" s="1321"/>
      <c r="B496" s="1298" t="s">
        <v>1367</v>
      </c>
      <c r="C496" s="1298"/>
      <c r="D496" s="1298" t="s">
        <v>888</v>
      </c>
      <c r="E496" s="1298">
        <v>337.08</v>
      </c>
      <c r="F496" s="1298" t="s">
        <v>34</v>
      </c>
      <c r="G496" s="1298" t="s">
        <v>6624</v>
      </c>
      <c r="H496" s="1298" t="s">
        <v>6146</v>
      </c>
      <c r="I496" s="1298" t="s">
        <v>179</v>
      </c>
      <c r="J496" s="1298" t="s">
        <v>34</v>
      </c>
      <c r="K496" s="1298" t="s">
        <v>34</v>
      </c>
      <c r="L496" s="1298" t="s">
        <v>34</v>
      </c>
      <c r="M496" s="1298" t="s">
        <v>34</v>
      </c>
      <c r="N496" s="1306">
        <v>38869</v>
      </c>
      <c r="O496" s="1298" t="s">
        <v>6626</v>
      </c>
      <c r="P496" s="1298" t="s">
        <v>6066</v>
      </c>
      <c r="Q496" s="1298">
        <v>18632146158</v>
      </c>
      <c r="R496" s="1298" t="s">
        <v>6458</v>
      </c>
      <c r="S496" s="1298" t="s">
        <v>6150</v>
      </c>
      <c r="T496" s="1491"/>
    </row>
    <row r="497" spans="1:20">
      <c r="A497" s="1321"/>
      <c r="B497" s="1298" t="s">
        <v>1292</v>
      </c>
      <c r="C497" s="1298"/>
      <c r="D497" s="1298" t="s">
        <v>1193</v>
      </c>
      <c r="E497" s="1298">
        <v>1500</v>
      </c>
      <c r="F497" s="1298">
        <v>1500</v>
      </c>
      <c r="G497" s="1298" t="s">
        <v>6624</v>
      </c>
      <c r="H497" s="1298" t="s">
        <v>6146</v>
      </c>
      <c r="I497" s="1298" t="s">
        <v>179</v>
      </c>
      <c r="J497" s="1298" t="s">
        <v>34</v>
      </c>
      <c r="K497" s="1298" t="s">
        <v>34</v>
      </c>
      <c r="L497" s="1298" t="s">
        <v>34</v>
      </c>
      <c r="M497" s="1298">
        <v>92925</v>
      </c>
      <c r="N497" s="1301">
        <v>41609</v>
      </c>
      <c r="O497" s="1298" t="s">
        <v>6226</v>
      </c>
      <c r="P497" s="1298" t="s">
        <v>6227</v>
      </c>
      <c r="Q497" s="1298">
        <v>15032068666</v>
      </c>
      <c r="R497" s="1298" t="s">
        <v>6226</v>
      </c>
      <c r="S497" s="1298" t="s">
        <v>6150</v>
      </c>
      <c r="T497" s="1491"/>
    </row>
    <row r="498" spans="1:20">
      <c r="A498" s="1321"/>
      <c r="B498" s="1298" t="s">
        <v>1412</v>
      </c>
      <c r="C498" s="1298"/>
      <c r="D498" s="1298" t="s">
        <v>1193</v>
      </c>
      <c r="E498" s="1298">
        <v>300</v>
      </c>
      <c r="F498" s="1298">
        <v>300</v>
      </c>
      <c r="G498" s="1298" t="s">
        <v>6624</v>
      </c>
      <c r="H498" s="1298" t="s">
        <v>6146</v>
      </c>
      <c r="I498" s="1298" t="s">
        <v>179</v>
      </c>
      <c r="J498" s="1298" t="s">
        <v>34</v>
      </c>
      <c r="K498" s="1298" t="s">
        <v>34</v>
      </c>
      <c r="L498" s="1298" t="s">
        <v>34</v>
      </c>
      <c r="M498" s="1298">
        <v>8190</v>
      </c>
      <c r="N498" s="1301">
        <v>41699</v>
      </c>
      <c r="O498" s="1298" t="s">
        <v>6226</v>
      </c>
      <c r="P498" s="1298" t="s">
        <v>6227</v>
      </c>
      <c r="Q498" s="1298">
        <v>15032068666</v>
      </c>
      <c r="R498" s="1298" t="s">
        <v>6226</v>
      </c>
      <c r="S498" s="1298" t="s">
        <v>6150</v>
      </c>
      <c r="T498" s="1491"/>
    </row>
    <row r="499" spans="1:20">
      <c r="A499" s="1321"/>
      <c r="B499" s="1298" t="s">
        <v>1292</v>
      </c>
      <c r="C499" s="1298"/>
      <c r="D499" s="1298" t="s">
        <v>1193</v>
      </c>
      <c r="E499" s="1298">
        <v>260.3</v>
      </c>
      <c r="F499" s="1298">
        <v>260.3</v>
      </c>
      <c r="G499" s="1298" t="s">
        <v>6624</v>
      </c>
      <c r="H499" s="1298" t="s">
        <v>6146</v>
      </c>
      <c r="I499" s="1298" t="s">
        <v>179</v>
      </c>
      <c r="J499" s="1298" t="s">
        <v>34</v>
      </c>
      <c r="K499" s="1298" t="s">
        <v>34</v>
      </c>
      <c r="L499" s="1298" t="s">
        <v>34</v>
      </c>
      <c r="M499" s="1298">
        <v>16124.22</v>
      </c>
      <c r="N499" s="1301">
        <v>41730</v>
      </c>
      <c r="O499" s="1298" t="s">
        <v>6226</v>
      </c>
      <c r="P499" s="1298" t="s">
        <v>6227</v>
      </c>
      <c r="Q499" s="1298">
        <v>15032068666</v>
      </c>
      <c r="R499" s="1298" t="s">
        <v>6226</v>
      </c>
      <c r="S499" s="1298" t="s">
        <v>6150</v>
      </c>
      <c r="T499" s="1491"/>
    </row>
    <row r="500" spans="1:20">
      <c r="A500" s="1321"/>
      <c r="B500" s="1298" t="s">
        <v>3317</v>
      </c>
      <c r="C500" s="1298"/>
      <c r="D500" s="1298" t="s">
        <v>1193</v>
      </c>
      <c r="E500" s="1298">
        <v>100</v>
      </c>
      <c r="F500" s="1298">
        <v>100</v>
      </c>
      <c r="G500" s="1298" t="s">
        <v>6624</v>
      </c>
      <c r="H500" s="1298" t="s">
        <v>6146</v>
      </c>
      <c r="I500" s="1298" t="s">
        <v>179</v>
      </c>
      <c r="J500" s="1298" t="s">
        <v>34</v>
      </c>
      <c r="K500" s="1298" t="s">
        <v>34</v>
      </c>
      <c r="L500" s="1298" t="s">
        <v>6398</v>
      </c>
      <c r="M500" s="1298">
        <v>2310</v>
      </c>
      <c r="N500" s="1301">
        <v>41730</v>
      </c>
      <c r="O500" s="1298" t="s">
        <v>6226</v>
      </c>
      <c r="P500" s="1298" t="s">
        <v>6227</v>
      </c>
      <c r="Q500" s="1298">
        <v>15032068666</v>
      </c>
      <c r="R500" s="1298" t="s">
        <v>6226</v>
      </c>
      <c r="S500" s="1298" t="s">
        <v>6150</v>
      </c>
      <c r="T500" s="1491"/>
    </row>
    <row r="501" spans="1:20">
      <c r="A501" s="1321"/>
      <c r="B501" s="1298" t="s">
        <v>1367</v>
      </c>
      <c r="C501" s="1298"/>
      <c r="D501" s="1298" t="s">
        <v>888</v>
      </c>
      <c r="E501" s="1298">
        <v>397.44</v>
      </c>
      <c r="F501" s="1298">
        <v>397.44</v>
      </c>
      <c r="G501" s="1298" t="s">
        <v>6624</v>
      </c>
      <c r="H501" s="1298" t="s">
        <v>6146</v>
      </c>
      <c r="I501" s="1298" t="s">
        <v>179</v>
      </c>
      <c r="J501" s="1298" t="s">
        <v>34</v>
      </c>
      <c r="K501" s="1298" t="s">
        <v>34</v>
      </c>
      <c r="L501" s="1298" t="s">
        <v>34</v>
      </c>
      <c r="M501" s="1298">
        <v>26012.43</v>
      </c>
      <c r="N501" s="1301">
        <v>42705</v>
      </c>
      <c r="O501" s="1298" t="s">
        <v>6226</v>
      </c>
      <c r="P501" s="1298" t="s">
        <v>6227</v>
      </c>
      <c r="Q501" s="1298">
        <v>15032068666</v>
      </c>
      <c r="R501" s="1298" t="s">
        <v>6226</v>
      </c>
      <c r="S501" s="1298" t="s">
        <v>6150</v>
      </c>
      <c r="T501" s="1491"/>
    </row>
    <row r="502" spans="1:20">
      <c r="A502" s="1321"/>
      <c r="B502" s="1298" t="s">
        <v>1367</v>
      </c>
      <c r="C502" s="1298"/>
      <c r="D502" s="1298" t="s">
        <v>888</v>
      </c>
      <c r="E502" s="1298">
        <v>72.17</v>
      </c>
      <c r="F502" s="1298">
        <v>72.17</v>
      </c>
      <c r="G502" s="1298" t="s">
        <v>6624</v>
      </c>
      <c r="H502" s="1298" t="s">
        <v>6146</v>
      </c>
      <c r="I502" s="1298" t="s">
        <v>179</v>
      </c>
      <c r="J502" s="1298" t="s">
        <v>34</v>
      </c>
      <c r="K502" s="1298" t="s">
        <v>34</v>
      </c>
      <c r="L502" s="1298" t="s">
        <v>34</v>
      </c>
      <c r="M502" s="1298">
        <v>4882.25</v>
      </c>
      <c r="N502" s="1301">
        <v>42706</v>
      </c>
      <c r="O502" s="1298" t="s">
        <v>6226</v>
      </c>
      <c r="P502" s="1298" t="s">
        <v>6227</v>
      </c>
      <c r="Q502" s="1298">
        <v>15032068666</v>
      </c>
      <c r="R502" s="1298" t="s">
        <v>6226</v>
      </c>
      <c r="S502" s="1298" t="s">
        <v>6150</v>
      </c>
      <c r="T502" s="1491"/>
    </row>
    <row r="503" spans="1:20">
      <c r="A503" s="1321"/>
      <c r="B503" s="1298" t="s">
        <v>1367</v>
      </c>
      <c r="C503" s="1298"/>
      <c r="D503" s="1298" t="s">
        <v>888</v>
      </c>
      <c r="E503" s="1298">
        <v>50</v>
      </c>
      <c r="F503" s="1298">
        <v>50</v>
      </c>
      <c r="G503" s="1298" t="s">
        <v>6624</v>
      </c>
      <c r="H503" s="1298" t="s">
        <v>6146</v>
      </c>
      <c r="I503" s="1298" t="s">
        <v>179</v>
      </c>
      <c r="J503" s="1298" t="s">
        <v>34</v>
      </c>
      <c r="K503" s="1298" t="s">
        <v>34</v>
      </c>
      <c r="L503" s="1298" t="s">
        <v>34</v>
      </c>
      <c r="M503" s="1298">
        <v>3097.5</v>
      </c>
      <c r="N503" s="1301">
        <v>42523</v>
      </c>
      <c r="O503" s="1298" t="s">
        <v>6226</v>
      </c>
      <c r="P503" s="1298" t="s">
        <v>6227</v>
      </c>
      <c r="Q503" s="1298">
        <v>15032068666</v>
      </c>
      <c r="R503" s="1298" t="s">
        <v>6226</v>
      </c>
      <c r="S503" s="1298" t="s">
        <v>6150</v>
      </c>
      <c r="T503" s="1491"/>
    </row>
    <row r="504" spans="1:20" s="1292" customFormat="1" ht="20.100000000000001" customHeight="1">
      <c r="A504" s="1290"/>
      <c r="B504" s="1298" t="s">
        <v>1391</v>
      </c>
      <c r="C504" s="1298" t="s">
        <v>6627</v>
      </c>
      <c r="D504" s="1298" t="s">
        <v>3061</v>
      </c>
      <c r="E504" s="1298">
        <v>894</v>
      </c>
      <c r="F504" s="1298" t="s">
        <v>34</v>
      </c>
      <c r="G504" s="1298" t="s">
        <v>72</v>
      </c>
      <c r="H504" s="1298" t="s">
        <v>6146</v>
      </c>
      <c r="I504" s="1298" t="s">
        <v>179</v>
      </c>
      <c r="J504" s="1298" t="s">
        <v>34</v>
      </c>
      <c r="K504" s="1298" t="s">
        <v>34</v>
      </c>
      <c r="L504" s="1298" t="s">
        <v>34</v>
      </c>
      <c r="M504" s="1298">
        <v>0</v>
      </c>
      <c r="N504" s="1301" t="s">
        <v>6628</v>
      </c>
      <c r="O504" s="1298" t="s">
        <v>6438</v>
      </c>
      <c r="P504" s="1298" t="s">
        <v>6175</v>
      </c>
      <c r="Q504" s="1298">
        <v>13930162225</v>
      </c>
      <c r="R504" s="1298" t="s">
        <v>6439</v>
      </c>
      <c r="S504" s="1298" t="s">
        <v>6150</v>
      </c>
      <c r="T504" s="1297"/>
    </row>
    <row r="505" spans="1:20" s="1292" customFormat="1" ht="20.100000000000001" customHeight="1">
      <c r="A505" s="1290"/>
      <c r="B505" s="1298" t="s">
        <v>1391</v>
      </c>
      <c r="C505" s="1298" t="s">
        <v>6629</v>
      </c>
      <c r="D505" s="1298" t="s">
        <v>3061</v>
      </c>
      <c r="E505" s="1298">
        <v>150</v>
      </c>
      <c r="F505" s="1298" t="s">
        <v>34</v>
      </c>
      <c r="G505" s="1298" t="s">
        <v>72</v>
      </c>
      <c r="H505" s="1298" t="s">
        <v>6146</v>
      </c>
      <c r="I505" s="1298" t="s">
        <v>179</v>
      </c>
      <c r="J505" s="1298" t="s">
        <v>34</v>
      </c>
      <c r="K505" s="1298" t="s">
        <v>34</v>
      </c>
      <c r="L505" s="1298" t="s">
        <v>34</v>
      </c>
      <c r="M505" s="1298">
        <v>0</v>
      </c>
      <c r="N505" s="1493" t="s">
        <v>6628</v>
      </c>
      <c r="O505" s="1298" t="s">
        <v>6438</v>
      </c>
      <c r="P505" s="1298" t="s">
        <v>6175</v>
      </c>
      <c r="Q505" s="1298">
        <v>13930162225</v>
      </c>
      <c r="R505" s="1298" t="s">
        <v>6439</v>
      </c>
      <c r="S505" s="1298" t="s">
        <v>6150</v>
      </c>
      <c r="T505" s="1297"/>
    </row>
    <row r="506" spans="1:20" s="1292" customFormat="1" ht="20.100000000000001" customHeight="1">
      <c r="A506" s="1290"/>
      <c r="B506" s="1467" t="s">
        <v>3291</v>
      </c>
      <c r="C506" s="1494"/>
      <c r="D506" s="1495" t="s">
        <v>1369</v>
      </c>
      <c r="E506" s="1307">
        <v>1500</v>
      </c>
      <c r="F506" s="1496"/>
      <c r="G506" s="1308" t="s">
        <v>32</v>
      </c>
      <c r="H506" s="1309" t="s">
        <v>33</v>
      </c>
      <c r="I506" s="1310" t="s">
        <v>34</v>
      </c>
      <c r="J506" s="1310"/>
      <c r="K506" s="1310" t="s">
        <v>6630</v>
      </c>
      <c r="L506" s="1373">
        <v>262831.86</v>
      </c>
      <c r="M506" s="1373">
        <f>L506-70088.5*2</f>
        <v>122654.85999999999</v>
      </c>
      <c r="N506" s="1497">
        <v>2020.07</v>
      </c>
      <c r="O506" s="1308" t="s">
        <v>1766</v>
      </c>
      <c r="P506" s="1312" t="s">
        <v>6081</v>
      </c>
      <c r="Q506" s="1312">
        <v>15735090699</v>
      </c>
      <c r="R506" s="1308" t="s">
        <v>1766</v>
      </c>
      <c r="S506" s="1313" t="s">
        <v>6056</v>
      </c>
      <c r="T506" s="1496"/>
    </row>
    <row r="507" spans="1:20" s="1292" customFormat="1" ht="20.100000000000001" customHeight="1">
      <c r="A507" s="1290"/>
      <c r="B507" s="1458" t="s">
        <v>6631</v>
      </c>
      <c r="C507" s="1498"/>
      <c r="D507" s="1323" t="s">
        <v>1369</v>
      </c>
      <c r="E507" s="1499">
        <v>76.5</v>
      </c>
      <c r="F507" s="1491"/>
      <c r="G507" s="1308" t="s">
        <v>32</v>
      </c>
      <c r="H507" s="1462" t="s">
        <v>33</v>
      </c>
      <c r="I507" s="1463" t="s">
        <v>34</v>
      </c>
      <c r="J507" s="1463"/>
      <c r="K507" s="1463" t="s">
        <v>6632</v>
      </c>
      <c r="L507" s="1500">
        <v>33172.57</v>
      </c>
      <c r="M507" s="1373">
        <f>L507-8846.02*3</f>
        <v>6634.5099999999984</v>
      </c>
      <c r="N507" s="1324">
        <v>2019.12</v>
      </c>
      <c r="O507" s="1308" t="s">
        <v>1766</v>
      </c>
      <c r="P507" s="1312" t="s">
        <v>6081</v>
      </c>
      <c r="Q507" s="1312">
        <v>15735090699</v>
      </c>
      <c r="R507" s="1308" t="s">
        <v>1766</v>
      </c>
      <c r="S507" s="1313" t="s">
        <v>6056</v>
      </c>
      <c r="T507" s="1297"/>
    </row>
    <row r="508" spans="1:20" s="1292" customFormat="1" ht="20.100000000000001" customHeight="1">
      <c r="A508" s="1290">
        <v>4</v>
      </c>
      <c r="B508" s="1298" t="s">
        <v>6633</v>
      </c>
      <c r="C508" s="1298"/>
      <c r="D508" s="1298"/>
      <c r="E508" s="1298"/>
      <c r="F508" s="1298"/>
      <c r="G508" s="1298"/>
      <c r="H508" s="1298"/>
      <c r="I508" s="1298"/>
      <c r="J508" s="1298"/>
      <c r="K508" s="1298"/>
      <c r="L508" s="1298"/>
      <c r="M508" s="1303"/>
      <c r="N508" s="1493"/>
      <c r="O508" s="1303"/>
      <c r="P508" s="1303"/>
      <c r="Q508" s="1303"/>
      <c r="R508" s="1303"/>
      <c r="S508" s="1298"/>
      <c r="T508" s="1297"/>
    </row>
    <row r="509" spans="1:20" s="1292" customFormat="1" ht="20.100000000000001" customHeight="1">
      <c r="A509" s="1290"/>
      <c r="B509" s="1298" t="s">
        <v>6634</v>
      </c>
      <c r="C509" s="1298" t="s">
        <v>6635</v>
      </c>
      <c r="D509" s="1298" t="s">
        <v>131</v>
      </c>
      <c r="E509" s="1298">
        <v>4</v>
      </c>
      <c r="F509" s="1298"/>
      <c r="G509" s="1298" t="s">
        <v>32</v>
      </c>
      <c r="H509" s="1462" t="s">
        <v>33</v>
      </c>
      <c r="I509" s="1463" t="s">
        <v>34</v>
      </c>
      <c r="J509" s="1298" t="s">
        <v>34</v>
      </c>
      <c r="K509" s="1298" t="s">
        <v>34</v>
      </c>
      <c r="L509" s="1373">
        <v>704000</v>
      </c>
      <c r="M509" s="1373">
        <v>704000</v>
      </c>
      <c r="N509" s="1373">
        <v>2020.01</v>
      </c>
      <c r="O509" s="1312" t="s">
        <v>6636</v>
      </c>
      <c r="P509" s="1312" t="s">
        <v>6637</v>
      </c>
      <c r="Q509" s="1312">
        <v>18656331699</v>
      </c>
      <c r="R509" s="1302" t="s">
        <v>6638</v>
      </c>
      <c r="S509" s="1298" t="s">
        <v>6150</v>
      </c>
      <c r="T509" s="1297"/>
    </row>
    <row r="510" spans="1:20" s="1292" customFormat="1" ht="20.100000000000001" customHeight="1">
      <c r="A510" s="1290"/>
      <c r="B510" s="1298" t="s">
        <v>6634</v>
      </c>
      <c r="C510" s="1298" t="s">
        <v>723</v>
      </c>
      <c r="D510" s="1298" t="s">
        <v>131</v>
      </c>
      <c r="E510" s="1298">
        <v>2</v>
      </c>
      <c r="F510" s="1298"/>
      <c r="G510" s="1298" t="s">
        <v>32</v>
      </c>
      <c r="H510" s="1462" t="s">
        <v>33</v>
      </c>
      <c r="I510" s="1463" t="s">
        <v>34</v>
      </c>
      <c r="J510" s="1298" t="s">
        <v>34</v>
      </c>
      <c r="K510" s="1298" t="s">
        <v>34</v>
      </c>
      <c r="L510" s="1373">
        <v>127433.62</v>
      </c>
      <c r="M510" s="1373">
        <v>94938.08</v>
      </c>
      <c r="N510" s="1373">
        <v>2020.03</v>
      </c>
      <c r="O510" s="1312" t="s">
        <v>6639</v>
      </c>
      <c r="P510" s="1312" t="s">
        <v>6637</v>
      </c>
      <c r="Q510" s="1312">
        <v>18656331699</v>
      </c>
      <c r="R510" s="1302" t="s">
        <v>6638</v>
      </c>
      <c r="S510" s="1298" t="s">
        <v>6150</v>
      </c>
      <c r="T510" s="1297"/>
    </row>
    <row r="511" spans="1:20" s="1292" customFormat="1" ht="20.100000000000001" customHeight="1">
      <c r="A511" s="1290"/>
      <c r="B511" s="1298" t="s">
        <v>6634</v>
      </c>
      <c r="C511" s="1298" t="s">
        <v>723</v>
      </c>
      <c r="D511" s="1298" t="s">
        <v>131</v>
      </c>
      <c r="E511" s="1298">
        <v>8</v>
      </c>
      <c r="F511" s="1298"/>
      <c r="G511" s="1298" t="s">
        <v>32</v>
      </c>
      <c r="H511" s="1462" t="s">
        <v>33</v>
      </c>
      <c r="I511" s="1463" t="s">
        <v>34</v>
      </c>
      <c r="J511" s="1298" t="s">
        <v>34</v>
      </c>
      <c r="K511" s="1298" t="s">
        <v>34</v>
      </c>
      <c r="L511" s="1373">
        <v>800000</v>
      </c>
      <c r="M511" s="1373">
        <v>596000</v>
      </c>
      <c r="N511" s="1373">
        <v>2020.03</v>
      </c>
      <c r="O511" s="1312" t="s">
        <v>6639</v>
      </c>
      <c r="P511" s="1312" t="s">
        <v>6637</v>
      </c>
      <c r="Q511" s="1312">
        <v>18656331699</v>
      </c>
      <c r="R511" s="1298" t="s">
        <v>6638</v>
      </c>
      <c r="S511" s="1298" t="s">
        <v>6150</v>
      </c>
      <c r="T511" s="1297"/>
    </row>
    <row r="512" spans="1:20" s="1292" customFormat="1" ht="20.100000000000001" customHeight="1">
      <c r="A512" s="1290"/>
      <c r="B512" s="1298" t="s">
        <v>6634</v>
      </c>
      <c r="C512" s="1298" t="s">
        <v>723</v>
      </c>
      <c r="D512" s="1298" t="s">
        <v>131</v>
      </c>
      <c r="E512" s="1298">
        <v>16</v>
      </c>
      <c r="F512" s="1298"/>
      <c r="G512" s="1298" t="s">
        <v>32</v>
      </c>
      <c r="H512" s="1462" t="s">
        <v>33</v>
      </c>
      <c r="I512" s="1463" t="s">
        <v>34</v>
      </c>
      <c r="J512" s="1298" t="s">
        <v>34</v>
      </c>
      <c r="K512" s="1298" t="s">
        <v>34</v>
      </c>
      <c r="L512" s="1373">
        <v>1706194.7</v>
      </c>
      <c r="M512" s="1373">
        <v>1488654.83</v>
      </c>
      <c r="N512" s="1373">
        <v>2020.05</v>
      </c>
      <c r="O512" s="1312" t="s">
        <v>6640</v>
      </c>
      <c r="P512" s="1312" t="s">
        <v>6637</v>
      </c>
      <c r="Q512" s="1312">
        <v>18656331699</v>
      </c>
      <c r="R512" s="1298" t="s">
        <v>6638</v>
      </c>
      <c r="S512" s="1298" t="s">
        <v>6150</v>
      </c>
      <c r="T512" s="1297"/>
    </row>
    <row r="513" spans="1:20" s="1292" customFormat="1" ht="20.100000000000001" customHeight="1">
      <c r="A513" s="1290"/>
      <c r="B513" s="1298" t="s">
        <v>6641</v>
      </c>
      <c r="C513" s="1298" t="s">
        <v>6642</v>
      </c>
      <c r="D513" s="1298" t="s">
        <v>79</v>
      </c>
      <c r="E513" s="1298">
        <v>3</v>
      </c>
      <c r="F513" s="1298"/>
      <c r="G513" s="1298" t="s">
        <v>32</v>
      </c>
      <c r="H513" s="1462" t="s">
        <v>33</v>
      </c>
      <c r="I513" s="1463" t="s">
        <v>34</v>
      </c>
      <c r="J513" s="1298" t="s">
        <v>34</v>
      </c>
      <c r="K513" s="1298" t="s">
        <v>34</v>
      </c>
      <c r="L513" s="1373">
        <v>50442.48</v>
      </c>
      <c r="M513" s="1373">
        <v>41203.64</v>
      </c>
      <c r="N513" s="1373">
        <v>2020.11</v>
      </c>
      <c r="O513" s="1312" t="s">
        <v>6643</v>
      </c>
      <c r="P513" s="1312" t="s">
        <v>6637</v>
      </c>
      <c r="Q513" s="1312">
        <v>18656331699</v>
      </c>
      <c r="R513" s="1298" t="s">
        <v>6638</v>
      </c>
      <c r="S513" s="1298" t="s">
        <v>6150</v>
      </c>
      <c r="T513" s="1297"/>
    </row>
    <row r="514" spans="1:20" s="1292" customFormat="1" ht="20.100000000000001" customHeight="1">
      <c r="A514" s="1290"/>
      <c r="B514" s="1298" t="s">
        <v>6644</v>
      </c>
      <c r="C514" s="1298" t="s">
        <v>6642</v>
      </c>
      <c r="D514" s="1298" t="s">
        <v>131</v>
      </c>
      <c r="E514" s="1298">
        <v>3</v>
      </c>
      <c r="F514" s="1298"/>
      <c r="G514" s="1298" t="s">
        <v>32</v>
      </c>
      <c r="H514" s="1462" t="s">
        <v>33</v>
      </c>
      <c r="I514" s="1463" t="s">
        <v>34</v>
      </c>
      <c r="J514" s="1298" t="s">
        <v>34</v>
      </c>
      <c r="K514" s="1298" t="s">
        <v>34</v>
      </c>
      <c r="L514" s="1373">
        <v>10619.47</v>
      </c>
      <c r="M514" s="1373">
        <v>8389.35</v>
      </c>
      <c r="N514" s="1373">
        <v>2020.11</v>
      </c>
      <c r="O514" s="1312" t="s">
        <v>6643</v>
      </c>
      <c r="P514" s="1312" t="s">
        <v>6637</v>
      </c>
      <c r="Q514" s="1312">
        <v>18656331699</v>
      </c>
      <c r="R514" s="1298" t="s">
        <v>6638</v>
      </c>
      <c r="S514" s="1298" t="s">
        <v>6150</v>
      </c>
      <c r="T514" s="1297"/>
    </row>
    <row r="515" spans="1:20" s="1292" customFormat="1" ht="20.100000000000001" customHeight="1">
      <c r="A515" s="1290"/>
      <c r="B515" s="1298" t="s">
        <v>6645</v>
      </c>
      <c r="C515" s="1298" t="s">
        <v>6646</v>
      </c>
      <c r="D515" s="1298" t="s">
        <v>1477</v>
      </c>
      <c r="E515" s="1298">
        <v>3</v>
      </c>
      <c r="F515" s="1298"/>
      <c r="G515" s="1298" t="s">
        <v>32</v>
      </c>
      <c r="H515" s="1462" t="s">
        <v>33</v>
      </c>
      <c r="I515" s="1463" t="s">
        <v>34</v>
      </c>
      <c r="J515" s="1298" t="s">
        <v>34</v>
      </c>
      <c r="K515" s="1298" t="s">
        <v>34</v>
      </c>
      <c r="L515" s="1373">
        <v>5309.73</v>
      </c>
      <c r="M515" s="1373">
        <v>3505.21</v>
      </c>
      <c r="N515" s="1373">
        <v>2020.11</v>
      </c>
      <c r="O515" s="1312" t="s">
        <v>6643</v>
      </c>
      <c r="P515" s="1312" t="s">
        <v>6637</v>
      </c>
      <c r="Q515" s="1312">
        <v>18656331699</v>
      </c>
      <c r="R515" s="1298" t="s">
        <v>6638</v>
      </c>
      <c r="S515" s="1298" t="s">
        <v>6150</v>
      </c>
      <c r="T515" s="1297"/>
    </row>
    <row r="516" spans="1:20" s="1292" customFormat="1" ht="20.100000000000001" customHeight="1">
      <c r="A516" s="1290"/>
      <c r="B516" s="1298" t="s">
        <v>6641</v>
      </c>
      <c r="C516" s="1298" t="s">
        <v>6647</v>
      </c>
      <c r="D516" s="1298" t="s">
        <v>79</v>
      </c>
      <c r="E516" s="1298">
        <v>5</v>
      </c>
      <c r="F516" s="1298"/>
      <c r="G516" s="1298" t="s">
        <v>32</v>
      </c>
      <c r="H516" s="1462" t="s">
        <v>33</v>
      </c>
      <c r="I516" s="1463" t="s">
        <v>34</v>
      </c>
      <c r="J516" s="1298" t="s">
        <v>34</v>
      </c>
      <c r="K516" s="1298" t="s">
        <v>34</v>
      </c>
      <c r="L516" s="1373">
        <v>92920.35</v>
      </c>
      <c r="M516" s="1373">
        <v>73402.39</v>
      </c>
      <c r="N516" s="1373">
        <v>2020.11</v>
      </c>
      <c r="O516" s="1312" t="s">
        <v>6643</v>
      </c>
      <c r="P516" s="1312" t="s">
        <v>6637</v>
      </c>
      <c r="Q516" s="1312">
        <v>18656331699</v>
      </c>
      <c r="R516" s="1298" t="s">
        <v>6638</v>
      </c>
      <c r="S516" s="1298" t="s">
        <v>6150</v>
      </c>
      <c r="T516" s="1297"/>
    </row>
    <row r="517" spans="1:20" s="1292" customFormat="1" ht="20.100000000000001" customHeight="1">
      <c r="A517" s="1290"/>
      <c r="B517" s="1298" t="s">
        <v>6644</v>
      </c>
      <c r="C517" s="1298" t="s">
        <v>6647</v>
      </c>
      <c r="D517" s="1298" t="s">
        <v>131</v>
      </c>
      <c r="E517" s="1298">
        <v>5</v>
      </c>
      <c r="F517" s="1298"/>
      <c r="G517" s="1298" t="s">
        <v>32</v>
      </c>
      <c r="H517" s="1462" t="s">
        <v>33</v>
      </c>
      <c r="I517" s="1463" t="s">
        <v>34</v>
      </c>
      <c r="J517" s="1298" t="s">
        <v>34</v>
      </c>
      <c r="K517" s="1298" t="s">
        <v>34</v>
      </c>
      <c r="L517" s="1373">
        <v>28296.46</v>
      </c>
      <c r="M517" s="1373">
        <v>21689.9</v>
      </c>
      <c r="N517" s="1373">
        <v>2020.11</v>
      </c>
      <c r="O517" s="1312" t="s">
        <v>6643</v>
      </c>
      <c r="P517" s="1312" t="s">
        <v>6637</v>
      </c>
      <c r="Q517" s="1312">
        <v>18656331699</v>
      </c>
      <c r="R517" s="1298" t="s">
        <v>6638</v>
      </c>
      <c r="S517" s="1298" t="s">
        <v>6150</v>
      </c>
      <c r="T517" s="1297"/>
    </row>
    <row r="518" spans="1:20" s="1292" customFormat="1" ht="20.100000000000001" customHeight="1">
      <c r="A518" s="1290"/>
      <c r="B518" s="1298" t="s">
        <v>6648</v>
      </c>
      <c r="C518" s="1298" t="s">
        <v>6649</v>
      </c>
      <c r="D518" s="1298" t="s">
        <v>79</v>
      </c>
      <c r="E518" s="1298">
        <v>1</v>
      </c>
      <c r="F518" s="1298"/>
      <c r="G518" s="1298" t="s">
        <v>32</v>
      </c>
      <c r="H518" s="1351" t="s">
        <v>33</v>
      </c>
      <c r="I518" s="1463" t="s">
        <v>34</v>
      </c>
      <c r="J518" s="1298" t="s">
        <v>34</v>
      </c>
      <c r="K518" s="1343" t="s">
        <v>6650</v>
      </c>
      <c r="L518" s="1501">
        <v>410000</v>
      </c>
      <c r="M518" s="1501">
        <v>410000</v>
      </c>
      <c r="N518" s="1356">
        <v>44317</v>
      </c>
      <c r="O518" s="1345" t="s">
        <v>74</v>
      </c>
      <c r="P518" s="1335" t="s">
        <v>6284</v>
      </c>
      <c r="Q518" s="1335">
        <v>13731080364</v>
      </c>
      <c r="R518" s="1345" t="s">
        <v>6328</v>
      </c>
      <c r="S518" s="1359" t="s">
        <v>6312</v>
      </c>
      <c r="T518" s="1297"/>
    </row>
    <row r="519" spans="1:20" s="1292" customFormat="1" ht="20.100000000000001" customHeight="1">
      <c r="A519" s="1290"/>
      <c r="B519" s="1298" t="s">
        <v>6651</v>
      </c>
      <c r="C519" s="1298"/>
      <c r="D519" s="1298" t="s">
        <v>131</v>
      </c>
      <c r="E519" s="1298">
        <v>3</v>
      </c>
      <c r="F519" s="1298"/>
      <c r="G519" s="1298" t="s">
        <v>32</v>
      </c>
      <c r="H519" s="1351" t="s">
        <v>33</v>
      </c>
      <c r="I519" s="1463" t="s">
        <v>34</v>
      </c>
      <c r="J519" s="1298" t="s">
        <v>34</v>
      </c>
      <c r="K519" s="1343" t="s">
        <v>6650</v>
      </c>
      <c r="L519" s="1501">
        <v>336900</v>
      </c>
      <c r="M519" s="1501">
        <v>336900</v>
      </c>
      <c r="N519" s="1356">
        <v>44317</v>
      </c>
      <c r="O519" s="1345" t="s">
        <v>74</v>
      </c>
      <c r="P519" s="1335" t="s">
        <v>6284</v>
      </c>
      <c r="Q519" s="1335">
        <v>13731080364</v>
      </c>
      <c r="R519" s="1345" t="s">
        <v>6328</v>
      </c>
      <c r="S519" s="1359" t="s">
        <v>6312</v>
      </c>
      <c r="T519" s="1297"/>
    </row>
    <row r="520" spans="1:20" s="1292" customFormat="1" ht="20.100000000000001" customHeight="1">
      <c r="A520" s="1290"/>
      <c r="B520" s="1298" t="s">
        <v>6648</v>
      </c>
      <c r="C520" s="1298" t="s">
        <v>6652</v>
      </c>
      <c r="D520" s="1298" t="s">
        <v>79</v>
      </c>
      <c r="E520" s="1298">
        <v>1</v>
      </c>
      <c r="F520" s="1298"/>
      <c r="G520" s="1298" t="s">
        <v>32</v>
      </c>
      <c r="H520" s="1351" t="s">
        <v>33</v>
      </c>
      <c r="I520" s="1463" t="s">
        <v>34</v>
      </c>
      <c r="J520" s="1298" t="s">
        <v>34</v>
      </c>
      <c r="K520" s="1343" t="s">
        <v>6650</v>
      </c>
      <c r="L520" s="1501">
        <v>430000</v>
      </c>
      <c r="M520" s="1501">
        <v>430000</v>
      </c>
      <c r="N520" s="1356">
        <v>44317</v>
      </c>
      <c r="O520" s="1345" t="s">
        <v>74</v>
      </c>
      <c r="P520" s="1335" t="s">
        <v>6284</v>
      </c>
      <c r="Q520" s="1335">
        <v>13731080364</v>
      </c>
      <c r="R520" s="1345" t="s">
        <v>6328</v>
      </c>
      <c r="S520" s="1359" t="s">
        <v>6312</v>
      </c>
      <c r="T520" s="1297"/>
    </row>
    <row r="521" spans="1:20" s="1292" customFormat="1" ht="20.100000000000001" customHeight="1">
      <c r="A521" s="1290"/>
      <c r="B521" s="1298" t="s">
        <v>6653</v>
      </c>
      <c r="C521" s="1298"/>
      <c r="D521" s="1298" t="s">
        <v>131</v>
      </c>
      <c r="E521" s="1298">
        <v>3</v>
      </c>
      <c r="F521" s="1298"/>
      <c r="G521" s="1298" t="s">
        <v>32</v>
      </c>
      <c r="H521" s="1351" t="s">
        <v>33</v>
      </c>
      <c r="I521" s="1463" t="s">
        <v>34</v>
      </c>
      <c r="J521" s="1298" t="s">
        <v>34</v>
      </c>
      <c r="K521" s="1343" t="s">
        <v>6650</v>
      </c>
      <c r="L521" s="1501">
        <v>433500</v>
      </c>
      <c r="M521" s="1501">
        <v>433500</v>
      </c>
      <c r="N521" s="1356">
        <v>44317</v>
      </c>
      <c r="O521" s="1345" t="s">
        <v>74</v>
      </c>
      <c r="P521" s="1335" t="s">
        <v>6284</v>
      </c>
      <c r="Q521" s="1335">
        <v>13731080364</v>
      </c>
      <c r="R521" s="1345" t="s">
        <v>6328</v>
      </c>
      <c r="S521" s="1359" t="s">
        <v>6312</v>
      </c>
      <c r="T521" s="1297"/>
    </row>
    <row r="522" spans="1:20" s="1292" customFormat="1" ht="20.100000000000001" customHeight="1">
      <c r="A522" s="1290"/>
      <c r="B522" s="1420" t="s">
        <v>6654</v>
      </c>
      <c r="C522" s="1335"/>
      <c r="D522" s="1335" t="s">
        <v>1477</v>
      </c>
      <c r="E522" s="1421">
        <v>1</v>
      </c>
      <c r="F522" s="1421">
        <v>1</v>
      </c>
      <c r="G522" s="1420" t="s">
        <v>32</v>
      </c>
      <c r="H522" s="1420" t="s">
        <v>6375</v>
      </c>
      <c r="I522" s="1502" t="s">
        <v>34</v>
      </c>
      <c r="J522" s="1492" t="s">
        <v>34</v>
      </c>
      <c r="K522" s="1343" t="s">
        <v>6556</v>
      </c>
      <c r="L522" s="1414">
        <v>362960</v>
      </c>
      <c r="M522" s="1311">
        <v>18148</v>
      </c>
      <c r="N522" s="1416" t="s">
        <v>1954</v>
      </c>
      <c r="O522" s="1291" t="s">
        <v>65</v>
      </c>
      <c r="P522" s="1291" t="s">
        <v>6076</v>
      </c>
      <c r="Q522" s="1291">
        <v>17732305202</v>
      </c>
      <c r="R522" s="1289" t="s">
        <v>6077</v>
      </c>
      <c r="S522" s="1291" t="s">
        <v>6056</v>
      </c>
      <c r="T522" s="1297"/>
    </row>
    <row r="523" spans="1:20" s="1292" customFormat="1" ht="20.100000000000001" customHeight="1">
      <c r="A523" s="1290"/>
      <c r="B523" s="1420" t="s">
        <v>6655</v>
      </c>
      <c r="C523" s="1335"/>
      <c r="D523" s="1335" t="s">
        <v>1477</v>
      </c>
      <c r="E523" s="1421">
        <v>1</v>
      </c>
      <c r="F523" s="1421">
        <v>1</v>
      </c>
      <c r="G523" s="1420" t="s">
        <v>32</v>
      </c>
      <c r="H523" s="1420" t="s">
        <v>6375</v>
      </c>
      <c r="I523" s="1420"/>
      <c r="J523" s="1420" t="s">
        <v>6655</v>
      </c>
      <c r="K523" s="1333" t="s">
        <v>6556</v>
      </c>
      <c r="L523" s="1414">
        <v>90000</v>
      </c>
      <c r="M523" s="1311">
        <v>4500</v>
      </c>
      <c r="N523" s="1416" t="s">
        <v>1954</v>
      </c>
      <c r="O523" s="1291" t="s">
        <v>65</v>
      </c>
      <c r="P523" s="1291" t="s">
        <v>6076</v>
      </c>
      <c r="Q523" s="1291">
        <v>17732305202</v>
      </c>
      <c r="R523" s="1289" t="s">
        <v>6077</v>
      </c>
      <c r="S523" s="1291" t="s">
        <v>6056</v>
      </c>
      <c r="T523" s="1297"/>
    </row>
    <row r="524" spans="1:20" s="1292" customFormat="1" ht="20.100000000000001" customHeight="1">
      <c r="A524" s="1290"/>
      <c r="B524" s="1420" t="s">
        <v>6654</v>
      </c>
      <c r="C524" s="1335"/>
      <c r="D524" s="1335" t="s">
        <v>1477</v>
      </c>
      <c r="E524" s="1421">
        <v>1</v>
      </c>
      <c r="F524" s="1421">
        <v>1</v>
      </c>
      <c r="G524" s="1420" t="s">
        <v>32</v>
      </c>
      <c r="H524" s="1420" t="s">
        <v>6375</v>
      </c>
      <c r="I524" s="1420"/>
      <c r="J524" s="1420" t="s">
        <v>6654</v>
      </c>
      <c r="K524" s="1333" t="s">
        <v>6561</v>
      </c>
      <c r="L524" s="1414">
        <v>314800</v>
      </c>
      <c r="M524" s="1311">
        <v>15740</v>
      </c>
      <c r="N524" s="1416" t="s">
        <v>3687</v>
      </c>
      <c r="O524" s="1291" t="s">
        <v>65</v>
      </c>
      <c r="P524" s="1291" t="s">
        <v>6076</v>
      </c>
      <c r="Q524" s="1291">
        <v>17732305202</v>
      </c>
      <c r="R524" s="1289" t="s">
        <v>6077</v>
      </c>
      <c r="S524" s="1291" t="s">
        <v>6056</v>
      </c>
      <c r="T524" s="1297"/>
    </row>
    <row r="525" spans="1:20" s="1292" customFormat="1" ht="20.100000000000001" customHeight="1">
      <c r="A525" s="1290"/>
      <c r="B525" s="1420" t="s">
        <v>6654</v>
      </c>
      <c r="C525" s="1335"/>
      <c r="D525" s="1335" t="s">
        <v>1477</v>
      </c>
      <c r="E525" s="1421">
        <v>1</v>
      </c>
      <c r="F525" s="1421">
        <v>1</v>
      </c>
      <c r="G525" s="1420" t="s">
        <v>32</v>
      </c>
      <c r="H525" s="1420" t="s">
        <v>6375</v>
      </c>
      <c r="I525" s="1420"/>
      <c r="J525" s="1420" t="s">
        <v>6654</v>
      </c>
      <c r="K525" s="1419" t="s">
        <v>6563</v>
      </c>
      <c r="L525" s="1414">
        <v>362960</v>
      </c>
      <c r="M525" s="1311">
        <v>18148</v>
      </c>
      <c r="N525" s="1416" t="s">
        <v>3140</v>
      </c>
      <c r="O525" s="1291" t="s">
        <v>65</v>
      </c>
      <c r="P525" s="1291" t="s">
        <v>6076</v>
      </c>
      <c r="Q525" s="1291">
        <v>17732305202</v>
      </c>
      <c r="R525" s="1289" t="s">
        <v>6077</v>
      </c>
      <c r="S525" s="1291" t="s">
        <v>6056</v>
      </c>
      <c r="T525" s="1297"/>
    </row>
    <row r="526" spans="1:20" s="1292" customFormat="1" ht="20.100000000000001" customHeight="1">
      <c r="A526" s="1290"/>
      <c r="B526" s="1420" t="s">
        <v>2806</v>
      </c>
      <c r="C526" s="1335"/>
      <c r="D526" s="1335" t="s">
        <v>161</v>
      </c>
      <c r="E526" s="1421">
        <v>72</v>
      </c>
      <c r="F526" s="1421">
        <v>72</v>
      </c>
      <c r="G526" s="1420" t="s">
        <v>32</v>
      </c>
      <c r="H526" s="1420" t="s">
        <v>6375</v>
      </c>
      <c r="I526" s="1420"/>
      <c r="J526" s="1420" t="s">
        <v>2806</v>
      </c>
      <c r="K526" s="1419" t="s">
        <v>6385</v>
      </c>
      <c r="L526" s="1414">
        <v>69120</v>
      </c>
      <c r="M526" s="1311">
        <v>3456</v>
      </c>
      <c r="N526" s="1416" t="s">
        <v>3140</v>
      </c>
      <c r="O526" s="1291" t="s">
        <v>65</v>
      </c>
      <c r="P526" s="1291" t="s">
        <v>6076</v>
      </c>
      <c r="Q526" s="1291">
        <v>17732305202</v>
      </c>
      <c r="R526" s="1289" t="s">
        <v>6077</v>
      </c>
      <c r="S526" s="1291" t="s">
        <v>6056</v>
      </c>
      <c r="T526" s="1297"/>
    </row>
    <row r="527" spans="1:20" s="1292" customFormat="1" ht="20.100000000000001" customHeight="1">
      <c r="A527" s="1290"/>
      <c r="B527" s="1458" t="s">
        <v>2815</v>
      </c>
      <c r="C527" s="1458" t="s">
        <v>6656</v>
      </c>
      <c r="D527" s="1503" t="s">
        <v>161</v>
      </c>
      <c r="E527" s="1499">
        <v>80</v>
      </c>
      <c r="F527" s="1316"/>
      <c r="G527" s="1308" t="s">
        <v>32</v>
      </c>
      <c r="H527" s="1462" t="s">
        <v>33</v>
      </c>
      <c r="I527" s="1463" t="s">
        <v>34</v>
      </c>
      <c r="J527" s="1298" t="s">
        <v>34</v>
      </c>
      <c r="K527" s="1463" t="s">
        <v>2826</v>
      </c>
      <c r="L527" s="1500">
        <v>201769.91</v>
      </c>
      <c r="M527" s="1470">
        <f>L527-53805.31*3</f>
        <v>40353.98000000001</v>
      </c>
      <c r="N527" s="1497">
        <v>2020.05</v>
      </c>
      <c r="O527" s="1308" t="s">
        <v>1766</v>
      </c>
      <c r="P527" s="1312" t="s">
        <v>6081</v>
      </c>
      <c r="Q527" s="1312">
        <v>15735090699</v>
      </c>
      <c r="R527" s="1308" t="s">
        <v>1766</v>
      </c>
      <c r="S527" s="1313" t="s">
        <v>6056</v>
      </c>
      <c r="T527" s="1297"/>
    </row>
    <row r="528" spans="1:20" s="1292" customFormat="1" ht="20.100000000000001" customHeight="1">
      <c r="A528" s="1290"/>
      <c r="B528" s="1458" t="s">
        <v>5527</v>
      </c>
      <c r="C528" s="1458" t="s">
        <v>6657</v>
      </c>
      <c r="D528" s="1503" t="s">
        <v>1369</v>
      </c>
      <c r="E528" s="1499">
        <v>50</v>
      </c>
      <c r="F528" s="1316"/>
      <c r="G528" s="1308" t="s">
        <v>32</v>
      </c>
      <c r="H528" s="1462" t="s">
        <v>33</v>
      </c>
      <c r="I528" s="1463" t="s">
        <v>34</v>
      </c>
      <c r="J528" s="1298" t="s">
        <v>34</v>
      </c>
      <c r="K528" s="1463" t="s">
        <v>2826</v>
      </c>
      <c r="L528" s="1500">
        <v>69469.03</v>
      </c>
      <c r="M528" s="1470">
        <f>L528-18525.07*3</f>
        <v>13893.82</v>
      </c>
      <c r="N528" s="1497">
        <v>2020.05</v>
      </c>
      <c r="O528" s="1308" t="s">
        <v>1766</v>
      </c>
      <c r="P528" s="1312" t="s">
        <v>6081</v>
      </c>
      <c r="Q528" s="1312">
        <v>15735090699</v>
      </c>
      <c r="R528" s="1308" t="s">
        <v>1766</v>
      </c>
      <c r="S528" s="1313" t="s">
        <v>6056</v>
      </c>
      <c r="T528" s="1297"/>
    </row>
    <row r="529" spans="1:20" s="1292" customFormat="1" ht="20.100000000000001" customHeight="1">
      <c r="A529" s="1290"/>
      <c r="B529" s="1458" t="s">
        <v>6658</v>
      </c>
      <c r="C529" s="1458" t="s">
        <v>1036</v>
      </c>
      <c r="D529" s="1503" t="s">
        <v>6659</v>
      </c>
      <c r="E529" s="1499">
        <v>31</v>
      </c>
      <c r="F529" s="1316"/>
      <c r="G529" s="1308" t="s">
        <v>32</v>
      </c>
      <c r="H529" s="1462" t="s">
        <v>33</v>
      </c>
      <c r="I529" s="1463" t="s">
        <v>34</v>
      </c>
      <c r="J529" s="1298" t="s">
        <v>34</v>
      </c>
      <c r="K529" s="1463" t="s">
        <v>2826</v>
      </c>
      <c r="L529" s="1500">
        <v>45951.33</v>
      </c>
      <c r="M529" s="1373">
        <f>L529-12253.68*3</f>
        <v>9190.2900000000009</v>
      </c>
      <c r="N529" s="1497">
        <v>2020.06</v>
      </c>
      <c r="O529" s="1308" t="s">
        <v>1766</v>
      </c>
      <c r="P529" s="1312" t="s">
        <v>6081</v>
      </c>
      <c r="Q529" s="1312">
        <v>15735090699</v>
      </c>
      <c r="R529" s="1308" t="s">
        <v>1766</v>
      </c>
      <c r="S529" s="1313" t="s">
        <v>6056</v>
      </c>
      <c r="T529" s="1297"/>
    </row>
    <row r="530" spans="1:20" s="1292" customFormat="1" ht="20.100000000000001" customHeight="1">
      <c r="A530" s="1290"/>
      <c r="B530" s="1458" t="s">
        <v>6660</v>
      </c>
      <c r="C530" s="1458" t="s">
        <v>6661</v>
      </c>
      <c r="D530" s="1503" t="s">
        <v>161</v>
      </c>
      <c r="E530" s="1499">
        <v>80</v>
      </c>
      <c r="F530" s="1316"/>
      <c r="G530" s="1308" t="s">
        <v>32</v>
      </c>
      <c r="H530" s="1462" t="s">
        <v>33</v>
      </c>
      <c r="I530" s="1463" t="s">
        <v>34</v>
      </c>
      <c r="J530" s="1298" t="s">
        <v>34</v>
      </c>
      <c r="K530" s="1463" t="s">
        <v>2826</v>
      </c>
      <c r="L530" s="1500">
        <v>194690.27</v>
      </c>
      <c r="M530" s="1373">
        <f>L530-51917.41*3</f>
        <v>38938.039999999979</v>
      </c>
      <c r="N530" s="1497">
        <v>2020.06</v>
      </c>
      <c r="O530" s="1308" t="s">
        <v>1766</v>
      </c>
      <c r="P530" s="1312" t="s">
        <v>6081</v>
      </c>
      <c r="Q530" s="1312">
        <v>15735090699</v>
      </c>
      <c r="R530" s="1308" t="s">
        <v>1766</v>
      </c>
      <c r="S530" s="1313" t="s">
        <v>6056</v>
      </c>
      <c r="T530" s="1297"/>
    </row>
    <row r="531" spans="1:20" s="1292" customFormat="1" ht="20.100000000000001" customHeight="1">
      <c r="A531" s="1290"/>
      <c r="B531" s="1467" t="s">
        <v>2815</v>
      </c>
      <c r="C531" s="1467" t="s">
        <v>6656</v>
      </c>
      <c r="D531" s="1503" t="s">
        <v>161</v>
      </c>
      <c r="E531" s="1504">
        <v>240</v>
      </c>
      <c r="F531" s="1316"/>
      <c r="G531" s="1308" t="s">
        <v>32</v>
      </c>
      <c r="H531" s="1309" t="s">
        <v>33</v>
      </c>
      <c r="I531" s="1310" t="s">
        <v>34</v>
      </c>
      <c r="J531" s="1298" t="s">
        <v>34</v>
      </c>
      <c r="K531" s="1310" t="s">
        <v>2826</v>
      </c>
      <c r="L531" s="1373">
        <v>584070.80000000005</v>
      </c>
      <c r="M531" s="1373">
        <f>L531-155752.21*3</f>
        <v>116814.17000000004</v>
      </c>
      <c r="N531" s="1497">
        <v>2020.09</v>
      </c>
      <c r="O531" s="1308" t="s">
        <v>1766</v>
      </c>
      <c r="P531" s="1312" t="s">
        <v>6081</v>
      </c>
      <c r="Q531" s="1312">
        <v>15735090699</v>
      </c>
      <c r="R531" s="1308" t="s">
        <v>1766</v>
      </c>
      <c r="S531" s="1412" t="s">
        <v>6056</v>
      </c>
      <c r="T531" s="1297"/>
    </row>
    <row r="532" spans="1:20" s="1292" customFormat="1" ht="20.100000000000001" customHeight="1">
      <c r="A532" s="1290"/>
      <c r="B532" s="1467" t="s">
        <v>6658</v>
      </c>
      <c r="C532" s="1467" t="s">
        <v>1036</v>
      </c>
      <c r="D532" s="1503" t="s">
        <v>6659</v>
      </c>
      <c r="E532" s="1504">
        <v>91</v>
      </c>
      <c r="F532" s="1316"/>
      <c r="G532" s="1308" t="s">
        <v>32</v>
      </c>
      <c r="H532" s="1309" t="s">
        <v>33</v>
      </c>
      <c r="I532" s="1310" t="s">
        <v>34</v>
      </c>
      <c r="J532" s="1298" t="s">
        <v>34</v>
      </c>
      <c r="K532" s="1310" t="s">
        <v>2826</v>
      </c>
      <c r="L532" s="1373">
        <v>134889.38</v>
      </c>
      <c r="M532" s="1373">
        <f>L532-35970.5*3</f>
        <v>26977.880000000005</v>
      </c>
      <c r="N532" s="1497">
        <v>2020.09</v>
      </c>
      <c r="O532" s="1308" t="s">
        <v>1766</v>
      </c>
      <c r="P532" s="1312" t="s">
        <v>6081</v>
      </c>
      <c r="Q532" s="1312">
        <v>15735090699</v>
      </c>
      <c r="R532" s="1308" t="s">
        <v>1766</v>
      </c>
      <c r="S532" s="1412" t="s">
        <v>6056</v>
      </c>
      <c r="T532" s="1297"/>
    </row>
    <row r="533" spans="1:20" s="1292" customFormat="1" ht="20.100000000000001" customHeight="1">
      <c r="A533" s="1290"/>
      <c r="B533" s="1467" t="s">
        <v>5527</v>
      </c>
      <c r="C533" s="1467" t="s">
        <v>6657</v>
      </c>
      <c r="D533" s="1503" t="s">
        <v>1369</v>
      </c>
      <c r="E533" s="1504">
        <v>52</v>
      </c>
      <c r="F533" s="1316"/>
      <c r="G533" s="1308" t="s">
        <v>32</v>
      </c>
      <c r="H533" s="1309" t="s">
        <v>33</v>
      </c>
      <c r="I533" s="1310" t="s">
        <v>34</v>
      </c>
      <c r="J533" s="1298" t="s">
        <v>34</v>
      </c>
      <c r="K533" s="1310" t="s">
        <v>2826</v>
      </c>
      <c r="L533" s="1373">
        <v>72247.789999999994</v>
      </c>
      <c r="M533" s="1373">
        <f>L533-19266.08*3</f>
        <v>14449.549999999988</v>
      </c>
      <c r="N533" s="1497">
        <v>2020.09</v>
      </c>
      <c r="O533" s="1308" t="s">
        <v>1766</v>
      </c>
      <c r="P533" s="1312" t="s">
        <v>6081</v>
      </c>
      <c r="Q533" s="1312">
        <v>15735090699</v>
      </c>
      <c r="R533" s="1308" t="s">
        <v>1766</v>
      </c>
      <c r="S533" s="1412" t="s">
        <v>6056</v>
      </c>
      <c r="T533" s="1297"/>
    </row>
    <row r="534" spans="1:20" s="1292" customFormat="1" ht="20.100000000000001" customHeight="1">
      <c r="A534" s="1290"/>
      <c r="B534" s="1467" t="s">
        <v>2815</v>
      </c>
      <c r="C534" s="1467" t="s">
        <v>6656</v>
      </c>
      <c r="D534" s="1503" t="s">
        <v>161</v>
      </c>
      <c r="E534" s="1504">
        <v>240</v>
      </c>
      <c r="F534" s="1316"/>
      <c r="G534" s="1308" t="s">
        <v>32</v>
      </c>
      <c r="H534" s="1309" t="s">
        <v>33</v>
      </c>
      <c r="I534" s="1310" t="s">
        <v>34</v>
      </c>
      <c r="J534" s="1298" t="s">
        <v>34</v>
      </c>
      <c r="K534" s="1310" t="s">
        <v>2826</v>
      </c>
      <c r="L534" s="1373">
        <v>584070.80000000005</v>
      </c>
      <c r="M534" s="1373">
        <f>L534-155752.21*3</f>
        <v>116814.17000000004</v>
      </c>
      <c r="N534" s="1505">
        <v>2020.1</v>
      </c>
      <c r="O534" s="1308" t="s">
        <v>1766</v>
      </c>
      <c r="P534" s="1312" t="s">
        <v>6081</v>
      </c>
      <c r="Q534" s="1312">
        <v>15735090699</v>
      </c>
      <c r="R534" s="1308" t="s">
        <v>1766</v>
      </c>
      <c r="S534" s="1412" t="s">
        <v>6056</v>
      </c>
      <c r="T534" s="1297"/>
    </row>
    <row r="535" spans="1:20" s="1292" customFormat="1" ht="20.100000000000001" customHeight="1">
      <c r="A535" s="1290"/>
      <c r="B535" s="1467" t="s">
        <v>6658</v>
      </c>
      <c r="C535" s="1467" t="s">
        <v>1036</v>
      </c>
      <c r="D535" s="1503" t="s">
        <v>6659</v>
      </c>
      <c r="E535" s="1504">
        <v>91</v>
      </c>
      <c r="F535" s="1316"/>
      <c r="G535" s="1308" t="s">
        <v>32</v>
      </c>
      <c r="H535" s="1309" t="s">
        <v>33</v>
      </c>
      <c r="I535" s="1310" t="s">
        <v>34</v>
      </c>
      <c r="J535" s="1298" t="s">
        <v>34</v>
      </c>
      <c r="K535" s="1310" t="s">
        <v>2826</v>
      </c>
      <c r="L535" s="1373">
        <v>134889.38</v>
      </c>
      <c r="M535" s="1373">
        <f>L535-35970.5*3</f>
        <v>26977.880000000005</v>
      </c>
      <c r="N535" s="1505">
        <v>2020.1</v>
      </c>
      <c r="O535" s="1308" t="s">
        <v>1766</v>
      </c>
      <c r="P535" s="1312" t="s">
        <v>6081</v>
      </c>
      <c r="Q535" s="1312">
        <v>15735090699</v>
      </c>
      <c r="R535" s="1308" t="s">
        <v>1766</v>
      </c>
      <c r="S535" s="1412" t="s">
        <v>6056</v>
      </c>
      <c r="T535" s="1297"/>
    </row>
    <row r="536" spans="1:20" s="1292" customFormat="1" ht="20.100000000000001" customHeight="1">
      <c r="A536" s="1290"/>
      <c r="B536" s="1467" t="s">
        <v>5527</v>
      </c>
      <c r="C536" s="1467" t="s">
        <v>6657</v>
      </c>
      <c r="D536" s="1503" t="s">
        <v>1369</v>
      </c>
      <c r="E536" s="1504">
        <v>52</v>
      </c>
      <c r="F536" s="1316"/>
      <c r="G536" s="1308" t="s">
        <v>32</v>
      </c>
      <c r="H536" s="1309" t="s">
        <v>33</v>
      </c>
      <c r="I536" s="1310" t="s">
        <v>34</v>
      </c>
      <c r="J536" s="1298" t="s">
        <v>34</v>
      </c>
      <c r="K536" s="1310" t="s">
        <v>2826</v>
      </c>
      <c r="L536" s="1373">
        <v>72247.789999999994</v>
      </c>
      <c r="M536" s="1373">
        <f>L536-19266.08*3</f>
        <v>14449.549999999988</v>
      </c>
      <c r="N536" s="1505">
        <v>2020.1</v>
      </c>
      <c r="O536" s="1308" t="s">
        <v>1766</v>
      </c>
      <c r="P536" s="1312" t="s">
        <v>6081</v>
      </c>
      <c r="Q536" s="1312">
        <v>15735090699</v>
      </c>
      <c r="R536" s="1308" t="s">
        <v>1766</v>
      </c>
      <c r="S536" s="1412" t="s">
        <v>6056</v>
      </c>
      <c r="T536" s="1297"/>
    </row>
    <row r="537" spans="1:20" s="1292" customFormat="1" ht="20.100000000000001" customHeight="1">
      <c r="A537" s="1290"/>
      <c r="B537" s="1467" t="s">
        <v>5527</v>
      </c>
      <c r="C537" s="1467" t="s">
        <v>6662</v>
      </c>
      <c r="D537" s="1503" t="s">
        <v>1369</v>
      </c>
      <c r="E537" s="1504">
        <v>52</v>
      </c>
      <c r="F537" s="1316"/>
      <c r="G537" s="1308" t="s">
        <v>32</v>
      </c>
      <c r="H537" s="1309" t="s">
        <v>33</v>
      </c>
      <c r="I537" s="1310" t="s">
        <v>34</v>
      </c>
      <c r="J537" s="1373"/>
      <c r="K537" s="1310" t="s">
        <v>2826</v>
      </c>
      <c r="L537" s="1506">
        <v>81640</v>
      </c>
      <c r="M537" s="1506">
        <f>L537-5442.67*1</f>
        <v>76197.33</v>
      </c>
      <c r="N537" s="1505">
        <v>2020.12</v>
      </c>
      <c r="O537" s="1308" t="s">
        <v>1766</v>
      </c>
      <c r="P537" s="1312" t="s">
        <v>6081</v>
      </c>
      <c r="Q537" s="1312">
        <v>15735090699</v>
      </c>
      <c r="R537" s="1308" t="s">
        <v>1766</v>
      </c>
      <c r="S537" s="1412" t="s">
        <v>6056</v>
      </c>
      <c r="T537" s="1297"/>
    </row>
    <row r="538" spans="1:20" s="1292" customFormat="1" ht="20.100000000000001" customHeight="1">
      <c r="A538" s="1290"/>
      <c r="B538" s="1467" t="s">
        <v>2815</v>
      </c>
      <c r="C538" s="1467" t="s">
        <v>6663</v>
      </c>
      <c r="D538" s="1503" t="s">
        <v>161</v>
      </c>
      <c r="E538" s="1504">
        <v>240</v>
      </c>
      <c r="F538" s="1316"/>
      <c r="G538" s="1308" t="s">
        <v>32</v>
      </c>
      <c r="H538" s="1309" t="s">
        <v>33</v>
      </c>
      <c r="I538" s="1310" t="s">
        <v>34</v>
      </c>
      <c r="J538" s="1373"/>
      <c r="K538" s="1310" t="s">
        <v>2826</v>
      </c>
      <c r="L538" s="1506">
        <v>660000</v>
      </c>
      <c r="M538" s="1506">
        <f>L538-44000*2</f>
        <v>572000</v>
      </c>
      <c r="N538" s="1505">
        <v>2020.12</v>
      </c>
      <c r="O538" s="1308" t="s">
        <v>1766</v>
      </c>
      <c r="P538" s="1312" t="s">
        <v>6081</v>
      </c>
      <c r="Q538" s="1312">
        <v>15735090699</v>
      </c>
      <c r="R538" s="1308" t="s">
        <v>1766</v>
      </c>
      <c r="S538" s="1412" t="s">
        <v>6056</v>
      </c>
      <c r="T538" s="1297"/>
    </row>
    <row r="539" spans="1:20" s="1292" customFormat="1" ht="20.100000000000001" customHeight="1">
      <c r="A539" s="1290"/>
      <c r="B539" s="1467" t="s">
        <v>6658</v>
      </c>
      <c r="C539" s="1467" t="s">
        <v>1036</v>
      </c>
      <c r="D539" s="1503" t="s">
        <v>6659</v>
      </c>
      <c r="E539" s="1504">
        <v>91</v>
      </c>
      <c r="F539" s="1316"/>
      <c r="G539" s="1308" t="s">
        <v>32</v>
      </c>
      <c r="H539" s="1309" t="s">
        <v>33</v>
      </c>
      <c r="I539" s="1310" t="s">
        <v>34</v>
      </c>
      <c r="J539" s="1373"/>
      <c r="K539" s="1310" t="s">
        <v>2826</v>
      </c>
      <c r="L539" s="1506">
        <v>152425</v>
      </c>
      <c r="M539" s="1506">
        <f>L539-10161.67*2</f>
        <v>132101.66</v>
      </c>
      <c r="N539" s="1505">
        <v>2020.12</v>
      </c>
      <c r="O539" s="1308" t="s">
        <v>1766</v>
      </c>
      <c r="P539" s="1312" t="s">
        <v>6081</v>
      </c>
      <c r="Q539" s="1312">
        <v>15735090699</v>
      </c>
      <c r="R539" s="1308" t="s">
        <v>1766</v>
      </c>
      <c r="S539" s="1412" t="s">
        <v>6056</v>
      </c>
      <c r="T539" s="1297"/>
    </row>
    <row r="540" spans="1:20">
      <c r="A540" s="1321"/>
      <c r="B540" s="1298" t="s">
        <v>1516</v>
      </c>
      <c r="C540" s="1298" t="s">
        <v>6664</v>
      </c>
      <c r="D540" s="1298" t="s">
        <v>161</v>
      </c>
      <c r="E540" s="1298">
        <v>200</v>
      </c>
      <c r="F540" s="1298" t="s">
        <v>34</v>
      </c>
      <c r="G540" s="1298" t="s">
        <v>6665</v>
      </c>
      <c r="H540" s="1298" t="s">
        <v>6390</v>
      </c>
      <c r="I540" s="1298" t="s">
        <v>34</v>
      </c>
      <c r="J540" s="1298" t="s">
        <v>34</v>
      </c>
      <c r="K540" s="1298" t="s">
        <v>34</v>
      </c>
      <c r="L540" s="1298">
        <f>200*115</f>
        <v>23000</v>
      </c>
      <c r="M540" s="1298">
        <v>0</v>
      </c>
      <c r="N540" s="1306">
        <v>38869</v>
      </c>
      <c r="O540" s="1298" t="s">
        <v>6666</v>
      </c>
      <c r="P540" s="1298" t="s">
        <v>6066</v>
      </c>
      <c r="Q540" s="1298">
        <v>18632146158</v>
      </c>
      <c r="R540" s="1298" t="s">
        <v>6458</v>
      </c>
      <c r="S540" s="1298" t="s">
        <v>6150</v>
      </c>
      <c r="T540" s="1491"/>
    </row>
    <row r="541" spans="1:20">
      <c r="A541" s="1321"/>
      <c r="B541" s="1298" t="s">
        <v>6667</v>
      </c>
      <c r="C541" s="1298" t="s">
        <v>1428</v>
      </c>
      <c r="D541" s="1298" t="s">
        <v>1477</v>
      </c>
      <c r="E541" s="1298">
        <v>1</v>
      </c>
      <c r="F541" s="1298" t="s">
        <v>34</v>
      </c>
      <c r="G541" s="1298" t="s">
        <v>6462</v>
      </c>
      <c r="H541" s="1298" t="s">
        <v>6390</v>
      </c>
      <c r="I541" s="1298" t="s">
        <v>34</v>
      </c>
      <c r="J541" s="1298" t="s">
        <v>34</v>
      </c>
      <c r="K541" s="1298" t="s">
        <v>34</v>
      </c>
      <c r="L541" s="1298">
        <f>1*1950</f>
        <v>1950</v>
      </c>
      <c r="M541" s="1298">
        <v>0</v>
      </c>
      <c r="N541" s="1306">
        <v>38869</v>
      </c>
      <c r="O541" s="1298" t="s">
        <v>6666</v>
      </c>
      <c r="P541" s="1298" t="s">
        <v>6066</v>
      </c>
      <c r="Q541" s="1298">
        <v>18632146158</v>
      </c>
      <c r="R541" s="1298" t="s">
        <v>6458</v>
      </c>
      <c r="S541" s="1298" t="s">
        <v>6150</v>
      </c>
      <c r="T541" s="1491"/>
    </row>
    <row r="542" spans="1:20">
      <c r="A542" s="1321"/>
      <c r="B542" s="1298" t="s">
        <v>1516</v>
      </c>
      <c r="C542" s="1298" t="s">
        <v>6668</v>
      </c>
      <c r="D542" s="1298" t="s">
        <v>2724</v>
      </c>
      <c r="E542" s="1298">
        <v>110</v>
      </c>
      <c r="F542" s="1298" t="s">
        <v>34</v>
      </c>
      <c r="G542" s="1298" t="s">
        <v>32</v>
      </c>
      <c r="H542" s="1298" t="s">
        <v>6146</v>
      </c>
      <c r="I542" s="1298" t="s">
        <v>179</v>
      </c>
      <c r="J542" s="1298" t="s">
        <v>34</v>
      </c>
      <c r="K542" s="1298" t="s">
        <v>34</v>
      </c>
      <c r="L542" s="1298" t="s">
        <v>34</v>
      </c>
      <c r="M542" s="1298">
        <v>16.5</v>
      </c>
      <c r="N542" s="1301" t="s">
        <v>6187</v>
      </c>
      <c r="O542" s="1456" t="s">
        <v>6669</v>
      </c>
      <c r="P542" s="1457" t="s">
        <v>6517</v>
      </c>
      <c r="Q542" s="1457">
        <v>18931863533</v>
      </c>
      <c r="R542" s="1298" t="s">
        <v>6432</v>
      </c>
      <c r="S542" s="1298" t="s">
        <v>6150</v>
      </c>
      <c r="T542" s="1491"/>
    </row>
    <row r="543" spans="1:20">
      <c r="A543" s="1321"/>
      <c r="B543" s="1298" t="s">
        <v>1516</v>
      </c>
      <c r="C543" s="1298" t="s">
        <v>6670</v>
      </c>
      <c r="D543" s="1298" t="s">
        <v>2724</v>
      </c>
      <c r="E543" s="1298">
        <v>100</v>
      </c>
      <c r="F543" s="1298" t="s">
        <v>34</v>
      </c>
      <c r="G543" s="1298" t="s">
        <v>32</v>
      </c>
      <c r="H543" s="1298" t="s">
        <v>6146</v>
      </c>
      <c r="I543" s="1298" t="s">
        <v>179</v>
      </c>
      <c r="J543" s="1298" t="s">
        <v>34</v>
      </c>
      <c r="K543" s="1298" t="s">
        <v>34</v>
      </c>
      <c r="L543" s="1298" t="s">
        <v>34</v>
      </c>
      <c r="M543" s="1298">
        <v>25</v>
      </c>
      <c r="N543" s="1301" t="s">
        <v>6187</v>
      </c>
      <c r="O543" s="1456" t="s">
        <v>6669</v>
      </c>
      <c r="P543" s="1457" t="s">
        <v>6517</v>
      </c>
      <c r="Q543" s="1457">
        <v>18931863533</v>
      </c>
      <c r="R543" s="1298" t="s">
        <v>6432</v>
      </c>
      <c r="S543" s="1298" t="s">
        <v>6150</v>
      </c>
      <c r="T543" s="1491"/>
    </row>
    <row r="544" spans="1:20">
      <c r="A544" s="1321"/>
      <c r="B544" s="1298" t="s">
        <v>1516</v>
      </c>
      <c r="C544" s="1298" t="s">
        <v>6671</v>
      </c>
      <c r="D544" s="1298" t="s">
        <v>2724</v>
      </c>
      <c r="E544" s="1298">
        <v>1150</v>
      </c>
      <c r="F544" s="1298" t="s">
        <v>34</v>
      </c>
      <c r="G544" s="1298" t="s">
        <v>32</v>
      </c>
      <c r="H544" s="1298" t="s">
        <v>6146</v>
      </c>
      <c r="I544" s="1298" t="s">
        <v>179</v>
      </c>
      <c r="J544" s="1298" t="s">
        <v>34</v>
      </c>
      <c r="K544" s="1298" t="s">
        <v>34</v>
      </c>
      <c r="L544" s="1298" t="s">
        <v>34</v>
      </c>
      <c r="M544" s="1298">
        <v>690</v>
      </c>
      <c r="N544" s="1301" t="s">
        <v>6672</v>
      </c>
      <c r="O544" s="1456" t="s">
        <v>6669</v>
      </c>
      <c r="P544" s="1457" t="s">
        <v>6517</v>
      </c>
      <c r="Q544" s="1457">
        <v>18931863533</v>
      </c>
      <c r="R544" s="1298" t="s">
        <v>6432</v>
      </c>
      <c r="S544" s="1298" t="s">
        <v>6150</v>
      </c>
      <c r="T544" s="1491"/>
    </row>
    <row r="545" spans="1:20">
      <c r="A545" s="1321"/>
      <c r="B545" s="1298" t="s">
        <v>6673</v>
      </c>
      <c r="C545" s="1298" t="s">
        <v>6674</v>
      </c>
      <c r="D545" s="1298" t="s">
        <v>79</v>
      </c>
      <c r="E545" s="1298">
        <v>30</v>
      </c>
      <c r="F545" s="1298" t="s">
        <v>34</v>
      </c>
      <c r="G545" s="1298" t="s">
        <v>32</v>
      </c>
      <c r="H545" s="1298" t="s">
        <v>6146</v>
      </c>
      <c r="I545" s="1298" t="s">
        <v>179</v>
      </c>
      <c r="J545" s="1298" t="s">
        <v>34</v>
      </c>
      <c r="K545" s="1298" t="s">
        <v>34</v>
      </c>
      <c r="L545" s="1298" t="s">
        <v>34</v>
      </c>
      <c r="M545" s="1298">
        <v>195</v>
      </c>
      <c r="N545" s="1301" t="s">
        <v>6675</v>
      </c>
      <c r="O545" s="1456" t="s">
        <v>6669</v>
      </c>
      <c r="P545" s="1457" t="s">
        <v>6517</v>
      </c>
      <c r="Q545" s="1457">
        <v>18931863533</v>
      </c>
      <c r="R545" s="1298" t="s">
        <v>6432</v>
      </c>
      <c r="S545" s="1298" t="s">
        <v>6150</v>
      </c>
      <c r="T545" s="1491"/>
    </row>
    <row r="546" spans="1:20">
      <c r="A546" s="1321"/>
      <c r="B546" s="1298" t="s">
        <v>6676</v>
      </c>
      <c r="C546" s="1298" t="s">
        <v>6677</v>
      </c>
      <c r="D546" s="1298" t="s">
        <v>79</v>
      </c>
      <c r="E546" s="1298">
        <v>15</v>
      </c>
      <c r="F546" s="1298" t="s">
        <v>34</v>
      </c>
      <c r="G546" s="1298" t="s">
        <v>32</v>
      </c>
      <c r="H546" s="1298" t="s">
        <v>6146</v>
      </c>
      <c r="I546" s="1298" t="s">
        <v>179</v>
      </c>
      <c r="J546" s="1298" t="s">
        <v>34</v>
      </c>
      <c r="K546" s="1298" t="s">
        <v>34</v>
      </c>
      <c r="L546" s="1298" t="s">
        <v>34</v>
      </c>
      <c r="M546" s="1298">
        <v>262.5</v>
      </c>
      <c r="N546" s="1301" t="s">
        <v>6675</v>
      </c>
      <c r="O546" s="1456" t="s">
        <v>6669</v>
      </c>
      <c r="P546" s="1457" t="s">
        <v>6517</v>
      </c>
      <c r="Q546" s="1457">
        <v>18931863533</v>
      </c>
      <c r="R546" s="1298" t="s">
        <v>6432</v>
      </c>
      <c r="S546" s="1298" t="s">
        <v>6150</v>
      </c>
      <c r="T546" s="1491"/>
    </row>
    <row r="547" spans="1:20">
      <c r="A547" s="1321"/>
      <c r="B547" s="1298" t="s">
        <v>6673</v>
      </c>
      <c r="C547" s="1298" t="s">
        <v>6674</v>
      </c>
      <c r="D547" s="1298" t="s">
        <v>79</v>
      </c>
      <c r="E547" s="1298">
        <v>12</v>
      </c>
      <c r="F547" s="1298" t="s">
        <v>34</v>
      </c>
      <c r="G547" s="1298" t="s">
        <v>32</v>
      </c>
      <c r="H547" s="1298" t="s">
        <v>6146</v>
      </c>
      <c r="I547" s="1298" t="s">
        <v>179</v>
      </c>
      <c r="J547" s="1298" t="s">
        <v>34</v>
      </c>
      <c r="K547" s="1298" t="s">
        <v>34</v>
      </c>
      <c r="L547" s="1298" t="s">
        <v>34</v>
      </c>
      <c r="M547" s="1298">
        <v>77.760000000000005</v>
      </c>
      <c r="N547" s="1301" t="s">
        <v>6675</v>
      </c>
      <c r="O547" s="1456" t="s">
        <v>6669</v>
      </c>
      <c r="P547" s="1457" t="s">
        <v>6517</v>
      </c>
      <c r="Q547" s="1457">
        <v>18931863533</v>
      </c>
      <c r="R547" s="1298" t="s">
        <v>6432</v>
      </c>
      <c r="S547" s="1298" t="s">
        <v>6150</v>
      </c>
      <c r="T547" s="1491"/>
    </row>
    <row r="548" spans="1:20">
      <c r="A548" s="1321"/>
      <c r="B548" s="1298" t="s">
        <v>1516</v>
      </c>
      <c r="C548" s="1298" t="s">
        <v>6678</v>
      </c>
      <c r="D548" s="1298" t="s">
        <v>2724</v>
      </c>
      <c r="E548" s="1298">
        <v>200</v>
      </c>
      <c r="F548" s="1298" t="s">
        <v>34</v>
      </c>
      <c r="G548" s="1298" t="s">
        <v>32</v>
      </c>
      <c r="H548" s="1298" t="s">
        <v>6146</v>
      </c>
      <c r="I548" s="1298" t="s">
        <v>179</v>
      </c>
      <c r="J548" s="1298" t="s">
        <v>34</v>
      </c>
      <c r="K548" s="1298" t="s">
        <v>34</v>
      </c>
      <c r="L548" s="1298" t="s">
        <v>34</v>
      </c>
      <c r="M548" s="1298">
        <v>26</v>
      </c>
      <c r="N548" s="1301" t="s">
        <v>6675</v>
      </c>
      <c r="O548" s="1456" t="s">
        <v>6669</v>
      </c>
      <c r="P548" s="1457" t="s">
        <v>6517</v>
      </c>
      <c r="Q548" s="1457">
        <v>18931863533</v>
      </c>
      <c r="R548" s="1298" t="s">
        <v>6432</v>
      </c>
      <c r="S548" s="1298" t="s">
        <v>6150</v>
      </c>
      <c r="T548" s="1491"/>
    </row>
    <row r="549" spans="1:20">
      <c r="A549" s="1321"/>
      <c r="B549" s="1298" t="s">
        <v>6679</v>
      </c>
      <c r="C549" s="1298" t="s">
        <v>6680</v>
      </c>
      <c r="D549" s="1298" t="s">
        <v>131</v>
      </c>
      <c r="E549" s="1298">
        <v>6</v>
      </c>
      <c r="F549" s="1298"/>
      <c r="G549" s="1298" t="s">
        <v>32</v>
      </c>
      <c r="H549" s="1298" t="s">
        <v>6146</v>
      </c>
      <c r="I549" s="1298" t="s">
        <v>179</v>
      </c>
      <c r="J549" s="1298" t="s">
        <v>34</v>
      </c>
      <c r="K549" s="1298" t="s">
        <v>34</v>
      </c>
      <c r="L549" s="1298" t="s">
        <v>34</v>
      </c>
      <c r="M549" s="1298">
        <v>20.399999999999999</v>
      </c>
      <c r="N549" s="1301" t="s">
        <v>6681</v>
      </c>
      <c r="O549" s="1456" t="s">
        <v>6669</v>
      </c>
      <c r="P549" s="1457" t="s">
        <v>6517</v>
      </c>
      <c r="Q549" s="1457">
        <v>18931863533</v>
      </c>
      <c r="R549" s="1298" t="s">
        <v>6432</v>
      </c>
      <c r="S549" s="1298" t="s">
        <v>6150</v>
      </c>
      <c r="T549" s="1491"/>
    </row>
    <row r="550" spans="1:20">
      <c r="A550" s="1321"/>
      <c r="B550" s="1298" t="s">
        <v>6679</v>
      </c>
      <c r="C550" s="1298" t="s">
        <v>6682</v>
      </c>
      <c r="D550" s="1298" t="s">
        <v>131</v>
      </c>
      <c r="E550" s="1298">
        <v>16</v>
      </c>
      <c r="F550" s="1298"/>
      <c r="G550" s="1298" t="s">
        <v>32</v>
      </c>
      <c r="H550" s="1298" t="s">
        <v>6146</v>
      </c>
      <c r="I550" s="1298" t="s">
        <v>179</v>
      </c>
      <c r="J550" s="1298" t="s">
        <v>34</v>
      </c>
      <c r="K550" s="1298" t="s">
        <v>34</v>
      </c>
      <c r="L550" s="1298" t="s">
        <v>34</v>
      </c>
      <c r="M550" s="1298">
        <v>584</v>
      </c>
      <c r="N550" s="1301" t="s">
        <v>6681</v>
      </c>
      <c r="O550" s="1456" t="s">
        <v>6669</v>
      </c>
      <c r="P550" s="1457" t="s">
        <v>6517</v>
      </c>
      <c r="Q550" s="1457">
        <v>18931863533</v>
      </c>
      <c r="R550" s="1298" t="s">
        <v>6432</v>
      </c>
      <c r="S550" s="1298" t="s">
        <v>6150</v>
      </c>
      <c r="T550" s="1491"/>
    </row>
    <row r="551" spans="1:20">
      <c r="A551" s="1321"/>
      <c r="B551" s="1298" t="s">
        <v>1711</v>
      </c>
      <c r="C551" s="1298" t="s">
        <v>5282</v>
      </c>
      <c r="D551" s="1298" t="s">
        <v>1477</v>
      </c>
      <c r="E551" s="1298">
        <v>1</v>
      </c>
      <c r="F551" s="1298"/>
      <c r="G551" s="1298" t="s">
        <v>32</v>
      </c>
      <c r="H551" s="1298" t="s">
        <v>6146</v>
      </c>
      <c r="I551" s="1298" t="s">
        <v>179</v>
      </c>
      <c r="J551" s="1298" t="s">
        <v>34</v>
      </c>
      <c r="K551" s="1298" t="s">
        <v>34</v>
      </c>
      <c r="L551" s="1298" t="s">
        <v>34</v>
      </c>
      <c r="M551" s="1298">
        <v>13.5</v>
      </c>
      <c r="N551" s="1301" t="s">
        <v>6681</v>
      </c>
      <c r="O551" s="1456" t="s">
        <v>6669</v>
      </c>
      <c r="P551" s="1457" t="s">
        <v>6517</v>
      </c>
      <c r="Q551" s="1457">
        <v>18931863533</v>
      </c>
      <c r="R551" s="1298" t="s">
        <v>6432</v>
      </c>
      <c r="S551" s="1298" t="s">
        <v>6150</v>
      </c>
      <c r="T551" s="1491"/>
    </row>
    <row r="552" spans="1:20">
      <c r="A552" s="1321"/>
      <c r="B552" s="1298" t="s">
        <v>6679</v>
      </c>
      <c r="C552" s="1298" t="s">
        <v>6683</v>
      </c>
      <c r="D552" s="1298" t="s">
        <v>131</v>
      </c>
      <c r="E552" s="1298">
        <v>16</v>
      </c>
      <c r="F552" s="1298"/>
      <c r="G552" s="1298" t="s">
        <v>32</v>
      </c>
      <c r="H552" s="1298" t="s">
        <v>6146</v>
      </c>
      <c r="I552" s="1298" t="s">
        <v>179</v>
      </c>
      <c r="J552" s="1298" t="s">
        <v>34</v>
      </c>
      <c r="K552" s="1298" t="s">
        <v>34</v>
      </c>
      <c r="L552" s="1298" t="s">
        <v>34</v>
      </c>
      <c r="M552" s="1298">
        <v>60.799999999999898</v>
      </c>
      <c r="N552" s="1301" t="s">
        <v>6431</v>
      </c>
      <c r="O552" s="1456" t="s">
        <v>6669</v>
      </c>
      <c r="P552" s="1457" t="s">
        <v>6517</v>
      </c>
      <c r="Q552" s="1457">
        <v>18931863533</v>
      </c>
      <c r="R552" s="1298" t="s">
        <v>6432</v>
      </c>
      <c r="S552" s="1298" t="s">
        <v>6150</v>
      </c>
      <c r="T552" s="1491"/>
    </row>
    <row r="553" spans="1:20">
      <c r="A553" s="1321"/>
      <c r="B553" s="1298" t="s">
        <v>6679</v>
      </c>
      <c r="C553" s="1298" t="s">
        <v>6684</v>
      </c>
      <c r="D553" s="1298" t="s">
        <v>131</v>
      </c>
      <c r="E553" s="1298">
        <v>20</v>
      </c>
      <c r="F553" s="1298"/>
      <c r="G553" s="1298" t="s">
        <v>32</v>
      </c>
      <c r="H553" s="1298" t="s">
        <v>6146</v>
      </c>
      <c r="I553" s="1298" t="s">
        <v>179</v>
      </c>
      <c r="J553" s="1298" t="s">
        <v>34</v>
      </c>
      <c r="K553" s="1298" t="s">
        <v>34</v>
      </c>
      <c r="L553" s="1298" t="s">
        <v>34</v>
      </c>
      <c r="M553" s="1298">
        <v>470</v>
      </c>
      <c r="N553" s="1301" t="s">
        <v>6431</v>
      </c>
      <c r="O553" s="1456" t="s">
        <v>6669</v>
      </c>
      <c r="P553" s="1457" t="s">
        <v>6517</v>
      </c>
      <c r="Q553" s="1457">
        <v>18931863533</v>
      </c>
      <c r="R553" s="1298" t="s">
        <v>6432</v>
      </c>
      <c r="S553" s="1298" t="s">
        <v>6150</v>
      </c>
      <c r="T553" s="1491"/>
    </row>
    <row r="554" spans="1:20">
      <c r="A554" s="1321"/>
      <c r="B554" s="1298" t="s">
        <v>6679</v>
      </c>
      <c r="C554" s="1298" t="s">
        <v>1629</v>
      </c>
      <c r="D554" s="1298" t="s">
        <v>131</v>
      </c>
      <c r="E554" s="1298">
        <v>30</v>
      </c>
      <c r="F554" s="1298"/>
      <c r="G554" s="1298" t="s">
        <v>32</v>
      </c>
      <c r="H554" s="1298" t="s">
        <v>6146</v>
      </c>
      <c r="I554" s="1298" t="s">
        <v>179</v>
      </c>
      <c r="J554" s="1298" t="s">
        <v>34</v>
      </c>
      <c r="K554" s="1298" t="s">
        <v>34</v>
      </c>
      <c r="L554" s="1298" t="s">
        <v>34</v>
      </c>
      <c r="M554" s="1298">
        <v>1095</v>
      </c>
      <c r="N554" s="1301" t="s">
        <v>6431</v>
      </c>
      <c r="O554" s="1456" t="s">
        <v>6669</v>
      </c>
      <c r="P554" s="1457" t="s">
        <v>6517</v>
      </c>
      <c r="Q554" s="1457">
        <v>18931863533</v>
      </c>
      <c r="R554" s="1298" t="s">
        <v>6432</v>
      </c>
      <c r="S554" s="1298" t="s">
        <v>6150</v>
      </c>
      <c r="T554" s="1491"/>
    </row>
    <row r="555" spans="1:20">
      <c r="A555" s="1321"/>
      <c r="B555" s="1298" t="s">
        <v>4600</v>
      </c>
      <c r="C555" s="1298"/>
      <c r="D555" s="1298" t="s">
        <v>161</v>
      </c>
      <c r="E555" s="1298">
        <v>110</v>
      </c>
      <c r="F555" s="1298" t="s">
        <v>34</v>
      </c>
      <c r="G555" s="1298" t="s">
        <v>32</v>
      </c>
      <c r="H555" s="1298" t="s">
        <v>6146</v>
      </c>
      <c r="I555" s="1298" t="s">
        <v>179</v>
      </c>
      <c r="J555" s="1298" t="s">
        <v>34</v>
      </c>
      <c r="K555" s="1298" t="s">
        <v>34</v>
      </c>
      <c r="L555" s="1298" t="s">
        <v>34</v>
      </c>
      <c r="M555" s="1298">
        <v>19.8</v>
      </c>
      <c r="N555" s="1301" t="s">
        <v>6431</v>
      </c>
      <c r="O555" s="1456" t="s">
        <v>6669</v>
      </c>
      <c r="P555" s="1457" t="s">
        <v>6517</v>
      </c>
      <c r="Q555" s="1457">
        <v>18931863533</v>
      </c>
      <c r="R555" s="1298" t="s">
        <v>6432</v>
      </c>
      <c r="S555" s="1298" t="s">
        <v>6150</v>
      </c>
      <c r="T555" s="1491"/>
    </row>
    <row r="556" spans="1:20">
      <c r="A556" s="1321"/>
      <c r="B556" s="1298" t="s">
        <v>4600</v>
      </c>
      <c r="C556" s="1298"/>
      <c r="D556" s="1298" t="s">
        <v>161</v>
      </c>
      <c r="E556" s="1298">
        <v>100</v>
      </c>
      <c r="F556" s="1298" t="s">
        <v>34</v>
      </c>
      <c r="G556" s="1298" t="s">
        <v>32</v>
      </c>
      <c r="H556" s="1298" t="s">
        <v>6146</v>
      </c>
      <c r="I556" s="1298" t="s">
        <v>179</v>
      </c>
      <c r="J556" s="1298" t="s">
        <v>34</v>
      </c>
      <c r="K556" s="1298" t="s">
        <v>34</v>
      </c>
      <c r="L556" s="1298" t="s">
        <v>34</v>
      </c>
      <c r="M556" s="1298">
        <v>13.5</v>
      </c>
      <c r="N556" s="1301" t="s">
        <v>6431</v>
      </c>
      <c r="O556" s="1456" t="s">
        <v>6669</v>
      </c>
      <c r="P556" s="1457" t="s">
        <v>6517</v>
      </c>
      <c r="Q556" s="1457">
        <v>18931863533</v>
      </c>
      <c r="R556" s="1298" t="s">
        <v>6432</v>
      </c>
      <c r="S556" s="1298" t="s">
        <v>6150</v>
      </c>
      <c r="T556" s="1491"/>
    </row>
    <row r="557" spans="1:20">
      <c r="A557" s="1321"/>
      <c r="B557" s="1298" t="s">
        <v>4600</v>
      </c>
      <c r="C557" s="1298"/>
      <c r="D557" s="1298" t="s">
        <v>161</v>
      </c>
      <c r="E557" s="1298">
        <v>200</v>
      </c>
      <c r="F557" s="1298" t="s">
        <v>34</v>
      </c>
      <c r="G557" s="1298" t="s">
        <v>32</v>
      </c>
      <c r="H557" s="1298" t="s">
        <v>6146</v>
      </c>
      <c r="I557" s="1298" t="s">
        <v>179</v>
      </c>
      <c r="J557" s="1298" t="s">
        <v>34</v>
      </c>
      <c r="K557" s="1298" t="s">
        <v>34</v>
      </c>
      <c r="L557" s="1298" t="s">
        <v>34</v>
      </c>
      <c r="M557" s="1298">
        <v>24</v>
      </c>
      <c r="N557" s="1301" t="s">
        <v>6431</v>
      </c>
      <c r="O557" s="1456" t="s">
        <v>6669</v>
      </c>
      <c r="P557" s="1457" t="s">
        <v>6517</v>
      </c>
      <c r="Q557" s="1457">
        <v>18931863533</v>
      </c>
      <c r="R557" s="1298" t="s">
        <v>6432</v>
      </c>
      <c r="S557" s="1298" t="s">
        <v>6150</v>
      </c>
      <c r="T557" s="1491"/>
    </row>
    <row r="558" spans="1:20">
      <c r="A558" s="1321"/>
      <c r="B558" s="1298" t="s">
        <v>4600</v>
      </c>
      <c r="C558" s="1298"/>
      <c r="D558" s="1298" t="s">
        <v>161</v>
      </c>
      <c r="E558" s="1298">
        <v>200</v>
      </c>
      <c r="F558" s="1298" t="s">
        <v>34</v>
      </c>
      <c r="G558" s="1298" t="s">
        <v>32</v>
      </c>
      <c r="H558" s="1298" t="s">
        <v>6146</v>
      </c>
      <c r="I558" s="1298" t="s">
        <v>179</v>
      </c>
      <c r="J558" s="1298" t="s">
        <v>34</v>
      </c>
      <c r="K558" s="1298" t="s">
        <v>34</v>
      </c>
      <c r="L558" s="1298" t="s">
        <v>34</v>
      </c>
      <c r="M558" s="1298">
        <v>30</v>
      </c>
      <c r="N558" s="1301" t="s">
        <v>6204</v>
      </c>
      <c r="O558" s="1456" t="s">
        <v>6669</v>
      </c>
      <c r="P558" s="1457" t="s">
        <v>6517</v>
      </c>
      <c r="Q558" s="1457">
        <v>18931863533</v>
      </c>
      <c r="R558" s="1298" t="s">
        <v>6432</v>
      </c>
      <c r="S558" s="1298" t="s">
        <v>6150</v>
      </c>
      <c r="T558" s="1491"/>
    </row>
    <row r="559" spans="1:20">
      <c r="A559" s="1321"/>
      <c r="B559" s="1298" t="s">
        <v>4600</v>
      </c>
      <c r="C559" s="1298"/>
      <c r="D559" s="1298" t="s">
        <v>161</v>
      </c>
      <c r="E559" s="1298">
        <v>260</v>
      </c>
      <c r="F559" s="1298" t="s">
        <v>34</v>
      </c>
      <c r="G559" s="1298" t="s">
        <v>32</v>
      </c>
      <c r="H559" s="1298" t="s">
        <v>6146</v>
      </c>
      <c r="I559" s="1298" t="s">
        <v>179</v>
      </c>
      <c r="J559" s="1298" t="s">
        <v>34</v>
      </c>
      <c r="K559" s="1298" t="s">
        <v>34</v>
      </c>
      <c r="L559" s="1298" t="s">
        <v>34</v>
      </c>
      <c r="M559" s="1298">
        <v>96.200000000000301</v>
      </c>
      <c r="N559" s="1301" t="s">
        <v>6204</v>
      </c>
      <c r="O559" s="1456" t="s">
        <v>6669</v>
      </c>
      <c r="P559" s="1457" t="s">
        <v>6517</v>
      </c>
      <c r="Q559" s="1457">
        <v>18931863533</v>
      </c>
      <c r="R559" s="1298" t="s">
        <v>6432</v>
      </c>
      <c r="S559" s="1298" t="s">
        <v>6150</v>
      </c>
      <c r="T559" s="1491"/>
    </row>
    <row r="560" spans="1:20">
      <c r="A560" s="1321"/>
      <c r="B560" s="1298" t="s">
        <v>4600</v>
      </c>
      <c r="C560" s="1298"/>
      <c r="D560" s="1298" t="s">
        <v>161</v>
      </c>
      <c r="E560" s="1298">
        <v>280</v>
      </c>
      <c r="F560" s="1298" t="s">
        <v>34</v>
      </c>
      <c r="G560" s="1298" t="s">
        <v>32</v>
      </c>
      <c r="H560" s="1298" t="s">
        <v>6146</v>
      </c>
      <c r="I560" s="1298" t="s">
        <v>179</v>
      </c>
      <c r="J560" s="1298" t="s">
        <v>34</v>
      </c>
      <c r="K560" s="1298" t="s">
        <v>34</v>
      </c>
      <c r="L560" s="1298" t="s">
        <v>34</v>
      </c>
      <c r="M560" s="1298">
        <v>42</v>
      </c>
      <c r="N560" s="1301" t="s">
        <v>6204</v>
      </c>
      <c r="O560" s="1456" t="s">
        <v>6669</v>
      </c>
      <c r="P560" s="1457" t="s">
        <v>6517</v>
      </c>
      <c r="Q560" s="1457">
        <v>18931863533</v>
      </c>
      <c r="R560" s="1298" t="s">
        <v>6432</v>
      </c>
      <c r="S560" s="1298" t="s">
        <v>6150</v>
      </c>
      <c r="T560" s="1491"/>
    </row>
    <row r="561" spans="1:20">
      <c r="A561" s="1321"/>
      <c r="B561" s="1298" t="s">
        <v>4600</v>
      </c>
      <c r="C561" s="1298"/>
      <c r="D561" s="1298" t="s">
        <v>161</v>
      </c>
      <c r="E561" s="1298">
        <v>350</v>
      </c>
      <c r="F561" s="1298" t="s">
        <v>34</v>
      </c>
      <c r="G561" s="1298" t="s">
        <v>32</v>
      </c>
      <c r="H561" s="1298" t="s">
        <v>6146</v>
      </c>
      <c r="I561" s="1298" t="s">
        <v>179</v>
      </c>
      <c r="J561" s="1298" t="s">
        <v>34</v>
      </c>
      <c r="K561" s="1298" t="s">
        <v>34</v>
      </c>
      <c r="L561" s="1298" t="s">
        <v>34</v>
      </c>
      <c r="M561" s="1298">
        <v>63</v>
      </c>
      <c r="N561" s="1301" t="s">
        <v>6204</v>
      </c>
      <c r="O561" s="1456" t="s">
        <v>6669</v>
      </c>
      <c r="P561" s="1457" t="s">
        <v>6517</v>
      </c>
      <c r="Q561" s="1457">
        <v>18931863533</v>
      </c>
      <c r="R561" s="1298" t="s">
        <v>6432</v>
      </c>
      <c r="S561" s="1298" t="s">
        <v>6150</v>
      </c>
      <c r="T561" s="1491"/>
    </row>
    <row r="562" spans="1:20" ht="24">
      <c r="A562" s="1321"/>
      <c r="B562" s="1298" t="s">
        <v>1546</v>
      </c>
      <c r="C562" s="1298" t="s">
        <v>6685</v>
      </c>
      <c r="D562" s="1298" t="s">
        <v>464</v>
      </c>
      <c r="E562" s="1298">
        <v>1224</v>
      </c>
      <c r="F562" s="1298" t="s">
        <v>34</v>
      </c>
      <c r="G562" s="1298" t="s">
        <v>32</v>
      </c>
      <c r="H562" s="1298" t="s">
        <v>6146</v>
      </c>
      <c r="I562" s="1298" t="s">
        <v>179</v>
      </c>
      <c r="J562" s="1298" t="s">
        <v>34</v>
      </c>
      <c r="K562" s="1298" t="s">
        <v>34</v>
      </c>
      <c r="L562" s="1298" t="s">
        <v>34</v>
      </c>
      <c r="M562" s="1298">
        <v>1615.68</v>
      </c>
      <c r="N562" s="1301" t="s">
        <v>6480</v>
      </c>
      <c r="O562" s="1456" t="s">
        <v>6669</v>
      </c>
      <c r="P562" s="1457" t="s">
        <v>6517</v>
      </c>
      <c r="Q562" s="1457">
        <v>18931863533</v>
      </c>
      <c r="R562" s="1298" t="s">
        <v>6432</v>
      </c>
      <c r="S562" s="1298" t="s">
        <v>6150</v>
      </c>
      <c r="T562" s="1491"/>
    </row>
    <row r="563" spans="1:20">
      <c r="A563" s="1321"/>
      <c r="B563" s="1298" t="s">
        <v>6686</v>
      </c>
      <c r="C563" s="1298" t="s">
        <v>6687</v>
      </c>
      <c r="D563" s="1298" t="s">
        <v>31</v>
      </c>
      <c r="E563" s="1298">
        <v>333</v>
      </c>
      <c r="F563" s="1298" t="s">
        <v>34</v>
      </c>
      <c r="G563" s="1298" t="s">
        <v>32</v>
      </c>
      <c r="H563" s="1298" t="s">
        <v>6146</v>
      </c>
      <c r="I563" s="1298" t="s">
        <v>179</v>
      </c>
      <c r="J563" s="1298" t="s">
        <v>34</v>
      </c>
      <c r="K563" s="1298" t="s">
        <v>34</v>
      </c>
      <c r="L563" s="1298" t="s">
        <v>34</v>
      </c>
      <c r="M563" s="1298">
        <v>1038.96</v>
      </c>
      <c r="N563" s="1301" t="s">
        <v>6480</v>
      </c>
      <c r="O563" s="1456" t="s">
        <v>6669</v>
      </c>
      <c r="P563" s="1457" t="s">
        <v>6517</v>
      </c>
      <c r="Q563" s="1457">
        <v>18931863533</v>
      </c>
      <c r="R563" s="1298" t="s">
        <v>6432</v>
      </c>
      <c r="S563" s="1298" t="s">
        <v>6150</v>
      </c>
      <c r="T563" s="1491"/>
    </row>
    <row r="564" spans="1:20">
      <c r="A564" s="1321"/>
      <c r="B564" s="1298" t="s">
        <v>6686</v>
      </c>
      <c r="C564" s="1298" t="s">
        <v>6688</v>
      </c>
      <c r="D564" s="1298" t="s">
        <v>31</v>
      </c>
      <c r="E564" s="1298">
        <v>49</v>
      </c>
      <c r="F564" s="1298" t="s">
        <v>34</v>
      </c>
      <c r="G564" s="1298" t="s">
        <v>32</v>
      </c>
      <c r="H564" s="1298" t="s">
        <v>6146</v>
      </c>
      <c r="I564" s="1298" t="s">
        <v>179</v>
      </c>
      <c r="J564" s="1298" t="s">
        <v>34</v>
      </c>
      <c r="K564" s="1298" t="s">
        <v>34</v>
      </c>
      <c r="L564" s="1298" t="s">
        <v>34</v>
      </c>
      <c r="M564" s="1298">
        <v>96.040000000000106</v>
      </c>
      <c r="N564" s="1301" t="s">
        <v>6480</v>
      </c>
      <c r="O564" s="1456" t="s">
        <v>6669</v>
      </c>
      <c r="P564" s="1457" t="s">
        <v>6517</v>
      </c>
      <c r="Q564" s="1457">
        <v>18931863533</v>
      </c>
      <c r="R564" s="1298" t="s">
        <v>6432</v>
      </c>
      <c r="S564" s="1298" t="s">
        <v>6150</v>
      </c>
      <c r="T564" s="1491"/>
    </row>
    <row r="565" spans="1:20">
      <c r="A565" s="1321"/>
      <c r="B565" s="1298" t="s">
        <v>1550</v>
      </c>
      <c r="C565" s="1298" t="s">
        <v>6687</v>
      </c>
      <c r="D565" s="1298" t="s">
        <v>31</v>
      </c>
      <c r="E565" s="1298">
        <v>124</v>
      </c>
      <c r="F565" s="1298" t="s">
        <v>34</v>
      </c>
      <c r="G565" s="1298" t="s">
        <v>32</v>
      </c>
      <c r="H565" s="1298" t="s">
        <v>6146</v>
      </c>
      <c r="I565" s="1298" t="s">
        <v>179</v>
      </c>
      <c r="J565" s="1298" t="s">
        <v>34</v>
      </c>
      <c r="K565" s="1298" t="s">
        <v>34</v>
      </c>
      <c r="L565" s="1298" t="s">
        <v>34</v>
      </c>
      <c r="M565" s="1298">
        <v>793.599999999999</v>
      </c>
      <c r="N565" s="1301" t="s">
        <v>6480</v>
      </c>
      <c r="O565" s="1456" t="s">
        <v>6669</v>
      </c>
      <c r="P565" s="1457" t="s">
        <v>6517</v>
      </c>
      <c r="Q565" s="1457">
        <v>18931863533</v>
      </c>
      <c r="R565" s="1298" t="s">
        <v>6432</v>
      </c>
      <c r="S565" s="1298" t="s">
        <v>6150</v>
      </c>
      <c r="T565" s="1491"/>
    </row>
    <row r="566" spans="1:20">
      <c r="A566" s="1321"/>
      <c r="B566" s="1298" t="s">
        <v>6686</v>
      </c>
      <c r="C566" s="1298" t="s">
        <v>6689</v>
      </c>
      <c r="D566" s="1298" t="s">
        <v>31</v>
      </c>
      <c r="E566" s="1298">
        <v>17</v>
      </c>
      <c r="F566" s="1298" t="s">
        <v>34</v>
      </c>
      <c r="G566" s="1298" t="s">
        <v>32</v>
      </c>
      <c r="H566" s="1298" t="s">
        <v>6146</v>
      </c>
      <c r="I566" s="1298" t="s">
        <v>179</v>
      </c>
      <c r="J566" s="1298" t="s">
        <v>34</v>
      </c>
      <c r="K566" s="1298" t="s">
        <v>34</v>
      </c>
      <c r="L566" s="1298" t="s">
        <v>34</v>
      </c>
      <c r="M566" s="1298">
        <v>73.439999999999898</v>
      </c>
      <c r="N566" s="1301" t="s">
        <v>6480</v>
      </c>
      <c r="O566" s="1456" t="s">
        <v>6669</v>
      </c>
      <c r="P566" s="1457" t="s">
        <v>6517</v>
      </c>
      <c r="Q566" s="1457">
        <v>18931863533</v>
      </c>
      <c r="R566" s="1298" t="s">
        <v>6432</v>
      </c>
      <c r="S566" s="1298" t="s">
        <v>6150</v>
      </c>
      <c r="T566" s="1491"/>
    </row>
    <row r="567" spans="1:20">
      <c r="A567" s="1321"/>
      <c r="B567" s="1298" t="s">
        <v>6686</v>
      </c>
      <c r="C567" s="1298" t="s">
        <v>6690</v>
      </c>
      <c r="D567" s="1298" t="s">
        <v>31</v>
      </c>
      <c r="E567" s="1298">
        <v>1200</v>
      </c>
      <c r="F567" s="1298" t="s">
        <v>34</v>
      </c>
      <c r="G567" s="1298" t="s">
        <v>32</v>
      </c>
      <c r="H567" s="1298" t="s">
        <v>6146</v>
      </c>
      <c r="I567" s="1298" t="s">
        <v>179</v>
      </c>
      <c r="J567" s="1298" t="s">
        <v>34</v>
      </c>
      <c r="K567" s="1298" t="s">
        <v>34</v>
      </c>
      <c r="L567" s="1298" t="s">
        <v>34</v>
      </c>
      <c r="M567" s="1298">
        <v>7104</v>
      </c>
      <c r="N567" s="1301" t="s">
        <v>6480</v>
      </c>
      <c r="O567" s="1456" t="s">
        <v>6669</v>
      </c>
      <c r="P567" s="1457" t="s">
        <v>6517</v>
      </c>
      <c r="Q567" s="1457">
        <v>18931863533</v>
      </c>
      <c r="R567" s="1298" t="s">
        <v>6432</v>
      </c>
      <c r="S567" s="1298" t="s">
        <v>6150</v>
      </c>
      <c r="T567" s="1491"/>
    </row>
    <row r="568" spans="1:20" ht="24">
      <c r="A568" s="1321"/>
      <c r="B568" s="1298" t="s">
        <v>1546</v>
      </c>
      <c r="C568" s="1298" t="s">
        <v>6691</v>
      </c>
      <c r="D568" s="1298" t="s">
        <v>464</v>
      </c>
      <c r="E568" s="1298">
        <v>2000</v>
      </c>
      <c r="F568" s="1298" t="s">
        <v>34</v>
      </c>
      <c r="G568" s="1298" t="s">
        <v>32</v>
      </c>
      <c r="H568" s="1298" t="s">
        <v>6146</v>
      </c>
      <c r="I568" s="1298" t="s">
        <v>179</v>
      </c>
      <c r="J568" s="1298" t="s">
        <v>34</v>
      </c>
      <c r="K568" s="1298" t="s">
        <v>34</v>
      </c>
      <c r="L568" s="1298" t="s">
        <v>34</v>
      </c>
      <c r="M568" s="1298">
        <v>8400</v>
      </c>
      <c r="N568" s="1301" t="s">
        <v>6480</v>
      </c>
      <c r="O568" s="1456" t="s">
        <v>6669</v>
      </c>
      <c r="P568" s="1457" t="s">
        <v>6517</v>
      </c>
      <c r="Q568" s="1457">
        <v>18931863533</v>
      </c>
      <c r="R568" s="1298" t="s">
        <v>6432</v>
      </c>
      <c r="S568" s="1298" t="s">
        <v>6150</v>
      </c>
      <c r="T568" s="1491"/>
    </row>
    <row r="569" spans="1:20" ht="24">
      <c r="A569" s="1321"/>
      <c r="B569" s="1298" t="s">
        <v>1546</v>
      </c>
      <c r="C569" s="1298" t="s">
        <v>6692</v>
      </c>
      <c r="D569" s="1298" t="s">
        <v>464</v>
      </c>
      <c r="E569" s="1298">
        <v>3780</v>
      </c>
      <c r="F569" s="1298" t="s">
        <v>34</v>
      </c>
      <c r="G569" s="1298" t="s">
        <v>32</v>
      </c>
      <c r="H569" s="1298" t="s">
        <v>6146</v>
      </c>
      <c r="I569" s="1298" t="s">
        <v>179</v>
      </c>
      <c r="J569" s="1298" t="s">
        <v>34</v>
      </c>
      <c r="K569" s="1298" t="s">
        <v>34</v>
      </c>
      <c r="L569" s="1298" t="s">
        <v>34</v>
      </c>
      <c r="M569" s="1298">
        <v>11340</v>
      </c>
      <c r="N569" s="1301" t="s">
        <v>6480</v>
      </c>
      <c r="O569" s="1456" t="s">
        <v>6669</v>
      </c>
      <c r="P569" s="1457" t="s">
        <v>6517</v>
      </c>
      <c r="Q569" s="1457">
        <v>18931863533</v>
      </c>
      <c r="R569" s="1298" t="s">
        <v>6432</v>
      </c>
      <c r="S569" s="1298" t="s">
        <v>6150</v>
      </c>
      <c r="T569" s="1491"/>
    </row>
    <row r="570" spans="1:20">
      <c r="A570" s="1321"/>
      <c r="B570" s="1298" t="s">
        <v>1462</v>
      </c>
      <c r="C570" s="1298"/>
      <c r="D570" s="1298" t="s">
        <v>3821</v>
      </c>
      <c r="E570" s="1298">
        <v>1130</v>
      </c>
      <c r="F570" s="1298" t="s">
        <v>34</v>
      </c>
      <c r="G570" s="1298" t="s">
        <v>32</v>
      </c>
      <c r="H570" s="1298" t="s">
        <v>6146</v>
      </c>
      <c r="I570" s="1298" t="s">
        <v>179</v>
      </c>
      <c r="J570" s="1298" t="s">
        <v>34</v>
      </c>
      <c r="K570" s="1298" t="s">
        <v>34</v>
      </c>
      <c r="L570" s="1298" t="s">
        <v>34</v>
      </c>
      <c r="M570" s="1298">
        <v>1672.4</v>
      </c>
      <c r="N570" s="1301" t="s">
        <v>6211</v>
      </c>
      <c r="O570" s="1456" t="s">
        <v>6669</v>
      </c>
      <c r="P570" s="1457" t="s">
        <v>6517</v>
      </c>
      <c r="Q570" s="1457">
        <v>18931863533</v>
      </c>
      <c r="R570" s="1298" t="s">
        <v>6432</v>
      </c>
      <c r="S570" s="1298" t="s">
        <v>6150</v>
      </c>
      <c r="T570" s="1491"/>
    </row>
    <row r="571" spans="1:20">
      <c r="A571" s="1321"/>
      <c r="B571" s="1298" t="s">
        <v>6686</v>
      </c>
      <c r="C571" s="1298" t="s">
        <v>6693</v>
      </c>
      <c r="D571" s="1298" t="s">
        <v>603</v>
      </c>
      <c r="E571" s="1298">
        <v>21</v>
      </c>
      <c r="F571" s="1298" t="s">
        <v>34</v>
      </c>
      <c r="G571" s="1298" t="s">
        <v>32</v>
      </c>
      <c r="H571" s="1298" t="s">
        <v>6146</v>
      </c>
      <c r="I571" s="1298" t="s">
        <v>179</v>
      </c>
      <c r="J571" s="1298" t="s">
        <v>34</v>
      </c>
      <c r="K571" s="1298" t="s">
        <v>34</v>
      </c>
      <c r="L571" s="1298" t="s">
        <v>34</v>
      </c>
      <c r="M571" s="1298">
        <v>65.520000000000195</v>
      </c>
      <c r="N571" s="1301" t="s">
        <v>6211</v>
      </c>
      <c r="O571" s="1456" t="s">
        <v>6669</v>
      </c>
      <c r="P571" s="1457" t="s">
        <v>6517</v>
      </c>
      <c r="Q571" s="1457">
        <v>18931863533</v>
      </c>
      <c r="R571" s="1298" t="s">
        <v>6432</v>
      </c>
      <c r="S571" s="1298" t="s">
        <v>6150</v>
      </c>
      <c r="T571" s="1491"/>
    </row>
    <row r="572" spans="1:20">
      <c r="A572" s="1321"/>
      <c r="B572" s="1298" t="s">
        <v>1550</v>
      </c>
      <c r="C572" s="1298" t="s">
        <v>6693</v>
      </c>
      <c r="D572" s="1298" t="s">
        <v>603</v>
      </c>
      <c r="E572" s="1298">
        <v>40</v>
      </c>
      <c r="F572" s="1298" t="s">
        <v>34</v>
      </c>
      <c r="G572" s="1298" t="s">
        <v>32</v>
      </c>
      <c r="H572" s="1298" t="s">
        <v>6146</v>
      </c>
      <c r="I572" s="1298" t="s">
        <v>179</v>
      </c>
      <c r="J572" s="1298" t="s">
        <v>34</v>
      </c>
      <c r="K572" s="1298" t="s">
        <v>34</v>
      </c>
      <c r="L572" s="1298" t="s">
        <v>34</v>
      </c>
      <c r="M572" s="1298">
        <v>220.79999999999899</v>
      </c>
      <c r="N572" s="1301" t="s">
        <v>6211</v>
      </c>
      <c r="O572" s="1456" t="s">
        <v>6669</v>
      </c>
      <c r="P572" s="1457" t="s">
        <v>6517</v>
      </c>
      <c r="Q572" s="1457">
        <v>18931863533</v>
      </c>
      <c r="R572" s="1298" t="s">
        <v>6432</v>
      </c>
      <c r="S572" s="1298" t="s">
        <v>6150</v>
      </c>
      <c r="T572" s="1491"/>
    </row>
    <row r="573" spans="1:20" ht="24">
      <c r="A573" s="1321"/>
      <c r="B573" s="1298" t="s">
        <v>1546</v>
      </c>
      <c r="C573" s="1298" t="s">
        <v>6694</v>
      </c>
      <c r="D573" s="1298" t="s">
        <v>464</v>
      </c>
      <c r="E573" s="1298">
        <v>1200</v>
      </c>
      <c r="F573" s="1298" t="s">
        <v>34</v>
      </c>
      <c r="G573" s="1298" t="s">
        <v>32</v>
      </c>
      <c r="H573" s="1298" t="s">
        <v>6146</v>
      </c>
      <c r="I573" s="1298" t="s">
        <v>179</v>
      </c>
      <c r="J573" s="1298" t="s">
        <v>34</v>
      </c>
      <c r="K573" s="1298" t="s">
        <v>34</v>
      </c>
      <c r="L573" s="1298" t="s">
        <v>34</v>
      </c>
      <c r="M573" s="1298">
        <v>3360</v>
      </c>
      <c r="N573" s="1301" t="s">
        <v>6211</v>
      </c>
      <c r="O573" s="1456" t="s">
        <v>6669</v>
      </c>
      <c r="P573" s="1457" t="s">
        <v>6517</v>
      </c>
      <c r="Q573" s="1457">
        <v>18931863533</v>
      </c>
      <c r="R573" s="1298" t="s">
        <v>6432</v>
      </c>
      <c r="S573" s="1298" t="s">
        <v>6150</v>
      </c>
      <c r="T573" s="1491"/>
    </row>
    <row r="574" spans="1:20" ht="24">
      <c r="A574" s="1321"/>
      <c r="B574" s="1298" t="s">
        <v>1546</v>
      </c>
      <c r="C574" s="1298" t="s">
        <v>6695</v>
      </c>
      <c r="D574" s="1298" t="s">
        <v>464</v>
      </c>
      <c r="E574" s="1298">
        <v>1097</v>
      </c>
      <c r="F574" s="1298" t="s">
        <v>34</v>
      </c>
      <c r="G574" s="1298" t="s">
        <v>32</v>
      </c>
      <c r="H574" s="1298" t="s">
        <v>6146</v>
      </c>
      <c r="I574" s="1298" t="s">
        <v>179</v>
      </c>
      <c r="J574" s="1298" t="s">
        <v>34</v>
      </c>
      <c r="K574" s="1298" t="s">
        <v>34</v>
      </c>
      <c r="L574" s="1298" t="s">
        <v>34</v>
      </c>
      <c r="M574" s="1298">
        <v>4607.3999999999896</v>
      </c>
      <c r="N574" s="1301" t="s">
        <v>6211</v>
      </c>
      <c r="O574" s="1456" t="s">
        <v>6669</v>
      </c>
      <c r="P574" s="1457" t="s">
        <v>6517</v>
      </c>
      <c r="Q574" s="1457">
        <v>18931863533</v>
      </c>
      <c r="R574" s="1298" t="s">
        <v>6432</v>
      </c>
      <c r="S574" s="1298" t="s">
        <v>6150</v>
      </c>
      <c r="T574" s="1491"/>
    </row>
    <row r="575" spans="1:20">
      <c r="A575" s="1321"/>
      <c r="B575" s="1298" t="s">
        <v>6686</v>
      </c>
      <c r="C575" s="1298" t="s">
        <v>6696</v>
      </c>
      <c r="D575" s="1298" t="s">
        <v>603</v>
      </c>
      <c r="E575" s="1298">
        <v>330</v>
      </c>
      <c r="F575" s="1298" t="s">
        <v>34</v>
      </c>
      <c r="G575" s="1298" t="s">
        <v>32</v>
      </c>
      <c r="H575" s="1298" t="s">
        <v>6146</v>
      </c>
      <c r="I575" s="1298" t="s">
        <v>179</v>
      </c>
      <c r="J575" s="1298" t="s">
        <v>34</v>
      </c>
      <c r="K575" s="1298" t="s">
        <v>34</v>
      </c>
      <c r="L575" s="1298" t="s">
        <v>34</v>
      </c>
      <c r="M575" s="1298">
        <v>646.79999999999995</v>
      </c>
      <c r="N575" s="1301" t="s">
        <v>6211</v>
      </c>
      <c r="O575" s="1456" t="s">
        <v>6669</v>
      </c>
      <c r="P575" s="1457" t="s">
        <v>6517</v>
      </c>
      <c r="Q575" s="1457">
        <v>18931863533</v>
      </c>
      <c r="R575" s="1298" t="s">
        <v>6432</v>
      </c>
      <c r="S575" s="1298" t="s">
        <v>6150</v>
      </c>
      <c r="T575" s="1491"/>
    </row>
    <row r="576" spans="1:20" ht="24">
      <c r="A576" s="1321"/>
      <c r="B576" s="1298" t="s">
        <v>6697</v>
      </c>
      <c r="C576" s="1298" t="s">
        <v>6698</v>
      </c>
      <c r="D576" s="1298" t="s">
        <v>31</v>
      </c>
      <c r="E576" s="1298">
        <v>300</v>
      </c>
      <c r="F576" s="1298" t="s">
        <v>34</v>
      </c>
      <c r="G576" s="1298" t="s">
        <v>32</v>
      </c>
      <c r="H576" s="1298" t="s">
        <v>6146</v>
      </c>
      <c r="I576" s="1298" t="s">
        <v>179</v>
      </c>
      <c r="J576" s="1298" t="s">
        <v>34</v>
      </c>
      <c r="K576" s="1298" t="s">
        <v>34</v>
      </c>
      <c r="L576" s="1298" t="s">
        <v>34</v>
      </c>
      <c r="M576" s="1298">
        <v>4872</v>
      </c>
      <c r="N576" s="1301" t="s">
        <v>6508</v>
      </c>
      <c r="O576" s="1456" t="s">
        <v>6669</v>
      </c>
      <c r="P576" s="1457" t="s">
        <v>6517</v>
      </c>
      <c r="Q576" s="1457">
        <v>18931863533</v>
      </c>
      <c r="R576" s="1298" t="s">
        <v>6432</v>
      </c>
      <c r="S576" s="1298" t="s">
        <v>6150</v>
      </c>
      <c r="T576" s="1491"/>
    </row>
    <row r="577" spans="1:20">
      <c r="A577" s="1321"/>
      <c r="B577" s="1298" t="s">
        <v>6699</v>
      </c>
      <c r="C577" s="1298"/>
      <c r="D577" s="1298" t="s">
        <v>79</v>
      </c>
      <c r="E577" s="1298">
        <v>200</v>
      </c>
      <c r="F577" s="1298" t="s">
        <v>34</v>
      </c>
      <c r="G577" s="1298" t="s">
        <v>32</v>
      </c>
      <c r="H577" s="1298" t="s">
        <v>6146</v>
      </c>
      <c r="I577" s="1298" t="s">
        <v>179</v>
      </c>
      <c r="J577" s="1298" t="s">
        <v>34</v>
      </c>
      <c r="K577" s="1298" t="s">
        <v>34</v>
      </c>
      <c r="L577" s="1298" t="s">
        <v>34</v>
      </c>
      <c r="M577" s="1298">
        <v>17920</v>
      </c>
      <c r="N577" s="1301">
        <v>2016.11</v>
      </c>
      <c r="O577" s="1456" t="s">
        <v>6669</v>
      </c>
      <c r="P577" s="1457" t="s">
        <v>6517</v>
      </c>
      <c r="Q577" s="1457">
        <v>18931863533</v>
      </c>
      <c r="R577" s="1298" t="s">
        <v>6432</v>
      </c>
      <c r="S577" s="1298" t="s">
        <v>6150</v>
      </c>
      <c r="T577" s="1491"/>
    </row>
    <row r="578" spans="1:20" ht="24">
      <c r="A578" s="1321"/>
      <c r="B578" s="1298" t="s">
        <v>1516</v>
      </c>
      <c r="C578" s="1298" t="s">
        <v>6700</v>
      </c>
      <c r="D578" s="1298" t="s">
        <v>161</v>
      </c>
      <c r="E578" s="1298">
        <v>410</v>
      </c>
      <c r="F578" s="1298" t="s">
        <v>34</v>
      </c>
      <c r="G578" s="1298" t="s">
        <v>32</v>
      </c>
      <c r="H578" s="1298" t="s">
        <v>6146</v>
      </c>
      <c r="I578" s="1298" t="s">
        <v>179</v>
      </c>
      <c r="J578" s="1298" t="s">
        <v>34</v>
      </c>
      <c r="K578" s="1298" t="s">
        <v>34</v>
      </c>
      <c r="L578" s="1298" t="s">
        <v>34</v>
      </c>
      <c r="M578" s="1298">
        <v>3099.6</v>
      </c>
      <c r="N578" s="1301">
        <v>2017.4</v>
      </c>
      <c r="O578" s="1456" t="s">
        <v>6669</v>
      </c>
      <c r="P578" s="1457" t="s">
        <v>6517</v>
      </c>
      <c r="Q578" s="1457">
        <v>18931863533</v>
      </c>
      <c r="R578" s="1298" t="s">
        <v>6432</v>
      </c>
      <c r="S578" s="1298" t="s">
        <v>6150</v>
      </c>
      <c r="T578" s="1491"/>
    </row>
    <row r="579" spans="1:20" ht="24">
      <c r="A579" s="1321"/>
      <c r="B579" s="1298" t="s">
        <v>1516</v>
      </c>
      <c r="C579" s="1298" t="s">
        <v>6701</v>
      </c>
      <c r="D579" s="1298" t="s">
        <v>161</v>
      </c>
      <c r="E579" s="1298">
        <v>350</v>
      </c>
      <c r="F579" s="1298" t="s">
        <v>34</v>
      </c>
      <c r="G579" s="1298" t="s">
        <v>32</v>
      </c>
      <c r="H579" s="1298" t="s">
        <v>6146</v>
      </c>
      <c r="I579" s="1298" t="s">
        <v>179</v>
      </c>
      <c r="J579" s="1298" t="s">
        <v>34</v>
      </c>
      <c r="K579" s="1298" t="s">
        <v>34</v>
      </c>
      <c r="L579" s="1298" t="s">
        <v>34</v>
      </c>
      <c r="M579" s="1298">
        <v>3276</v>
      </c>
      <c r="N579" s="1301">
        <v>2017.4</v>
      </c>
      <c r="O579" s="1456" t="s">
        <v>6669</v>
      </c>
      <c r="P579" s="1457" t="s">
        <v>6517</v>
      </c>
      <c r="Q579" s="1457">
        <v>18931863533</v>
      </c>
      <c r="R579" s="1298" t="s">
        <v>6432</v>
      </c>
      <c r="S579" s="1298" t="s">
        <v>6150</v>
      </c>
      <c r="T579" s="1491"/>
    </row>
    <row r="580" spans="1:20" ht="48">
      <c r="A580" s="1321"/>
      <c r="B580" s="1298" t="s">
        <v>6702</v>
      </c>
      <c r="C580" s="1298" t="s">
        <v>6703</v>
      </c>
      <c r="D580" s="1298" t="s">
        <v>131</v>
      </c>
      <c r="E580" s="1298">
        <v>2</v>
      </c>
      <c r="F580" s="1298" t="s">
        <v>34</v>
      </c>
      <c r="G580" s="1298" t="s">
        <v>32</v>
      </c>
      <c r="H580" s="1298" t="s">
        <v>6146</v>
      </c>
      <c r="I580" s="1298" t="s">
        <v>179</v>
      </c>
      <c r="J580" s="1298" t="s">
        <v>34</v>
      </c>
      <c r="K580" s="1298" t="s">
        <v>34</v>
      </c>
      <c r="L580" s="1298" t="s">
        <v>34</v>
      </c>
      <c r="M580" s="1298">
        <v>1296</v>
      </c>
      <c r="N580" s="1301">
        <v>2017.4</v>
      </c>
      <c r="O580" s="1456" t="s">
        <v>6669</v>
      </c>
      <c r="P580" s="1457" t="s">
        <v>6517</v>
      </c>
      <c r="Q580" s="1457">
        <v>18931863533</v>
      </c>
      <c r="R580" s="1298" t="s">
        <v>6432</v>
      </c>
      <c r="S580" s="1298" t="s">
        <v>6150</v>
      </c>
      <c r="T580" s="1491"/>
    </row>
    <row r="581" spans="1:20">
      <c r="A581" s="1321"/>
      <c r="B581" s="1298" t="s">
        <v>6704</v>
      </c>
      <c r="C581" s="1298" t="s">
        <v>6705</v>
      </c>
      <c r="D581" s="1298" t="s">
        <v>131</v>
      </c>
      <c r="E581" s="1298">
        <v>30</v>
      </c>
      <c r="F581" s="1298" t="s">
        <v>34</v>
      </c>
      <c r="G581" s="1298" t="s">
        <v>32</v>
      </c>
      <c r="H581" s="1298" t="s">
        <v>6146</v>
      </c>
      <c r="I581" s="1298" t="s">
        <v>179</v>
      </c>
      <c r="J581" s="1298" t="s">
        <v>34</v>
      </c>
      <c r="K581" s="1298" t="s">
        <v>34</v>
      </c>
      <c r="L581" s="1298" t="s">
        <v>34</v>
      </c>
      <c r="M581" s="1298">
        <v>86.400000000000105</v>
      </c>
      <c r="N581" s="1301">
        <v>2017.4</v>
      </c>
      <c r="O581" s="1456" t="s">
        <v>6669</v>
      </c>
      <c r="P581" s="1457" t="s">
        <v>6517</v>
      </c>
      <c r="Q581" s="1457">
        <v>18931863533</v>
      </c>
      <c r="R581" s="1298" t="s">
        <v>6432</v>
      </c>
      <c r="S581" s="1298" t="s">
        <v>6150</v>
      </c>
      <c r="T581" s="1491"/>
    </row>
    <row r="582" spans="1:20">
      <c r="A582" s="1321"/>
      <c r="B582" s="1298" t="s">
        <v>6704</v>
      </c>
      <c r="C582" s="1298" t="s">
        <v>6706</v>
      </c>
      <c r="D582" s="1298" t="s">
        <v>131</v>
      </c>
      <c r="E582" s="1298">
        <v>56</v>
      </c>
      <c r="F582" s="1298" t="s">
        <v>34</v>
      </c>
      <c r="G582" s="1298" t="s">
        <v>32</v>
      </c>
      <c r="H582" s="1298" t="s">
        <v>6146</v>
      </c>
      <c r="I582" s="1298" t="s">
        <v>179</v>
      </c>
      <c r="J582" s="1298" t="s">
        <v>34</v>
      </c>
      <c r="K582" s="1298" t="s">
        <v>34</v>
      </c>
      <c r="L582" s="1298" t="s">
        <v>34</v>
      </c>
      <c r="M582" s="1298">
        <v>110.88</v>
      </c>
      <c r="N582" s="1301">
        <v>2017.4</v>
      </c>
      <c r="O582" s="1456" t="s">
        <v>6669</v>
      </c>
      <c r="P582" s="1457" t="s">
        <v>6517</v>
      </c>
      <c r="Q582" s="1457">
        <v>18931863533</v>
      </c>
      <c r="R582" s="1298" t="s">
        <v>6432</v>
      </c>
      <c r="S582" s="1298" t="s">
        <v>6150</v>
      </c>
      <c r="T582" s="1491"/>
    </row>
    <row r="583" spans="1:20">
      <c r="A583" s="1321"/>
      <c r="B583" s="1298" t="s">
        <v>6704</v>
      </c>
      <c r="C583" s="1298" t="s">
        <v>6707</v>
      </c>
      <c r="D583" s="1298" t="s">
        <v>131</v>
      </c>
      <c r="E583" s="1298">
        <v>18</v>
      </c>
      <c r="F583" s="1298" t="s">
        <v>34</v>
      </c>
      <c r="G583" s="1298" t="s">
        <v>32</v>
      </c>
      <c r="H583" s="1298" t="s">
        <v>6146</v>
      </c>
      <c r="I583" s="1298" t="s">
        <v>179</v>
      </c>
      <c r="J583" s="1298" t="s">
        <v>34</v>
      </c>
      <c r="K583" s="1298" t="s">
        <v>34</v>
      </c>
      <c r="L583" s="1298" t="s">
        <v>34</v>
      </c>
      <c r="M583" s="1298">
        <v>25.92</v>
      </c>
      <c r="N583" s="1301">
        <v>2017.4</v>
      </c>
      <c r="O583" s="1456" t="s">
        <v>6669</v>
      </c>
      <c r="P583" s="1457" t="s">
        <v>6517</v>
      </c>
      <c r="Q583" s="1457">
        <v>18931863533</v>
      </c>
      <c r="R583" s="1298" t="s">
        <v>6432</v>
      </c>
      <c r="S583" s="1298" t="s">
        <v>6150</v>
      </c>
      <c r="T583" s="1491"/>
    </row>
    <row r="584" spans="1:20">
      <c r="A584" s="1321"/>
      <c r="B584" s="1298" t="s">
        <v>6704</v>
      </c>
      <c r="C584" s="1298" t="s">
        <v>6708</v>
      </c>
      <c r="D584" s="1298" t="s">
        <v>131</v>
      </c>
      <c r="E584" s="1298">
        <v>24</v>
      </c>
      <c r="F584" s="1298" t="s">
        <v>34</v>
      </c>
      <c r="G584" s="1298" t="s">
        <v>32</v>
      </c>
      <c r="H584" s="1298" t="s">
        <v>6146</v>
      </c>
      <c r="I584" s="1298" t="s">
        <v>179</v>
      </c>
      <c r="J584" s="1298" t="s">
        <v>34</v>
      </c>
      <c r="K584" s="1298" t="s">
        <v>34</v>
      </c>
      <c r="L584" s="1298" t="s">
        <v>34</v>
      </c>
      <c r="M584" s="1298">
        <v>25.92</v>
      </c>
      <c r="N584" s="1301">
        <v>2017.4</v>
      </c>
      <c r="O584" s="1456" t="s">
        <v>6669</v>
      </c>
      <c r="P584" s="1457" t="s">
        <v>6517</v>
      </c>
      <c r="Q584" s="1457">
        <v>18931863533</v>
      </c>
      <c r="R584" s="1298" t="s">
        <v>6432</v>
      </c>
      <c r="S584" s="1298" t="s">
        <v>6150</v>
      </c>
      <c r="T584" s="1491"/>
    </row>
    <row r="585" spans="1:20">
      <c r="A585" s="1321"/>
      <c r="B585" s="1298" t="s">
        <v>6704</v>
      </c>
      <c r="C585" s="1298" t="s">
        <v>6709</v>
      </c>
      <c r="D585" s="1298" t="s">
        <v>131</v>
      </c>
      <c r="E585" s="1298">
        <v>12</v>
      </c>
      <c r="F585" s="1298" t="s">
        <v>34</v>
      </c>
      <c r="G585" s="1298" t="s">
        <v>32</v>
      </c>
      <c r="H585" s="1298" t="s">
        <v>6146</v>
      </c>
      <c r="I585" s="1298" t="s">
        <v>179</v>
      </c>
      <c r="J585" s="1298" t="s">
        <v>34</v>
      </c>
      <c r="K585" s="1298" t="s">
        <v>34</v>
      </c>
      <c r="L585" s="1298" t="s">
        <v>34</v>
      </c>
      <c r="M585" s="1298">
        <v>8.6399999999999899</v>
      </c>
      <c r="N585" s="1301">
        <v>2017.4</v>
      </c>
      <c r="O585" s="1456" t="s">
        <v>6669</v>
      </c>
      <c r="P585" s="1457" t="s">
        <v>6517</v>
      </c>
      <c r="Q585" s="1457">
        <v>18931863533</v>
      </c>
      <c r="R585" s="1298" t="s">
        <v>6432</v>
      </c>
      <c r="S585" s="1298" t="s">
        <v>6150</v>
      </c>
      <c r="T585" s="1491"/>
    </row>
    <row r="586" spans="1:20">
      <c r="A586" s="1321"/>
      <c r="B586" s="1298" t="s">
        <v>1516</v>
      </c>
      <c r="C586" s="1298" t="s">
        <v>6710</v>
      </c>
      <c r="D586" s="1298" t="s">
        <v>161</v>
      </c>
      <c r="E586" s="1298">
        <v>350</v>
      </c>
      <c r="F586" s="1298" t="s">
        <v>34</v>
      </c>
      <c r="G586" s="1298" t="s">
        <v>32</v>
      </c>
      <c r="H586" s="1298" t="s">
        <v>6146</v>
      </c>
      <c r="I586" s="1298" t="s">
        <v>179</v>
      </c>
      <c r="J586" s="1298" t="s">
        <v>34</v>
      </c>
      <c r="K586" s="1298" t="s">
        <v>34</v>
      </c>
      <c r="L586" s="1298" t="s">
        <v>34</v>
      </c>
      <c r="M586" s="1298">
        <v>1008</v>
      </c>
      <c r="N586" s="1301">
        <v>2017.4</v>
      </c>
      <c r="O586" s="1456" t="s">
        <v>6669</v>
      </c>
      <c r="P586" s="1457" t="s">
        <v>6517</v>
      </c>
      <c r="Q586" s="1457">
        <v>18931863533</v>
      </c>
      <c r="R586" s="1298" t="s">
        <v>6432</v>
      </c>
      <c r="S586" s="1298" t="s">
        <v>6150</v>
      </c>
      <c r="T586" s="1491"/>
    </row>
    <row r="587" spans="1:20" ht="24">
      <c r="A587" s="1321"/>
      <c r="B587" s="1298" t="s">
        <v>1516</v>
      </c>
      <c r="C587" s="1298" t="s">
        <v>6711</v>
      </c>
      <c r="D587" s="1298" t="s">
        <v>161</v>
      </c>
      <c r="E587" s="1298">
        <v>800</v>
      </c>
      <c r="F587" s="1298" t="s">
        <v>34</v>
      </c>
      <c r="G587" s="1298" t="s">
        <v>32</v>
      </c>
      <c r="H587" s="1298" t="s">
        <v>6146</v>
      </c>
      <c r="I587" s="1298" t="s">
        <v>179</v>
      </c>
      <c r="J587" s="1298" t="s">
        <v>34</v>
      </c>
      <c r="K587" s="1298" t="s">
        <v>34</v>
      </c>
      <c r="L587" s="1298" t="s">
        <v>34</v>
      </c>
      <c r="M587" s="1298">
        <v>14976</v>
      </c>
      <c r="N587" s="1301">
        <v>2017.4</v>
      </c>
      <c r="O587" s="1456" t="s">
        <v>6669</v>
      </c>
      <c r="P587" s="1457" t="s">
        <v>6517</v>
      </c>
      <c r="Q587" s="1457">
        <v>18931863533</v>
      </c>
      <c r="R587" s="1298" t="s">
        <v>6432</v>
      </c>
      <c r="S587" s="1298" t="s">
        <v>6150</v>
      </c>
      <c r="T587" s="1491"/>
    </row>
    <row r="588" spans="1:20" ht="48">
      <c r="A588" s="1321"/>
      <c r="B588" s="1298" t="s">
        <v>6702</v>
      </c>
      <c r="C588" s="1298" t="s">
        <v>6712</v>
      </c>
      <c r="D588" s="1298" t="s">
        <v>131</v>
      </c>
      <c r="E588" s="1298">
        <v>1</v>
      </c>
      <c r="F588" s="1298" t="s">
        <v>34</v>
      </c>
      <c r="G588" s="1298" t="s">
        <v>32</v>
      </c>
      <c r="H588" s="1298" t="s">
        <v>6146</v>
      </c>
      <c r="I588" s="1298" t="s">
        <v>179</v>
      </c>
      <c r="J588" s="1298" t="s">
        <v>34</v>
      </c>
      <c r="K588" s="1298" t="s">
        <v>34</v>
      </c>
      <c r="L588" s="1298" t="s">
        <v>34</v>
      </c>
      <c r="M588" s="1298">
        <v>648</v>
      </c>
      <c r="N588" s="1301">
        <v>2017.4</v>
      </c>
      <c r="O588" s="1456" t="s">
        <v>6669</v>
      </c>
      <c r="P588" s="1457" t="s">
        <v>6517</v>
      </c>
      <c r="Q588" s="1457">
        <v>18931863533</v>
      </c>
      <c r="R588" s="1298" t="s">
        <v>6432</v>
      </c>
      <c r="S588" s="1298" t="s">
        <v>6150</v>
      </c>
      <c r="T588" s="1491"/>
    </row>
    <row r="589" spans="1:20" ht="48">
      <c r="A589" s="1321"/>
      <c r="B589" s="1298" t="s">
        <v>6702</v>
      </c>
      <c r="C589" s="1298" t="s">
        <v>6713</v>
      </c>
      <c r="D589" s="1298" t="s">
        <v>131</v>
      </c>
      <c r="E589" s="1298">
        <v>2</v>
      </c>
      <c r="F589" s="1298" t="s">
        <v>34</v>
      </c>
      <c r="G589" s="1298" t="s">
        <v>32</v>
      </c>
      <c r="H589" s="1298" t="s">
        <v>6146</v>
      </c>
      <c r="I589" s="1298" t="s">
        <v>179</v>
      </c>
      <c r="J589" s="1298" t="s">
        <v>34</v>
      </c>
      <c r="K589" s="1298" t="s">
        <v>34</v>
      </c>
      <c r="L589" s="1298" t="s">
        <v>34</v>
      </c>
      <c r="M589" s="1298">
        <v>1224</v>
      </c>
      <c r="N589" s="1301">
        <v>2017.4</v>
      </c>
      <c r="O589" s="1456" t="s">
        <v>6669</v>
      </c>
      <c r="P589" s="1457" t="s">
        <v>6517</v>
      </c>
      <c r="Q589" s="1457">
        <v>18931863533</v>
      </c>
      <c r="R589" s="1298" t="s">
        <v>6432</v>
      </c>
      <c r="S589" s="1298" t="s">
        <v>6150</v>
      </c>
      <c r="T589" s="1491"/>
    </row>
    <row r="590" spans="1:20">
      <c r="A590" s="1321"/>
      <c r="B590" s="1298" t="s">
        <v>6714</v>
      </c>
      <c r="C590" s="1298"/>
      <c r="D590" s="1298" t="s">
        <v>1701</v>
      </c>
      <c r="E590" s="1298">
        <v>5</v>
      </c>
      <c r="F590" s="1298" t="s">
        <v>34</v>
      </c>
      <c r="G590" s="1298" t="s">
        <v>32</v>
      </c>
      <c r="H590" s="1298" t="s">
        <v>6146</v>
      </c>
      <c r="I590" s="1298" t="s">
        <v>179</v>
      </c>
      <c r="J590" s="1298" t="s">
        <v>34</v>
      </c>
      <c r="K590" s="1298" t="s">
        <v>34</v>
      </c>
      <c r="L590" s="1298" t="s">
        <v>34</v>
      </c>
      <c r="M590" s="1298">
        <v>5.4</v>
      </c>
      <c r="N590" s="1301">
        <v>2017.4</v>
      </c>
      <c r="O590" s="1456" t="s">
        <v>6669</v>
      </c>
      <c r="P590" s="1457" t="s">
        <v>6517</v>
      </c>
      <c r="Q590" s="1457">
        <v>18931863533</v>
      </c>
      <c r="R590" s="1298" t="s">
        <v>6432</v>
      </c>
      <c r="S590" s="1298" t="s">
        <v>6150</v>
      </c>
      <c r="T590" s="1491"/>
    </row>
    <row r="591" spans="1:20">
      <c r="A591" s="1321"/>
      <c r="B591" s="1298" t="s">
        <v>3922</v>
      </c>
      <c r="C591" s="1298" t="s">
        <v>6715</v>
      </c>
      <c r="D591" s="1298" t="s">
        <v>161</v>
      </c>
      <c r="E591" s="1298">
        <v>70</v>
      </c>
      <c r="F591" s="1298" t="s">
        <v>34</v>
      </c>
      <c r="G591" s="1298" t="s">
        <v>32</v>
      </c>
      <c r="H591" s="1298" t="s">
        <v>6146</v>
      </c>
      <c r="I591" s="1298" t="s">
        <v>179</v>
      </c>
      <c r="J591" s="1298" t="s">
        <v>34</v>
      </c>
      <c r="K591" s="1298" t="s">
        <v>34</v>
      </c>
      <c r="L591" s="1298" t="s">
        <v>34</v>
      </c>
      <c r="M591" s="1298">
        <v>176.4</v>
      </c>
      <c r="N591" s="1301">
        <v>2017.4</v>
      </c>
      <c r="O591" s="1456" t="s">
        <v>6669</v>
      </c>
      <c r="P591" s="1457" t="s">
        <v>6517</v>
      </c>
      <c r="Q591" s="1457">
        <v>18931863533</v>
      </c>
      <c r="R591" s="1298" t="s">
        <v>6432</v>
      </c>
      <c r="S591" s="1298" t="s">
        <v>6150</v>
      </c>
      <c r="T591" s="1491"/>
    </row>
    <row r="592" spans="1:20">
      <c r="A592" s="1321"/>
      <c r="B592" s="1298" t="s">
        <v>3922</v>
      </c>
      <c r="C592" s="1298" t="s">
        <v>6716</v>
      </c>
      <c r="D592" s="1298" t="s">
        <v>161</v>
      </c>
      <c r="E592" s="1298">
        <v>100</v>
      </c>
      <c r="F592" s="1298" t="s">
        <v>34</v>
      </c>
      <c r="G592" s="1298" t="s">
        <v>32</v>
      </c>
      <c r="H592" s="1298" t="s">
        <v>6146</v>
      </c>
      <c r="I592" s="1298" t="s">
        <v>179</v>
      </c>
      <c r="J592" s="1298" t="s">
        <v>34</v>
      </c>
      <c r="K592" s="1298" t="s">
        <v>34</v>
      </c>
      <c r="L592" s="1298" t="s">
        <v>34</v>
      </c>
      <c r="M592" s="1298">
        <v>180</v>
      </c>
      <c r="N592" s="1301">
        <v>2017.4</v>
      </c>
      <c r="O592" s="1456" t="s">
        <v>6669</v>
      </c>
      <c r="P592" s="1457" t="s">
        <v>6517</v>
      </c>
      <c r="Q592" s="1457">
        <v>18931863533</v>
      </c>
      <c r="R592" s="1298" t="s">
        <v>6432</v>
      </c>
      <c r="S592" s="1298" t="s">
        <v>6150</v>
      </c>
      <c r="T592" s="1491"/>
    </row>
    <row r="593" spans="1:20">
      <c r="A593" s="1321"/>
      <c r="B593" s="1298" t="s">
        <v>1516</v>
      </c>
      <c r="C593" s="1298" t="s">
        <v>6717</v>
      </c>
      <c r="D593" s="1298" t="s">
        <v>161</v>
      </c>
      <c r="E593" s="1298">
        <v>100</v>
      </c>
      <c r="F593" s="1298" t="s">
        <v>34</v>
      </c>
      <c r="G593" s="1298" t="s">
        <v>32</v>
      </c>
      <c r="H593" s="1298" t="s">
        <v>6146</v>
      </c>
      <c r="I593" s="1298" t="s">
        <v>179</v>
      </c>
      <c r="J593" s="1298" t="s">
        <v>34</v>
      </c>
      <c r="K593" s="1298" t="s">
        <v>34</v>
      </c>
      <c r="L593" s="1298" t="s">
        <v>34</v>
      </c>
      <c r="M593" s="1298">
        <v>1116</v>
      </c>
      <c r="N593" s="1301">
        <v>2017.4</v>
      </c>
      <c r="O593" s="1456" t="s">
        <v>6669</v>
      </c>
      <c r="P593" s="1457" t="s">
        <v>6517</v>
      </c>
      <c r="Q593" s="1457">
        <v>18931863533</v>
      </c>
      <c r="R593" s="1298" t="s">
        <v>6432</v>
      </c>
      <c r="S593" s="1298" t="s">
        <v>6150</v>
      </c>
      <c r="T593" s="1491"/>
    </row>
    <row r="594" spans="1:20" ht="48">
      <c r="A594" s="1321"/>
      <c r="B594" s="1298" t="s">
        <v>1486</v>
      </c>
      <c r="C594" s="1298" t="s">
        <v>6718</v>
      </c>
      <c r="D594" s="1298" t="s">
        <v>131</v>
      </c>
      <c r="E594" s="1298">
        <v>1</v>
      </c>
      <c r="F594" s="1298" t="s">
        <v>34</v>
      </c>
      <c r="G594" s="1298" t="s">
        <v>32</v>
      </c>
      <c r="H594" s="1298" t="s">
        <v>6146</v>
      </c>
      <c r="I594" s="1298" t="s">
        <v>179</v>
      </c>
      <c r="J594" s="1298" t="s">
        <v>34</v>
      </c>
      <c r="K594" s="1298" t="s">
        <v>34</v>
      </c>
      <c r="L594" s="1298" t="s">
        <v>34</v>
      </c>
      <c r="M594" s="1298">
        <v>396</v>
      </c>
      <c r="N594" s="1301">
        <v>2017.4</v>
      </c>
      <c r="O594" s="1456" t="s">
        <v>6669</v>
      </c>
      <c r="P594" s="1457" t="s">
        <v>6517</v>
      </c>
      <c r="Q594" s="1457">
        <v>18931863533</v>
      </c>
      <c r="R594" s="1298" t="s">
        <v>6432</v>
      </c>
      <c r="S594" s="1298" t="s">
        <v>6150</v>
      </c>
      <c r="T594" s="1491"/>
    </row>
    <row r="595" spans="1:20" ht="48">
      <c r="A595" s="1321"/>
      <c r="B595" s="1298" t="s">
        <v>1486</v>
      </c>
      <c r="C595" s="1298" t="s">
        <v>6719</v>
      </c>
      <c r="D595" s="1298" t="s">
        <v>131</v>
      </c>
      <c r="E595" s="1298">
        <v>6</v>
      </c>
      <c r="F595" s="1298" t="s">
        <v>34</v>
      </c>
      <c r="G595" s="1298" t="s">
        <v>32</v>
      </c>
      <c r="H595" s="1298" t="s">
        <v>6146</v>
      </c>
      <c r="I595" s="1298" t="s">
        <v>179</v>
      </c>
      <c r="J595" s="1298" t="s">
        <v>34</v>
      </c>
      <c r="K595" s="1298" t="s">
        <v>34</v>
      </c>
      <c r="L595" s="1298" t="s">
        <v>34</v>
      </c>
      <c r="M595" s="1298">
        <v>475.2</v>
      </c>
      <c r="N595" s="1301">
        <v>2017.4</v>
      </c>
      <c r="O595" s="1456" t="s">
        <v>6669</v>
      </c>
      <c r="P595" s="1457" t="s">
        <v>6517</v>
      </c>
      <c r="Q595" s="1457">
        <v>18931863533</v>
      </c>
      <c r="R595" s="1298" t="s">
        <v>6432</v>
      </c>
      <c r="S595" s="1298" t="s">
        <v>6150</v>
      </c>
      <c r="T595" s="1491"/>
    </row>
    <row r="596" spans="1:20">
      <c r="A596" s="1321"/>
      <c r="B596" s="1298" t="s">
        <v>1516</v>
      </c>
      <c r="C596" s="1298" t="s">
        <v>6720</v>
      </c>
      <c r="D596" s="1298" t="s">
        <v>161</v>
      </c>
      <c r="E596" s="1298">
        <v>100</v>
      </c>
      <c r="F596" s="1298" t="s">
        <v>34</v>
      </c>
      <c r="G596" s="1298" t="s">
        <v>32</v>
      </c>
      <c r="H596" s="1298" t="s">
        <v>6146</v>
      </c>
      <c r="I596" s="1298" t="s">
        <v>179</v>
      </c>
      <c r="J596" s="1298" t="s">
        <v>34</v>
      </c>
      <c r="K596" s="1298" t="s">
        <v>34</v>
      </c>
      <c r="L596" s="1298" t="s">
        <v>34</v>
      </c>
      <c r="M596" s="1298">
        <v>450</v>
      </c>
      <c r="N596" s="1301">
        <v>2017.4</v>
      </c>
      <c r="O596" s="1456" t="s">
        <v>6669</v>
      </c>
      <c r="P596" s="1457" t="s">
        <v>6517</v>
      </c>
      <c r="Q596" s="1457">
        <v>18931863533</v>
      </c>
      <c r="R596" s="1298" t="s">
        <v>6432</v>
      </c>
      <c r="S596" s="1298" t="s">
        <v>6150</v>
      </c>
      <c r="T596" s="1491"/>
    </row>
    <row r="597" spans="1:20" ht="24">
      <c r="A597" s="1321"/>
      <c r="B597" s="1298" t="s">
        <v>6721</v>
      </c>
      <c r="C597" s="1298" t="s">
        <v>6722</v>
      </c>
      <c r="D597" s="1298" t="s">
        <v>31</v>
      </c>
      <c r="E597" s="1298">
        <v>1</v>
      </c>
      <c r="F597" s="1298" t="s">
        <v>34</v>
      </c>
      <c r="G597" s="1298" t="s">
        <v>32</v>
      </c>
      <c r="H597" s="1298" t="s">
        <v>6146</v>
      </c>
      <c r="I597" s="1298" t="s">
        <v>179</v>
      </c>
      <c r="J597" s="1298" t="s">
        <v>34</v>
      </c>
      <c r="K597" s="1298" t="s">
        <v>34</v>
      </c>
      <c r="L597" s="1298" t="s">
        <v>34</v>
      </c>
      <c r="M597" s="1298">
        <v>234</v>
      </c>
      <c r="N597" s="1301">
        <v>2017.4</v>
      </c>
      <c r="O597" s="1456" t="s">
        <v>6669</v>
      </c>
      <c r="P597" s="1457" t="s">
        <v>6517</v>
      </c>
      <c r="Q597" s="1457">
        <v>18931863533</v>
      </c>
      <c r="R597" s="1298" t="s">
        <v>6432</v>
      </c>
      <c r="S597" s="1298" t="s">
        <v>6150</v>
      </c>
      <c r="T597" s="1491"/>
    </row>
    <row r="598" spans="1:20" ht="60">
      <c r="A598" s="1321"/>
      <c r="B598" s="1298" t="s">
        <v>1486</v>
      </c>
      <c r="C598" s="1298" t="s">
        <v>6723</v>
      </c>
      <c r="D598" s="1298" t="s">
        <v>131</v>
      </c>
      <c r="E598" s="1298">
        <v>1</v>
      </c>
      <c r="F598" s="1298" t="s">
        <v>34</v>
      </c>
      <c r="G598" s="1298" t="s">
        <v>32</v>
      </c>
      <c r="H598" s="1298" t="s">
        <v>6146</v>
      </c>
      <c r="I598" s="1298" t="s">
        <v>179</v>
      </c>
      <c r="J598" s="1298" t="s">
        <v>34</v>
      </c>
      <c r="K598" s="1298" t="s">
        <v>34</v>
      </c>
      <c r="L598" s="1298" t="s">
        <v>34</v>
      </c>
      <c r="M598" s="1298">
        <v>576</v>
      </c>
      <c r="N598" s="1301">
        <v>2017.4</v>
      </c>
      <c r="O598" s="1456" t="s">
        <v>6669</v>
      </c>
      <c r="P598" s="1457" t="s">
        <v>6517</v>
      </c>
      <c r="Q598" s="1457">
        <v>18931863533</v>
      </c>
      <c r="R598" s="1298" t="s">
        <v>6432</v>
      </c>
      <c r="S598" s="1298" t="s">
        <v>6150</v>
      </c>
      <c r="T598" s="1491"/>
    </row>
    <row r="599" spans="1:20" ht="72">
      <c r="A599" s="1321"/>
      <c r="B599" s="1298" t="s">
        <v>6724</v>
      </c>
      <c r="C599" s="1298" t="s">
        <v>6725</v>
      </c>
      <c r="D599" s="1298" t="s">
        <v>131</v>
      </c>
      <c r="E599" s="1298">
        <v>1</v>
      </c>
      <c r="F599" s="1298" t="s">
        <v>34</v>
      </c>
      <c r="G599" s="1298" t="s">
        <v>32</v>
      </c>
      <c r="H599" s="1298" t="s">
        <v>6146</v>
      </c>
      <c r="I599" s="1298" t="s">
        <v>179</v>
      </c>
      <c r="J599" s="1298" t="s">
        <v>34</v>
      </c>
      <c r="K599" s="1298" t="s">
        <v>34</v>
      </c>
      <c r="L599" s="1298" t="s">
        <v>34</v>
      </c>
      <c r="M599" s="1298">
        <v>648</v>
      </c>
      <c r="N599" s="1301">
        <v>2017.4</v>
      </c>
      <c r="O599" s="1456" t="s">
        <v>6669</v>
      </c>
      <c r="P599" s="1457" t="s">
        <v>6517</v>
      </c>
      <c r="Q599" s="1457">
        <v>18931863533</v>
      </c>
      <c r="R599" s="1298" t="s">
        <v>6432</v>
      </c>
      <c r="S599" s="1298" t="s">
        <v>6150</v>
      </c>
      <c r="T599" s="1491"/>
    </row>
    <row r="600" spans="1:20">
      <c r="A600" s="1321"/>
      <c r="B600" s="1298" t="s">
        <v>6726</v>
      </c>
      <c r="C600" s="1298" t="s">
        <v>6727</v>
      </c>
      <c r="D600" s="1298" t="s">
        <v>6728</v>
      </c>
      <c r="E600" s="1298">
        <v>60</v>
      </c>
      <c r="F600" s="1298" t="s">
        <v>34</v>
      </c>
      <c r="G600" s="1298" t="s">
        <v>32</v>
      </c>
      <c r="H600" s="1298" t="s">
        <v>6146</v>
      </c>
      <c r="I600" s="1298" t="s">
        <v>179</v>
      </c>
      <c r="J600" s="1298" t="s">
        <v>34</v>
      </c>
      <c r="K600" s="1298" t="s">
        <v>34</v>
      </c>
      <c r="L600" s="1298" t="s">
        <v>34</v>
      </c>
      <c r="M600" s="1298">
        <v>324</v>
      </c>
      <c r="N600" s="1301">
        <v>2017.4</v>
      </c>
      <c r="O600" s="1456" t="s">
        <v>6669</v>
      </c>
      <c r="P600" s="1457" t="s">
        <v>6517</v>
      </c>
      <c r="Q600" s="1457">
        <v>18931863533</v>
      </c>
      <c r="R600" s="1298" t="s">
        <v>6432</v>
      </c>
      <c r="S600" s="1298" t="s">
        <v>6150</v>
      </c>
      <c r="T600" s="1491"/>
    </row>
    <row r="601" spans="1:20">
      <c r="A601" s="1321"/>
      <c r="B601" s="1298" t="s">
        <v>1516</v>
      </c>
      <c r="C601" s="1298" t="s">
        <v>6729</v>
      </c>
      <c r="D601" s="1298" t="s">
        <v>161</v>
      </c>
      <c r="E601" s="1298">
        <v>50</v>
      </c>
      <c r="F601" s="1298" t="s">
        <v>34</v>
      </c>
      <c r="G601" s="1298" t="s">
        <v>32</v>
      </c>
      <c r="H601" s="1298" t="s">
        <v>6146</v>
      </c>
      <c r="I601" s="1298" t="s">
        <v>179</v>
      </c>
      <c r="J601" s="1298" t="s">
        <v>34</v>
      </c>
      <c r="K601" s="1298" t="s">
        <v>34</v>
      </c>
      <c r="L601" s="1298" t="s">
        <v>34</v>
      </c>
      <c r="M601" s="1298">
        <v>594</v>
      </c>
      <c r="N601" s="1301">
        <v>2017.4</v>
      </c>
      <c r="O601" s="1456" t="s">
        <v>6669</v>
      </c>
      <c r="P601" s="1457" t="s">
        <v>6517</v>
      </c>
      <c r="Q601" s="1457">
        <v>18931863533</v>
      </c>
      <c r="R601" s="1298" t="s">
        <v>6432</v>
      </c>
      <c r="S601" s="1298" t="s">
        <v>6150</v>
      </c>
      <c r="T601" s="1491"/>
    </row>
    <row r="602" spans="1:20">
      <c r="A602" s="1321"/>
      <c r="B602" s="1298" t="s">
        <v>6730</v>
      </c>
      <c r="C602" s="1298" t="s">
        <v>6731</v>
      </c>
      <c r="D602" s="1298" t="s">
        <v>1477</v>
      </c>
      <c r="E602" s="1298">
        <v>1</v>
      </c>
      <c r="F602" s="1298" t="s">
        <v>34</v>
      </c>
      <c r="G602" s="1298" t="s">
        <v>32</v>
      </c>
      <c r="H602" s="1298" t="s">
        <v>6146</v>
      </c>
      <c r="I602" s="1298" t="s">
        <v>179</v>
      </c>
      <c r="J602" s="1298" t="s">
        <v>34</v>
      </c>
      <c r="K602" s="1298" t="s">
        <v>34</v>
      </c>
      <c r="L602" s="1298" t="s">
        <v>34</v>
      </c>
      <c r="M602" s="1298">
        <v>252</v>
      </c>
      <c r="N602" s="1301">
        <v>2017.4</v>
      </c>
      <c r="O602" s="1456" t="s">
        <v>6669</v>
      </c>
      <c r="P602" s="1457" t="s">
        <v>6517</v>
      </c>
      <c r="Q602" s="1457">
        <v>18931863533</v>
      </c>
      <c r="R602" s="1298" t="s">
        <v>6432</v>
      </c>
      <c r="S602" s="1298" t="s">
        <v>6150</v>
      </c>
      <c r="T602" s="1491"/>
    </row>
    <row r="603" spans="1:20" ht="24">
      <c r="A603" s="1321"/>
      <c r="B603" s="1298" t="s">
        <v>6732</v>
      </c>
      <c r="C603" s="1298" t="s">
        <v>6733</v>
      </c>
      <c r="D603" s="1298" t="s">
        <v>79</v>
      </c>
      <c r="E603" s="1298">
        <v>1</v>
      </c>
      <c r="F603" s="1298" t="s">
        <v>34</v>
      </c>
      <c r="G603" s="1298" t="s">
        <v>32</v>
      </c>
      <c r="H603" s="1298" t="s">
        <v>6146</v>
      </c>
      <c r="I603" s="1298" t="s">
        <v>179</v>
      </c>
      <c r="J603" s="1298" t="s">
        <v>34</v>
      </c>
      <c r="K603" s="1298" t="s">
        <v>34</v>
      </c>
      <c r="L603" s="1298" t="s">
        <v>34</v>
      </c>
      <c r="M603" s="1298">
        <v>54</v>
      </c>
      <c r="N603" s="1301">
        <v>2017.4</v>
      </c>
      <c r="O603" s="1456" t="s">
        <v>6669</v>
      </c>
      <c r="P603" s="1457" t="s">
        <v>6517</v>
      </c>
      <c r="Q603" s="1457">
        <v>18931863533</v>
      </c>
      <c r="R603" s="1298" t="s">
        <v>6432</v>
      </c>
      <c r="S603" s="1298" t="s">
        <v>6150</v>
      </c>
      <c r="T603" s="1491"/>
    </row>
    <row r="604" spans="1:20">
      <c r="A604" s="1321"/>
      <c r="B604" s="1298" t="s">
        <v>1516</v>
      </c>
      <c r="C604" s="1298" t="s">
        <v>6734</v>
      </c>
      <c r="D604" s="1298" t="s">
        <v>161</v>
      </c>
      <c r="E604" s="1298">
        <v>60</v>
      </c>
      <c r="F604" s="1298" t="s">
        <v>34</v>
      </c>
      <c r="G604" s="1298" t="s">
        <v>32</v>
      </c>
      <c r="H604" s="1298" t="s">
        <v>6146</v>
      </c>
      <c r="I604" s="1298" t="s">
        <v>179</v>
      </c>
      <c r="J604" s="1298" t="s">
        <v>34</v>
      </c>
      <c r="K604" s="1298" t="s">
        <v>34</v>
      </c>
      <c r="L604" s="1298" t="s">
        <v>34</v>
      </c>
      <c r="M604" s="1298">
        <v>496.8</v>
      </c>
      <c r="N604" s="1301">
        <v>2017.4</v>
      </c>
      <c r="O604" s="1456" t="s">
        <v>6669</v>
      </c>
      <c r="P604" s="1457" t="s">
        <v>6517</v>
      </c>
      <c r="Q604" s="1457">
        <v>18931863533</v>
      </c>
      <c r="R604" s="1298" t="s">
        <v>6432</v>
      </c>
      <c r="S604" s="1298" t="s">
        <v>6150</v>
      </c>
      <c r="T604" s="1491"/>
    </row>
    <row r="605" spans="1:20">
      <c r="A605" s="1321"/>
      <c r="B605" s="1298" t="s">
        <v>6735</v>
      </c>
      <c r="C605" s="1298"/>
      <c r="D605" s="1298" t="s">
        <v>79</v>
      </c>
      <c r="E605" s="1298">
        <v>5</v>
      </c>
      <c r="F605" s="1298" t="s">
        <v>34</v>
      </c>
      <c r="G605" s="1298" t="s">
        <v>32</v>
      </c>
      <c r="H605" s="1298" t="s">
        <v>6146</v>
      </c>
      <c r="I605" s="1298" t="s">
        <v>179</v>
      </c>
      <c r="J605" s="1298" t="s">
        <v>34</v>
      </c>
      <c r="K605" s="1298" t="s">
        <v>34</v>
      </c>
      <c r="L605" s="1298" t="s">
        <v>34</v>
      </c>
      <c r="M605" s="1298">
        <v>5.4</v>
      </c>
      <c r="N605" s="1301">
        <v>2017.4</v>
      </c>
      <c r="O605" s="1456" t="s">
        <v>6669</v>
      </c>
      <c r="P605" s="1457" t="s">
        <v>6517</v>
      </c>
      <c r="Q605" s="1457">
        <v>18931863533</v>
      </c>
      <c r="R605" s="1298" t="s">
        <v>6432</v>
      </c>
      <c r="S605" s="1298" t="s">
        <v>6150</v>
      </c>
      <c r="T605" s="1491"/>
    </row>
    <row r="606" spans="1:20">
      <c r="A606" s="1321"/>
      <c r="B606" s="1298" t="s">
        <v>6736</v>
      </c>
      <c r="C606" s="1298" t="s">
        <v>6737</v>
      </c>
      <c r="D606" s="1298" t="s">
        <v>131</v>
      </c>
      <c r="E606" s="1298">
        <v>8</v>
      </c>
      <c r="F606" s="1298" t="s">
        <v>34</v>
      </c>
      <c r="G606" s="1298" t="s">
        <v>32</v>
      </c>
      <c r="H606" s="1298" t="s">
        <v>6146</v>
      </c>
      <c r="I606" s="1298" t="s">
        <v>179</v>
      </c>
      <c r="J606" s="1298" t="s">
        <v>34</v>
      </c>
      <c r="K606" s="1298" t="s">
        <v>34</v>
      </c>
      <c r="L606" s="1298" t="s">
        <v>34</v>
      </c>
      <c r="M606" s="1298">
        <v>23.04</v>
      </c>
      <c r="N606" s="1301">
        <v>2017.4</v>
      </c>
      <c r="O606" s="1456" t="s">
        <v>6669</v>
      </c>
      <c r="P606" s="1457" t="s">
        <v>6517</v>
      </c>
      <c r="Q606" s="1457">
        <v>18931863533</v>
      </c>
      <c r="R606" s="1298" t="s">
        <v>6432</v>
      </c>
      <c r="S606" s="1298" t="s">
        <v>6150</v>
      </c>
      <c r="T606" s="1491"/>
    </row>
    <row r="607" spans="1:20">
      <c r="A607" s="1321"/>
      <c r="B607" s="1298" t="s">
        <v>3922</v>
      </c>
      <c r="C607" s="1298" t="s">
        <v>6738</v>
      </c>
      <c r="D607" s="1298" t="s">
        <v>161</v>
      </c>
      <c r="E607" s="1298">
        <v>100</v>
      </c>
      <c r="F607" s="1298" t="s">
        <v>34</v>
      </c>
      <c r="G607" s="1298" t="s">
        <v>32</v>
      </c>
      <c r="H607" s="1298" t="s">
        <v>6146</v>
      </c>
      <c r="I607" s="1298" t="s">
        <v>179</v>
      </c>
      <c r="J607" s="1298" t="s">
        <v>34</v>
      </c>
      <c r="K607" s="1298" t="s">
        <v>34</v>
      </c>
      <c r="L607" s="1298" t="s">
        <v>34</v>
      </c>
      <c r="M607" s="1298">
        <v>126</v>
      </c>
      <c r="N607" s="1301">
        <v>2017.4</v>
      </c>
      <c r="O607" s="1456" t="s">
        <v>6669</v>
      </c>
      <c r="P607" s="1457" t="s">
        <v>6517</v>
      </c>
      <c r="Q607" s="1457">
        <v>18931863533</v>
      </c>
      <c r="R607" s="1298" t="s">
        <v>6432</v>
      </c>
      <c r="S607" s="1298" t="s">
        <v>6150</v>
      </c>
      <c r="T607" s="1491"/>
    </row>
    <row r="608" spans="1:20">
      <c r="A608" s="1321"/>
      <c r="B608" s="1298" t="s">
        <v>3922</v>
      </c>
      <c r="C608" s="1298" t="s">
        <v>6739</v>
      </c>
      <c r="D608" s="1298" t="s">
        <v>161</v>
      </c>
      <c r="E608" s="1298">
        <v>400</v>
      </c>
      <c r="F608" s="1298" t="s">
        <v>34</v>
      </c>
      <c r="G608" s="1298" t="s">
        <v>32</v>
      </c>
      <c r="H608" s="1298" t="s">
        <v>6146</v>
      </c>
      <c r="I608" s="1298" t="s">
        <v>179</v>
      </c>
      <c r="J608" s="1298" t="s">
        <v>34</v>
      </c>
      <c r="K608" s="1298" t="s">
        <v>34</v>
      </c>
      <c r="L608" s="1298" t="s">
        <v>34</v>
      </c>
      <c r="M608" s="1298">
        <v>1152</v>
      </c>
      <c r="N608" s="1301">
        <v>2017.4</v>
      </c>
      <c r="O608" s="1456" t="s">
        <v>6669</v>
      </c>
      <c r="P608" s="1457" t="s">
        <v>6517</v>
      </c>
      <c r="Q608" s="1457">
        <v>18931863533</v>
      </c>
      <c r="R608" s="1298" t="s">
        <v>6432</v>
      </c>
      <c r="S608" s="1298" t="s">
        <v>6150</v>
      </c>
      <c r="T608" s="1491"/>
    </row>
    <row r="609" spans="1:20">
      <c r="A609" s="1321"/>
      <c r="B609" s="1298" t="s">
        <v>6740</v>
      </c>
      <c r="C609" s="1298"/>
      <c r="D609" s="1298" t="s">
        <v>79</v>
      </c>
      <c r="E609" s="1298">
        <v>1</v>
      </c>
      <c r="F609" s="1298" t="s">
        <v>34</v>
      </c>
      <c r="G609" s="1298" t="s">
        <v>32</v>
      </c>
      <c r="H609" s="1298" t="s">
        <v>6146</v>
      </c>
      <c r="I609" s="1298" t="s">
        <v>179</v>
      </c>
      <c r="J609" s="1298" t="s">
        <v>34</v>
      </c>
      <c r="K609" s="1298" t="s">
        <v>34</v>
      </c>
      <c r="L609" s="1298" t="s">
        <v>34</v>
      </c>
      <c r="M609" s="1298">
        <v>64.8</v>
      </c>
      <c r="N609" s="1301">
        <v>2017.4</v>
      </c>
      <c r="O609" s="1456" t="s">
        <v>6669</v>
      </c>
      <c r="P609" s="1457" t="s">
        <v>6517</v>
      </c>
      <c r="Q609" s="1457">
        <v>18931863533</v>
      </c>
      <c r="R609" s="1298" t="s">
        <v>6432</v>
      </c>
      <c r="S609" s="1298" t="s">
        <v>6150</v>
      </c>
      <c r="T609" s="1491"/>
    </row>
    <row r="610" spans="1:20">
      <c r="A610" s="1321"/>
      <c r="B610" s="1298" t="s">
        <v>6741</v>
      </c>
      <c r="C610" s="1298" t="s">
        <v>6742</v>
      </c>
      <c r="D610" s="1298" t="s">
        <v>131</v>
      </c>
      <c r="E610" s="1298">
        <v>1</v>
      </c>
      <c r="F610" s="1298" t="s">
        <v>34</v>
      </c>
      <c r="G610" s="1298" t="s">
        <v>32</v>
      </c>
      <c r="H610" s="1298" t="s">
        <v>6146</v>
      </c>
      <c r="I610" s="1298" t="s">
        <v>179</v>
      </c>
      <c r="J610" s="1298" t="s">
        <v>34</v>
      </c>
      <c r="K610" s="1298" t="s">
        <v>34</v>
      </c>
      <c r="L610" s="1298" t="s">
        <v>34</v>
      </c>
      <c r="M610" s="1298">
        <v>6.12</v>
      </c>
      <c r="N610" s="1301">
        <v>2017.4</v>
      </c>
      <c r="O610" s="1456" t="s">
        <v>6669</v>
      </c>
      <c r="P610" s="1457" t="s">
        <v>6517</v>
      </c>
      <c r="Q610" s="1457">
        <v>18931863533</v>
      </c>
      <c r="R610" s="1298" t="s">
        <v>6432</v>
      </c>
      <c r="S610" s="1298" t="s">
        <v>6150</v>
      </c>
      <c r="T610" s="1491"/>
    </row>
    <row r="611" spans="1:20">
      <c r="A611" s="1321"/>
      <c r="B611" s="1298" t="s">
        <v>1516</v>
      </c>
      <c r="C611" s="1298" t="s">
        <v>6743</v>
      </c>
      <c r="D611" s="1298" t="s">
        <v>161</v>
      </c>
      <c r="E611" s="1298">
        <v>100</v>
      </c>
      <c r="F611" s="1298" t="s">
        <v>34</v>
      </c>
      <c r="G611" s="1298" t="s">
        <v>32</v>
      </c>
      <c r="H611" s="1298" t="s">
        <v>6146</v>
      </c>
      <c r="I611" s="1298" t="s">
        <v>179</v>
      </c>
      <c r="J611" s="1298" t="s">
        <v>34</v>
      </c>
      <c r="K611" s="1298" t="s">
        <v>34</v>
      </c>
      <c r="L611" s="1298" t="s">
        <v>34</v>
      </c>
      <c r="M611" s="1298">
        <v>792</v>
      </c>
      <c r="N611" s="1301">
        <v>2017.4</v>
      </c>
      <c r="O611" s="1456" t="s">
        <v>6669</v>
      </c>
      <c r="P611" s="1457" t="s">
        <v>6517</v>
      </c>
      <c r="Q611" s="1457">
        <v>18931863533</v>
      </c>
      <c r="R611" s="1298" t="s">
        <v>6432</v>
      </c>
      <c r="S611" s="1298" t="s">
        <v>6150</v>
      </c>
      <c r="T611" s="1491"/>
    </row>
    <row r="612" spans="1:20" ht="36">
      <c r="A612" s="1321"/>
      <c r="B612" s="1298" t="s">
        <v>1486</v>
      </c>
      <c r="C612" s="1298" t="s">
        <v>6744</v>
      </c>
      <c r="D612" s="1298" t="s">
        <v>131</v>
      </c>
      <c r="E612" s="1298">
        <v>1</v>
      </c>
      <c r="F612" s="1298" t="s">
        <v>34</v>
      </c>
      <c r="G612" s="1298" t="s">
        <v>32</v>
      </c>
      <c r="H612" s="1298" t="s">
        <v>6146</v>
      </c>
      <c r="I612" s="1298" t="s">
        <v>179</v>
      </c>
      <c r="J612" s="1298" t="s">
        <v>34</v>
      </c>
      <c r="K612" s="1298" t="s">
        <v>34</v>
      </c>
      <c r="L612" s="1298" t="s">
        <v>34</v>
      </c>
      <c r="M612" s="1298">
        <v>144</v>
      </c>
      <c r="N612" s="1301">
        <v>2017.4</v>
      </c>
      <c r="O612" s="1456" t="s">
        <v>6669</v>
      </c>
      <c r="P612" s="1457" t="s">
        <v>6517</v>
      </c>
      <c r="Q612" s="1457">
        <v>18931863533</v>
      </c>
      <c r="R612" s="1298" t="s">
        <v>6432</v>
      </c>
      <c r="S612" s="1298" t="s">
        <v>6150</v>
      </c>
      <c r="T612" s="1491"/>
    </row>
    <row r="613" spans="1:20">
      <c r="A613" s="1321"/>
      <c r="B613" s="1298" t="s">
        <v>6745</v>
      </c>
      <c r="C613" s="1298" t="s">
        <v>130</v>
      </c>
      <c r="D613" s="1298" t="s">
        <v>4617</v>
      </c>
      <c r="E613" s="1298">
        <v>180</v>
      </c>
      <c r="F613" s="1298" t="s">
        <v>34</v>
      </c>
      <c r="G613" s="1298" t="s">
        <v>32</v>
      </c>
      <c r="H613" s="1298" t="s">
        <v>6146</v>
      </c>
      <c r="I613" s="1298" t="s">
        <v>179</v>
      </c>
      <c r="J613" s="1298" t="s">
        <v>34</v>
      </c>
      <c r="K613" s="1298" t="s">
        <v>34</v>
      </c>
      <c r="L613" s="1298" t="s">
        <v>34</v>
      </c>
      <c r="M613" s="1298">
        <v>194.4</v>
      </c>
      <c r="N613" s="1301">
        <v>2017.4</v>
      </c>
      <c r="O613" s="1456" t="s">
        <v>6669</v>
      </c>
      <c r="P613" s="1457" t="s">
        <v>6517</v>
      </c>
      <c r="Q613" s="1457">
        <v>18931863533</v>
      </c>
      <c r="R613" s="1298" t="s">
        <v>6432</v>
      </c>
      <c r="S613" s="1298" t="s">
        <v>6150</v>
      </c>
      <c r="T613" s="1491"/>
    </row>
    <row r="614" spans="1:20">
      <c r="A614" s="1321"/>
      <c r="B614" s="1298" t="s">
        <v>6746</v>
      </c>
      <c r="C614" s="1298" t="s">
        <v>6747</v>
      </c>
      <c r="D614" s="1298" t="s">
        <v>79</v>
      </c>
      <c r="E614" s="1298">
        <v>10</v>
      </c>
      <c r="F614" s="1298" t="s">
        <v>34</v>
      </c>
      <c r="G614" s="1298" t="s">
        <v>32</v>
      </c>
      <c r="H614" s="1298" t="s">
        <v>6146</v>
      </c>
      <c r="I614" s="1298" t="s">
        <v>179</v>
      </c>
      <c r="J614" s="1298" t="s">
        <v>34</v>
      </c>
      <c r="K614" s="1298" t="s">
        <v>34</v>
      </c>
      <c r="L614" s="1298" t="s">
        <v>34</v>
      </c>
      <c r="M614" s="1298">
        <v>244.8</v>
      </c>
      <c r="N614" s="1301">
        <v>2017.4</v>
      </c>
      <c r="O614" s="1456" t="s">
        <v>6669</v>
      </c>
      <c r="P614" s="1457" t="s">
        <v>6517</v>
      </c>
      <c r="Q614" s="1457">
        <v>18931863533</v>
      </c>
      <c r="R614" s="1298" t="s">
        <v>6432</v>
      </c>
      <c r="S614" s="1298" t="s">
        <v>6150</v>
      </c>
      <c r="T614" s="1491"/>
    </row>
    <row r="615" spans="1:20">
      <c r="A615" s="1321"/>
      <c r="B615" s="1298" t="s">
        <v>6748</v>
      </c>
      <c r="C615" s="1298"/>
      <c r="D615" s="1298" t="s">
        <v>79</v>
      </c>
      <c r="E615" s="1298">
        <v>4</v>
      </c>
      <c r="F615" s="1298" t="s">
        <v>34</v>
      </c>
      <c r="G615" s="1298" t="s">
        <v>32</v>
      </c>
      <c r="H615" s="1298" t="s">
        <v>6146</v>
      </c>
      <c r="I615" s="1298" t="s">
        <v>179</v>
      </c>
      <c r="J615" s="1298" t="s">
        <v>34</v>
      </c>
      <c r="K615" s="1298" t="s">
        <v>34</v>
      </c>
      <c r="L615" s="1298" t="s">
        <v>34</v>
      </c>
      <c r="M615" s="1298">
        <v>56000</v>
      </c>
      <c r="N615" s="1301">
        <v>2017.5</v>
      </c>
      <c r="O615" s="1456" t="s">
        <v>6669</v>
      </c>
      <c r="P615" s="1457" t="s">
        <v>6517</v>
      </c>
      <c r="Q615" s="1457">
        <v>18931863533</v>
      </c>
      <c r="R615" s="1298" t="s">
        <v>6432</v>
      </c>
      <c r="S615" s="1298" t="s">
        <v>6150</v>
      </c>
      <c r="T615" s="1491"/>
    </row>
    <row r="616" spans="1:20">
      <c r="A616" s="1321"/>
      <c r="B616" s="1298" t="s">
        <v>6749</v>
      </c>
      <c r="C616" s="1298"/>
      <c r="D616" s="1298" t="s">
        <v>2544</v>
      </c>
      <c r="E616" s="1298">
        <v>68</v>
      </c>
      <c r="F616" s="1298" t="s">
        <v>34</v>
      </c>
      <c r="G616" s="1298" t="s">
        <v>32</v>
      </c>
      <c r="H616" s="1298" t="s">
        <v>6146</v>
      </c>
      <c r="I616" s="1298" t="s">
        <v>179</v>
      </c>
      <c r="J616" s="1298" t="s">
        <v>34</v>
      </c>
      <c r="K616" s="1298" t="s">
        <v>34</v>
      </c>
      <c r="L616" s="1298" t="s">
        <v>34</v>
      </c>
      <c r="M616" s="1298">
        <v>1768</v>
      </c>
      <c r="N616" s="1301">
        <v>2017.5</v>
      </c>
      <c r="O616" s="1456" t="s">
        <v>6669</v>
      </c>
      <c r="P616" s="1457" t="s">
        <v>6517</v>
      </c>
      <c r="Q616" s="1457">
        <v>18931863533</v>
      </c>
      <c r="R616" s="1298" t="s">
        <v>6432</v>
      </c>
      <c r="S616" s="1298" t="s">
        <v>6150</v>
      </c>
      <c r="T616" s="1491"/>
    </row>
    <row r="617" spans="1:20">
      <c r="A617" s="1321"/>
      <c r="B617" s="1298" t="s">
        <v>6750</v>
      </c>
      <c r="C617" s="1298"/>
      <c r="D617" s="1298" t="s">
        <v>79</v>
      </c>
      <c r="E617" s="1298">
        <v>4</v>
      </c>
      <c r="F617" s="1298" t="s">
        <v>34</v>
      </c>
      <c r="G617" s="1298" t="s">
        <v>32</v>
      </c>
      <c r="H617" s="1298" t="s">
        <v>6146</v>
      </c>
      <c r="I617" s="1298" t="s">
        <v>179</v>
      </c>
      <c r="J617" s="1298" t="s">
        <v>34</v>
      </c>
      <c r="K617" s="1298" t="s">
        <v>34</v>
      </c>
      <c r="L617" s="1298" t="s">
        <v>34</v>
      </c>
      <c r="M617" s="1298">
        <v>67200</v>
      </c>
      <c r="N617" s="1301">
        <v>2017.5</v>
      </c>
      <c r="O617" s="1456" t="s">
        <v>6669</v>
      </c>
      <c r="P617" s="1457" t="s">
        <v>6517</v>
      </c>
      <c r="Q617" s="1457">
        <v>18931863533</v>
      </c>
      <c r="R617" s="1298" t="s">
        <v>6432</v>
      </c>
      <c r="S617" s="1298" t="s">
        <v>6150</v>
      </c>
      <c r="T617" s="1491"/>
    </row>
    <row r="618" spans="1:20">
      <c r="A618" s="1321"/>
      <c r="B618" s="1298" t="s">
        <v>6751</v>
      </c>
      <c r="C618" s="1298"/>
      <c r="D618" s="1298" t="s">
        <v>2544</v>
      </c>
      <c r="E618" s="1298">
        <v>10</v>
      </c>
      <c r="F618" s="1298" t="s">
        <v>34</v>
      </c>
      <c r="G618" s="1298" t="s">
        <v>32</v>
      </c>
      <c r="H618" s="1298" t="s">
        <v>6146</v>
      </c>
      <c r="I618" s="1298" t="s">
        <v>179</v>
      </c>
      <c r="J618" s="1298" t="s">
        <v>34</v>
      </c>
      <c r="K618" s="1298" t="s">
        <v>34</v>
      </c>
      <c r="L618" s="1298" t="s">
        <v>34</v>
      </c>
      <c r="M618" s="1298">
        <v>3028</v>
      </c>
      <c r="N618" s="1301">
        <v>2017.5</v>
      </c>
      <c r="O618" s="1456" t="s">
        <v>6669</v>
      </c>
      <c r="P618" s="1457" t="s">
        <v>6517</v>
      </c>
      <c r="Q618" s="1457">
        <v>18931863533</v>
      </c>
      <c r="R618" s="1298" t="s">
        <v>6432</v>
      </c>
      <c r="S618" s="1298" t="s">
        <v>6150</v>
      </c>
      <c r="T618" s="1491"/>
    </row>
    <row r="619" spans="1:20">
      <c r="A619" s="1321"/>
      <c r="B619" s="1298" t="s">
        <v>6752</v>
      </c>
      <c r="C619" s="1298"/>
      <c r="D619" s="1298" t="s">
        <v>2544</v>
      </c>
      <c r="E619" s="1298">
        <v>18</v>
      </c>
      <c r="F619" s="1298" t="s">
        <v>34</v>
      </c>
      <c r="G619" s="1298" t="s">
        <v>32</v>
      </c>
      <c r="H619" s="1298" t="s">
        <v>6146</v>
      </c>
      <c r="I619" s="1298" t="s">
        <v>179</v>
      </c>
      <c r="J619" s="1298" t="s">
        <v>34</v>
      </c>
      <c r="K619" s="1298" t="s">
        <v>34</v>
      </c>
      <c r="L619" s="1298" t="s">
        <v>34</v>
      </c>
      <c r="M619" s="1298">
        <v>2736</v>
      </c>
      <c r="N619" s="1301">
        <v>2017.5</v>
      </c>
      <c r="O619" s="1456" t="s">
        <v>6669</v>
      </c>
      <c r="P619" s="1457" t="s">
        <v>6517</v>
      </c>
      <c r="Q619" s="1457">
        <v>18931863533</v>
      </c>
      <c r="R619" s="1298" t="s">
        <v>6432</v>
      </c>
      <c r="S619" s="1298" t="s">
        <v>6150</v>
      </c>
      <c r="T619" s="1491"/>
    </row>
    <row r="620" spans="1:20">
      <c r="A620" s="1321"/>
      <c r="B620" s="1298" t="s">
        <v>6753</v>
      </c>
      <c r="C620" s="1298"/>
      <c r="D620" s="1298" t="s">
        <v>2544</v>
      </c>
      <c r="E620" s="1298">
        <v>16</v>
      </c>
      <c r="F620" s="1298" t="s">
        <v>34</v>
      </c>
      <c r="G620" s="1298" t="s">
        <v>32</v>
      </c>
      <c r="H620" s="1298" t="s">
        <v>6146</v>
      </c>
      <c r="I620" s="1298" t="s">
        <v>179</v>
      </c>
      <c r="J620" s="1298" t="s">
        <v>34</v>
      </c>
      <c r="K620" s="1298" t="s">
        <v>34</v>
      </c>
      <c r="L620" s="1298" t="s">
        <v>34</v>
      </c>
      <c r="M620" s="1298">
        <v>2240</v>
      </c>
      <c r="N620" s="1301">
        <v>2017.5</v>
      </c>
      <c r="O620" s="1456" t="s">
        <v>6669</v>
      </c>
      <c r="P620" s="1457" t="s">
        <v>6517</v>
      </c>
      <c r="Q620" s="1457">
        <v>18931863533</v>
      </c>
      <c r="R620" s="1298" t="s">
        <v>6432</v>
      </c>
      <c r="S620" s="1298" t="s">
        <v>6150</v>
      </c>
      <c r="T620" s="1491"/>
    </row>
    <row r="621" spans="1:20" ht="24">
      <c r="A621" s="1321"/>
      <c r="B621" s="1298" t="s">
        <v>6754</v>
      </c>
      <c r="C621" s="1298"/>
      <c r="D621" s="1298" t="s">
        <v>2544</v>
      </c>
      <c r="E621" s="1298">
        <v>8</v>
      </c>
      <c r="F621" s="1298" t="s">
        <v>34</v>
      </c>
      <c r="G621" s="1298" t="s">
        <v>32</v>
      </c>
      <c r="H621" s="1298" t="s">
        <v>6146</v>
      </c>
      <c r="I621" s="1298" t="s">
        <v>179</v>
      </c>
      <c r="J621" s="1298" t="s">
        <v>34</v>
      </c>
      <c r="K621" s="1298" t="s">
        <v>34</v>
      </c>
      <c r="L621" s="1298" t="s">
        <v>34</v>
      </c>
      <c r="M621" s="1298">
        <v>1440</v>
      </c>
      <c r="N621" s="1301">
        <v>2017.5</v>
      </c>
      <c r="O621" s="1456" t="s">
        <v>6669</v>
      </c>
      <c r="P621" s="1457" t="s">
        <v>6517</v>
      </c>
      <c r="Q621" s="1457">
        <v>18931863533</v>
      </c>
      <c r="R621" s="1298" t="s">
        <v>6432</v>
      </c>
      <c r="S621" s="1298" t="s">
        <v>6150</v>
      </c>
      <c r="T621" s="1491"/>
    </row>
    <row r="622" spans="1:20">
      <c r="A622" s="1321"/>
      <c r="B622" s="1298" t="s">
        <v>6755</v>
      </c>
      <c r="C622" s="1298"/>
      <c r="D622" s="1298" t="s">
        <v>2544</v>
      </c>
      <c r="E622" s="1298">
        <v>68</v>
      </c>
      <c r="F622" s="1298" t="s">
        <v>34</v>
      </c>
      <c r="G622" s="1298" t="s">
        <v>32</v>
      </c>
      <c r="H622" s="1298" t="s">
        <v>6146</v>
      </c>
      <c r="I622" s="1298" t="s">
        <v>179</v>
      </c>
      <c r="J622" s="1298" t="s">
        <v>34</v>
      </c>
      <c r="K622" s="1298" t="s">
        <v>34</v>
      </c>
      <c r="L622" s="1298" t="s">
        <v>34</v>
      </c>
      <c r="M622" s="1298">
        <v>1768</v>
      </c>
      <c r="N622" s="1301">
        <v>2017.5</v>
      </c>
      <c r="O622" s="1456" t="s">
        <v>6669</v>
      </c>
      <c r="P622" s="1457" t="s">
        <v>6517</v>
      </c>
      <c r="Q622" s="1457">
        <v>18931863533</v>
      </c>
      <c r="R622" s="1298" t="s">
        <v>6432</v>
      </c>
      <c r="S622" s="1298" t="s">
        <v>6150</v>
      </c>
      <c r="T622" s="1491"/>
    </row>
    <row r="623" spans="1:20">
      <c r="A623" s="1321"/>
      <c r="B623" s="1298" t="s">
        <v>6756</v>
      </c>
      <c r="C623" s="1298"/>
      <c r="D623" s="1298" t="s">
        <v>2544</v>
      </c>
      <c r="E623" s="1298">
        <v>42</v>
      </c>
      <c r="F623" s="1298" t="s">
        <v>34</v>
      </c>
      <c r="G623" s="1298" t="s">
        <v>32</v>
      </c>
      <c r="H623" s="1298" t="s">
        <v>6146</v>
      </c>
      <c r="I623" s="1298" t="s">
        <v>179</v>
      </c>
      <c r="J623" s="1298" t="s">
        <v>34</v>
      </c>
      <c r="K623" s="1298" t="s">
        <v>34</v>
      </c>
      <c r="L623" s="1298" t="s">
        <v>34</v>
      </c>
      <c r="M623" s="1298">
        <v>2016</v>
      </c>
      <c r="N623" s="1301">
        <v>2017.5</v>
      </c>
      <c r="O623" s="1456" t="s">
        <v>6669</v>
      </c>
      <c r="P623" s="1457" t="s">
        <v>6517</v>
      </c>
      <c r="Q623" s="1457">
        <v>18931863533</v>
      </c>
      <c r="R623" s="1298" t="s">
        <v>6432</v>
      </c>
      <c r="S623" s="1298" t="s">
        <v>6150</v>
      </c>
      <c r="T623" s="1491"/>
    </row>
    <row r="624" spans="1:20">
      <c r="A624" s="1321"/>
      <c r="B624" s="1298" t="s">
        <v>6757</v>
      </c>
      <c r="C624" s="1298"/>
      <c r="D624" s="1298" t="s">
        <v>2544</v>
      </c>
      <c r="E624" s="1298">
        <v>120</v>
      </c>
      <c r="F624" s="1298" t="s">
        <v>34</v>
      </c>
      <c r="G624" s="1298" t="s">
        <v>32</v>
      </c>
      <c r="H624" s="1298" t="s">
        <v>6146</v>
      </c>
      <c r="I624" s="1298" t="s">
        <v>179</v>
      </c>
      <c r="J624" s="1298" t="s">
        <v>34</v>
      </c>
      <c r="K624" s="1298" t="s">
        <v>34</v>
      </c>
      <c r="L624" s="1298" t="s">
        <v>34</v>
      </c>
      <c r="M624" s="1298">
        <v>3840</v>
      </c>
      <c r="N624" s="1301">
        <v>2017.5</v>
      </c>
      <c r="O624" s="1456" t="s">
        <v>6669</v>
      </c>
      <c r="P624" s="1457" t="s">
        <v>6517</v>
      </c>
      <c r="Q624" s="1457">
        <v>18931863533</v>
      </c>
      <c r="R624" s="1298" t="s">
        <v>6432</v>
      </c>
      <c r="S624" s="1298" t="s">
        <v>6150</v>
      </c>
      <c r="T624" s="1491"/>
    </row>
    <row r="625" spans="1:20">
      <c r="A625" s="1321"/>
      <c r="B625" s="1298" t="s">
        <v>6748</v>
      </c>
      <c r="C625" s="1298"/>
      <c r="D625" s="1298" t="s">
        <v>79</v>
      </c>
      <c r="E625" s="1298">
        <v>1</v>
      </c>
      <c r="F625" s="1298" t="s">
        <v>34</v>
      </c>
      <c r="G625" s="1298" t="s">
        <v>32</v>
      </c>
      <c r="H625" s="1298" t="s">
        <v>6146</v>
      </c>
      <c r="I625" s="1298" t="s">
        <v>179</v>
      </c>
      <c r="J625" s="1298" t="s">
        <v>34</v>
      </c>
      <c r="K625" s="1298" t="s">
        <v>34</v>
      </c>
      <c r="L625" s="1298" t="s">
        <v>34</v>
      </c>
      <c r="M625" s="1298">
        <v>14000</v>
      </c>
      <c r="N625" s="1301">
        <v>2017.5</v>
      </c>
      <c r="O625" s="1456" t="s">
        <v>6669</v>
      </c>
      <c r="P625" s="1457" t="s">
        <v>6517</v>
      </c>
      <c r="Q625" s="1457">
        <v>18931863533</v>
      </c>
      <c r="R625" s="1298" t="s">
        <v>6432</v>
      </c>
      <c r="S625" s="1298" t="s">
        <v>6150</v>
      </c>
      <c r="T625" s="1491"/>
    </row>
    <row r="626" spans="1:20">
      <c r="A626" s="1321"/>
      <c r="B626" s="1298" t="s">
        <v>6750</v>
      </c>
      <c r="C626" s="1298"/>
      <c r="D626" s="1298" t="s">
        <v>79</v>
      </c>
      <c r="E626" s="1298">
        <v>1</v>
      </c>
      <c r="F626" s="1298" t="s">
        <v>34</v>
      </c>
      <c r="G626" s="1298" t="s">
        <v>32</v>
      </c>
      <c r="H626" s="1298" t="s">
        <v>6146</v>
      </c>
      <c r="I626" s="1298" t="s">
        <v>179</v>
      </c>
      <c r="J626" s="1298" t="s">
        <v>34</v>
      </c>
      <c r="K626" s="1298" t="s">
        <v>34</v>
      </c>
      <c r="L626" s="1298" t="s">
        <v>34</v>
      </c>
      <c r="M626" s="1298">
        <v>16800</v>
      </c>
      <c r="N626" s="1301">
        <v>2017.5</v>
      </c>
      <c r="O626" s="1456" t="s">
        <v>6669</v>
      </c>
      <c r="P626" s="1457" t="s">
        <v>6517</v>
      </c>
      <c r="Q626" s="1457">
        <v>18931863533</v>
      </c>
      <c r="R626" s="1298" t="s">
        <v>6432</v>
      </c>
      <c r="S626" s="1298" t="s">
        <v>6150</v>
      </c>
      <c r="T626" s="1491"/>
    </row>
    <row r="627" spans="1:20">
      <c r="A627" s="1321"/>
      <c r="B627" s="1298" t="s">
        <v>6758</v>
      </c>
      <c r="C627" s="1298"/>
      <c r="D627" s="1298" t="s">
        <v>79</v>
      </c>
      <c r="E627" s="1298">
        <v>1</v>
      </c>
      <c r="F627" s="1298" t="s">
        <v>34</v>
      </c>
      <c r="G627" s="1298" t="s">
        <v>32</v>
      </c>
      <c r="H627" s="1298" t="s">
        <v>6146</v>
      </c>
      <c r="I627" s="1298" t="s">
        <v>179</v>
      </c>
      <c r="J627" s="1298" t="s">
        <v>34</v>
      </c>
      <c r="K627" s="1298" t="s">
        <v>34</v>
      </c>
      <c r="L627" s="1298" t="s">
        <v>34</v>
      </c>
      <c r="M627" s="1298">
        <v>15200</v>
      </c>
      <c r="N627" s="1301">
        <v>2017.5</v>
      </c>
      <c r="O627" s="1456" t="s">
        <v>6669</v>
      </c>
      <c r="P627" s="1457" t="s">
        <v>6517</v>
      </c>
      <c r="Q627" s="1457">
        <v>18931863533</v>
      </c>
      <c r="R627" s="1298" t="s">
        <v>6432</v>
      </c>
      <c r="S627" s="1298" t="s">
        <v>6150</v>
      </c>
      <c r="T627" s="1491"/>
    </row>
    <row r="628" spans="1:20">
      <c r="A628" s="1321"/>
      <c r="B628" s="1298" t="s">
        <v>6759</v>
      </c>
      <c r="C628" s="1298"/>
      <c r="D628" s="1298" t="s">
        <v>79</v>
      </c>
      <c r="E628" s="1298">
        <v>1</v>
      </c>
      <c r="F628" s="1298" t="s">
        <v>34</v>
      </c>
      <c r="G628" s="1298" t="s">
        <v>32</v>
      </c>
      <c r="H628" s="1298" t="s">
        <v>6146</v>
      </c>
      <c r="I628" s="1298" t="s">
        <v>179</v>
      </c>
      <c r="J628" s="1298" t="s">
        <v>34</v>
      </c>
      <c r="K628" s="1298" t="s">
        <v>34</v>
      </c>
      <c r="L628" s="1298" t="s">
        <v>34</v>
      </c>
      <c r="M628" s="1298">
        <v>24000</v>
      </c>
      <c r="N628" s="1301">
        <v>2017.5</v>
      </c>
      <c r="O628" s="1456" t="s">
        <v>6669</v>
      </c>
      <c r="P628" s="1457" t="s">
        <v>6517</v>
      </c>
      <c r="Q628" s="1457">
        <v>18931863533</v>
      </c>
      <c r="R628" s="1298" t="s">
        <v>6432</v>
      </c>
      <c r="S628" s="1298" t="s">
        <v>6150</v>
      </c>
      <c r="T628" s="1491"/>
    </row>
    <row r="629" spans="1:20" ht="36">
      <c r="A629" s="1321"/>
      <c r="B629" s="1298" t="s">
        <v>1550</v>
      </c>
      <c r="C629" s="1298" t="s">
        <v>6760</v>
      </c>
      <c r="D629" s="1298" t="s">
        <v>31</v>
      </c>
      <c r="E629" s="1298">
        <v>2720</v>
      </c>
      <c r="F629" s="1298">
        <v>80.599999999999994</v>
      </c>
      <c r="G629" s="1298" t="s">
        <v>32</v>
      </c>
      <c r="H629" s="1298" t="s">
        <v>6146</v>
      </c>
      <c r="I629" s="1298" t="s">
        <v>179</v>
      </c>
      <c r="J629" s="1298" t="s">
        <v>34</v>
      </c>
      <c r="K629" s="1298" t="s">
        <v>34</v>
      </c>
      <c r="L629" s="1507">
        <v>462400</v>
      </c>
      <c r="M629" s="1322">
        <v>184960</v>
      </c>
      <c r="N629" s="1317">
        <v>2021.11</v>
      </c>
      <c r="O629" s="1508" t="s">
        <v>6761</v>
      </c>
      <c r="P629" s="1298" t="s">
        <v>6762</v>
      </c>
      <c r="Q629" s="1298">
        <v>13109369143</v>
      </c>
      <c r="R629" s="1298" t="s">
        <v>6763</v>
      </c>
      <c r="S629" s="1298" t="s">
        <v>6150</v>
      </c>
      <c r="T629" s="1491"/>
    </row>
    <row r="630" spans="1:20" ht="36">
      <c r="A630" s="1321"/>
      <c r="B630" s="1322" t="s">
        <v>1550</v>
      </c>
      <c r="C630" s="1509" t="s">
        <v>6760</v>
      </c>
      <c r="D630" s="1322" t="s">
        <v>31</v>
      </c>
      <c r="E630" s="1322">
        <v>2800</v>
      </c>
      <c r="F630" s="1322">
        <v>81.2</v>
      </c>
      <c r="G630" s="1298" t="s">
        <v>32</v>
      </c>
      <c r="H630" s="1298" t="s">
        <v>6146</v>
      </c>
      <c r="I630" s="1298" t="s">
        <v>179</v>
      </c>
      <c r="J630" s="1298" t="s">
        <v>34</v>
      </c>
      <c r="K630" s="1298" t="s">
        <v>34</v>
      </c>
      <c r="L630" s="1507">
        <v>476000</v>
      </c>
      <c r="M630" s="1322">
        <v>380800</v>
      </c>
      <c r="N630" s="1317">
        <v>2022.1</v>
      </c>
      <c r="O630" s="1508" t="s">
        <v>6761</v>
      </c>
      <c r="P630" s="1298" t="s">
        <v>6762</v>
      </c>
      <c r="Q630" s="1298">
        <v>13109369143</v>
      </c>
      <c r="R630" s="1298" t="s">
        <v>6763</v>
      </c>
      <c r="S630" s="1298" t="s">
        <v>6150</v>
      </c>
      <c r="T630" s="1322"/>
    </row>
    <row r="631" spans="1:20" ht="14.25">
      <c r="A631" s="1321"/>
      <c r="B631" s="1422" t="s">
        <v>1546</v>
      </c>
      <c r="C631" s="1427" t="s">
        <v>6764</v>
      </c>
      <c r="D631" s="1431" t="s">
        <v>3701</v>
      </c>
      <c r="E631" s="1431">
        <v>41</v>
      </c>
      <c r="F631" s="1431"/>
      <c r="G631" s="1432" t="s">
        <v>32</v>
      </c>
      <c r="H631" s="1420" t="s">
        <v>6390</v>
      </c>
      <c r="I631" s="1298" t="s">
        <v>179</v>
      </c>
      <c r="J631" s="1298" t="s">
        <v>34</v>
      </c>
      <c r="K631" s="1298" t="s">
        <v>34</v>
      </c>
      <c r="L631" s="1427">
        <v>101485.148514851</v>
      </c>
      <c r="M631" s="1427">
        <v>86262.376237623495</v>
      </c>
      <c r="N631" s="1427">
        <v>2021.11</v>
      </c>
      <c r="O631" s="1510" t="s">
        <v>6765</v>
      </c>
      <c r="P631" s="1510" t="s">
        <v>6392</v>
      </c>
      <c r="Q631" s="1298">
        <v>15032694610</v>
      </c>
      <c r="R631" s="1298" t="s">
        <v>6766</v>
      </c>
      <c r="S631" s="1298" t="s">
        <v>6150</v>
      </c>
      <c r="T631" s="1491"/>
    </row>
    <row r="632" spans="1:20" ht="14.25">
      <c r="A632" s="1321"/>
      <c r="B632" s="1422" t="s">
        <v>1546</v>
      </c>
      <c r="C632" s="1427" t="s">
        <v>6767</v>
      </c>
      <c r="D632" s="1431" t="s">
        <v>3701</v>
      </c>
      <c r="E632" s="1431">
        <v>191.5</v>
      </c>
      <c r="F632" s="1431"/>
      <c r="G632" s="1432" t="s">
        <v>32</v>
      </c>
      <c r="H632" s="1420" t="s">
        <v>6390</v>
      </c>
      <c r="I632" s="1298" t="s">
        <v>179</v>
      </c>
      <c r="J632" s="1298" t="s">
        <v>34</v>
      </c>
      <c r="K632" s="1298" t="s">
        <v>34</v>
      </c>
      <c r="L632" s="1427">
        <v>489178.2</v>
      </c>
      <c r="M632" s="1427">
        <v>415801.47</v>
      </c>
      <c r="N632" s="1427">
        <v>2021.11</v>
      </c>
      <c r="O632" s="1510" t="s">
        <v>6765</v>
      </c>
      <c r="P632" s="1510" t="s">
        <v>6392</v>
      </c>
      <c r="Q632" s="1298">
        <v>15032694610</v>
      </c>
      <c r="R632" s="1298" t="s">
        <v>6766</v>
      </c>
      <c r="S632" s="1298" t="s">
        <v>6150</v>
      </c>
      <c r="T632" s="1491"/>
    </row>
    <row r="633" spans="1:20" ht="14.25">
      <c r="A633" s="1321"/>
      <c r="B633" s="1422" t="s">
        <v>1546</v>
      </c>
      <c r="C633" s="1427" t="s">
        <v>6767</v>
      </c>
      <c r="D633" s="1431" t="s">
        <v>3701</v>
      </c>
      <c r="E633" s="1431">
        <v>38.5</v>
      </c>
      <c r="F633" s="1431"/>
      <c r="G633" s="1432" t="s">
        <v>32</v>
      </c>
      <c r="H633" s="1420" t="s">
        <v>6390</v>
      </c>
      <c r="I633" s="1298" t="s">
        <v>179</v>
      </c>
      <c r="J633" s="1298" t="s">
        <v>34</v>
      </c>
      <c r="K633" s="1298" t="s">
        <v>34</v>
      </c>
      <c r="L633" s="1427">
        <v>98346.534653465205</v>
      </c>
      <c r="M633" s="1427">
        <v>88511.881188118597</v>
      </c>
      <c r="N633" s="1427">
        <v>2021.12</v>
      </c>
      <c r="O633" s="1510" t="s">
        <v>6765</v>
      </c>
      <c r="P633" s="1510" t="s">
        <v>6392</v>
      </c>
      <c r="Q633" s="1298">
        <v>15032694610</v>
      </c>
      <c r="R633" s="1298" t="s">
        <v>6766</v>
      </c>
      <c r="S633" s="1298" t="s">
        <v>6150</v>
      </c>
      <c r="T633" s="1491"/>
    </row>
    <row r="634" spans="1:20" ht="14.25">
      <c r="A634" s="1321"/>
      <c r="B634" s="1422" t="s">
        <v>1546</v>
      </c>
      <c r="C634" s="1427" t="s">
        <v>1549</v>
      </c>
      <c r="D634" s="1431" t="s">
        <v>3701</v>
      </c>
      <c r="E634" s="1431">
        <v>30</v>
      </c>
      <c r="F634" s="1431"/>
      <c r="G634" s="1432" t="s">
        <v>32</v>
      </c>
      <c r="H634" s="1420" t="s">
        <v>6390</v>
      </c>
      <c r="I634" s="1298" t="s">
        <v>179</v>
      </c>
      <c r="J634" s="1298" t="s">
        <v>34</v>
      </c>
      <c r="K634" s="1298" t="s">
        <v>34</v>
      </c>
      <c r="L634" s="1427">
        <v>72772.25</v>
      </c>
      <c r="M634" s="1427">
        <v>65495.025000000001</v>
      </c>
      <c r="N634" s="1427">
        <v>2021.12</v>
      </c>
      <c r="O634" s="1510" t="s">
        <v>6765</v>
      </c>
      <c r="P634" s="1510" t="s">
        <v>6392</v>
      </c>
      <c r="Q634" s="1298">
        <v>15032694610</v>
      </c>
      <c r="R634" s="1298" t="s">
        <v>6766</v>
      </c>
      <c r="S634" s="1298" t="s">
        <v>6150</v>
      </c>
      <c r="T634" s="1491"/>
    </row>
    <row r="635" spans="1:20" ht="14.25">
      <c r="A635" s="1321"/>
      <c r="B635" s="1422" t="s">
        <v>1546</v>
      </c>
      <c r="C635" s="1427" t="s">
        <v>6768</v>
      </c>
      <c r="D635" s="1431" t="s">
        <v>3701</v>
      </c>
      <c r="E635" s="1431">
        <v>90.09</v>
      </c>
      <c r="F635" s="1431"/>
      <c r="G635" s="1432" t="s">
        <v>32</v>
      </c>
      <c r="H635" s="1420" t="s">
        <v>6390</v>
      </c>
      <c r="I635" s="1298" t="s">
        <v>179</v>
      </c>
      <c r="J635" s="1298" t="s">
        <v>34</v>
      </c>
      <c r="K635" s="1298" t="s">
        <v>34</v>
      </c>
      <c r="L635" s="1427">
        <v>229238.86</v>
      </c>
      <c r="M635" s="1427">
        <v>206314.97399999999</v>
      </c>
      <c r="N635" s="1427">
        <v>2021.12</v>
      </c>
      <c r="O635" s="1510" t="s">
        <v>6765</v>
      </c>
      <c r="P635" s="1510" t="s">
        <v>6392</v>
      </c>
      <c r="Q635" s="1298">
        <v>15032694610</v>
      </c>
      <c r="R635" s="1298" t="s">
        <v>6766</v>
      </c>
      <c r="S635" s="1298" t="s">
        <v>6150</v>
      </c>
      <c r="T635" s="1491"/>
    </row>
    <row r="636" spans="1:20" ht="14.25">
      <c r="A636" s="1321"/>
      <c r="B636" s="1422" t="s">
        <v>1546</v>
      </c>
      <c r="C636" s="1427" t="s">
        <v>3474</v>
      </c>
      <c r="D636" s="1431" t="s">
        <v>3701</v>
      </c>
      <c r="E636" s="1431">
        <v>66.5</v>
      </c>
      <c r="F636" s="1431"/>
      <c r="G636" s="1432" t="s">
        <v>32</v>
      </c>
      <c r="H636" s="1420" t="s">
        <v>6390</v>
      </c>
      <c r="I636" s="1298" t="s">
        <v>179</v>
      </c>
      <c r="J636" s="1298" t="s">
        <v>34</v>
      </c>
      <c r="K636" s="1298" t="s">
        <v>34</v>
      </c>
      <c r="L636" s="1427">
        <v>158019.82999999999</v>
      </c>
      <c r="M636" s="1427">
        <v>142217.84700000001</v>
      </c>
      <c r="N636" s="1427">
        <v>2021.12</v>
      </c>
      <c r="O636" s="1510" t="s">
        <v>6765</v>
      </c>
      <c r="P636" s="1510" t="s">
        <v>6392</v>
      </c>
      <c r="Q636" s="1298">
        <v>15032694610</v>
      </c>
      <c r="R636" s="1298" t="s">
        <v>6766</v>
      </c>
      <c r="S636" s="1298" t="s">
        <v>6150</v>
      </c>
      <c r="T636" s="1491"/>
    </row>
    <row r="637" spans="1:20">
      <c r="A637" s="1321"/>
      <c r="B637" s="1298" t="s">
        <v>6679</v>
      </c>
      <c r="C637" s="1298" t="s">
        <v>6683</v>
      </c>
      <c r="D637" s="1298" t="s">
        <v>131</v>
      </c>
      <c r="E637" s="1298" t="s">
        <v>34</v>
      </c>
      <c r="F637" s="1298">
        <v>40</v>
      </c>
      <c r="G637" s="1298" t="s">
        <v>32</v>
      </c>
      <c r="H637" s="1298" t="s">
        <v>6146</v>
      </c>
      <c r="I637" s="1298" t="s">
        <v>179</v>
      </c>
      <c r="J637" s="1298" t="s">
        <v>34</v>
      </c>
      <c r="K637" s="1298" t="s">
        <v>34</v>
      </c>
      <c r="L637" s="1298" t="s">
        <v>34</v>
      </c>
      <c r="M637" s="1298">
        <v>4160</v>
      </c>
      <c r="N637" s="1301" t="s">
        <v>6681</v>
      </c>
      <c r="O637" s="1298" t="s">
        <v>6123</v>
      </c>
      <c r="P637" s="1298" t="s">
        <v>6124</v>
      </c>
      <c r="Q637" s="1298">
        <v>13930179988</v>
      </c>
      <c r="R637" s="1298" t="s">
        <v>6125</v>
      </c>
      <c r="S637" s="1298" t="s">
        <v>6150</v>
      </c>
      <c r="T637" s="1491"/>
    </row>
    <row r="638" spans="1:20">
      <c r="A638" s="1321"/>
      <c r="B638" s="1298" t="s">
        <v>6679</v>
      </c>
      <c r="C638" s="1298" t="s">
        <v>6769</v>
      </c>
      <c r="D638" s="1298" t="s">
        <v>131</v>
      </c>
      <c r="E638" s="1298" t="s">
        <v>34</v>
      </c>
      <c r="F638" s="1298">
        <v>23</v>
      </c>
      <c r="G638" s="1298" t="s">
        <v>32</v>
      </c>
      <c r="H638" s="1298" t="s">
        <v>6146</v>
      </c>
      <c r="I638" s="1298" t="s">
        <v>179</v>
      </c>
      <c r="J638" s="1298" t="s">
        <v>34</v>
      </c>
      <c r="K638" s="1298" t="s">
        <v>34</v>
      </c>
      <c r="L638" s="1298" t="s">
        <v>34</v>
      </c>
      <c r="M638" s="1298">
        <v>1196</v>
      </c>
      <c r="N638" s="1301" t="s">
        <v>6431</v>
      </c>
      <c r="O638" s="1298" t="s">
        <v>6123</v>
      </c>
      <c r="P638" s="1298" t="s">
        <v>6124</v>
      </c>
      <c r="Q638" s="1298">
        <v>13930179988</v>
      </c>
      <c r="R638" s="1298" t="s">
        <v>6125</v>
      </c>
      <c r="S638" s="1298" t="s">
        <v>6150</v>
      </c>
      <c r="T638" s="1491"/>
    </row>
    <row r="639" spans="1:20">
      <c r="A639" s="1321"/>
      <c r="B639" s="1298" t="s">
        <v>6679</v>
      </c>
      <c r="C639" s="1298" t="s">
        <v>6684</v>
      </c>
      <c r="D639" s="1298" t="s">
        <v>131</v>
      </c>
      <c r="E639" s="1298" t="s">
        <v>34</v>
      </c>
      <c r="F639" s="1298">
        <v>24</v>
      </c>
      <c r="G639" s="1298" t="s">
        <v>32</v>
      </c>
      <c r="H639" s="1298" t="s">
        <v>6146</v>
      </c>
      <c r="I639" s="1298" t="s">
        <v>179</v>
      </c>
      <c r="J639" s="1298" t="s">
        <v>34</v>
      </c>
      <c r="K639" s="1298" t="s">
        <v>34</v>
      </c>
      <c r="L639" s="1298" t="s">
        <v>34</v>
      </c>
      <c r="M639" s="1298">
        <v>5232</v>
      </c>
      <c r="N639" s="1301" t="s">
        <v>6431</v>
      </c>
      <c r="O639" s="1298" t="s">
        <v>6123</v>
      </c>
      <c r="P639" s="1298" t="s">
        <v>6124</v>
      </c>
      <c r="Q639" s="1298">
        <v>13930179988</v>
      </c>
      <c r="R639" s="1298" t="s">
        <v>6125</v>
      </c>
      <c r="S639" s="1298" t="s">
        <v>6150</v>
      </c>
      <c r="T639" s="1491"/>
    </row>
    <row r="640" spans="1:20">
      <c r="A640" s="1321"/>
      <c r="B640" s="1298" t="s">
        <v>6679</v>
      </c>
      <c r="C640" s="1298" t="s">
        <v>6770</v>
      </c>
      <c r="D640" s="1298" t="s">
        <v>131</v>
      </c>
      <c r="E640" s="1298" t="s">
        <v>34</v>
      </c>
      <c r="F640" s="1298">
        <v>23</v>
      </c>
      <c r="G640" s="1298" t="s">
        <v>32</v>
      </c>
      <c r="H640" s="1298" t="s">
        <v>6146</v>
      </c>
      <c r="I640" s="1298" t="s">
        <v>179</v>
      </c>
      <c r="J640" s="1298" t="s">
        <v>34</v>
      </c>
      <c r="K640" s="1298" t="s">
        <v>34</v>
      </c>
      <c r="L640" s="1298" t="s">
        <v>34</v>
      </c>
      <c r="M640" s="1298">
        <v>1748</v>
      </c>
      <c r="N640" s="1301" t="s">
        <v>6431</v>
      </c>
      <c r="O640" s="1298" t="s">
        <v>6123</v>
      </c>
      <c r="P640" s="1298" t="s">
        <v>6124</v>
      </c>
      <c r="Q640" s="1298">
        <v>13930179988</v>
      </c>
      <c r="R640" s="1298" t="s">
        <v>6125</v>
      </c>
      <c r="S640" s="1298" t="s">
        <v>6150</v>
      </c>
      <c r="T640" s="1491"/>
    </row>
    <row r="641" spans="1:20">
      <c r="A641" s="1321"/>
      <c r="B641" s="1298" t="s">
        <v>6771</v>
      </c>
      <c r="C641" s="1298" t="s">
        <v>6772</v>
      </c>
      <c r="D641" s="1298" t="s">
        <v>131</v>
      </c>
      <c r="E641" s="1298" t="s">
        <v>34</v>
      </c>
      <c r="F641" s="1298">
        <v>130</v>
      </c>
      <c r="G641" s="1298" t="s">
        <v>32</v>
      </c>
      <c r="H641" s="1298" t="s">
        <v>6146</v>
      </c>
      <c r="I641" s="1298" t="s">
        <v>179</v>
      </c>
      <c r="J641" s="1298" t="s">
        <v>34</v>
      </c>
      <c r="K641" s="1298" t="s">
        <v>34</v>
      </c>
      <c r="L641" s="1298" t="s">
        <v>34</v>
      </c>
      <c r="M641" s="1298">
        <v>6890</v>
      </c>
      <c r="N641" s="1301" t="s">
        <v>6431</v>
      </c>
      <c r="O641" s="1298" t="s">
        <v>6123</v>
      </c>
      <c r="P641" s="1298" t="s">
        <v>6124</v>
      </c>
      <c r="Q641" s="1298">
        <v>13930179988</v>
      </c>
      <c r="R641" s="1298" t="s">
        <v>6125</v>
      </c>
      <c r="S641" s="1298" t="s">
        <v>6150</v>
      </c>
      <c r="T641" s="1491"/>
    </row>
    <row r="642" spans="1:20">
      <c r="A642" s="1321"/>
      <c r="B642" s="1298" t="s">
        <v>6773</v>
      </c>
      <c r="C642" s="1298"/>
      <c r="D642" s="1298" t="s">
        <v>131</v>
      </c>
      <c r="E642" s="1298" t="s">
        <v>34</v>
      </c>
      <c r="F642" s="1298">
        <v>2</v>
      </c>
      <c r="G642" s="1298" t="s">
        <v>32</v>
      </c>
      <c r="H642" s="1298" t="s">
        <v>6146</v>
      </c>
      <c r="I642" s="1298" t="s">
        <v>179</v>
      </c>
      <c r="J642" s="1298" t="s">
        <v>34</v>
      </c>
      <c r="K642" s="1298" t="s">
        <v>34</v>
      </c>
      <c r="L642" s="1298" t="s">
        <v>34</v>
      </c>
      <c r="M642" s="1298">
        <v>960</v>
      </c>
      <c r="N642" s="1301" t="s">
        <v>6431</v>
      </c>
      <c r="O642" s="1298" t="s">
        <v>6123</v>
      </c>
      <c r="P642" s="1298" t="s">
        <v>6124</v>
      </c>
      <c r="Q642" s="1298">
        <v>13930179988</v>
      </c>
      <c r="R642" s="1298" t="s">
        <v>6125</v>
      </c>
      <c r="S642" s="1298" t="s">
        <v>6150</v>
      </c>
      <c r="T642" s="1491"/>
    </row>
    <row r="643" spans="1:20">
      <c r="A643" s="1321"/>
      <c r="B643" s="1298" t="s">
        <v>6679</v>
      </c>
      <c r="C643" s="1298" t="s">
        <v>6682</v>
      </c>
      <c r="D643" s="1298" t="s">
        <v>131</v>
      </c>
      <c r="E643" s="1298" t="s">
        <v>34</v>
      </c>
      <c r="F643" s="1298">
        <v>16</v>
      </c>
      <c r="G643" s="1298" t="s">
        <v>32</v>
      </c>
      <c r="H643" s="1298" t="s">
        <v>6146</v>
      </c>
      <c r="I643" s="1298" t="s">
        <v>179</v>
      </c>
      <c r="J643" s="1298" t="s">
        <v>34</v>
      </c>
      <c r="K643" s="1298" t="s">
        <v>34</v>
      </c>
      <c r="L643" s="1298" t="s">
        <v>34</v>
      </c>
      <c r="M643" s="1298">
        <v>10240</v>
      </c>
      <c r="N643" s="1301" t="s">
        <v>6431</v>
      </c>
      <c r="O643" s="1298" t="s">
        <v>6123</v>
      </c>
      <c r="P643" s="1298" t="s">
        <v>6124</v>
      </c>
      <c r="Q643" s="1298">
        <v>13930179988</v>
      </c>
      <c r="R643" s="1298" t="s">
        <v>6125</v>
      </c>
      <c r="S643" s="1298" t="s">
        <v>6150</v>
      </c>
      <c r="T643" s="1491"/>
    </row>
    <row r="644" spans="1:20" ht="14.25">
      <c r="A644" s="1321"/>
      <c r="B644" s="1298" t="s">
        <v>4601</v>
      </c>
      <c r="C644" s="1298" t="s">
        <v>6774</v>
      </c>
      <c r="D644" s="1298" t="s">
        <v>161</v>
      </c>
      <c r="E644" s="1298">
        <v>1600</v>
      </c>
      <c r="F644" s="1298"/>
      <c r="G644" s="1298" t="s">
        <v>32</v>
      </c>
      <c r="H644" s="1298" t="s">
        <v>33</v>
      </c>
      <c r="I644" s="1298" t="s">
        <v>179</v>
      </c>
      <c r="J644" s="1298" t="s">
        <v>34</v>
      </c>
      <c r="K644" s="1298" t="s">
        <v>34</v>
      </c>
      <c r="L644" s="1298">
        <v>76800</v>
      </c>
      <c r="M644" s="1381">
        <v>9216</v>
      </c>
      <c r="N644" s="1301">
        <v>2018.12</v>
      </c>
      <c r="O644" s="1298" t="s">
        <v>6135</v>
      </c>
      <c r="P644" s="1298" t="s">
        <v>6136</v>
      </c>
      <c r="Q644" s="1298" t="s">
        <v>6137</v>
      </c>
      <c r="R644" s="1298" t="s">
        <v>6775</v>
      </c>
      <c r="S644" s="1298" t="s">
        <v>6150</v>
      </c>
      <c r="T644" s="1491"/>
    </row>
    <row r="645" spans="1:20" ht="14.25">
      <c r="A645" s="1321"/>
      <c r="B645" s="1298" t="s">
        <v>4601</v>
      </c>
      <c r="C645" s="1298" t="s">
        <v>6776</v>
      </c>
      <c r="D645" s="1298" t="s">
        <v>161</v>
      </c>
      <c r="E645" s="1298">
        <v>600</v>
      </c>
      <c r="F645" s="1298"/>
      <c r="G645" s="1298" t="s">
        <v>32</v>
      </c>
      <c r="H645" s="1298" t="s">
        <v>33</v>
      </c>
      <c r="I645" s="1298" t="s">
        <v>179</v>
      </c>
      <c r="J645" s="1298" t="s">
        <v>34</v>
      </c>
      <c r="K645" s="1298" t="s">
        <v>34</v>
      </c>
      <c r="L645" s="1298">
        <v>22200</v>
      </c>
      <c r="M645" s="1381">
        <v>2664</v>
      </c>
      <c r="N645" s="1301">
        <v>2018.12</v>
      </c>
      <c r="O645" s="1298" t="s">
        <v>6135</v>
      </c>
      <c r="P645" s="1298" t="s">
        <v>6136</v>
      </c>
      <c r="Q645" s="1298" t="s">
        <v>6137</v>
      </c>
      <c r="R645" s="1298" t="s">
        <v>6775</v>
      </c>
      <c r="S645" s="1298" t="s">
        <v>6150</v>
      </c>
      <c r="T645" s="1491"/>
    </row>
    <row r="646" spans="1:20" s="1292" customFormat="1" ht="20.100000000000001" customHeight="1">
      <c r="A646" s="1290"/>
      <c r="B646" s="1298" t="s">
        <v>1412</v>
      </c>
      <c r="C646" s="1298" t="s">
        <v>6777</v>
      </c>
      <c r="D646" s="1298" t="s">
        <v>79</v>
      </c>
      <c r="E646" s="1298">
        <v>1</v>
      </c>
      <c r="F646" s="1298" t="s">
        <v>34</v>
      </c>
      <c r="G646" s="1298" t="s">
        <v>72</v>
      </c>
      <c r="H646" s="1298" t="s">
        <v>33</v>
      </c>
      <c r="I646" s="1298" t="s">
        <v>179</v>
      </c>
      <c r="J646" s="1298" t="s">
        <v>34</v>
      </c>
      <c r="K646" s="1298" t="s">
        <v>34</v>
      </c>
      <c r="L646" s="1298" t="s">
        <v>34</v>
      </c>
      <c r="M646" s="1298">
        <v>0</v>
      </c>
      <c r="N646" s="1301" t="s">
        <v>6778</v>
      </c>
      <c r="O646" s="1298" t="s">
        <v>6438</v>
      </c>
      <c r="P646" s="1298" t="s">
        <v>6175</v>
      </c>
      <c r="Q646" s="1298">
        <v>13930162225</v>
      </c>
      <c r="R646" s="1298" t="s">
        <v>6439</v>
      </c>
      <c r="S646" s="1298" t="s">
        <v>6150</v>
      </c>
      <c r="T646" s="1297"/>
    </row>
    <row r="647" spans="1:20" s="1292" customFormat="1" ht="20.100000000000001" customHeight="1">
      <c r="A647" s="1290"/>
      <c r="B647" s="1298" t="s">
        <v>1412</v>
      </c>
      <c r="C647" s="1298" t="s">
        <v>6779</v>
      </c>
      <c r="D647" s="1298" t="s">
        <v>79</v>
      </c>
      <c r="E647" s="1298">
        <v>1</v>
      </c>
      <c r="F647" s="1298" t="s">
        <v>34</v>
      </c>
      <c r="G647" s="1298" t="s">
        <v>72</v>
      </c>
      <c r="H647" s="1298" t="s">
        <v>33</v>
      </c>
      <c r="I647" s="1298" t="s">
        <v>179</v>
      </c>
      <c r="J647" s="1298" t="s">
        <v>34</v>
      </c>
      <c r="K647" s="1298" t="s">
        <v>34</v>
      </c>
      <c r="L647" s="1298" t="s">
        <v>34</v>
      </c>
      <c r="M647" s="1298">
        <v>0</v>
      </c>
      <c r="N647" s="1301" t="s">
        <v>6778</v>
      </c>
      <c r="O647" s="1298" t="s">
        <v>6438</v>
      </c>
      <c r="P647" s="1298" t="s">
        <v>6175</v>
      </c>
      <c r="Q647" s="1298">
        <v>13930162225</v>
      </c>
      <c r="R647" s="1298" t="s">
        <v>6439</v>
      </c>
      <c r="S647" s="1298" t="s">
        <v>6150</v>
      </c>
      <c r="T647" s="1297"/>
    </row>
    <row r="648" spans="1:20" s="1292" customFormat="1" ht="20.100000000000001" customHeight="1">
      <c r="A648" s="1290"/>
      <c r="B648" s="1298" t="s">
        <v>1546</v>
      </c>
      <c r="C648" s="1298" t="s">
        <v>6780</v>
      </c>
      <c r="D648" s="1298" t="s">
        <v>3701</v>
      </c>
      <c r="E648" s="1298">
        <v>1700</v>
      </c>
      <c r="F648" s="1298" t="s">
        <v>34</v>
      </c>
      <c r="G648" s="1298" t="s">
        <v>72</v>
      </c>
      <c r="H648" s="1298" t="s">
        <v>6390</v>
      </c>
      <c r="I648" s="1298" t="s">
        <v>179</v>
      </c>
      <c r="J648" s="1298" t="s">
        <v>34</v>
      </c>
      <c r="K648" s="1298" t="s">
        <v>34</v>
      </c>
      <c r="L648" s="1298" t="s">
        <v>34</v>
      </c>
      <c r="M648" s="1298">
        <v>16405</v>
      </c>
      <c r="N648" s="1301">
        <v>41974</v>
      </c>
      <c r="O648" s="1298" t="s">
        <v>6142</v>
      </c>
      <c r="P648" s="1298" t="s">
        <v>6143</v>
      </c>
      <c r="Q648" s="1298">
        <v>13930142908</v>
      </c>
      <c r="R648" s="1298" t="s">
        <v>6781</v>
      </c>
      <c r="S648" s="1298" t="s">
        <v>6150</v>
      </c>
      <c r="T648" s="1297"/>
    </row>
    <row r="649" spans="1:20" s="1292" customFormat="1" ht="20.100000000000001" customHeight="1">
      <c r="A649" s="1290"/>
      <c r="B649" s="1298" t="s">
        <v>1605</v>
      </c>
      <c r="C649" s="1298" t="s">
        <v>6782</v>
      </c>
      <c r="D649" s="1298" t="s">
        <v>603</v>
      </c>
      <c r="E649" s="1298">
        <v>80</v>
      </c>
      <c r="F649" s="1298" t="s">
        <v>34</v>
      </c>
      <c r="G649" s="1298" t="s">
        <v>72</v>
      </c>
      <c r="H649" s="1298" t="s">
        <v>6390</v>
      </c>
      <c r="I649" s="1298" t="s">
        <v>179</v>
      </c>
      <c r="J649" s="1298" t="s">
        <v>34</v>
      </c>
      <c r="K649" s="1298" t="s">
        <v>34</v>
      </c>
      <c r="L649" s="1298" t="s">
        <v>34</v>
      </c>
      <c r="M649" s="1298">
        <v>11520</v>
      </c>
      <c r="N649" s="1301">
        <v>41974</v>
      </c>
      <c r="O649" s="1298" t="s">
        <v>6142</v>
      </c>
      <c r="P649" s="1298" t="s">
        <v>6143</v>
      </c>
      <c r="Q649" s="1298">
        <v>13930142908</v>
      </c>
      <c r="R649" s="1298" t="s">
        <v>6781</v>
      </c>
      <c r="S649" s="1298" t="s">
        <v>6150</v>
      </c>
      <c r="T649" s="1297"/>
    </row>
    <row r="650" spans="1:20" s="1292" customFormat="1" ht="20.100000000000001" customHeight="1">
      <c r="A650" s="1290"/>
      <c r="B650" s="1298" t="s">
        <v>6783</v>
      </c>
      <c r="C650" s="1298" t="s">
        <v>6782</v>
      </c>
      <c r="D650" s="1298" t="s">
        <v>603</v>
      </c>
      <c r="E650" s="1298">
        <v>80</v>
      </c>
      <c r="F650" s="1298" t="s">
        <v>34</v>
      </c>
      <c r="G650" s="1298" t="s">
        <v>72</v>
      </c>
      <c r="H650" s="1298" t="s">
        <v>6390</v>
      </c>
      <c r="I650" s="1298" t="s">
        <v>179</v>
      </c>
      <c r="J650" s="1298" t="s">
        <v>34</v>
      </c>
      <c r="K650" s="1298" t="s">
        <v>34</v>
      </c>
      <c r="L650" s="1298" t="s">
        <v>34</v>
      </c>
      <c r="M650" s="1298">
        <v>19840</v>
      </c>
      <c r="N650" s="1301">
        <v>41974</v>
      </c>
      <c r="O650" s="1298" t="s">
        <v>6142</v>
      </c>
      <c r="P650" s="1298" t="s">
        <v>6143</v>
      </c>
      <c r="Q650" s="1298">
        <v>13930142908</v>
      </c>
      <c r="R650" s="1298" t="s">
        <v>6781</v>
      </c>
      <c r="S650" s="1298" t="s">
        <v>6150</v>
      </c>
      <c r="T650" s="1297"/>
    </row>
    <row r="651" spans="1:20" s="1292" customFormat="1" ht="20.100000000000001" customHeight="1">
      <c r="A651" s="1290"/>
      <c r="B651" s="1298" t="s">
        <v>1546</v>
      </c>
      <c r="C651" s="1298" t="s">
        <v>6780</v>
      </c>
      <c r="D651" s="1298" t="s">
        <v>3701</v>
      </c>
      <c r="E651" s="1298">
        <v>1700</v>
      </c>
      <c r="F651" s="1298" t="s">
        <v>34</v>
      </c>
      <c r="G651" s="1298" t="s">
        <v>72</v>
      </c>
      <c r="H651" s="1298" t="s">
        <v>6390</v>
      </c>
      <c r="I651" s="1298" t="s">
        <v>179</v>
      </c>
      <c r="J651" s="1298" t="s">
        <v>34</v>
      </c>
      <c r="K651" s="1298" t="s">
        <v>34</v>
      </c>
      <c r="L651" s="1298" t="s">
        <v>34</v>
      </c>
      <c r="M651" s="1298">
        <v>24650</v>
      </c>
      <c r="N651" s="1301">
        <v>41974</v>
      </c>
      <c r="O651" s="1298" t="s">
        <v>6142</v>
      </c>
      <c r="P651" s="1298" t="s">
        <v>6143</v>
      </c>
      <c r="Q651" s="1298">
        <v>13930142908</v>
      </c>
      <c r="R651" s="1298" t="s">
        <v>6781</v>
      </c>
      <c r="S651" s="1298" t="s">
        <v>6150</v>
      </c>
      <c r="T651" s="1297"/>
    </row>
    <row r="652" spans="1:20" s="1292" customFormat="1" ht="20.100000000000001" customHeight="1">
      <c r="A652" s="1290"/>
      <c r="B652" s="1298" t="s">
        <v>1546</v>
      </c>
      <c r="C652" s="1298" t="s">
        <v>6780</v>
      </c>
      <c r="D652" s="1298" t="s">
        <v>3701</v>
      </c>
      <c r="E652" s="1298">
        <v>1700</v>
      </c>
      <c r="F652" s="1298" t="s">
        <v>34</v>
      </c>
      <c r="G652" s="1298" t="s">
        <v>72</v>
      </c>
      <c r="H652" s="1298" t="s">
        <v>6390</v>
      </c>
      <c r="I652" s="1298" t="s">
        <v>179</v>
      </c>
      <c r="J652" s="1298" t="s">
        <v>34</v>
      </c>
      <c r="K652" s="1298" t="s">
        <v>34</v>
      </c>
      <c r="L652" s="1298" t="s">
        <v>34</v>
      </c>
      <c r="M652" s="1298">
        <v>17000</v>
      </c>
      <c r="N652" s="1301">
        <v>41974</v>
      </c>
      <c r="O652" s="1298" t="s">
        <v>6142</v>
      </c>
      <c r="P652" s="1298" t="s">
        <v>6143</v>
      </c>
      <c r="Q652" s="1298">
        <v>13930142908</v>
      </c>
      <c r="R652" s="1298" t="s">
        <v>6781</v>
      </c>
      <c r="S652" s="1298" t="s">
        <v>6150</v>
      </c>
      <c r="T652" s="1297"/>
    </row>
    <row r="653" spans="1:20" s="1292" customFormat="1" ht="20.100000000000001" customHeight="1">
      <c r="A653" s="1290"/>
      <c r="B653" s="1298" t="s">
        <v>1605</v>
      </c>
      <c r="C653" s="1298" t="s">
        <v>6782</v>
      </c>
      <c r="D653" s="1298" t="s">
        <v>603</v>
      </c>
      <c r="E653" s="1298">
        <v>80</v>
      </c>
      <c r="F653" s="1298" t="s">
        <v>34</v>
      </c>
      <c r="G653" s="1298" t="s">
        <v>72</v>
      </c>
      <c r="H653" s="1298" t="s">
        <v>6390</v>
      </c>
      <c r="I653" s="1298" t="s">
        <v>179</v>
      </c>
      <c r="J653" s="1298" t="s">
        <v>34</v>
      </c>
      <c r="K653" s="1298" t="s">
        <v>34</v>
      </c>
      <c r="L653" s="1298" t="s">
        <v>34</v>
      </c>
      <c r="M653" s="1298">
        <v>15520</v>
      </c>
      <c r="N653" s="1301">
        <v>41974</v>
      </c>
      <c r="O653" s="1298" t="s">
        <v>6142</v>
      </c>
      <c r="P653" s="1298" t="s">
        <v>6143</v>
      </c>
      <c r="Q653" s="1298">
        <v>13930142908</v>
      </c>
      <c r="R653" s="1298" t="s">
        <v>6781</v>
      </c>
      <c r="S653" s="1298" t="s">
        <v>6150</v>
      </c>
      <c r="T653" s="1297"/>
    </row>
    <row r="654" spans="1:20" s="1292" customFormat="1" ht="20.100000000000001" customHeight="1">
      <c r="A654" s="1290"/>
      <c r="B654" s="1298" t="s">
        <v>1546</v>
      </c>
      <c r="C654" s="1298" t="s">
        <v>6780</v>
      </c>
      <c r="D654" s="1298" t="s">
        <v>3701</v>
      </c>
      <c r="E654" s="1298">
        <v>1700</v>
      </c>
      <c r="F654" s="1298" t="s">
        <v>34</v>
      </c>
      <c r="G654" s="1298" t="s">
        <v>72</v>
      </c>
      <c r="H654" s="1298" t="s">
        <v>6390</v>
      </c>
      <c r="I654" s="1298" t="s">
        <v>179</v>
      </c>
      <c r="J654" s="1298" t="s">
        <v>34</v>
      </c>
      <c r="K654" s="1298" t="s">
        <v>34</v>
      </c>
      <c r="L654" s="1298" t="s">
        <v>34</v>
      </c>
      <c r="M654" s="1298">
        <v>20910</v>
      </c>
      <c r="N654" s="1301">
        <v>41974</v>
      </c>
      <c r="O654" s="1298" t="s">
        <v>6142</v>
      </c>
      <c r="P654" s="1298" t="s">
        <v>6143</v>
      </c>
      <c r="Q654" s="1298">
        <v>13930142908</v>
      </c>
      <c r="R654" s="1298" t="s">
        <v>6781</v>
      </c>
      <c r="S654" s="1298" t="s">
        <v>6150</v>
      </c>
      <c r="T654" s="1297"/>
    </row>
    <row r="655" spans="1:20" s="1292" customFormat="1" ht="20.100000000000001" customHeight="1">
      <c r="A655" s="1290"/>
      <c r="B655" s="1298" t="s">
        <v>1605</v>
      </c>
      <c r="C655" s="1298" t="s">
        <v>6782</v>
      </c>
      <c r="D655" s="1298" t="s">
        <v>603</v>
      </c>
      <c r="E655" s="1298">
        <v>80</v>
      </c>
      <c r="F655" s="1298" t="s">
        <v>34</v>
      </c>
      <c r="G655" s="1298" t="s">
        <v>72</v>
      </c>
      <c r="H655" s="1298" t="s">
        <v>6390</v>
      </c>
      <c r="I655" s="1298" t="s">
        <v>179</v>
      </c>
      <c r="J655" s="1298" t="s">
        <v>34</v>
      </c>
      <c r="K655" s="1298" t="s">
        <v>34</v>
      </c>
      <c r="L655" s="1298" t="s">
        <v>34</v>
      </c>
      <c r="M655" s="1298">
        <v>13200</v>
      </c>
      <c r="N655" s="1301">
        <v>41974</v>
      </c>
      <c r="O655" s="1298" t="s">
        <v>6142</v>
      </c>
      <c r="P655" s="1298" t="s">
        <v>6143</v>
      </c>
      <c r="Q655" s="1298">
        <v>13930142908</v>
      </c>
      <c r="R655" s="1298" t="s">
        <v>6781</v>
      </c>
      <c r="S655" s="1298" t="s">
        <v>6150</v>
      </c>
      <c r="T655" s="1297"/>
    </row>
    <row r="656" spans="1:20" s="1292" customFormat="1" ht="20.100000000000001" customHeight="1">
      <c r="A656" s="1290"/>
      <c r="B656" s="1298" t="s">
        <v>1546</v>
      </c>
      <c r="C656" s="1298" t="s">
        <v>6780</v>
      </c>
      <c r="D656" s="1298" t="s">
        <v>3701</v>
      </c>
      <c r="E656" s="1298">
        <v>1700</v>
      </c>
      <c r="F656" s="1298" t="s">
        <v>34</v>
      </c>
      <c r="G656" s="1298" t="s">
        <v>72</v>
      </c>
      <c r="H656" s="1298" t="s">
        <v>6390</v>
      </c>
      <c r="I656" s="1298" t="s">
        <v>179</v>
      </c>
      <c r="J656" s="1298" t="s">
        <v>34</v>
      </c>
      <c r="K656" s="1298" t="s">
        <v>34</v>
      </c>
      <c r="L656" s="1298" t="s">
        <v>34</v>
      </c>
      <c r="M656" s="1298">
        <v>11220</v>
      </c>
      <c r="N656" s="1301">
        <v>41974</v>
      </c>
      <c r="O656" s="1298" t="s">
        <v>6142</v>
      </c>
      <c r="P656" s="1298" t="s">
        <v>6143</v>
      </c>
      <c r="Q656" s="1298">
        <v>13930142908</v>
      </c>
      <c r="R656" s="1298" t="s">
        <v>6781</v>
      </c>
      <c r="S656" s="1298" t="s">
        <v>6150</v>
      </c>
      <c r="T656" s="1297"/>
    </row>
    <row r="657" spans="1:20" s="1292" customFormat="1" ht="20.100000000000001" customHeight="1">
      <c r="A657" s="1290"/>
      <c r="B657" s="1298" t="s">
        <v>1605</v>
      </c>
      <c r="C657" s="1298" t="s">
        <v>6782</v>
      </c>
      <c r="D657" s="1298" t="s">
        <v>603</v>
      </c>
      <c r="E657" s="1298">
        <v>80</v>
      </c>
      <c r="F657" s="1298" t="s">
        <v>34</v>
      </c>
      <c r="G657" s="1298" t="s">
        <v>72</v>
      </c>
      <c r="H657" s="1298" t="s">
        <v>6390</v>
      </c>
      <c r="I657" s="1298" t="s">
        <v>179</v>
      </c>
      <c r="J657" s="1298" t="s">
        <v>34</v>
      </c>
      <c r="K657" s="1298" t="s">
        <v>34</v>
      </c>
      <c r="L657" s="1298" t="s">
        <v>34</v>
      </c>
      <c r="M657" s="1298">
        <v>9600</v>
      </c>
      <c r="N657" s="1301">
        <v>41974</v>
      </c>
      <c r="O657" s="1298" t="s">
        <v>6142</v>
      </c>
      <c r="P657" s="1298" t="s">
        <v>6143</v>
      </c>
      <c r="Q657" s="1298">
        <v>13930142908</v>
      </c>
      <c r="R657" s="1298" t="s">
        <v>6781</v>
      </c>
      <c r="S657" s="1298" t="s">
        <v>6150</v>
      </c>
      <c r="T657" s="1297"/>
    </row>
    <row r="658" spans="1:20" s="1292" customFormat="1" ht="20.100000000000001" customHeight="1">
      <c r="A658" s="1290"/>
      <c r="B658" s="1298" t="s">
        <v>1546</v>
      </c>
      <c r="C658" s="1298" t="s">
        <v>6780</v>
      </c>
      <c r="D658" s="1298" t="s">
        <v>3701</v>
      </c>
      <c r="E658" s="1298">
        <v>1700</v>
      </c>
      <c r="F658" s="1298" t="s">
        <v>34</v>
      </c>
      <c r="G658" s="1298" t="s">
        <v>72</v>
      </c>
      <c r="H658" s="1298" t="s">
        <v>6390</v>
      </c>
      <c r="I658" s="1298" t="s">
        <v>179</v>
      </c>
      <c r="J658" s="1298" t="s">
        <v>34</v>
      </c>
      <c r="K658" s="1298" t="s">
        <v>34</v>
      </c>
      <c r="L658" s="1298" t="s">
        <v>34</v>
      </c>
      <c r="M658" s="1298">
        <v>21250</v>
      </c>
      <c r="N658" s="1301">
        <v>41974</v>
      </c>
      <c r="O658" s="1298" t="s">
        <v>6142</v>
      </c>
      <c r="P658" s="1298" t="s">
        <v>6143</v>
      </c>
      <c r="Q658" s="1298">
        <v>13930142908</v>
      </c>
      <c r="R658" s="1298" t="s">
        <v>6781</v>
      </c>
      <c r="S658" s="1298" t="s">
        <v>6150</v>
      </c>
      <c r="T658" s="1297"/>
    </row>
    <row r="659" spans="1:20" s="1292" customFormat="1" ht="20.100000000000001" customHeight="1">
      <c r="A659" s="1290"/>
      <c r="B659" s="1298" t="s">
        <v>6784</v>
      </c>
      <c r="C659" s="1298"/>
      <c r="D659" s="1298" t="s">
        <v>3701</v>
      </c>
      <c r="E659" s="1298">
        <v>1700</v>
      </c>
      <c r="F659" s="1298" t="s">
        <v>34</v>
      </c>
      <c r="G659" s="1298" t="s">
        <v>72</v>
      </c>
      <c r="H659" s="1298" t="s">
        <v>6390</v>
      </c>
      <c r="I659" s="1298" t="s">
        <v>179</v>
      </c>
      <c r="J659" s="1298" t="s">
        <v>34</v>
      </c>
      <c r="K659" s="1298" t="s">
        <v>34</v>
      </c>
      <c r="L659" s="1298" t="s">
        <v>34</v>
      </c>
      <c r="M659" s="1298">
        <v>9861.5980000000309</v>
      </c>
      <c r="N659" s="1301">
        <v>41974</v>
      </c>
      <c r="O659" s="1298" t="s">
        <v>6142</v>
      </c>
      <c r="P659" s="1298" t="s">
        <v>6143</v>
      </c>
      <c r="Q659" s="1298">
        <v>13930142908</v>
      </c>
      <c r="R659" s="1298" t="s">
        <v>6781</v>
      </c>
      <c r="S659" s="1298" t="s">
        <v>6150</v>
      </c>
      <c r="T659" s="1297"/>
    </row>
    <row r="660" spans="1:20" s="1292" customFormat="1" ht="20.100000000000001" customHeight="1">
      <c r="A660" s="1290"/>
      <c r="B660" s="1298" t="s">
        <v>1546</v>
      </c>
      <c r="C660" s="1298" t="s">
        <v>6780</v>
      </c>
      <c r="D660" s="1298" t="s">
        <v>3701</v>
      </c>
      <c r="E660" s="1298">
        <v>1700</v>
      </c>
      <c r="F660" s="1298" t="s">
        <v>34</v>
      </c>
      <c r="G660" s="1298" t="s">
        <v>72</v>
      </c>
      <c r="H660" s="1298" t="s">
        <v>6390</v>
      </c>
      <c r="I660" s="1298" t="s">
        <v>179</v>
      </c>
      <c r="J660" s="1298" t="s">
        <v>34</v>
      </c>
      <c r="K660" s="1298" t="s">
        <v>34</v>
      </c>
      <c r="L660" s="1298" t="s">
        <v>34</v>
      </c>
      <c r="M660" s="1298">
        <v>15002.5</v>
      </c>
      <c r="N660" s="1301">
        <v>41974</v>
      </c>
      <c r="O660" s="1298" t="s">
        <v>6142</v>
      </c>
      <c r="P660" s="1298" t="s">
        <v>6143</v>
      </c>
      <c r="Q660" s="1298">
        <v>13930142908</v>
      </c>
      <c r="R660" s="1298" t="s">
        <v>6781</v>
      </c>
      <c r="S660" s="1298" t="s">
        <v>6150</v>
      </c>
      <c r="T660" s="1297"/>
    </row>
    <row r="661" spans="1:20" s="1292" customFormat="1" ht="20.100000000000001" customHeight="1">
      <c r="A661" s="1290"/>
      <c r="B661" s="1298" t="s">
        <v>1605</v>
      </c>
      <c r="C661" s="1298" t="s">
        <v>6782</v>
      </c>
      <c r="D661" s="1298" t="s">
        <v>603</v>
      </c>
      <c r="E661" s="1298">
        <v>80</v>
      </c>
      <c r="F661" s="1298" t="s">
        <v>34</v>
      </c>
      <c r="G661" s="1298" t="s">
        <v>72</v>
      </c>
      <c r="H661" s="1298" t="s">
        <v>6390</v>
      </c>
      <c r="I661" s="1298" t="s">
        <v>179</v>
      </c>
      <c r="J661" s="1298" t="s">
        <v>34</v>
      </c>
      <c r="K661" s="1298" t="s">
        <v>34</v>
      </c>
      <c r="L661" s="1298" t="s">
        <v>34</v>
      </c>
      <c r="M661" s="1298">
        <v>18256</v>
      </c>
      <c r="N661" s="1301">
        <v>41974</v>
      </c>
      <c r="O661" s="1298" t="s">
        <v>6142</v>
      </c>
      <c r="P661" s="1298" t="s">
        <v>6143</v>
      </c>
      <c r="Q661" s="1298">
        <v>13930142908</v>
      </c>
      <c r="R661" s="1298" t="s">
        <v>6781</v>
      </c>
      <c r="S661" s="1298" t="s">
        <v>6150</v>
      </c>
      <c r="T661" s="1297"/>
    </row>
    <row r="662" spans="1:20" s="1292" customFormat="1" ht="20.100000000000001" customHeight="1">
      <c r="A662" s="1290"/>
      <c r="B662" s="1298" t="s">
        <v>6783</v>
      </c>
      <c r="C662" s="1298" t="s">
        <v>6782</v>
      </c>
      <c r="D662" s="1298" t="s">
        <v>603</v>
      </c>
      <c r="E662" s="1298">
        <v>2849</v>
      </c>
      <c r="F662" s="1298" t="s">
        <v>34</v>
      </c>
      <c r="G662" s="1298" t="s">
        <v>72</v>
      </c>
      <c r="H662" s="1298" t="s">
        <v>6390</v>
      </c>
      <c r="I662" s="1298" t="s">
        <v>179</v>
      </c>
      <c r="J662" s="1298" t="s">
        <v>34</v>
      </c>
      <c r="K662" s="1298" t="s">
        <v>34</v>
      </c>
      <c r="L662" s="1298" t="s">
        <v>34</v>
      </c>
      <c r="M662" s="1298">
        <v>11396.02</v>
      </c>
      <c r="N662" s="1301">
        <v>41852</v>
      </c>
      <c r="O662" s="1298" t="s">
        <v>6142</v>
      </c>
      <c r="P662" s="1298" t="s">
        <v>6143</v>
      </c>
      <c r="Q662" s="1298">
        <v>13930142908</v>
      </c>
      <c r="R662" s="1298" t="s">
        <v>6781</v>
      </c>
      <c r="S662" s="1298" t="s">
        <v>6150</v>
      </c>
      <c r="T662" s="1297"/>
    </row>
    <row r="663" spans="1:20" s="1292" customFormat="1" ht="20.100000000000001" customHeight="1">
      <c r="A663" s="1290"/>
      <c r="B663" s="1298" t="s">
        <v>6785</v>
      </c>
      <c r="C663" s="1298" t="s">
        <v>6780</v>
      </c>
      <c r="D663" s="1298" t="s">
        <v>3701</v>
      </c>
      <c r="E663" s="1298">
        <v>124.3</v>
      </c>
      <c r="F663" s="1298" t="s">
        <v>34</v>
      </c>
      <c r="G663" s="1298" t="s">
        <v>72</v>
      </c>
      <c r="H663" s="1298" t="s">
        <v>6390</v>
      </c>
      <c r="I663" s="1298" t="s">
        <v>179</v>
      </c>
      <c r="J663" s="1298" t="s">
        <v>34</v>
      </c>
      <c r="K663" s="1298" t="s">
        <v>34</v>
      </c>
      <c r="L663" s="1298" t="s">
        <v>34</v>
      </c>
      <c r="M663" s="1298">
        <v>10565.48</v>
      </c>
      <c r="N663" s="1301">
        <v>41853</v>
      </c>
      <c r="O663" s="1298" t="s">
        <v>6142</v>
      </c>
      <c r="P663" s="1298" t="s">
        <v>6143</v>
      </c>
      <c r="Q663" s="1298">
        <v>13930142908</v>
      </c>
      <c r="R663" s="1298" t="s">
        <v>6781</v>
      </c>
      <c r="S663" s="1298" t="s">
        <v>6150</v>
      </c>
      <c r="T663" s="1297"/>
    </row>
    <row r="664" spans="1:20" s="1292" customFormat="1" ht="20.100000000000001" customHeight="1">
      <c r="A664" s="1290"/>
      <c r="B664" s="1298" t="s">
        <v>6783</v>
      </c>
      <c r="C664" s="1298" t="s">
        <v>6782</v>
      </c>
      <c r="D664" s="1298" t="s">
        <v>603</v>
      </c>
      <c r="E664" s="1298">
        <v>2185</v>
      </c>
      <c r="F664" s="1298" t="s">
        <v>34</v>
      </c>
      <c r="G664" s="1298" t="s">
        <v>72</v>
      </c>
      <c r="H664" s="1298" t="s">
        <v>6390</v>
      </c>
      <c r="I664" s="1298" t="s">
        <v>179</v>
      </c>
      <c r="J664" s="1298" t="s">
        <v>34</v>
      </c>
      <c r="K664" s="1298" t="s">
        <v>34</v>
      </c>
      <c r="L664" s="1298" t="s">
        <v>34</v>
      </c>
      <c r="M664" s="1298">
        <v>8739.9800000000105</v>
      </c>
      <c r="N664" s="1301">
        <v>41854</v>
      </c>
      <c r="O664" s="1298" t="s">
        <v>6142</v>
      </c>
      <c r="P664" s="1298" t="s">
        <v>6143</v>
      </c>
      <c r="Q664" s="1298">
        <v>13930142908</v>
      </c>
      <c r="R664" s="1298" t="s">
        <v>6781</v>
      </c>
      <c r="S664" s="1298" t="s">
        <v>6150</v>
      </c>
      <c r="T664" s="1297"/>
    </row>
    <row r="665" spans="1:20" s="1292" customFormat="1" ht="20.100000000000001" customHeight="1">
      <c r="A665" s="1290"/>
      <c r="B665" s="1298" t="s">
        <v>6785</v>
      </c>
      <c r="C665" s="1298" t="s">
        <v>6780</v>
      </c>
      <c r="D665" s="1298" t="s">
        <v>3701</v>
      </c>
      <c r="E665" s="1298">
        <v>131.68</v>
      </c>
      <c r="F665" s="1298" t="s">
        <v>34</v>
      </c>
      <c r="G665" s="1298" t="s">
        <v>72</v>
      </c>
      <c r="H665" s="1298" t="s">
        <v>6390</v>
      </c>
      <c r="I665" s="1298" t="s">
        <v>179</v>
      </c>
      <c r="J665" s="1298" t="s">
        <v>34</v>
      </c>
      <c r="K665" s="1298" t="s">
        <v>34</v>
      </c>
      <c r="L665" s="1298" t="s">
        <v>34</v>
      </c>
      <c r="M665" s="1298">
        <v>11192.78</v>
      </c>
      <c r="N665" s="1301">
        <v>41855</v>
      </c>
      <c r="O665" s="1298" t="s">
        <v>6142</v>
      </c>
      <c r="P665" s="1298" t="s">
        <v>6143</v>
      </c>
      <c r="Q665" s="1298">
        <v>13930142908</v>
      </c>
      <c r="R665" s="1298" t="s">
        <v>6781</v>
      </c>
      <c r="S665" s="1298" t="s">
        <v>6150</v>
      </c>
      <c r="T665" s="1297"/>
    </row>
    <row r="666" spans="1:20" s="1292" customFormat="1" ht="20.100000000000001" customHeight="1">
      <c r="A666" s="1290"/>
      <c r="B666" s="1298" t="s">
        <v>6783</v>
      </c>
      <c r="C666" s="1298" t="s">
        <v>6782</v>
      </c>
      <c r="D666" s="1298" t="s">
        <v>603</v>
      </c>
      <c r="E666" s="1298">
        <v>6033</v>
      </c>
      <c r="F666" s="1298" t="s">
        <v>34</v>
      </c>
      <c r="G666" s="1298" t="s">
        <v>72</v>
      </c>
      <c r="H666" s="1298" t="s">
        <v>6390</v>
      </c>
      <c r="I666" s="1298" t="s">
        <v>179</v>
      </c>
      <c r="J666" s="1298" t="s">
        <v>34</v>
      </c>
      <c r="K666" s="1298" t="s">
        <v>34</v>
      </c>
      <c r="L666" s="1298" t="s">
        <v>34</v>
      </c>
      <c r="M666" s="1298">
        <v>24132</v>
      </c>
      <c r="N666" s="1301">
        <v>41856</v>
      </c>
      <c r="O666" s="1298" t="s">
        <v>6142</v>
      </c>
      <c r="P666" s="1298" t="s">
        <v>6143</v>
      </c>
      <c r="Q666" s="1298">
        <v>13930142908</v>
      </c>
      <c r="R666" s="1298" t="s">
        <v>6781</v>
      </c>
      <c r="S666" s="1298" t="s">
        <v>6150</v>
      </c>
      <c r="T666" s="1297"/>
    </row>
    <row r="667" spans="1:20" s="1292" customFormat="1" ht="20.100000000000001" customHeight="1">
      <c r="A667" s="1290"/>
      <c r="B667" s="1298" t="s">
        <v>6785</v>
      </c>
      <c r="C667" s="1298" t="s">
        <v>6780</v>
      </c>
      <c r="D667" s="1298" t="s">
        <v>3701</v>
      </c>
      <c r="E667" s="1298">
        <v>241.33</v>
      </c>
      <c r="F667" s="1298" t="s">
        <v>34</v>
      </c>
      <c r="G667" s="1298" t="s">
        <v>72</v>
      </c>
      <c r="H667" s="1298" t="s">
        <v>6390</v>
      </c>
      <c r="I667" s="1298" t="s">
        <v>179</v>
      </c>
      <c r="J667" s="1298" t="s">
        <v>34</v>
      </c>
      <c r="K667" s="1298" t="s">
        <v>34</v>
      </c>
      <c r="L667" s="1298" t="s">
        <v>34</v>
      </c>
      <c r="M667" s="1298">
        <v>20513.060000000001</v>
      </c>
      <c r="N667" s="1301">
        <v>41857</v>
      </c>
      <c r="O667" s="1298" t="s">
        <v>6142</v>
      </c>
      <c r="P667" s="1298" t="s">
        <v>6143</v>
      </c>
      <c r="Q667" s="1298">
        <v>13930142908</v>
      </c>
      <c r="R667" s="1298" t="s">
        <v>6781</v>
      </c>
      <c r="S667" s="1298" t="s">
        <v>6150</v>
      </c>
      <c r="T667" s="1297"/>
    </row>
    <row r="668" spans="1:20" s="1292" customFormat="1" ht="20.100000000000001" customHeight="1">
      <c r="A668" s="1290"/>
      <c r="B668" s="1298" t="s">
        <v>6783</v>
      </c>
      <c r="C668" s="1298" t="s">
        <v>6782</v>
      </c>
      <c r="D668" s="1298" t="s">
        <v>603</v>
      </c>
      <c r="E668" s="1298">
        <v>8606</v>
      </c>
      <c r="F668" s="1298" t="s">
        <v>34</v>
      </c>
      <c r="G668" s="1298" t="s">
        <v>72</v>
      </c>
      <c r="H668" s="1298" t="s">
        <v>6390</v>
      </c>
      <c r="I668" s="1298" t="s">
        <v>179</v>
      </c>
      <c r="J668" s="1298" t="s">
        <v>34</v>
      </c>
      <c r="K668" s="1298" t="s">
        <v>34</v>
      </c>
      <c r="L668" s="1298" t="s">
        <v>34</v>
      </c>
      <c r="M668" s="1298">
        <v>34424.019999999997</v>
      </c>
      <c r="N668" s="1301">
        <v>41858</v>
      </c>
      <c r="O668" s="1298" t="s">
        <v>6142</v>
      </c>
      <c r="P668" s="1298" t="s">
        <v>6143</v>
      </c>
      <c r="Q668" s="1298">
        <v>13930142908</v>
      </c>
      <c r="R668" s="1298" t="s">
        <v>6781</v>
      </c>
      <c r="S668" s="1298" t="s">
        <v>6150</v>
      </c>
      <c r="T668" s="1297"/>
    </row>
    <row r="669" spans="1:20" s="1292" customFormat="1" ht="20.100000000000001" customHeight="1">
      <c r="A669" s="1290"/>
      <c r="B669" s="1298" t="s">
        <v>6785</v>
      </c>
      <c r="C669" s="1298" t="s">
        <v>6780</v>
      </c>
      <c r="D669" s="1298" t="s">
        <v>3701</v>
      </c>
      <c r="E669" s="1298">
        <v>437.83</v>
      </c>
      <c r="F669" s="1298" t="s">
        <v>34</v>
      </c>
      <c r="G669" s="1298" t="s">
        <v>72</v>
      </c>
      <c r="H669" s="1298" t="s">
        <v>6390</v>
      </c>
      <c r="I669" s="1298" t="s">
        <v>179</v>
      </c>
      <c r="J669" s="1298" t="s">
        <v>34</v>
      </c>
      <c r="K669" s="1298" t="s">
        <v>34</v>
      </c>
      <c r="L669" s="1298" t="s">
        <v>34</v>
      </c>
      <c r="M669" s="1298">
        <v>37215.559999999903</v>
      </c>
      <c r="N669" s="1301">
        <v>41859</v>
      </c>
      <c r="O669" s="1298" t="s">
        <v>6142</v>
      </c>
      <c r="P669" s="1298" t="s">
        <v>6143</v>
      </c>
      <c r="Q669" s="1298">
        <v>13930142908</v>
      </c>
      <c r="R669" s="1298" t="s">
        <v>6781</v>
      </c>
      <c r="S669" s="1298" t="s">
        <v>6150</v>
      </c>
      <c r="T669" s="1297"/>
    </row>
    <row r="670" spans="1:20" s="1339" customFormat="1" ht="20.100000000000001" customHeight="1">
      <c r="A670" s="1336"/>
      <c r="B670" s="1337" t="s">
        <v>1550</v>
      </c>
      <c r="C670" s="1337" t="s">
        <v>6786</v>
      </c>
      <c r="D670" s="1337" t="s">
        <v>3061</v>
      </c>
      <c r="E670" s="1337">
        <v>28800</v>
      </c>
      <c r="F670" s="1337" t="s">
        <v>34</v>
      </c>
      <c r="G670" s="1337" t="s">
        <v>32</v>
      </c>
      <c r="H670" s="1337" t="s">
        <v>33</v>
      </c>
      <c r="I670" s="1337" t="s">
        <v>6787</v>
      </c>
      <c r="J670" s="1337" t="s">
        <v>6093</v>
      </c>
      <c r="K670" s="1337" t="s">
        <v>34</v>
      </c>
      <c r="L670" s="1337">
        <v>1106784</v>
      </c>
      <c r="M670" s="1337">
        <v>0</v>
      </c>
      <c r="N670" s="1511">
        <v>2018.4</v>
      </c>
      <c r="O670" s="1337" t="s">
        <v>65</v>
      </c>
      <c r="P670" s="1337" t="s">
        <v>6096</v>
      </c>
      <c r="Q670" s="1337">
        <v>13673216619</v>
      </c>
      <c r="R670" s="1337" t="s">
        <v>6097</v>
      </c>
      <c r="S670" s="1337" t="s">
        <v>6150</v>
      </c>
      <c r="T670" s="1338"/>
    </row>
    <row r="671" spans="1:20" s="1339" customFormat="1" ht="20.100000000000001" customHeight="1">
      <c r="A671" s="1336"/>
      <c r="B671" s="1337" t="s">
        <v>1546</v>
      </c>
      <c r="C671" s="1337" t="s">
        <v>6788</v>
      </c>
      <c r="D671" s="1337" t="s">
        <v>6789</v>
      </c>
      <c r="E671" s="1337">
        <v>629</v>
      </c>
      <c r="F671" s="1337" t="s">
        <v>34</v>
      </c>
      <c r="G671" s="1337" t="s">
        <v>32</v>
      </c>
      <c r="H671" s="1337" t="s">
        <v>33</v>
      </c>
      <c r="I671" s="1337" t="s">
        <v>6787</v>
      </c>
      <c r="J671" s="1337" t="s">
        <v>6093</v>
      </c>
      <c r="K671" s="1337" t="s">
        <v>34</v>
      </c>
      <c r="L671" s="1337">
        <v>1126539</v>
      </c>
      <c r="M671" s="1337">
        <v>0</v>
      </c>
      <c r="N671" s="1511">
        <v>2018.4</v>
      </c>
      <c r="O671" s="1337" t="s">
        <v>65</v>
      </c>
      <c r="P671" s="1337" t="s">
        <v>6096</v>
      </c>
      <c r="Q671" s="1337">
        <v>13673216619</v>
      </c>
      <c r="R671" s="1337" t="s">
        <v>6097</v>
      </c>
      <c r="S671" s="1337" t="s">
        <v>6150</v>
      </c>
      <c r="T671" s="1338"/>
    </row>
    <row r="672" spans="1:20" s="1292" customFormat="1" ht="20.100000000000001" customHeight="1">
      <c r="A672" s="1290"/>
      <c r="B672" s="1298" t="s">
        <v>6676</v>
      </c>
      <c r="C672" s="1298" t="s">
        <v>6790</v>
      </c>
      <c r="D672" s="1298" t="s">
        <v>79</v>
      </c>
      <c r="E672" s="1298">
        <v>1</v>
      </c>
      <c r="F672" s="1298" t="s">
        <v>34</v>
      </c>
      <c r="G672" s="1298" t="s">
        <v>32</v>
      </c>
      <c r="H672" s="1298" t="s">
        <v>6146</v>
      </c>
      <c r="I672" s="1298" t="s">
        <v>179</v>
      </c>
      <c r="J672" s="1298" t="s">
        <v>34</v>
      </c>
      <c r="K672" s="1298" t="s">
        <v>34</v>
      </c>
      <c r="L672" s="1298" t="s">
        <v>34</v>
      </c>
      <c r="M672" s="1298" t="s">
        <v>6791</v>
      </c>
      <c r="N672" s="1301" t="s">
        <v>6209</v>
      </c>
      <c r="O672" s="1298" t="s">
        <v>6272</v>
      </c>
      <c r="P672" s="1298" t="s">
        <v>6273</v>
      </c>
      <c r="Q672" s="1298">
        <v>13832383939</v>
      </c>
      <c r="R672" s="1298" t="s">
        <v>6444</v>
      </c>
      <c r="S672" s="1298" t="s">
        <v>6150</v>
      </c>
      <c r="T672" s="1297"/>
    </row>
    <row r="673" spans="1:20" s="1292" customFormat="1" ht="20.100000000000001" customHeight="1">
      <c r="A673" s="1290"/>
      <c r="B673" s="1298" t="s">
        <v>6676</v>
      </c>
      <c r="C673" s="1298" t="s">
        <v>6792</v>
      </c>
      <c r="D673" s="1298" t="s">
        <v>79</v>
      </c>
      <c r="E673" s="1298">
        <v>1</v>
      </c>
      <c r="F673" s="1298" t="s">
        <v>34</v>
      </c>
      <c r="G673" s="1298" t="s">
        <v>32</v>
      </c>
      <c r="H673" s="1298" t="s">
        <v>6146</v>
      </c>
      <c r="I673" s="1298" t="s">
        <v>179</v>
      </c>
      <c r="J673" s="1298" t="s">
        <v>34</v>
      </c>
      <c r="K673" s="1298" t="s">
        <v>34</v>
      </c>
      <c r="L673" s="1298" t="s">
        <v>34</v>
      </c>
      <c r="M673" s="1298" t="s">
        <v>6793</v>
      </c>
      <c r="N673" s="1301" t="s">
        <v>6209</v>
      </c>
      <c r="O673" s="1298" t="s">
        <v>6272</v>
      </c>
      <c r="P673" s="1298" t="s">
        <v>6273</v>
      </c>
      <c r="Q673" s="1298">
        <v>13832383939</v>
      </c>
      <c r="R673" s="1298" t="s">
        <v>6444</v>
      </c>
      <c r="S673" s="1298" t="s">
        <v>6150</v>
      </c>
      <c r="T673" s="1297"/>
    </row>
    <row r="674" spans="1:20" s="1292" customFormat="1" ht="20.100000000000001" customHeight="1">
      <c r="A674" s="1290"/>
      <c r="B674" s="1298" t="s">
        <v>6676</v>
      </c>
      <c r="C674" s="1298" t="s">
        <v>6794</v>
      </c>
      <c r="D674" s="1298" t="s">
        <v>79</v>
      </c>
      <c r="E674" s="1298">
        <v>2</v>
      </c>
      <c r="F674" s="1298" t="s">
        <v>34</v>
      </c>
      <c r="G674" s="1298" t="s">
        <v>32</v>
      </c>
      <c r="H674" s="1298" t="s">
        <v>6146</v>
      </c>
      <c r="I674" s="1298" t="s">
        <v>179</v>
      </c>
      <c r="J674" s="1298" t="s">
        <v>34</v>
      </c>
      <c r="K674" s="1298" t="s">
        <v>34</v>
      </c>
      <c r="L674" s="1298" t="s">
        <v>34</v>
      </c>
      <c r="M674" s="1298" t="s">
        <v>6795</v>
      </c>
      <c r="N674" s="1301" t="s">
        <v>6209</v>
      </c>
      <c r="O674" s="1298" t="s">
        <v>6272</v>
      </c>
      <c r="P674" s="1298" t="s">
        <v>6273</v>
      </c>
      <c r="Q674" s="1298">
        <v>13832383939</v>
      </c>
      <c r="R674" s="1298" t="s">
        <v>6444</v>
      </c>
      <c r="S674" s="1298" t="s">
        <v>6150</v>
      </c>
      <c r="T674" s="1297"/>
    </row>
    <row r="675" spans="1:20" s="1292" customFormat="1" ht="20.100000000000001" customHeight="1">
      <c r="A675" s="1290"/>
      <c r="B675" s="1298" t="s">
        <v>6676</v>
      </c>
      <c r="C675" s="1298" t="s">
        <v>6796</v>
      </c>
      <c r="D675" s="1298" t="s">
        <v>79</v>
      </c>
      <c r="E675" s="1298">
        <v>2</v>
      </c>
      <c r="F675" s="1298" t="s">
        <v>34</v>
      </c>
      <c r="G675" s="1298" t="s">
        <v>32</v>
      </c>
      <c r="H675" s="1298" t="s">
        <v>6146</v>
      </c>
      <c r="I675" s="1298" t="s">
        <v>179</v>
      </c>
      <c r="J675" s="1298" t="s">
        <v>34</v>
      </c>
      <c r="K675" s="1298" t="s">
        <v>34</v>
      </c>
      <c r="L675" s="1298" t="s">
        <v>34</v>
      </c>
      <c r="M675" s="1298" t="s">
        <v>6797</v>
      </c>
      <c r="N675" s="1301" t="s">
        <v>6209</v>
      </c>
      <c r="O675" s="1298" t="s">
        <v>6272</v>
      </c>
      <c r="P675" s="1298" t="s">
        <v>6273</v>
      </c>
      <c r="Q675" s="1298">
        <v>13832383939</v>
      </c>
      <c r="R675" s="1298" t="s">
        <v>6444</v>
      </c>
      <c r="S675" s="1298" t="s">
        <v>6150</v>
      </c>
      <c r="T675" s="1297"/>
    </row>
    <row r="676" spans="1:20" s="1292" customFormat="1" ht="20.100000000000001" customHeight="1">
      <c r="A676" s="1290"/>
      <c r="B676" s="1298" t="s">
        <v>6676</v>
      </c>
      <c r="C676" s="1298" t="s">
        <v>6798</v>
      </c>
      <c r="D676" s="1298" t="s">
        <v>79</v>
      </c>
      <c r="E676" s="1298">
        <v>1</v>
      </c>
      <c r="F676" s="1298" t="s">
        <v>34</v>
      </c>
      <c r="G676" s="1298" t="s">
        <v>32</v>
      </c>
      <c r="H676" s="1298" t="s">
        <v>6146</v>
      </c>
      <c r="I676" s="1298" t="s">
        <v>179</v>
      </c>
      <c r="J676" s="1298" t="s">
        <v>34</v>
      </c>
      <c r="K676" s="1298" t="s">
        <v>34</v>
      </c>
      <c r="L676" s="1298" t="s">
        <v>34</v>
      </c>
      <c r="M676" s="1298" t="s">
        <v>6799</v>
      </c>
      <c r="N676" s="1301" t="s">
        <v>6209</v>
      </c>
      <c r="O676" s="1298" t="s">
        <v>6272</v>
      </c>
      <c r="P676" s="1298" t="s">
        <v>6273</v>
      </c>
      <c r="Q676" s="1298">
        <v>13832383939</v>
      </c>
      <c r="R676" s="1298" t="s">
        <v>6444</v>
      </c>
      <c r="S676" s="1298" t="s">
        <v>6150</v>
      </c>
      <c r="T676" s="1297"/>
    </row>
    <row r="677" spans="1:20" s="1292" customFormat="1" ht="20.100000000000001" customHeight="1">
      <c r="A677" s="1290"/>
      <c r="B677" s="1298" t="s">
        <v>1516</v>
      </c>
      <c r="C677" s="1298" t="s">
        <v>6800</v>
      </c>
      <c r="D677" s="1298" t="s">
        <v>3892</v>
      </c>
      <c r="E677" s="1298">
        <v>2</v>
      </c>
      <c r="F677" s="1298" t="s">
        <v>34</v>
      </c>
      <c r="G677" s="1298" t="s">
        <v>32</v>
      </c>
      <c r="H677" s="1298" t="s">
        <v>6146</v>
      </c>
      <c r="I677" s="1298" t="s">
        <v>179</v>
      </c>
      <c r="J677" s="1298" t="s">
        <v>34</v>
      </c>
      <c r="K677" s="1298" t="s">
        <v>34</v>
      </c>
      <c r="L677" s="1298" t="s">
        <v>34</v>
      </c>
      <c r="M677" s="1298">
        <v>2800</v>
      </c>
      <c r="N677" s="1301">
        <v>2016.2</v>
      </c>
      <c r="O677" s="1298" t="s">
        <v>6272</v>
      </c>
      <c r="P677" s="1298" t="s">
        <v>6273</v>
      </c>
      <c r="Q677" s="1298">
        <v>13832383939</v>
      </c>
      <c r="R677" s="1298" t="s">
        <v>6444</v>
      </c>
      <c r="S677" s="1298" t="s">
        <v>6150</v>
      </c>
      <c r="T677" s="1297"/>
    </row>
    <row r="678" spans="1:20" s="1292" customFormat="1" ht="20.100000000000001" customHeight="1">
      <c r="A678" s="1290"/>
      <c r="B678" s="1298" t="s">
        <v>1516</v>
      </c>
      <c r="C678" s="1298" t="s">
        <v>5286</v>
      </c>
      <c r="D678" s="1298" t="s">
        <v>3892</v>
      </c>
      <c r="E678" s="1298">
        <v>3</v>
      </c>
      <c r="F678" s="1298" t="s">
        <v>34</v>
      </c>
      <c r="G678" s="1298" t="s">
        <v>32</v>
      </c>
      <c r="H678" s="1298" t="s">
        <v>6146</v>
      </c>
      <c r="I678" s="1298" t="s">
        <v>179</v>
      </c>
      <c r="J678" s="1298" t="s">
        <v>34</v>
      </c>
      <c r="K678" s="1298" t="s">
        <v>34</v>
      </c>
      <c r="L678" s="1298" t="s">
        <v>34</v>
      </c>
      <c r="M678" s="1298">
        <v>700</v>
      </c>
      <c r="N678" s="1301">
        <v>2016.2</v>
      </c>
      <c r="O678" s="1298" t="s">
        <v>6272</v>
      </c>
      <c r="P678" s="1298" t="s">
        <v>6273</v>
      </c>
      <c r="Q678" s="1298">
        <v>13832383939</v>
      </c>
      <c r="R678" s="1298" t="s">
        <v>6444</v>
      </c>
      <c r="S678" s="1298" t="s">
        <v>6150</v>
      </c>
      <c r="T678" s="1297"/>
    </row>
    <row r="679" spans="1:20" s="1292" customFormat="1" ht="20.100000000000001" customHeight="1">
      <c r="A679" s="1290"/>
      <c r="B679" s="1298" t="s">
        <v>1516</v>
      </c>
      <c r="C679" s="1298" t="s">
        <v>6801</v>
      </c>
      <c r="D679" s="1298" t="s">
        <v>3892</v>
      </c>
      <c r="E679" s="1298">
        <v>1</v>
      </c>
      <c r="F679" s="1298" t="s">
        <v>34</v>
      </c>
      <c r="G679" s="1298" t="s">
        <v>32</v>
      </c>
      <c r="H679" s="1298" t="s">
        <v>6146</v>
      </c>
      <c r="I679" s="1298" t="s">
        <v>179</v>
      </c>
      <c r="J679" s="1298" t="s">
        <v>34</v>
      </c>
      <c r="K679" s="1298" t="s">
        <v>34</v>
      </c>
      <c r="L679" s="1298" t="s">
        <v>34</v>
      </c>
      <c r="M679" s="1298">
        <v>990</v>
      </c>
      <c r="N679" s="1301">
        <v>2016.2</v>
      </c>
      <c r="O679" s="1298" t="s">
        <v>6272</v>
      </c>
      <c r="P679" s="1298" t="s">
        <v>6273</v>
      </c>
      <c r="Q679" s="1298">
        <v>13832383939</v>
      </c>
      <c r="R679" s="1298" t="s">
        <v>6444</v>
      </c>
      <c r="S679" s="1298" t="s">
        <v>6150</v>
      </c>
      <c r="T679" s="1297"/>
    </row>
    <row r="680" spans="1:20" s="1292" customFormat="1" ht="20.100000000000001" customHeight="1">
      <c r="A680" s="1290"/>
      <c r="B680" s="1298" t="s">
        <v>1516</v>
      </c>
      <c r="C680" s="1298" t="s">
        <v>6802</v>
      </c>
      <c r="D680" s="1298" t="s">
        <v>161</v>
      </c>
      <c r="E680" s="1298">
        <v>500</v>
      </c>
      <c r="F680" s="1298" t="s">
        <v>34</v>
      </c>
      <c r="G680" s="1298" t="s">
        <v>32</v>
      </c>
      <c r="H680" s="1298" t="s">
        <v>6146</v>
      </c>
      <c r="I680" s="1298" t="s">
        <v>179</v>
      </c>
      <c r="J680" s="1298" t="s">
        <v>34</v>
      </c>
      <c r="K680" s="1298" t="s">
        <v>34</v>
      </c>
      <c r="L680" s="1298" t="s">
        <v>34</v>
      </c>
      <c r="M680" s="1298">
        <v>13100</v>
      </c>
      <c r="N680" s="1301">
        <v>2016.2</v>
      </c>
      <c r="O680" s="1298" t="s">
        <v>6272</v>
      </c>
      <c r="P680" s="1298" t="s">
        <v>6273</v>
      </c>
      <c r="Q680" s="1298">
        <v>13832383939</v>
      </c>
      <c r="R680" s="1298" t="s">
        <v>6444</v>
      </c>
      <c r="S680" s="1298" t="s">
        <v>6150</v>
      </c>
      <c r="T680" s="1297"/>
    </row>
    <row r="681" spans="1:20" s="1292" customFormat="1" ht="20.100000000000001" customHeight="1">
      <c r="A681" s="1290"/>
      <c r="B681" s="1298" t="s">
        <v>1516</v>
      </c>
      <c r="C681" s="1298" t="s">
        <v>6803</v>
      </c>
      <c r="D681" s="1298" t="s">
        <v>161</v>
      </c>
      <c r="E681" s="1298">
        <v>500</v>
      </c>
      <c r="F681" s="1298" t="s">
        <v>34</v>
      </c>
      <c r="G681" s="1298" t="s">
        <v>32</v>
      </c>
      <c r="H681" s="1298" t="s">
        <v>6146</v>
      </c>
      <c r="I681" s="1298" t="s">
        <v>179</v>
      </c>
      <c r="J681" s="1298" t="s">
        <v>34</v>
      </c>
      <c r="K681" s="1298" t="s">
        <v>34</v>
      </c>
      <c r="L681" s="1298" t="s">
        <v>34</v>
      </c>
      <c r="M681" s="1298">
        <v>16528</v>
      </c>
      <c r="N681" s="1301">
        <v>2016.2</v>
      </c>
      <c r="O681" s="1298" t="s">
        <v>6272</v>
      </c>
      <c r="P681" s="1298" t="s">
        <v>6273</v>
      </c>
      <c r="Q681" s="1298">
        <v>13832383939</v>
      </c>
      <c r="R681" s="1298" t="s">
        <v>6444</v>
      </c>
      <c r="S681" s="1298" t="s">
        <v>6150</v>
      </c>
      <c r="T681" s="1297"/>
    </row>
    <row r="682" spans="1:20" s="1292" customFormat="1" ht="20.100000000000001" customHeight="1">
      <c r="A682" s="1290"/>
      <c r="B682" s="1298" t="s">
        <v>6804</v>
      </c>
      <c r="C682" s="1298" t="s">
        <v>6805</v>
      </c>
      <c r="D682" s="1298" t="s">
        <v>1477</v>
      </c>
      <c r="E682" s="1298">
        <v>1</v>
      </c>
      <c r="F682" s="1298" t="s">
        <v>34</v>
      </c>
      <c r="G682" s="1298" t="s">
        <v>32</v>
      </c>
      <c r="H682" s="1298" t="s">
        <v>6146</v>
      </c>
      <c r="I682" s="1298" t="s">
        <v>179</v>
      </c>
      <c r="J682" s="1298" t="s">
        <v>34</v>
      </c>
      <c r="K682" s="1298" t="s">
        <v>34</v>
      </c>
      <c r="L682" s="1298" t="s">
        <v>34</v>
      </c>
      <c r="M682" s="1298">
        <v>3550</v>
      </c>
      <c r="N682" s="1301">
        <v>2016.3</v>
      </c>
      <c r="O682" s="1298" t="s">
        <v>6272</v>
      </c>
      <c r="P682" s="1298" t="s">
        <v>6273</v>
      </c>
      <c r="Q682" s="1298">
        <v>13832383939</v>
      </c>
      <c r="R682" s="1298" t="s">
        <v>6444</v>
      </c>
      <c r="S682" s="1298" t="s">
        <v>6150</v>
      </c>
      <c r="T682" s="1297"/>
    </row>
    <row r="683" spans="1:20" s="1292" customFormat="1" ht="20.100000000000001" customHeight="1">
      <c r="A683" s="1290"/>
      <c r="B683" s="1298" t="s">
        <v>1622</v>
      </c>
      <c r="C683" s="1298" t="s">
        <v>6806</v>
      </c>
      <c r="D683" s="1298" t="s">
        <v>1477</v>
      </c>
      <c r="E683" s="1298">
        <v>2</v>
      </c>
      <c r="F683" s="1298" t="s">
        <v>34</v>
      </c>
      <c r="G683" s="1298" t="s">
        <v>32</v>
      </c>
      <c r="H683" s="1298" t="s">
        <v>6146</v>
      </c>
      <c r="I683" s="1298" t="s">
        <v>179</v>
      </c>
      <c r="J683" s="1298" t="s">
        <v>34</v>
      </c>
      <c r="K683" s="1298" t="s">
        <v>34</v>
      </c>
      <c r="L683" s="1298" t="s">
        <v>34</v>
      </c>
      <c r="M683" s="1298">
        <v>1100</v>
      </c>
      <c r="N683" s="1301">
        <v>2016.3</v>
      </c>
      <c r="O683" s="1298" t="s">
        <v>6272</v>
      </c>
      <c r="P683" s="1298" t="s">
        <v>6273</v>
      </c>
      <c r="Q683" s="1298">
        <v>13832383939</v>
      </c>
      <c r="R683" s="1298" t="s">
        <v>6444</v>
      </c>
      <c r="S683" s="1298" t="s">
        <v>6150</v>
      </c>
      <c r="T683" s="1297"/>
    </row>
    <row r="684" spans="1:20" s="1292" customFormat="1" ht="20.100000000000001" customHeight="1">
      <c r="A684" s="1290"/>
      <c r="B684" s="1298" t="s">
        <v>1462</v>
      </c>
      <c r="C684" s="1298"/>
      <c r="D684" s="1322" t="s">
        <v>2544</v>
      </c>
      <c r="E684" s="1322"/>
      <c r="F684" s="1322">
        <v>200</v>
      </c>
      <c r="G684" s="1298" t="s">
        <v>32</v>
      </c>
      <c r="H684" s="1298" t="s">
        <v>6146</v>
      </c>
      <c r="I684" s="1298" t="s">
        <v>34</v>
      </c>
      <c r="J684" s="1298" t="s">
        <v>34</v>
      </c>
      <c r="K684" s="1298" t="s">
        <v>34</v>
      </c>
      <c r="L684" s="1298" t="s">
        <v>34</v>
      </c>
      <c r="M684" s="1512">
        <v>143103.45000000001</v>
      </c>
      <c r="N684" s="1317">
        <v>2018.12</v>
      </c>
      <c r="O684" s="1298" t="s">
        <v>6147</v>
      </c>
      <c r="P684" s="1298" t="s">
        <v>6148</v>
      </c>
      <c r="Q684" s="1298">
        <v>17743858680</v>
      </c>
      <c r="R684" s="1298" t="s">
        <v>6149</v>
      </c>
      <c r="S684" s="1298" t="s">
        <v>6150</v>
      </c>
      <c r="T684" s="1297"/>
    </row>
    <row r="685" spans="1:20" s="1030" customFormat="1" ht="20.100000000000001" customHeight="1">
      <c r="A685" s="1321"/>
      <c r="B685" s="1298" t="s">
        <v>1462</v>
      </c>
      <c r="C685" s="1298" t="s">
        <v>6807</v>
      </c>
      <c r="D685" s="1298" t="s">
        <v>161</v>
      </c>
      <c r="E685" s="1298">
        <v>500</v>
      </c>
      <c r="F685" s="1298">
        <v>1050</v>
      </c>
      <c r="G685" s="1298" t="s">
        <v>32</v>
      </c>
      <c r="H685" s="1298" t="s">
        <v>6146</v>
      </c>
      <c r="I685" s="1298" t="s">
        <v>34</v>
      </c>
      <c r="J685" s="1298" t="s">
        <v>34</v>
      </c>
      <c r="K685" s="1298" t="s">
        <v>34</v>
      </c>
      <c r="L685" s="1298">
        <v>525000</v>
      </c>
      <c r="M685" s="1322">
        <v>525000</v>
      </c>
      <c r="N685" s="1301">
        <v>2017.09</v>
      </c>
      <c r="O685" s="1298" t="s">
        <v>6147</v>
      </c>
      <c r="P685" s="1298" t="s">
        <v>6148</v>
      </c>
      <c r="Q685" s="1298">
        <v>17743858680</v>
      </c>
      <c r="R685" s="1298" t="s">
        <v>6149</v>
      </c>
      <c r="S685" s="1298" t="s">
        <v>6150</v>
      </c>
      <c r="T685" s="1323"/>
    </row>
    <row r="686" spans="1:20" s="1030" customFormat="1" ht="20.100000000000001" customHeight="1">
      <c r="A686" s="1321"/>
      <c r="B686" s="1298" t="s">
        <v>1605</v>
      </c>
      <c r="C686" s="1298" t="s">
        <v>6808</v>
      </c>
      <c r="D686" s="1298" t="s">
        <v>1369</v>
      </c>
      <c r="E686" s="1298">
        <v>20200.5648</v>
      </c>
      <c r="F686" s="1298"/>
      <c r="G686" s="1298" t="s">
        <v>32</v>
      </c>
      <c r="H686" s="1298" t="s">
        <v>33</v>
      </c>
      <c r="I686" s="1298" t="s">
        <v>34</v>
      </c>
      <c r="J686" s="1298" t="s">
        <v>34</v>
      </c>
      <c r="K686" s="1298" t="s">
        <v>34</v>
      </c>
      <c r="L686" s="1298">
        <v>544022.11</v>
      </c>
      <c r="M686" s="1513">
        <v>27201.109748999996</v>
      </c>
      <c r="N686" s="1514">
        <v>43349</v>
      </c>
      <c r="O686" s="1298" t="s">
        <v>6809</v>
      </c>
      <c r="P686" s="1298" t="s">
        <v>6153</v>
      </c>
      <c r="Q686" s="1298">
        <v>13832107939</v>
      </c>
      <c r="R686" s="1298" t="s">
        <v>6152</v>
      </c>
      <c r="S686" s="1298" t="s">
        <v>6056</v>
      </c>
      <c r="T686" s="1323"/>
    </row>
    <row r="687" spans="1:20" s="1030" customFormat="1" ht="20.100000000000001" customHeight="1">
      <c r="A687" s="1321"/>
      <c r="B687" s="1298" t="s">
        <v>1605</v>
      </c>
      <c r="C687" s="1298" t="s">
        <v>6810</v>
      </c>
      <c r="D687" s="1298" t="s">
        <v>1369</v>
      </c>
      <c r="E687" s="1298">
        <v>2026.0844999999999</v>
      </c>
      <c r="F687" s="1298"/>
      <c r="G687" s="1298" t="s">
        <v>32</v>
      </c>
      <c r="H687" s="1298" t="s">
        <v>33</v>
      </c>
      <c r="I687" s="1298" t="s">
        <v>34</v>
      </c>
      <c r="J687" s="1298" t="s">
        <v>34</v>
      </c>
      <c r="K687" s="1298" t="s">
        <v>34</v>
      </c>
      <c r="L687" s="1298">
        <v>54564.55</v>
      </c>
      <c r="M687" s="1513">
        <v>2728.2274980000002</v>
      </c>
      <c r="N687" s="1514">
        <v>43349</v>
      </c>
      <c r="O687" s="1298" t="s">
        <v>6811</v>
      </c>
      <c r="P687" s="1298" t="s">
        <v>6153</v>
      </c>
      <c r="Q687" s="1298">
        <v>13832107939</v>
      </c>
      <c r="R687" s="1298" t="s">
        <v>6152</v>
      </c>
      <c r="S687" s="1298" t="s">
        <v>6056</v>
      </c>
      <c r="T687" s="1323"/>
    </row>
    <row r="688" spans="1:20" s="1030" customFormat="1" ht="20.100000000000001" customHeight="1">
      <c r="A688" s="1321"/>
      <c r="B688" s="1298" t="s">
        <v>6812</v>
      </c>
      <c r="C688" s="1298"/>
      <c r="D688" s="1298" t="s">
        <v>62</v>
      </c>
      <c r="E688" s="1298">
        <v>38.4</v>
      </c>
      <c r="F688" s="1298"/>
      <c r="G688" s="1298" t="s">
        <v>32</v>
      </c>
      <c r="H688" s="1298" t="s">
        <v>33</v>
      </c>
      <c r="I688" s="1298" t="s">
        <v>34</v>
      </c>
      <c r="J688" s="1298" t="s">
        <v>34</v>
      </c>
      <c r="K688" s="1298" t="s">
        <v>34</v>
      </c>
      <c r="L688" s="1298">
        <v>238344.83</v>
      </c>
      <c r="M688" s="1513">
        <v>85804.143927999976</v>
      </c>
      <c r="N688" s="1514">
        <v>43364</v>
      </c>
      <c r="O688" s="1298" t="s">
        <v>6152</v>
      </c>
      <c r="P688" s="1298" t="s">
        <v>6153</v>
      </c>
      <c r="Q688" s="1298">
        <v>13832107939</v>
      </c>
      <c r="R688" s="1298" t="s">
        <v>6152</v>
      </c>
      <c r="S688" s="1298" t="s">
        <v>6056</v>
      </c>
      <c r="T688" s="1323"/>
    </row>
    <row r="689" spans="1:20" s="1030" customFormat="1" ht="20.100000000000001" customHeight="1">
      <c r="A689" s="1321"/>
      <c r="B689" s="1298" t="s">
        <v>6812</v>
      </c>
      <c r="C689" s="1298"/>
      <c r="D689" s="1298" t="s">
        <v>62</v>
      </c>
      <c r="E689" s="1298">
        <v>14.4</v>
      </c>
      <c r="F689" s="1298"/>
      <c r="G689" s="1298" t="s">
        <v>32</v>
      </c>
      <c r="H689" s="1298" t="s">
        <v>33</v>
      </c>
      <c r="I689" s="1298" t="s">
        <v>34</v>
      </c>
      <c r="J689" s="1298" t="s">
        <v>34</v>
      </c>
      <c r="K689" s="1298" t="s">
        <v>34</v>
      </c>
      <c r="L689" s="1298">
        <v>89379.31</v>
      </c>
      <c r="M689" s="1513">
        <v>32176.549723999997</v>
      </c>
      <c r="N689" s="1514">
        <v>43364</v>
      </c>
      <c r="O689" s="1298" t="s">
        <v>6152</v>
      </c>
      <c r="P689" s="1298" t="s">
        <v>6153</v>
      </c>
      <c r="Q689" s="1298">
        <v>13832107939</v>
      </c>
      <c r="R689" s="1298" t="s">
        <v>6152</v>
      </c>
      <c r="S689" s="1298" t="s">
        <v>6056</v>
      </c>
      <c r="T689" s="1323"/>
    </row>
    <row r="690" spans="1:20" s="1030" customFormat="1" ht="20.100000000000001" customHeight="1">
      <c r="A690" s="1321"/>
      <c r="B690" s="1298" t="s">
        <v>29</v>
      </c>
      <c r="C690" s="1298" t="s">
        <v>6813</v>
      </c>
      <c r="D690" s="1298" t="s">
        <v>62</v>
      </c>
      <c r="E690" s="1298">
        <v>74.570999999999998</v>
      </c>
      <c r="F690" s="1298"/>
      <c r="G690" s="1298" t="s">
        <v>32</v>
      </c>
      <c r="H690" s="1298" t="s">
        <v>33</v>
      </c>
      <c r="I690" s="1298" t="s">
        <v>34</v>
      </c>
      <c r="J690" s="1298" t="s">
        <v>34</v>
      </c>
      <c r="K690" s="1298" t="s">
        <v>34</v>
      </c>
      <c r="L690" s="1298">
        <v>442146.63716789999</v>
      </c>
      <c r="M690" s="1513">
        <v>442146.63716789999</v>
      </c>
      <c r="N690" s="1514">
        <v>43771</v>
      </c>
      <c r="O690" s="1298" t="s">
        <v>6152</v>
      </c>
      <c r="P690" s="1298" t="s">
        <v>6153</v>
      </c>
      <c r="Q690" s="1298">
        <v>13832107939</v>
      </c>
      <c r="R690" s="1298" t="s">
        <v>6152</v>
      </c>
      <c r="S690" s="1298" t="s">
        <v>6056</v>
      </c>
      <c r="T690" s="1323"/>
    </row>
    <row r="691" spans="1:20" s="1030" customFormat="1" ht="20.100000000000001" customHeight="1">
      <c r="A691" s="1321"/>
      <c r="B691" s="1298" t="s">
        <v>29</v>
      </c>
      <c r="C691" s="1298" t="s">
        <v>6814</v>
      </c>
      <c r="D691" s="1298" t="s">
        <v>62</v>
      </c>
      <c r="E691" s="1298">
        <v>36.247999999999998</v>
      </c>
      <c r="F691" s="1298"/>
      <c r="G691" s="1298" t="s">
        <v>32</v>
      </c>
      <c r="H691" s="1298" t="s">
        <v>33</v>
      </c>
      <c r="I691" s="1298" t="s">
        <v>34</v>
      </c>
      <c r="J691" s="1298" t="s">
        <v>34</v>
      </c>
      <c r="K691" s="1298" t="s">
        <v>34</v>
      </c>
      <c r="L691" s="1298">
        <v>212488.28</v>
      </c>
      <c r="M691" s="1513">
        <v>42497.664136000007</v>
      </c>
      <c r="N691" s="1514">
        <v>43364</v>
      </c>
      <c r="O691" s="1298" t="s">
        <v>6152</v>
      </c>
      <c r="P691" s="1298" t="s">
        <v>6153</v>
      </c>
      <c r="Q691" s="1298">
        <v>13832107939</v>
      </c>
      <c r="R691" s="1298" t="s">
        <v>6152</v>
      </c>
      <c r="S691" s="1298" t="s">
        <v>6056</v>
      </c>
      <c r="T691" s="1323"/>
    </row>
    <row r="692" spans="1:20" s="1030" customFormat="1" ht="20.100000000000001" customHeight="1">
      <c r="A692" s="1321"/>
      <c r="B692" s="1298" t="s">
        <v>29</v>
      </c>
      <c r="C692" s="1298" t="s">
        <v>6814</v>
      </c>
      <c r="D692" s="1298" t="s">
        <v>62</v>
      </c>
      <c r="E692" s="1298">
        <v>15</v>
      </c>
      <c r="F692" s="1298"/>
      <c r="G692" s="1298" t="s">
        <v>32</v>
      </c>
      <c r="H692" s="1298" t="s">
        <v>33</v>
      </c>
      <c r="I692" s="1298" t="s">
        <v>34</v>
      </c>
      <c r="J692" s="1298" t="s">
        <v>34</v>
      </c>
      <c r="K692" s="1298" t="s">
        <v>34</v>
      </c>
      <c r="L692" s="1298">
        <v>87931.03</v>
      </c>
      <c r="M692" s="1513">
        <v>59793.100208000003</v>
      </c>
      <c r="N692" s="1514">
        <v>43382</v>
      </c>
      <c r="O692" s="1298" t="s">
        <v>6152</v>
      </c>
      <c r="P692" s="1298" t="s">
        <v>6153</v>
      </c>
      <c r="Q692" s="1298">
        <v>13832107939</v>
      </c>
      <c r="R692" s="1298" t="s">
        <v>6152</v>
      </c>
      <c r="S692" s="1298" t="s">
        <v>6056</v>
      </c>
      <c r="T692" s="1323"/>
    </row>
    <row r="693" spans="1:20" s="1030" customFormat="1" ht="20.100000000000001" customHeight="1">
      <c r="A693" s="1321"/>
      <c r="B693" s="1298" t="s">
        <v>1605</v>
      </c>
      <c r="C693" s="1298" t="s">
        <v>6808</v>
      </c>
      <c r="D693" s="1298" t="s">
        <v>1369</v>
      </c>
      <c r="E693" s="1298">
        <v>31777.34</v>
      </c>
      <c r="F693" s="1298"/>
      <c r="G693" s="1298" t="s">
        <v>32</v>
      </c>
      <c r="H693" s="1298" t="s">
        <v>33</v>
      </c>
      <c r="I693" s="1298" t="s">
        <v>34</v>
      </c>
      <c r="J693" s="1298" t="s">
        <v>34</v>
      </c>
      <c r="K693" s="1298" t="s">
        <v>34</v>
      </c>
      <c r="L693" s="1298">
        <v>855796.64</v>
      </c>
      <c r="M693" s="1513">
        <v>42789.828798000002</v>
      </c>
      <c r="N693" s="1514">
        <v>43395</v>
      </c>
      <c r="O693" s="1298" t="s">
        <v>6152</v>
      </c>
      <c r="P693" s="1298" t="s">
        <v>6153</v>
      </c>
      <c r="Q693" s="1298">
        <v>13832107939</v>
      </c>
      <c r="R693" s="1298" t="s">
        <v>6152</v>
      </c>
      <c r="S693" s="1298" t="s">
        <v>6056</v>
      </c>
      <c r="T693" s="1323"/>
    </row>
    <row r="694" spans="1:20" s="1030" customFormat="1" ht="20.100000000000001" customHeight="1">
      <c r="A694" s="1321"/>
      <c r="B694" s="1298" t="s">
        <v>29</v>
      </c>
      <c r="C694" s="1298" t="s">
        <v>6814</v>
      </c>
      <c r="D694" s="1298" t="s">
        <v>62</v>
      </c>
      <c r="E694" s="1298">
        <v>2.395</v>
      </c>
      <c r="F694" s="1298"/>
      <c r="G694" s="1298" t="s">
        <v>32</v>
      </c>
      <c r="H694" s="1298" t="s">
        <v>33</v>
      </c>
      <c r="I694" s="1298" t="s">
        <v>34</v>
      </c>
      <c r="J694" s="1298" t="s">
        <v>34</v>
      </c>
      <c r="K694" s="1298" t="s">
        <v>34</v>
      </c>
      <c r="L694" s="1298">
        <v>14039.66</v>
      </c>
      <c r="M694" s="1513">
        <v>9546.9699309999996</v>
      </c>
      <c r="N694" s="1514">
        <v>43381</v>
      </c>
      <c r="O694" s="1298" t="s">
        <v>6152</v>
      </c>
      <c r="P694" s="1298" t="s">
        <v>6153</v>
      </c>
      <c r="Q694" s="1298">
        <v>13832107939</v>
      </c>
      <c r="R694" s="1298" t="s">
        <v>6152</v>
      </c>
      <c r="S694" s="1298" t="s">
        <v>6056</v>
      </c>
      <c r="T694" s="1323"/>
    </row>
    <row r="695" spans="1:20" s="1030" customFormat="1" ht="20.100000000000001" customHeight="1">
      <c r="A695" s="1321"/>
      <c r="B695" s="1298" t="s">
        <v>1605</v>
      </c>
      <c r="C695" s="1298" t="s">
        <v>6808</v>
      </c>
      <c r="D695" s="1298" t="s">
        <v>1369</v>
      </c>
      <c r="E695" s="1298">
        <v>49518.1011</v>
      </c>
      <c r="F695" s="1298"/>
      <c r="G695" s="1298" t="s">
        <v>32</v>
      </c>
      <c r="H695" s="1298" t="s">
        <v>33</v>
      </c>
      <c r="I695" s="1298" t="s">
        <v>34</v>
      </c>
      <c r="J695" s="1298" t="s">
        <v>34</v>
      </c>
      <c r="K695" s="1298" t="s">
        <v>34</v>
      </c>
      <c r="L695" s="1298">
        <v>1334000.57</v>
      </c>
      <c r="M695" s="1513">
        <v>66700.020775000099</v>
      </c>
      <c r="N695" s="1515">
        <v>43429</v>
      </c>
      <c r="O695" s="1298" t="s">
        <v>6152</v>
      </c>
      <c r="P695" s="1298" t="s">
        <v>6153</v>
      </c>
      <c r="Q695" s="1298">
        <v>13832107939</v>
      </c>
      <c r="R695" s="1298" t="s">
        <v>6152</v>
      </c>
      <c r="S695" s="1298" t="s">
        <v>6056</v>
      </c>
      <c r="T695" s="1323"/>
    </row>
    <row r="696" spans="1:20" s="1030" customFormat="1" ht="20.100000000000001" customHeight="1">
      <c r="A696" s="1321"/>
      <c r="B696" s="1298" t="s">
        <v>1546</v>
      </c>
      <c r="C696" s="1298" t="s">
        <v>6815</v>
      </c>
      <c r="D696" s="1298" t="s">
        <v>3475</v>
      </c>
      <c r="E696" s="1298">
        <v>1671.63</v>
      </c>
      <c r="F696" s="1298"/>
      <c r="G696" s="1298" t="s">
        <v>32</v>
      </c>
      <c r="H696" s="1298" t="s">
        <v>33</v>
      </c>
      <c r="I696" s="1298" t="s">
        <v>34</v>
      </c>
      <c r="J696" s="1298" t="s">
        <v>34</v>
      </c>
      <c r="K696" s="1298" t="s">
        <v>34</v>
      </c>
      <c r="L696" s="1298">
        <v>2853299.48</v>
      </c>
      <c r="M696" s="1513">
        <v>1046209.8048419999</v>
      </c>
      <c r="N696" s="1516">
        <v>43429</v>
      </c>
      <c r="O696" s="1298" t="s">
        <v>6152</v>
      </c>
      <c r="P696" s="1298" t="s">
        <v>6153</v>
      </c>
      <c r="Q696" s="1298">
        <v>13832107939</v>
      </c>
      <c r="R696" s="1298" t="s">
        <v>6152</v>
      </c>
      <c r="S696" s="1298" t="s">
        <v>6056</v>
      </c>
      <c r="T696" s="1323"/>
    </row>
    <row r="697" spans="1:20" s="1030" customFormat="1" ht="20.100000000000001" customHeight="1">
      <c r="A697" s="1321"/>
      <c r="B697" s="1298" t="s">
        <v>1546</v>
      </c>
      <c r="C697" s="1298" t="s">
        <v>6815</v>
      </c>
      <c r="D697" s="1298" t="s">
        <v>3475</v>
      </c>
      <c r="E697" s="1298">
        <v>495</v>
      </c>
      <c r="F697" s="1298"/>
      <c r="G697" s="1298" t="s">
        <v>32</v>
      </c>
      <c r="H697" s="1298" t="s">
        <v>33</v>
      </c>
      <c r="I697" s="1298" t="s">
        <v>34</v>
      </c>
      <c r="J697" s="1298" t="s">
        <v>34</v>
      </c>
      <c r="K697" s="1298" t="s">
        <v>34</v>
      </c>
      <c r="L697" s="1298">
        <v>832112.07</v>
      </c>
      <c r="M697" s="1513">
        <v>41605.600567999994</v>
      </c>
      <c r="N697" s="1516">
        <v>43429</v>
      </c>
      <c r="O697" s="1298" t="s">
        <v>6152</v>
      </c>
      <c r="P697" s="1298" t="s">
        <v>6153</v>
      </c>
      <c r="Q697" s="1298">
        <v>13832107939</v>
      </c>
      <c r="R697" s="1298" t="s">
        <v>6152</v>
      </c>
      <c r="S697" s="1298" t="s">
        <v>6056</v>
      </c>
      <c r="T697" s="1323"/>
    </row>
    <row r="698" spans="1:20" s="1030" customFormat="1" ht="20.100000000000001" customHeight="1">
      <c r="A698" s="1321"/>
      <c r="B698" s="1298" t="s">
        <v>1605</v>
      </c>
      <c r="C698" s="1298" t="s">
        <v>6808</v>
      </c>
      <c r="D698" s="1298" t="s">
        <v>1369</v>
      </c>
      <c r="E698" s="1298">
        <v>27237.72</v>
      </c>
      <c r="F698" s="1298"/>
      <c r="G698" s="1298" t="s">
        <v>32</v>
      </c>
      <c r="H698" s="1298" t="s">
        <v>33</v>
      </c>
      <c r="I698" s="1298" t="s">
        <v>34</v>
      </c>
      <c r="J698" s="1298" t="s">
        <v>34</v>
      </c>
      <c r="K698" s="1298" t="s">
        <v>34</v>
      </c>
      <c r="L698" s="1298">
        <v>734948.83</v>
      </c>
      <c r="M698" s="1513">
        <v>269481.24600299995</v>
      </c>
      <c r="N698" s="1516">
        <v>43429</v>
      </c>
      <c r="O698" s="1298" t="s">
        <v>6152</v>
      </c>
      <c r="P698" s="1298" t="s">
        <v>6153</v>
      </c>
      <c r="Q698" s="1298">
        <v>13832107939</v>
      </c>
      <c r="R698" s="1298" t="s">
        <v>6152</v>
      </c>
      <c r="S698" s="1298" t="s">
        <v>6056</v>
      </c>
      <c r="T698" s="1323"/>
    </row>
    <row r="699" spans="1:20" s="1030" customFormat="1" ht="20.100000000000001" customHeight="1">
      <c r="A699" s="1321"/>
      <c r="B699" s="1298" t="s">
        <v>1605</v>
      </c>
      <c r="C699" s="1298" t="s">
        <v>6808</v>
      </c>
      <c r="D699" s="1298" t="s">
        <v>1369</v>
      </c>
      <c r="E699" s="1298">
        <v>12101</v>
      </c>
      <c r="F699" s="1298"/>
      <c r="G699" s="1298" t="s">
        <v>32</v>
      </c>
      <c r="H699" s="1298" t="s">
        <v>33</v>
      </c>
      <c r="I699" s="1298" t="s">
        <v>34</v>
      </c>
      <c r="J699" s="1298" t="s">
        <v>34</v>
      </c>
      <c r="K699" s="1298" t="s">
        <v>34</v>
      </c>
      <c r="L699" s="1298">
        <v>367729.42</v>
      </c>
      <c r="M699" s="1517">
        <v>18386.481491999999</v>
      </c>
      <c r="N699" s="1516">
        <v>43474</v>
      </c>
      <c r="O699" s="1298" t="s">
        <v>6152</v>
      </c>
      <c r="P699" s="1298" t="s">
        <v>6153</v>
      </c>
      <c r="Q699" s="1298">
        <v>13832107939</v>
      </c>
      <c r="R699" s="1298" t="s">
        <v>6152</v>
      </c>
      <c r="S699" s="1298" t="s">
        <v>6056</v>
      </c>
      <c r="T699" s="1323"/>
    </row>
    <row r="700" spans="1:20" s="1030" customFormat="1" ht="20.100000000000001" customHeight="1">
      <c r="A700" s="1321"/>
      <c r="B700" s="1298" t="s">
        <v>1546</v>
      </c>
      <c r="C700" s="1298" t="s">
        <v>6815</v>
      </c>
      <c r="D700" s="1298" t="s">
        <v>3475</v>
      </c>
      <c r="E700" s="1298">
        <v>995.66</v>
      </c>
      <c r="F700" s="1298"/>
      <c r="G700" s="1298" t="s">
        <v>32</v>
      </c>
      <c r="H700" s="1298" t="s">
        <v>33</v>
      </c>
      <c r="I700" s="1298" t="s">
        <v>34</v>
      </c>
      <c r="J700" s="1298" t="s">
        <v>34</v>
      </c>
      <c r="K700" s="1298" t="s">
        <v>34</v>
      </c>
      <c r="L700" s="1298">
        <v>1699488.62</v>
      </c>
      <c r="M700" s="1513">
        <f>L700*0.05</f>
        <v>84974.431000000011</v>
      </c>
      <c r="N700" s="1516">
        <v>43484</v>
      </c>
      <c r="O700" s="1298" t="s">
        <v>6152</v>
      </c>
      <c r="P700" s="1298" t="s">
        <v>6153</v>
      </c>
      <c r="Q700" s="1298">
        <v>13832107939</v>
      </c>
      <c r="R700" s="1298" t="s">
        <v>6152</v>
      </c>
      <c r="S700" s="1298" t="s">
        <v>6056</v>
      </c>
      <c r="T700" s="1323"/>
    </row>
    <row r="701" spans="1:20" s="1030" customFormat="1" ht="20.100000000000001" customHeight="1">
      <c r="A701" s="1321"/>
      <c r="B701" s="1298" t="s">
        <v>1605</v>
      </c>
      <c r="C701" s="1298" t="s">
        <v>6816</v>
      </c>
      <c r="D701" s="1298" t="s">
        <v>31</v>
      </c>
      <c r="E701" s="1298">
        <v>9750</v>
      </c>
      <c r="F701" s="1298"/>
      <c r="G701" s="1298" t="s">
        <v>32</v>
      </c>
      <c r="H701" s="1298" t="s">
        <v>33</v>
      </c>
      <c r="I701" s="1298" t="s">
        <v>34</v>
      </c>
      <c r="J701" s="1298" t="s">
        <v>34</v>
      </c>
      <c r="K701" s="1298" t="s">
        <v>34</v>
      </c>
      <c r="L701" s="1298">
        <v>781640.96</v>
      </c>
      <c r="M701" s="1513">
        <v>39082.058825</v>
      </c>
      <c r="N701" s="1516">
        <v>43471</v>
      </c>
      <c r="O701" s="1298" t="s">
        <v>6152</v>
      </c>
      <c r="P701" s="1298" t="s">
        <v>6153</v>
      </c>
      <c r="Q701" s="1298">
        <v>13832107939</v>
      </c>
      <c r="R701" s="1298" t="s">
        <v>6152</v>
      </c>
      <c r="S701" s="1298" t="s">
        <v>6056</v>
      </c>
      <c r="T701" s="1323"/>
    </row>
    <row r="702" spans="1:20" s="1030" customFormat="1" ht="20.100000000000001" customHeight="1">
      <c r="A702" s="1321"/>
      <c r="B702" s="1298" t="s">
        <v>1605</v>
      </c>
      <c r="C702" s="1298" t="s">
        <v>6817</v>
      </c>
      <c r="D702" s="1298" t="s">
        <v>603</v>
      </c>
      <c r="E702" s="1298">
        <v>1320</v>
      </c>
      <c r="F702" s="1298"/>
      <c r="G702" s="1298" t="s">
        <v>32</v>
      </c>
      <c r="H702" s="1298" t="s">
        <v>33</v>
      </c>
      <c r="I702" s="1298" t="s">
        <v>34</v>
      </c>
      <c r="J702" s="1298" t="s">
        <v>34</v>
      </c>
      <c r="K702" s="1298" t="s">
        <v>34</v>
      </c>
      <c r="L702" s="1298">
        <v>153620.69</v>
      </c>
      <c r="M702" s="1513">
        <v>7681.0314189999999</v>
      </c>
      <c r="N702" s="1516">
        <v>43472</v>
      </c>
      <c r="O702" s="1298" t="s">
        <v>6152</v>
      </c>
      <c r="P702" s="1298" t="s">
        <v>6153</v>
      </c>
      <c r="Q702" s="1298">
        <v>13832107939</v>
      </c>
      <c r="R702" s="1298" t="s">
        <v>6152</v>
      </c>
      <c r="S702" s="1298" t="s">
        <v>6056</v>
      </c>
      <c r="T702" s="1323"/>
    </row>
    <row r="703" spans="1:20" s="1030" customFormat="1" ht="20.100000000000001" customHeight="1">
      <c r="A703" s="1321"/>
      <c r="B703" s="1298" t="s">
        <v>29</v>
      </c>
      <c r="C703" s="1298" t="s">
        <v>6814</v>
      </c>
      <c r="D703" s="1298" t="s">
        <v>62</v>
      </c>
      <c r="E703" s="1298">
        <v>6.06</v>
      </c>
      <c r="F703" s="1298"/>
      <c r="G703" s="1298" t="s">
        <v>32</v>
      </c>
      <c r="H703" s="1298" t="s">
        <v>33</v>
      </c>
      <c r="I703" s="1298" t="s">
        <v>34</v>
      </c>
      <c r="J703" s="1298" t="s">
        <v>34</v>
      </c>
      <c r="K703" s="1298" t="s">
        <v>34</v>
      </c>
      <c r="L703" s="1298">
        <v>35524.14</v>
      </c>
      <c r="M703" s="1513">
        <f>L703*0.2</f>
        <v>7104.8280000000004</v>
      </c>
      <c r="N703" s="1516">
        <v>43483</v>
      </c>
      <c r="O703" s="1298" t="s">
        <v>6152</v>
      </c>
      <c r="P703" s="1298" t="s">
        <v>6153</v>
      </c>
      <c r="Q703" s="1298">
        <v>13832107939</v>
      </c>
      <c r="R703" s="1298" t="s">
        <v>6152</v>
      </c>
      <c r="S703" s="1298" t="s">
        <v>6056</v>
      </c>
      <c r="T703" s="1323"/>
    </row>
    <row r="704" spans="1:20" s="1030" customFormat="1" ht="20.100000000000001" customHeight="1">
      <c r="A704" s="1321"/>
      <c r="B704" s="1298" t="s">
        <v>1605</v>
      </c>
      <c r="C704" s="1298" t="s">
        <v>6818</v>
      </c>
      <c r="D704" s="1298" t="s">
        <v>1369</v>
      </c>
      <c r="E704" s="1298">
        <v>1136.05</v>
      </c>
      <c r="F704" s="1298"/>
      <c r="G704" s="1298" t="s">
        <v>32</v>
      </c>
      <c r="H704" s="1298" t="s">
        <v>33</v>
      </c>
      <c r="I704" s="1298" t="s">
        <v>34</v>
      </c>
      <c r="J704" s="1298" t="s">
        <v>34</v>
      </c>
      <c r="K704" s="1298" t="s">
        <v>34</v>
      </c>
      <c r="L704" s="1298">
        <v>148899.79999999999</v>
      </c>
      <c r="M704" s="1513">
        <f>L704*0.05</f>
        <v>7444.99</v>
      </c>
      <c r="N704" s="1516">
        <v>43481</v>
      </c>
      <c r="O704" s="1298" t="s">
        <v>6152</v>
      </c>
      <c r="P704" s="1298" t="s">
        <v>6153</v>
      </c>
      <c r="Q704" s="1298">
        <v>13832107939</v>
      </c>
      <c r="R704" s="1298" t="s">
        <v>6152</v>
      </c>
      <c r="S704" s="1298" t="s">
        <v>6056</v>
      </c>
      <c r="T704" s="1323"/>
    </row>
    <row r="705" spans="1:20" s="1030" customFormat="1" ht="20.100000000000001" customHeight="1">
      <c r="A705" s="1321"/>
      <c r="B705" s="1298" t="s">
        <v>1605</v>
      </c>
      <c r="C705" s="1298" t="s">
        <v>6819</v>
      </c>
      <c r="D705" s="1298" t="s">
        <v>1369</v>
      </c>
      <c r="E705" s="1298">
        <v>610.41999999999996</v>
      </c>
      <c r="F705" s="1298"/>
      <c r="G705" s="1298" t="s">
        <v>32</v>
      </c>
      <c r="H705" s="1298" t="s">
        <v>33</v>
      </c>
      <c r="I705" s="1298" t="s">
        <v>34</v>
      </c>
      <c r="J705" s="1298" t="s">
        <v>34</v>
      </c>
      <c r="K705" s="1298" t="s">
        <v>34</v>
      </c>
      <c r="L705" s="1298">
        <v>80006.53</v>
      </c>
      <c r="M705" s="1513">
        <f>L705*0.05</f>
        <v>4000.3265000000001</v>
      </c>
      <c r="N705" s="1516">
        <v>43481</v>
      </c>
      <c r="O705" s="1298" t="s">
        <v>6152</v>
      </c>
      <c r="P705" s="1298" t="s">
        <v>6153</v>
      </c>
      <c r="Q705" s="1298">
        <v>13832107939</v>
      </c>
      <c r="R705" s="1298" t="s">
        <v>6152</v>
      </c>
      <c r="S705" s="1298" t="s">
        <v>6056</v>
      </c>
      <c r="T705" s="1323"/>
    </row>
    <row r="706" spans="1:20" s="1030" customFormat="1" ht="20.100000000000001" customHeight="1">
      <c r="A706" s="1321"/>
      <c r="B706" s="1298" t="s">
        <v>1605</v>
      </c>
      <c r="C706" s="1298" t="s">
        <v>6820</v>
      </c>
      <c r="D706" s="1298" t="s">
        <v>1369</v>
      </c>
      <c r="E706" s="1298">
        <v>1299.96</v>
      </c>
      <c r="F706" s="1298"/>
      <c r="G706" s="1298" t="s">
        <v>32</v>
      </c>
      <c r="H706" s="1298" t="s">
        <v>33</v>
      </c>
      <c r="I706" s="1298" t="s">
        <v>34</v>
      </c>
      <c r="J706" s="1298" t="s">
        <v>34</v>
      </c>
      <c r="K706" s="1298" t="s">
        <v>34</v>
      </c>
      <c r="L706" s="1298">
        <v>170383.16</v>
      </c>
      <c r="M706" s="1513">
        <f>L706*0.05</f>
        <v>8519.1580000000013</v>
      </c>
      <c r="N706" s="1516">
        <v>43481</v>
      </c>
      <c r="O706" s="1298" t="s">
        <v>6152</v>
      </c>
      <c r="P706" s="1298" t="s">
        <v>6153</v>
      </c>
      <c r="Q706" s="1298">
        <v>13832107939</v>
      </c>
      <c r="R706" s="1298" t="s">
        <v>6152</v>
      </c>
      <c r="S706" s="1298" t="s">
        <v>6056</v>
      </c>
      <c r="T706" s="1323"/>
    </row>
    <row r="707" spans="1:20" s="1030" customFormat="1" ht="20.100000000000001" customHeight="1">
      <c r="A707" s="1321"/>
      <c r="B707" s="1298" t="s">
        <v>6821</v>
      </c>
      <c r="C707" s="1298" t="s">
        <v>6822</v>
      </c>
      <c r="D707" s="1298" t="s">
        <v>464</v>
      </c>
      <c r="E707" s="1298">
        <v>1020</v>
      </c>
      <c r="F707" s="1298"/>
      <c r="G707" s="1298" t="s">
        <v>32</v>
      </c>
      <c r="H707" s="1298" t="s">
        <v>33</v>
      </c>
      <c r="I707" s="1298" t="s">
        <v>34</v>
      </c>
      <c r="J707" s="1298" t="s">
        <v>34</v>
      </c>
      <c r="K707" s="1298" t="s">
        <v>34</v>
      </c>
      <c r="L707" s="1298">
        <v>20796.07</v>
      </c>
      <c r="M707" s="1513">
        <f>L707*0.2</f>
        <v>4159.2139999999999</v>
      </c>
      <c r="N707" s="1516">
        <v>43481</v>
      </c>
      <c r="O707" s="1298" t="s">
        <v>6152</v>
      </c>
      <c r="P707" s="1298" t="s">
        <v>6153</v>
      </c>
      <c r="Q707" s="1298">
        <v>13832107939</v>
      </c>
      <c r="R707" s="1298" t="s">
        <v>6152</v>
      </c>
      <c r="S707" s="1298" t="s">
        <v>6056</v>
      </c>
      <c r="T707" s="1323"/>
    </row>
    <row r="708" spans="1:20" s="1030" customFormat="1" ht="20.100000000000001" customHeight="1">
      <c r="A708" s="1321"/>
      <c r="B708" s="1298" t="s">
        <v>6821</v>
      </c>
      <c r="C708" s="1298">
        <v>500</v>
      </c>
      <c r="D708" s="1298" t="s">
        <v>464</v>
      </c>
      <c r="E708" s="1298">
        <v>1060</v>
      </c>
      <c r="F708" s="1298"/>
      <c r="G708" s="1298" t="s">
        <v>32</v>
      </c>
      <c r="H708" s="1298" t="s">
        <v>33</v>
      </c>
      <c r="I708" s="1298" t="s">
        <v>34</v>
      </c>
      <c r="J708" s="1298" t="s">
        <v>34</v>
      </c>
      <c r="K708" s="1298" t="s">
        <v>34</v>
      </c>
      <c r="L708" s="1298">
        <v>21611.599999999999</v>
      </c>
      <c r="M708" s="1513">
        <f>L708*0.2</f>
        <v>4322.32</v>
      </c>
      <c r="N708" s="1516">
        <v>43481</v>
      </c>
      <c r="O708" s="1298" t="s">
        <v>6152</v>
      </c>
      <c r="P708" s="1298" t="s">
        <v>6153</v>
      </c>
      <c r="Q708" s="1298">
        <v>13832107939</v>
      </c>
      <c r="R708" s="1298" t="s">
        <v>6152</v>
      </c>
      <c r="S708" s="1298" t="s">
        <v>6056</v>
      </c>
      <c r="T708" s="1323"/>
    </row>
    <row r="709" spans="1:20" s="1030" customFormat="1" ht="20.100000000000001" customHeight="1">
      <c r="A709" s="1321"/>
      <c r="B709" s="1298" t="s">
        <v>6821</v>
      </c>
      <c r="C709" s="1298" t="s">
        <v>6823</v>
      </c>
      <c r="D709" s="1298" t="s">
        <v>464</v>
      </c>
      <c r="E709" s="1298">
        <v>100</v>
      </c>
      <c r="F709" s="1298"/>
      <c r="G709" s="1298" t="s">
        <v>32</v>
      </c>
      <c r="H709" s="1298" t="s">
        <v>33</v>
      </c>
      <c r="I709" s="1298" t="s">
        <v>34</v>
      </c>
      <c r="J709" s="1298" t="s">
        <v>6824</v>
      </c>
      <c r="K709" s="1298" t="s">
        <v>34</v>
      </c>
      <c r="L709" s="1298">
        <v>2038.82</v>
      </c>
      <c r="M709" s="1513">
        <f>L709*0.2</f>
        <v>407.76400000000001</v>
      </c>
      <c r="N709" s="1516">
        <v>43481</v>
      </c>
      <c r="O709" s="1298" t="s">
        <v>6152</v>
      </c>
      <c r="P709" s="1298" t="s">
        <v>6153</v>
      </c>
      <c r="Q709" s="1298">
        <v>13832107939</v>
      </c>
      <c r="R709" s="1298" t="s">
        <v>6152</v>
      </c>
      <c r="S709" s="1298" t="s">
        <v>6056</v>
      </c>
      <c r="T709" s="1323"/>
    </row>
    <row r="710" spans="1:20" s="1030" customFormat="1" ht="20.100000000000001" customHeight="1">
      <c r="A710" s="1321"/>
      <c r="B710" s="1298" t="s">
        <v>1546</v>
      </c>
      <c r="C710" s="1298" t="s">
        <v>6815</v>
      </c>
      <c r="D710" s="1298" t="s">
        <v>3475</v>
      </c>
      <c r="E710" s="1298">
        <v>500</v>
      </c>
      <c r="F710" s="1298"/>
      <c r="G710" s="1298" t="s">
        <v>32</v>
      </c>
      <c r="H710" s="1298" t="s">
        <v>33</v>
      </c>
      <c r="I710" s="1298" t="s">
        <v>34</v>
      </c>
      <c r="J710" s="1298" t="s">
        <v>34</v>
      </c>
      <c r="K710" s="1298" t="s">
        <v>34</v>
      </c>
      <c r="L710" s="1298">
        <v>840517.24</v>
      </c>
      <c r="M710" s="1513">
        <v>42025.858204999997</v>
      </c>
      <c r="N710" s="1516">
        <v>43521</v>
      </c>
      <c r="O710" s="1298" t="s">
        <v>6152</v>
      </c>
      <c r="P710" s="1298" t="s">
        <v>6153</v>
      </c>
      <c r="Q710" s="1298">
        <v>13832107939</v>
      </c>
      <c r="R710" s="1298" t="s">
        <v>6152</v>
      </c>
      <c r="S710" s="1298" t="s">
        <v>6056</v>
      </c>
      <c r="T710" s="1323"/>
    </row>
    <row r="711" spans="1:20" s="1030" customFormat="1" ht="20.100000000000001" customHeight="1">
      <c r="A711" s="1321"/>
      <c r="B711" s="1298" t="s">
        <v>1605</v>
      </c>
      <c r="C711" s="1298" t="s">
        <v>6808</v>
      </c>
      <c r="D711" s="1298" t="s">
        <v>1369</v>
      </c>
      <c r="E711" s="1298">
        <v>28130.76</v>
      </c>
      <c r="F711" s="1298"/>
      <c r="G711" s="1298" t="s">
        <v>32</v>
      </c>
      <c r="H711" s="1298" t="s">
        <v>33</v>
      </c>
      <c r="I711" s="1298" t="s">
        <v>34</v>
      </c>
      <c r="J711" s="1298" t="s">
        <v>34</v>
      </c>
      <c r="K711" s="1298" t="s">
        <v>34</v>
      </c>
      <c r="L711" s="1298">
        <v>759045.51</v>
      </c>
      <c r="M711" s="1513">
        <f>L711*0.05</f>
        <v>37952.275500000003</v>
      </c>
      <c r="N711" s="1516">
        <v>43521</v>
      </c>
      <c r="O711" s="1298" t="s">
        <v>6152</v>
      </c>
      <c r="P711" s="1298" t="s">
        <v>6153</v>
      </c>
      <c r="Q711" s="1298">
        <v>13832107939</v>
      </c>
      <c r="R711" s="1298" t="s">
        <v>6152</v>
      </c>
      <c r="S711" s="1298" t="s">
        <v>6056</v>
      </c>
      <c r="T711" s="1323"/>
    </row>
    <row r="712" spans="1:20" s="1030" customFormat="1" ht="20.100000000000001" customHeight="1">
      <c r="A712" s="1321"/>
      <c r="B712" s="1298" t="s">
        <v>6825</v>
      </c>
      <c r="C712" s="1298" t="s">
        <v>6826</v>
      </c>
      <c r="D712" s="1298" t="s">
        <v>31</v>
      </c>
      <c r="E712" s="1298">
        <v>1635</v>
      </c>
      <c r="F712" s="1298"/>
      <c r="G712" s="1298" t="s">
        <v>32</v>
      </c>
      <c r="H712" s="1298" t="s">
        <v>33</v>
      </c>
      <c r="I712" s="1298" t="s">
        <v>34</v>
      </c>
      <c r="J712" s="1298" t="s">
        <v>34</v>
      </c>
      <c r="K712" s="1298" t="s">
        <v>34</v>
      </c>
      <c r="L712" s="1298">
        <v>96036.41</v>
      </c>
      <c r="M712" s="1513">
        <f>L712*0.05</f>
        <v>4801.8205000000007</v>
      </c>
      <c r="N712" s="1516">
        <v>43536</v>
      </c>
      <c r="O712" s="1298" t="s">
        <v>6152</v>
      </c>
      <c r="P712" s="1298" t="s">
        <v>6153</v>
      </c>
      <c r="Q712" s="1298">
        <v>13832107939</v>
      </c>
      <c r="R712" s="1298" t="s">
        <v>6152</v>
      </c>
      <c r="S712" s="1298" t="s">
        <v>6056</v>
      </c>
      <c r="T712" s="1323"/>
    </row>
    <row r="713" spans="1:20" s="1030" customFormat="1" ht="20.100000000000001" customHeight="1">
      <c r="A713" s="1321"/>
      <c r="B713" s="1298" t="s">
        <v>1546</v>
      </c>
      <c r="C713" s="1298" t="s">
        <v>6815</v>
      </c>
      <c r="D713" s="1298" t="s">
        <v>3475</v>
      </c>
      <c r="E713" s="1298">
        <v>1160</v>
      </c>
      <c r="F713" s="1298"/>
      <c r="G713" s="1298" t="s">
        <v>32</v>
      </c>
      <c r="H713" s="1298" t="s">
        <v>33</v>
      </c>
      <c r="I713" s="1298" t="s">
        <v>34</v>
      </c>
      <c r="J713" s="1298" t="s">
        <v>34</v>
      </c>
      <c r="K713" s="1298" t="s">
        <v>34</v>
      </c>
      <c r="L713" s="1298">
        <v>1981461.33</v>
      </c>
      <c r="M713" s="1517">
        <v>99073.072482000003</v>
      </c>
      <c r="N713" s="1516">
        <v>43593</v>
      </c>
      <c r="O713" s="1298" t="s">
        <v>6152</v>
      </c>
      <c r="P713" s="1298" t="s">
        <v>6153</v>
      </c>
      <c r="Q713" s="1298">
        <v>13832107939</v>
      </c>
      <c r="R713" s="1298" t="s">
        <v>6152</v>
      </c>
      <c r="S713" s="1298" t="s">
        <v>6056</v>
      </c>
      <c r="T713" s="1323"/>
    </row>
    <row r="714" spans="1:20" s="1030" customFormat="1" ht="20.100000000000001" customHeight="1">
      <c r="A714" s="1321"/>
      <c r="B714" s="1298" t="s">
        <v>1605</v>
      </c>
      <c r="C714" s="1298" t="s">
        <v>6808</v>
      </c>
      <c r="D714" s="1298" t="s">
        <v>1369</v>
      </c>
      <c r="E714" s="1298">
        <v>8444.9999000000007</v>
      </c>
      <c r="F714" s="1298"/>
      <c r="G714" s="1298" t="s">
        <v>32</v>
      </c>
      <c r="H714" s="1298" t="s">
        <v>33</v>
      </c>
      <c r="I714" s="1298" t="s">
        <v>34</v>
      </c>
      <c r="J714" s="1298" t="s">
        <v>34</v>
      </c>
      <c r="K714" s="1298" t="s">
        <v>34</v>
      </c>
      <c r="L714" s="1298">
        <v>256629.61161329999</v>
      </c>
      <c r="M714" s="1517">
        <v>12831.484097299999</v>
      </c>
      <c r="N714" s="1516">
        <v>43610</v>
      </c>
      <c r="O714" s="1298" t="s">
        <v>6152</v>
      </c>
      <c r="P714" s="1298" t="s">
        <v>6153</v>
      </c>
      <c r="Q714" s="1298">
        <v>13832107939</v>
      </c>
      <c r="R714" s="1298" t="s">
        <v>6152</v>
      </c>
      <c r="S714" s="1298" t="s">
        <v>6056</v>
      </c>
      <c r="T714" s="1323"/>
    </row>
    <row r="715" spans="1:20" s="1030" customFormat="1" ht="20.100000000000001" customHeight="1">
      <c r="A715" s="1321"/>
      <c r="B715" s="1298" t="s">
        <v>1605</v>
      </c>
      <c r="C715" s="1298" t="s">
        <v>6816</v>
      </c>
      <c r="D715" s="1298" t="s">
        <v>31</v>
      </c>
      <c r="E715" s="1298">
        <v>25200</v>
      </c>
      <c r="F715" s="1298"/>
      <c r="G715" s="1298" t="s">
        <v>32</v>
      </c>
      <c r="H715" s="1298" t="s">
        <v>33</v>
      </c>
      <c r="I715" s="1298" t="s">
        <v>34</v>
      </c>
      <c r="J715" s="1298" t="s">
        <v>34</v>
      </c>
      <c r="K715" s="1298" t="s">
        <v>34</v>
      </c>
      <c r="L715" s="1298">
        <v>2020103.89</v>
      </c>
      <c r="M715" s="1517">
        <v>863583.334149</v>
      </c>
      <c r="N715" s="1516">
        <v>43593</v>
      </c>
      <c r="O715" s="1298" t="s">
        <v>6152</v>
      </c>
      <c r="P715" s="1298" t="s">
        <v>6153</v>
      </c>
      <c r="Q715" s="1298">
        <v>13832107939</v>
      </c>
      <c r="R715" s="1298" t="s">
        <v>6152</v>
      </c>
      <c r="S715" s="1298" t="s">
        <v>6056</v>
      </c>
      <c r="T715" s="1323"/>
    </row>
    <row r="716" spans="1:20" s="1030" customFormat="1" ht="20.100000000000001" customHeight="1">
      <c r="A716" s="1321"/>
      <c r="B716" s="1298" t="s">
        <v>1546</v>
      </c>
      <c r="C716" s="1298" t="s">
        <v>6815</v>
      </c>
      <c r="D716" s="1298" t="s">
        <v>3475</v>
      </c>
      <c r="E716" s="1298">
        <v>145.15199999999999</v>
      </c>
      <c r="F716" s="1298"/>
      <c r="G716" s="1298" t="s">
        <v>32</v>
      </c>
      <c r="H716" s="1298" t="s">
        <v>33</v>
      </c>
      <c r="I716" s="1298" t="s">
        <v>34</v>
      </c>
      <c r="J716" s="1298" t="s">
        <v>34</v>
      </c>
      <c r="K716" s="1298" t="s">
        <v>34</v>
      </c>
      <c r="L716" s="1298">
        <v>247759.05</v>
      </c>
      <c r="M716" s="1517">
        <v>12387.946952</v>
      </c>
      <c r="N716" s="1516">
        <v>43648</v>
      </c>
      <c r="O716" s="1298" t="s">
        <v>6152</v>
      </c>
      <c r="P716" s="1298" t="s">
        <v>6153</v>
      </c>
      <c r="Q716" s="1298">
        <v>13832107939</v>
      </c>
      <c r="R716" s="1298" t="s">
        <v>6152</v>
      </c>
      <c r="S716" s="1298" t="s">
        <v>6056</v>
      </c>
      <c r="T716" s="1323"/>
    </row>
    <row r="717" spans="1:20" s="1030" customFormat="1" ht="20.100000000000001" customHeight="1">
      <c r="A717" s="1321"/>
      <c r="B717" s="1298" t="s">
        <v>1605</v>
      </c>
      <c r="C717" s="1298" t="s">
        <v>6816</v>
      </c>
      <c r="D717" s="1298" t="s">
        <v>31</v>
      </c>
      <c r="E717" s="1298">
        <v>1950</v>
      </c>
      <c r="F717" s="1298"/>
      <c r="G717" s="1298" t="s">
        <v>32</v>
      </c>
      <c r="H717" s="1298" t="s">
        <v>33</v>
      </c>
      <c r="I717" s="1298" t="s">
        <v>34</v>
      </c>
      <c r="J717" s="1298" t="s">
        <v>34</v>
      </c>
      <c r="K717" s="1298" t="s">
        <v>34</v>
      </c>
      <c r="L717" s="1298">
        <v>156317.57</v>
      </c>
      <c r="M717" s="1517">
        <v>7815.8829640000004</v>
      </c>
      <c r="N717" s="1516">
        <v>43648</v>
      </c>
      <c r="O717" s="1298" t="s">
        <v>6152</v>
      </c>
      <c r="P717" s="1298" t="s">
        <v>6153</v>
      </c>
      <c r="Q717" s="1298">
        <v>13832107939</v>
      </c>
      <c r="R717" s="1298" t="s">
        <v>6152</v>
      </c>
      <c r="S717" s="1298" t="s">
        <v>6056</v>
      </c>
      <c r="T717" s="1323"/>
    </row>
    <row r="718" spans="1:20" s="1030" customFormat="1" ht="20.100000000000001" customHeight="1">
      <c r="A718" s="1321"/>
      <c r="B718" s="1298" t="s">
        <v>1546</v>
      </c>
      <c r="C718" s="1298" t="s">
        <v>6815</v>
      </c>
      <c r="D718" s="1298" t="s">
        <v>3475</v>
      </c>
      <c r="E718" s="1298">
        <v>403</v>
      </c>
      <c r="F718" s="1298"/>
      <c r="G718" s="1298" t="s">
        <v>32</v>
      </c>
      <c r="H718" s="1298" t="s">
        <v>33</v>
      </c>
      <c r="I718" s="1298" t="s">
        <v>34</v>
      </c>
      <c r="J718" s="1298" t="s">
        <v>34</v>
      </c>
      <c r="K718" s="1298" t="s">
        <v>34</v>
      </c>
      <c r="L718" s="1298">
        <v>695442.48</v>
      </c>
      <c r="M718" s="1517">
        <v>34772.122210000001</v>
      </c>
      <c r="N718" s="1516">
        <v>43668</v>
      </c>
      <c r="O718" s="1298" t="s">
        <v>6152</v>
      </c>
      <c r="P718" s="1298" t="s">
        <v>6153</v>
      </c>
      <c r="Q718" s="1298">
        <v>13832107939</v>
      </c>
      <c r="R718" s="1298" t="s">
        <v>6152</v>
      </c>
      <c r="S718" s="1298" t="s">
        <v>6056</v>
      </c>
      <c r="T718" s="1323"/>
    </row>
    <row r="719" spans="1:20" s="1030" customFormat="1" ht="20.100000000000001" customHeight="1">
      <c r="A719" s="1321"/>
      <c r="B719" s="1393" t="s">
        <v>1516</v>
      </c>
      <c r="C719" s="1379" t="s">
        <v>6827</v>
      </c>
      <c r="D719" s="1379" t="s">
        <v>161</v>
      </c>
      <c r="E719" s="1394" t="s">
        <v>6828</v>
      </c>
      <c r="F719" s="1310"/>
      <c r="G719" s="1380" t="s">
        <v>32</v>
      </c>
      <c r="H719" s="1192" t="s">
        <v>33</v>
      </c>
      <c r="I719" s="1373"/>
      <c r="J719" s="1373"/>
      <c r="K719" s="1373"/>
      <c r="L719" s="1400">
        <v>9609.5999999999985</v>
      </c>
      <c r="M719" s="1298">
        <v>7687.68</v>
      </c>
      <c r="N719" s="1382" t="s">
        <v>6829</v>
      </c>
      <c r="O719" s="1310" t="s">
        <v>6337</v>
      </c>
      <c r="P719" s="1389" t="s">
        <v>6136</v>
      </c>
      <c r="Q719" s="1390" t="s">
        <v>6137</v>
      </c>
      <c r="R719" s="1289" t="s">
        <v>6338</v>
      </c>
      <c r="S719" s="1345" t="s">
        <v>6056</v>
      </c>
      <c r="T719" s="1323"/>
    </row>
    <row r="720" spans="1:20" s="1030" customFormat="1" ht="20.100000000000001" customHeight="1">
      <c r="A720" s="1321"/>
      <c r="B720" s="1393" t="s">
        <v>1516</v>
      </c>
      <c r="C720" s="1379" t="s">
        <v>6830</v>
      </c>
      <c r="D720" s="1379" t="s">
        <v>161</v>
      </c>
      <c r="E720" s="1394" t="s">
        <v>6831</v>
      </c>
      <c r="F720" s="1310"/>
      <c r="G720" s="1380" t="s">
        <v>32</v>
      </c>
      <c r="H720" s="1192" t="s">
        <v>33</v>
      </c>
      <c r="I720" s="1373"/>
      <c r="J720" s="1373"/>
      <c r="K720" s="1373"/>
      <c r="L720" s="1400">
        <v>5295.6</v>
      </c>
      <c r="M720" s="1298">
        <v>4236.0960000000005</v>
      </c>
      <c r="N720" s="1382" t="s">
        <v>6829</v>
      </c>
      <c r="O720" s="1310" t="s">
        <v>6337</v>
      </c>
      <c r="P720" s="1389" t="s">
        <v>6136</v>
      </c>
      <c r="Q720" s="1390" t="s">
        <v>6137</v>
      </c>
      <c r="R720" s="1289" t="s">
        <v>6338</v>
      </c>
      <c r="S720" s="1345" t="s">
        <v>6056</v>
      </c>
      <c r="T720" s="1323"/>
    </row>
    <row r="721" spans="1:20" s="1030" customFormat="1" ht="20.100000000000001" customHeight="1">
      <c r="A721" s="1321"/>
      <c r="B721" s="1393" t="s">
        <v>1516</v>
      </c>
      <c r="C721" s="1379" t="s">
        <v>6832</v>
      </c>
      <c r="D721" s="1379" t="s">
        <v>161</v>
      </c>
      <c r="E721" s="1394" t="s">
        <v>6833</v>
      </c>
      <c r="F721" s="1310"/>
      <c r="G721" s="1380" t="s">
        <v>32</v>
      </c>
      <c r="H721" s="1192" t="s">
        <v>33</v>
      </c>
      <c r="I721" s="1373"/>
      <c r="J721" s="1373"/>
      <c r="K721" s="1373"/>
      <c r="L721" s="1400">
        <v>5046.18</v>
      </c>
      <c r="M721" s="1298">
        <v>4036.8448000000008</v>
      </c>
      <c r="N721" s="1382" t="s">
        <v>6829</v>
      </c>
      <c r="O721" s="1310" t="s">
        <v>6337</v>
      </c>
      <c r="P721" s="1389" t="s">
        <v>6136</v>
      </c>
      <c r="Q721" s="1390" t="s">
        <v>6137</v>
      </c>
      <c r="R721" s="1289" t="s">
        <v>6338</v>
      </c>
      <c r="S721" s="1345" t="s">
        <v>6056</v>
      </c>
      <c r="T721" s="1323"/>
    </row>
    <row r="722" spans="1:20" s="1030" customFormat="1" ht="20.100000000000001" customHeight="1">
      <c r="A722" s="1321"/>
      <c r="B722" s="1393" t="s">
        <v>1516</v>
      </c>
      <c r="C722" s="1379" t="s">
        <v>6834</v>
      </c>
      <c r="D722" s="1379" t="s">
        <v>161</v>
      </c>
      <c r="E722" s="1394" t="s">
        <v>6833</v>
      </c>
      <c r="F722" s="1310"/>
      <c r="G722" s="1380" t="s">
        <v>32</v>
      </c>
      <c r="H722" s="1192" t="s">
        <v>33</v>
      </c>
      <c r="I722" s="1373"/>
      <c r="J722" s="1373"/>
      <c r="K722" s="1373"/>
      <c r="L722" s="1400">
        <v>5167.7</v>
      </c>
      <c r="M722" s="1298">
        <v>4134.1103999999978</v>
      </c>
      <c r="N722" s="1382" t="s">
        <v>6829</v>
      </c>
      <c r="O722" s="1310" t="s">
        <v>6337</v>
      </c>
      <c r="P722" s="1389" t="s">
        <v>6136</v>
      </c>
      <c r="Q722" s="1390" t="s">
        <v>6137</v>
      </c>
      <c r="R722" s="1289" t="s">
        <v>6338</v>
      </c>
      <c r="S722" s="1345" t="s">
        <v>6056</v>
      </c>
      <c r="T722" s="1323"/>
    </row>
    <row r="723" spans="1:20" s="1030" customFormat="1" ht="20.100000000000001" customHeight="1">
      <c r="A723" s="1321"/>
      <c r="B723" s="1393" t="s">
        <v>1516</v>
      </c>
      <c r="C723" s="1379" t="s">
        <v>6835</v>
      </c>
      <c r="D723" s="1379" t="s">
        <v>161</v>
      </c>
      <c r="E723" s="1394" t="s">
        <v>6836</v>
      </c>
      <c r="F723" s="1310"/>
      <c r="G723" s="1380" t="s">
        <v>32</v>
      </c>
      <c r="H723" s="1192" t="s">
        <v>33</v>
      </c>
      <c r="I723" s="1373"/>
      <c r="J723" s="1373"/>
      <c r="K723" s="1373"/>
      <c r="L723" s="1400">
        <v>4167.5</v>
      </c>
      <c r="M723" s="1298">
        <v>3333.96</v>
      </c>
      <c r="N723" s="1382" t="s">
        <v>6829</v>
      </c>
      <c r="O723" s="1310" t="s">
        <v>6337</v>
      </c>
      <c r="P723" s="1389" t="s">
        <v>6136</v>
      </c>
      <c r="Q723" s="1390" t="s">
        <v>6137</v>
      </c>
      <c r="R723" s="1289" t="s">
        <v>6338</v>
      </c>
      <c r="S723" s="1345" t="s">
        <v>6056</v>
      </c>
      <c r="T723" s="1323"/>
    </row>
    <row r="724" spans="1:20" s="1030" customFormat="1" ht="20.100000000000001" customHeight="1">
      <c r="A724" s="1321"/>
      <c r="B724" s="1393" t="s">
        <v>1516</v>
      </c>
      <c r="C724" s="1379" t="s">
        <v>6837</v>
      </c>
      <c r="D724" s="1379" t="s">
        <v>161</v>
      </c>
      <c r="E724" s="1394" t="s">
        <v>6838</v>
      </c>
      <c r="F724" s="1310"/>
      <c r="G724" s="1518" t="s">
        <v>32</v>
      </c>
      <c r="H724" s="1310" t="s">
        <v>33</v>
      </c>
      <c r="I724" s="1373"/>
      <c r="J724" s="1373"/>
      <c r="K724" s="1373"/>
      <c r="L724" s="1400">
        <v>17846.5</v>
      </c>
      <c r="M724" s="1298">
        <v>14277.255999999998</v>
      </c>
      <c r="N724" s="1382" t="s">
        <v>6829</v>
      </c>
      <c r="O724" s="1310" t="s">
        <v>6337</v>
      </c>
      <c r="P724" s="1383" t="s">
        <v>6136</v>
      </c>
      <c r="Q724" s="1384" t="s">
        <v>6137</v>
      </c>
      <c r="R724" s="1289" t="s">
        <v>6338</v>
      </c>
      <c r="S724" s="1345" t="s">
        <v>6056</v>
      </c>
      <c r="T724" s="1323"/>
    </row>
    <row r="725" spans="1:20" ht="57.75" customHeight="1">
      <c r="A725" s="1955" t="s">
        <v>6839</v>
      </c>
      <c r="B725" s="1955"/>
      <c r="C725" s="1955"/>
      <c r="D725" s="1955"/>
      <c r="E725" s="1955"/>
      <c r="F725" s="1955"/>
      <c r="G725" s="1955"/>
      <c r="H725" s="1955"/>
      <c r="I725" s="1955"/>
      <c r="J725" s="1955"/>
      <c r="K725" s="1955"/>
      <c r="L725" s="1955"/>
      <c r="M725" s="1955"/>
      <c r="N725" s="1955"/>
      <c r="O725" s="1955"/>
      <c r="P725" s="1955"/>
      <c r="Q725" s="1955"/>
      <c r="R725" s="1955"/>
      <c r="S725" s="1955"/>
      <c r="T725" s="1955"/>
    </row>
  </sheetData>
  <mergeCells count="33">
    <mergeCell ref="A725:T725"/>
    <mergeCell ref="F148:F149"/>
    <mergeCell ref="L148:L149"/>
    <mergeCell ref="M148:M149"/>
    <mergeCell ref="F150:F152"/>
    <mergeCell ref="L150:L152"/>
    <mergeCell ref="M150:M152"/>
    <mergeCell ref="Q3:Q4"/>
    <mergeCell ref="S3:S4"/>
    <mergeCell ref="F155:F159"/>
    <mergeCell ref="L155:L159"/>
    <mergeCell ref="M155:M159"/>
    <mergeCell ref="F122:F128"/>
    <mergeCell ref="L122:L128"/>
    <mergeCell ref="M122:M128"/>
    <mergeCell ref="F145:F146"/>
    <mergeCell ref="L145:L146"/>
    <mergeCell ref="R3:R4"/>
    <mergeCell ref="M145:M146"/>
    <mergeCell ref="A1:T1"/>
    <mergeCell ref="A2:T2"/>
    <mergeCell ref="A3:A4"/>
    <mergeCell ref="B3:B4"/>
    <mergeCell ref="C3:C4"/>
    <mergeCell ref="D3:D4"/>
    <mergeCell ref="E3:E4"/>
    <mergeCell ref="G3:G4"/>
    <mergeCell ref="H3:H4"/>
    <mergeCell ref="J3:J4"/>
    <mergeCell ref="T3:T4"/>
    <mergeCell ref="N3:N4"/>
    <mergeCell ref="O3:O4"/>
    <mergeCell ref="P3:P4"/>
  </mergeCells>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U398"/>
  <sheetViews>
    <sheetView topLeftCell="A121" workbookViewId="0">
      <selection activeCell="I135" sqref="I135"/>
    </sheetView>
  </sheetViews>
  <sheetFormatPr defaultColWidth="9" defaultRowHeight="24" customHeight="1"/>
  <cols>
    <col min="1" max="1" width="8.5" style="1280" customWidth="1"/>
    <col min="2" max="2" width="18.5" style="613" customWidth="1"/>
    <col min="3" max="3" width="15.875" style="1280" customWidth="1"/>
    <col min="4" max="4" width="4.75" style="613" customWidth="1"/>
    <col min="5" max="5" width="9.375" style="671" customWidth="1"/>
    <col min="6" max="6" width="8.125" style="1280" customWidth="1"/>
    <col min="7" max="7" width="8.125" style="613" customWidth="1"/>
    <col min="8" max="8" width="8" style="613" customWidth="1"/>
    <col min="9" max="9" width="19.5" style="613" customWidth="1"/>
    <col min="10" max="10" width="16.75" style="613" customWidth="1"/>
    <col min="11" max="11" width="28.875" style="613" customWidth="1"/>
    <col min="12" max="12" width="13.375" style="1280" customWidth="1"/>
    <col min="13" max="13" width="12.25" style="1280" customWidth="1"/>
    <col min="14" max="14" width="11.75" style="1280" customWidth="1"/>
    <col min="15" max="15" width="18.75" style="1280" customWidth="1"/>
    <col min="16" max="16" width="8" style="1280" customWidth="1"/>
    <col min="17" max="17" width="13.25" style="1280" customWidth="1"/>
    <col min="18" max="18" width="15.75" style="613" customWidth="1"/>
    <col min="19" max="19" width="8" style="613" customWidth="1"/>
    <col min="20" max="20" width="20.875" style="613" customWidth="1"/>
    <col min="21" max="16384" width="9" style="613"/>
  </cols>
  <sheetData>
    <row r="1" spans="1:20" ht="24" customHeight="1">
      <c r="A1" s="96" t="s">
        <v>0</v>
      </c>
      <c r="B1" s="608"/>
      <c r="C1" s="609"/>
      <c r="D1" s="608"/>
      <c r="E1" s="1603"/>
      <c r="F1" s="609"/>
      <c r="G1" s="608"/>
      <c r="H1" s="608"/>
      <c r="I1" s="608"/>
      <c r="J1" s="608"/>
      <c r="K1" s="608"/>
      <c r="L1" s="609"/>
      <c r="M1" s="610"/>
      <c r="N1" s="609"/>
      <c r="O1" s="1603"/>
      <c r="P1" s="609"/>
      <c r="Q1" s="609"/>
      <c r="R1" s="608"/>
      <c r="S1" s="612"/>
    </row>
    <row r="2" spans="1:20" s="614" customFormat="1" ht="24" customHeight="1">
      <c r="A2" s="1868" t="s">
        <v>7092</v>
      </c>
      <c r="B2" s="1868"/>
      <c r="C2" s="1868"/>
      <c r="D2" s="1868"/>
      <c r="E2" s="1868"/>
      <c r="F2" s="1868"/>
      <c r="G2" s="1868"/>
      <c r="H2" s="1868"/>
      <c r="I2" s="1868"/>
      <c r="J2" s="1868"/>
      <c r="K2" s="1868"/>
      <c r="L2" s="1868"/>
      <c r="M2" s="1868"/>
      <c r="N2" s="1868"/>
      <c r="O2" s="1868"/>
      <c r="P2" s="1868"/>
      <c r="Q2" s="1868"/>
      <c r="R2" s="1868"/>
      <c r="S2" s="1868"/>
    </row>
    <row r="3" spans="1:20" s="614" customFormat="1" ht="24" customHeight="1">
      <c r="A3" s="1982" t="s">
        <v>7093</v>
      </c>
      <c r="B3" s="1983"/>
      <c r="C3" s="1983"/>
      <c r="D3" s="1983"/>
      <c r="E3" s="1983"/>
      <c r="F3" s="1983"/>
      <c r="G3" s="1983"/>
      <c r="H3" s="1983"/>
      <c r="I3" s="1983"/>
      <c r="J3" s="1983"/>
      <c r="K3" s="1983"/>
      <c r="L3" s="1983"/>
      <c r="M3" s="1983"/>
      <c r="N3" s="1983"/>
      <c r="O3" s="1983"/>
      <c r="P3" s="1983"/>
      <c r="Q3" s="1983"/>
      <c r="R3" s="1983"/>
      <c r="S3" s="1983"/>
      <c r="T3" s="1604"/>
    </row>
    <row r="4" spans="1:20" ht="24" customHeight="1">
      <c r="A4" s="1605" t="s">
        <v>2</v>
      </c>
      <c r="B4" s="1969" t="s">
        <v>3</v>
      </c>
      <c r="C4" s="1981" t="s">
        <v>4</v>
      </c>
      <c r="D4" s="1984" t="s">
        <v>5</v>
      </c>
      <c r="E4" s="1981" t="s">
        <v>1729</v>
      </c>
      <c r="F4" s="1939" t="s">
        <v>4658</v>
      </c>
      <c r="G4" s="1969" t="s">
        <v>8</v>
      </c>
      <c r="H4" s="1969" t="s">
        <v>9</v>
      </c>
      <c r="I4" s="1985" t="s">
        <v>4659</v>
      </c>
      <c r="J4" s="1969" t="s">
        <v>11</v>
      </c>
      <c r="K4" s="1979" t="s">
        <v>4660</v>
      </c>
      <c r="L4" s="1965" t="s">
        <v>13</v>
      </c>
      <c r="M4" s="1965" t="s">
        <v>14</v>
      </c>
      <c r="N4" s="1981" t="s">
        <v>15</v>
      </c>
      <c r="O4" s="1981" t="s">
        <v>16</v>
      </c>
      <c r="P4" s="1987" t="s">
        <v>17</v>
      </c>
      <c r="Q4" s="1981" t="s">
        <v>18</v>
      </c>
      <c r="R4" s="1969" t="s">
        <v>19</v>
      </c>
      <c r="S4" s="1970" t="s">
        <v>20</v>
      </c>
      <c r="T4" s="1970" t="s">
        <v>21</v>
      </c>
    </row>
    <row r="5" spans="1:20" ht="24" customHeight="1">
      <c r="A5" s="1605"/>
      <c r="B5" s="1969"/>
      <c r="C5" s="1981"/>
      <c r="D5" s="1984"/>
      <c r="E5" s="1981"/>
      <c r="F5" s="1940"/>
      <c r="G5" s="1969"/>
      <c r="H5" s="1969"/>
      <c r="I5" s="1986"/>
      <c r="J5" s="1969"/>
      <c r="K5" s="1980"/>
      <c r="L5" s="1966"/>
      <c r="M5" s="1980"/>
      <c r="N5" s="1981"/>
      <c r="O5" s="1981"/>
      <c r="P5" s="1987"/>
      <c r="Q5" s="1981"/>
      <c r="R5" s="1969"/>
      <c r="S5" s="1970"/>
      <c r="T5" s="1970"/>
    </row>
    <row r="6" spans="1:20" ht="24" customHeight="1">
      <c r="A6" s="319" t="s">
        <v>26</v>
      </c>
      <c r="B6" s="1606" t="s">
        <v>27</v>
      </c>
      <c r="C6" s="1286"/>
      <c r="D6" s="1607"/>
      <c r="E6" s="1286"/>
      <c r="F6" s="1286"/>
      <c r="G6" s="1608"/>
      <c r="H6" s="1608"/>
      <c r="I6" s="1607"/>
      <c r="J6" s="1608"/>
      <c r="K6" s="1608"/>
      <c r="L6" s="1609"/>
      <c r="M6" s="1610"/>
      <c r="N6" s="1286"/>
      <c r="O6" s="1286"/>
      <c r="P6" s="1287"/>
      <c r="Q6" s="1286"/>
      <c r="R6" s="1608"/>
      <c r="S6" s="1611"/>
      <c r="T6" s="1612"/>
    </row>
    <row r="7" spans="1:20" ht="24" customHeight="1">
      <c r="A7" s="1605">
        <v>1</v>
      </c>
      <c r="B7" s="1608" t="s">
        <v>28</v>
      </c>
      <c r="C7" s="1286"/>
      <c r="D7" s="1607"/>
      <c r="E7" s="1286"/>
      <c r="F7" s="1286"/>
      <c r="G7" s="1608"/>
      <c r="H7" s="1608"/>
      <c r="I7" s="1607"/>
      <c r="J7" s="1608"/>
      <c r="K7" s="1608"/>
      <c r="L7" s="1286"/>
      <c r="M7" s="1610"/>
      <c r="N7" s="1286"/>
      <c r="O7" s="1286"/>
      <c r="P7" s="1287"/>
      <c r="Q7" s="1286"/>
      <c r="R7" s="1608"/>
      <c r="S7" s="1611" t="s">
        <v>7094</v>
      </c>
      <c r="T7" s="1611"/>
    </row>
    <row r="8" spans="1:20" ht="24" customHeight="1">
      <c r="A8" s="1605" t="s">
        <v>1758</v>
      </c>
      <c r="B8" s="1613" t="s">
        <v>7095</v>
      </c>
      <c r="C8" s="1613" t="s">
        <v>7096</v>
      </c>
      <c r="D8" s="1613" t="s">
        <v>79</v>
      </c>
      <c r="E8" s="1613">
        <v>68</v>
      </c>
      <c r="F8" s="1613">
        <v>176.8</v>
      </c>
      <c r="G8" s="1613"/>
      <c r="H8" s="661"/>
      <c r="I8" s="661"/>
      <c r="J8" s="661"/>
      <c r="K8" s="1614" t="s">
        <v>7097</v>
      </c>
      <c r="L8" s="1614">
        <v>1676618.88</v>
      </c>
      <c r="M8" s="1614">
        <v>927752.57349905395</v>
      </c>
      <c r="N8" s="1615"/>
      <c r="O8" s="1613" t="s">
        <v>7098</v>
      </c>
      <c r="P8" s="1613" t="s">
        <v>7099</v>
      </c>
      <c r="Q8" s="1616">
        <v>13331072377</v>
      </c>
      <c r="R8" s="1613" t="s">
        <v>7098</v>
      </c>
      <c r="S8" s="1611" t="s">
        <v>7094</v>
      </c>
      <c r="T8" s="1612"/>
    </row>
    <row r="9" spans="1:20" ht="24" customHeight="1">
      <c r="A9" s="1605" t="s">
        <v>1767</v>
      </c>
      <c r="B9" s="1613" t="s">
        <v>7095</v>
      </c>
      <c r="C9" s="1613" t="s">
        <v>7100</v>
      </c>
      <c r="D9" s="1613" t="s">
        <v>79</v>
      </c>
      <c r="E9" s="1613">
        <v>21</v>
      </c>
      <c r="F9" s="1613">
        <v>73.5</v>
      </c>
      <c r="G9" s="1613"/>
      <c r="H9" s="661"/>
      <c r="I9" s="661"/>
      <c r="J9" s="661"/>
      <c r="K9" s="1614" t="s">
        <v>7097</v>
      </c>
      <c r="L9" s="1614">
        <v>697170.5</v>
      </c>
      <c r="M9" s="1614">
        <v>521696.50907457201</v>
      </c>
      <c r="N9" s="1615"/>
      <c r="O9" s="1613" t="s">
        <v>7098</v>
      </c>
      <c r="P9" s="1613" t="s">
        <v>7099</v>
      </c>
      <c r="Q9" s="1616">
        <v>13331072377</v>
      </c>
      <c r="R9" s="1613" t="s">
        <v>7098</v>
      </c>
      <c r="S9" s="1611" t="s">
        <v>7094</v>
      </c>
      <c r="T9" s="1612"/>
    </row>
    <row r="10" spans="1:20" ht="24" customHeight="1">
      <c r="A10" s="1605" t="s">
        <v>1769</v>
      </c>
      <c r="B10" s="1613" t="s">
        <v>7101</v>
      </c>
      <c r="C10" s="1613"/>
      <c r="D10" s="1613" t="s">
        <v>79</v>
      </c>
      <c r="E10" s="1613">
        <v>6</v>
      </c>
      <c r="F10" s="1613">
        <v>13.98</v>
      </c>
      <c r="G10" s="1613"/>
      <c r="H10" s="661"/>
      <c r="I10" s="661"/>
      <c r="J10" s="661"/>
      <c r="K10" s="1614"/>
      <c r="L10" s="1614">
        <v>150646.54</v>
      </c>
      <c r="M10" s="1614">
        <v>7532.3334332333498</v>
      </c>
      <c r="N10" s="1615"/>
      <c r="O10" s="1613" t="s">
        <v>7098</v>
      </c>
      <c r="P10" s="1613" t="s">
        <v>7099</v>
      </c>
      <c r="Q10" s="1616">
        <v>13331072377</v>
      </c>
      <c r="R10" s="1613" t="s">
        <v>7098</v>
      </c>
      <c r="S10" s="1611" t="s">
        <v>7094</v>
      </c>
      <c r="T10" s="1612"/>
    </row>
    <row r="11" spans="1:20" ht="24" customHeight="1">
      <c r="A11" s="1605" t="s">
        <v>1771</v>
      </c>
      <c r="B11" s="1613" t="s">
        <v>7102</v>
      </c>
      <c r="C11" s="1613" t="s">
        <v>7103</v>
      </c>
      <c r="D11" s="1613" t="s">
        <v>131</v>
      </c>
      <c r="E11" s="1613">
        <v>80</v>
      </c>
      <c r="F11" s="1613">
        <v>45.584000000000003</v>
      </c>
      <c r="G11" s="1613"/>
      <c r="H11" s="661"/>
      <c r="I11" s="661"/>
      <c r="J11" s="661"/>
      <c r="K11" s="1614"/>
      <c r="L11" s="1614">
        <v>286725.65999999997</v>
      </c>
      <c r="M11" s="1614">
        <v>243716.81099999999</v>
      </c>
      <c r="N11" s="1615"/>
      <c r="O11" s="1613" t="s">
        <v>7098</v>
      </c>
      <c r="P11" s="1613" t="s">
        <v>7099</v>
      </c>
      <c r="Q11" s="1616">
        <v>13331072377</v>
      </c>
      <c r="R11" s="1613" t="s">
        <v>7098</v>
      </c>
      <c r="S11" s="1611" t="s">
        <v>7094</v>
      </c>
      <c r="T11" s="1612"/>
    </row>
    <row r="12" spans="1:20" ht="24" customHeight="1">
      <c r="A12" s="1605" t="s">
        <v>1773</v>
      </c>
      <c r="B12" s="1613" t="s">
        <v>7102</v>
      </c>
      <c r="C12" s="1613" t="s">
        <v>7104</v>
      </c>
      <c r="D12" s="1613" t="s">
        <v>131</v>
      </c>
      <c r="E12" s="1613">
        <v>210</v>
      </c>
      <c r="F12" s="1613">
        <v>90.384</v>
      </c>
      <c r="G12" s="1613"/>
      <c r="H12" s="661"/>
      <c r="I12" s="661"/>
      <c r="J12" s="661"/>
      <c r="K12" s="1614"/>
      <c r="L12" s="1614">
        <v>568672.56000000006</v>
      </c>
      <c r="M12" s="1614">
        <v>483371.67599999998</v>
      </c>
      <c r="N12" s="1615"/>
      <c r="O12" s="1613" t="s">
        <v>7098</v>
      </c>
      <c r="P12" s="1613" t="s">
        <v>7099</v>
      </c>
      <c r="Q12" s="1616">
        <v>13331072377</v>
      </c>
      <c r="R12" s="1613" t="s">
        <v>7098</v>
      </c>
      <c r="S12" s="1611" t="s">
        <v>7094</v>
      </c>
      <c r="T12" s="1612"/>
    </row>
    <row r="13" spans="1:20" ht="24" customHeight="1">
      <c r="A13" s="1605" t="s">
        <v>1780</v>
      </c>
      <c r="B13" s="1613" t="s">
        <v>7095</v>
      </c>
      <c r="C13" s="1613" t="s">
        <v>7105</v>
      </c>
      <c r="D13" s="1613" t="s">
        <v>79</v>
      </c>
      <c r="E13" s="1613">
        <v>42</v>
      </c>
      <c r="F13" s="1613">
        <v>204.16200000000001</v>
      </c>
      <c r="G13" s="1613"/>
      <c r="H13" s="661"/>
      <c r="I13" s="661"/>
      <c r="J13" s="661"/>
      <c r="K13" s="1614" t="s">
        <v>7097</v>
      </c>
      <c r="L13" s="1614">
        <v>1130371.67</v>
      </c>
      <c r="M13" s="1614">
        <v>960815.91949999996</v>
      </c>
      <c r="N13" s="1615"/>
      <c r="O13" s="1613" t="s">
        <v>7098</v>
      </c>
      <c r="P13" s="1613" t="s">
        <v>7099</v>
      </c>
      <c r="Q13" s="1616">
        <v>13331072377</v>
      </c>
      <c r="R13" s="1613" t="s">
        <v>7098</v>
      </c>
      <c r="S13" s="1611" t="s">
        <v>7094</v>
      </c>
      <c r="T13" s="1612"/>
    </row>
    <row r="14" spans="1:20" ht="24" customHeight="1">
      <c r="A14" s="1605" t="s">
        <v>1783</v>
      </c>
      <c r="B14" s="1613" t="s">
        <v>7106</v>
      </c>
      <c r="C14" s="1613"/>
      <c r="D14" s="1613" t="s">
        <v>131</v>
      </c>
      <c r="E14" s="1613">
        <v>1</v>
      </c>
      <c r="F14" s="1613">
        <v>0.54</v>
      </c>
      <c r="G14" s="1613"/>
      <c r="H14" s="661"/>
      <c r="I14" s="661"/>
      <c r="J14" s="661"/>
      <c r="K14" s="1614"/>
      <c r="L14" s="1614">
        <v>7766.99</v>
      </c>
      <c r="M14" s="1614">
        <v>6601.9414999999999</v>
      </c>
      <c r="N14" s="1612"/>
      <c r="O14" s="1613" t="s">
        <v>7098</v>
      </c>
      <c r="P14" s="1613" t="s">
        <v>7099</v>
      </c>
      <c r="Q14" s="1616">
        <v>13331072377</v>
      </c>
      <c r="R14" s="1613" t="s">
        <v>7098</v>
      </c>
      <c r="S14" s="1611" t="s">
        <v>7094</v>
      </c>
      <c r="T14" s="1612"/>
    </row>
    <row r="15" spans="1:20" ht="24" customHeight="1">
      <c r="A15" s="1605" t="s">
        <v>1786</v>
      </c>
      <c r="B15" s="1613" t="s">
        <v>7107</v>
      </c>
      <c r="C15" s="1617"/>
      <c r="D15" s="1613" t="s">
        <v>79</v>
      </c>
      <c r="E15" s="1613">
        <f>62+26</f>
        <v>88</v>
      </c>
      <c r="F15" s="1613">
        <v>14.256</v>
      </c>
      <c r="G15" s="1613"/>
      <c r="H15" s="661"/>
      <c r="I15" s="661"/>
      <c r="J15" s="661"/>
      <c r="K15" s="1614" t="s">
        <v>7108</v>
      </c>
      <c r="L15" s="1614">
        <v>174553.98</v>
      </c>
      <c r="M15" s="1614">
        <v>17455.398000000001</v>
      </c>
      <c r="N15" s="1618">
        <v>43739</v>
      </c>
      <c r="O15" s="1613" t="s">
        <v>7098</v>
      </c>
      <c r="P15" s="1613" t="s">
        <v>7099</v>
      </c>
      <c r="Q15" s="1616">
        <v>13331072377</v>
      </c>
      <c r="R15" s="1613" t="s">
        <v>7098</v>
      </c>
      <c r="S15" s="1611" t="s">
        <v>7094</v>
      </c>
      <c r="T15" s="1612"/>
    </row>
    <row r="16" spans="1:20" ht="24" customHeight="1">
      <c r="A16" s="1605" t="s">
        <v>1789</v>
      </c>
      <c r="B16" s="1613" t="s">
        <v>7109</v>
      </c>
      <c r="C16" s="1617"/>
      <c r="D16" s="1613" t="s">
        <v>79</v>
      </c>
      <c r="E16" s="1613">
        <f>43+27+13</f>
        <v>83</v>
      </c>
      <c r="F16" s="1613">
        <v>99.019000000000005</v>
      </c>
      <c r="G16" s="1613"/>
      <c r="H16" s="661"/>
      <c r="I16" s="661"/>
      <c r="J16" s="661"/>
      <c r="K16" s="1614" t="s">
        <v>7108</v>
      </c>
      <c r="L16" s="1614">
        <v>1121642.49</v>
      </c>
      <c r="M16" s="1614">
        <v>112164.249</v>
      </c>
      <c r="N16" s="1618">
        <v>43739</v>
      </c>
      <c r="O16" s="1613" t="s">
        <v>7098</v>
      </c>
      <c r="P16" s="1613" t="s">
        <v>7099</v>
      </c>
      <c r="Q16" s="1616">
        <v>13331072377</v>
      </c>
      <c r="R16" s="1613" t="s">
        <v>7098</v>
      </c>
      <c r="S16" s="1611" t="s">
        <v>7094</v>
      </c>
      <c r="T16" s="1612"/>
    </row>
    <row r="17" spans="1:20" ht="24" customHeight="1">
      <c r="A17" s="1605" t="s">
        <v>1796</v>
      </c>
      <c r="B17" s="1613" t="s">
        <v>7110</v>
      </c>
      <c r="C17" s="1617"/>
      <c r="D17" s="1613" t="s">
        <v>79</v>
      </c>
      <c r="E17" s="1613">
        <v>2</v>
      </c>
      <c r="F17" s="1613">
        <v>7.22</v>
      </c>
      <c r="G17" s="1613"/>
      <c r="H17" s="661"/>
      <c r="I17" s="661"/>
      <c r="J17" s="661"/>
      <c r="K17" s="1614" t="s">
        <v>7111</v>
      </c>
      <c r="L17" s="1614">
        <v>40892.04</v>
      </c>
      <c r="M17" s="1614">
        <v>4089.2040000000002</v>
      </c>
      <c r="N17" s="1618">
        <v>43739</v>
      </c>
      <c r="O17" s="1613" t="s">
        <v>7098</v>
      </c>
      <c r="P17" s="1613" t="s">
        <v>7099</v>
      </c>
      <c r="Q17" s="1616">
        <v>13331072377</v>
      </c>
      <c r="R17" s="1613" t="s">
        <v>7098</v>
      </c>
      <c r="S17" s="1611" t="s">
        <v>7094</v>
      </c>
      <c r="T17" s="1612"/>
    </row>
    <row r="18" spans="1:20" ht="24" customHeight="1">
      <c r="A18" s="1605" t="s">
        <v>1799</v>
      </c>
      <c r="B18" s="1613" t="s">
        <v>7112</v>
      </c>
      <c r="C18" s="1617"/>
      <c r="D18" s="1613" t="s">
        <v>79</v>
      </c>
      <c r="E18" s="1613">
        <v>4</v>
      </c>
      <c r="F18" s="1613">
        <v>25.6</v>
      </c>
      <c r="G18" s="1613"/>
      <c r="H18" s="661"/>
      <c r="I18" s="661"/>
      <c r="J18" s="661"/>
      <c r="K18" s="1614" t="s">
        <v>7113</v>
      </c>
      <c r="L18" s="1614">
        <v>138980.71</v>
      </c>
      <c r="M18" s="1614">
        <v>13898.071</v>
      </c>
      <c r="N18" s="1618">
        <v>43800</v>
      </c>
      <c r="O18" s="1613" t="s">
        <v>7098</v>
      </c>
      <c r="P18" s="1613" t="s">
        <v>7099</v>
      </c>
      <c r="Q18" s="1616">
        <v>13331072377</v>
      </c>
      <c r="R18" s="1613" t="s">
        <v>7098</v>
      </c>
      <c r="S18" s="1611" t="s">
        <v>7094</v>
      </c>
      <c r="T18" s="1612"/>
    </row>
    <row r="19" spans="1:20" ht="24" customHeight="1">
      <c r="A19" s="1605" t="s">
        <v>1801</v>
      </c>
      <c r="B19" s="1613" t="s">
        <v>7114</v>
      </c>
      <c r="C19" s="1617"/>
      <c r="D19" s="1613" t="s">
        <v>131</v>
      </c>
      <c r="E19" s="1613">
        <v>700</v>
      </c>
      <c r="F19" s="1613">
        <v>7.0000000000000007E-2</v>
      </c>
      <c r="G19" s="1613"/>
      <c r="H19" s="661"/>
      <c r="I19" s="661"/>
      <c r="J19" s="661"/>
      <c r="K19" s="1614" t="s">
        <v>7113</v>
      </c>
      <c r="L19" s="1614">
        <v>1371.68</v>
      </c>
      <c r="M19" s="1614">
        <v>0</v>
      </c>
      <c r="N19" s="1618">
        <v>43800</v>
      </c>
      <c r="O19" s="1613" t="s">
        <v>7098</v>
      </c>
      <c r="P19" s="1613" t="s">
        <v>7099</v>
      </c>
      <c r="Q19" s="1616">
        <v>13331072377</v>
      </c>
      <c r="R19" s="1613" t="s">
        <v>7098</v>
      </c>
      <c r="S19" s="1611" t="s">
        <v>7094</v>
      </c>
      <c r="T19" s="1612"/>
    </row>
    <row r="20" spans="1:20" ht="24" customHeight="1">
      <c r="A20" s="1605" t="s">
        <v>1802</v>
      </c>
      <c r="B20" s="643" t="s">
        <v>7115</v>
      </c>
      <c r="C20" s="1617"/>
      <c r="D20" s="1613" t="s">
        <v>79</v>
      </c>
      <c r="E20" s="1613">
        <v>20</v>
      </c>
      <c r="F20" s="1613">
        <v>3</v>
      </c>
      <c r="G20" s="1613"/>
      <c r="H20" s="661"/>
      <c r="I20" s="661"/>
      <c r="J20" s="661"/>
      <c r="K20" s="1614" t="s">
        <v>7113</v>
      </c>
      <c r="L20" s="1614">
        <v>37500</v>
      </c>
      <c r="M20" s="1614">
        <v>3750</v>
      </c>
      <c r="N20" s="1618">
        <v>43922</v>
      </c>
      <c r="O20" s="1613" t="s">
        <v>7098</v>
      </c>
      <c r="P20" s="1613" t="s">
        <v>7099</v>
      </c>
      <c r="Q20" s="1616">
        <v>13331072377</v>
      </c>
      <c r="R20" s="1613" t="s">
        <v>7098</v>
      </c>
      <c r="S20" s="1611" t="s">
        <v>7094</v>
      </c>
      <c r="T20" s="1612"/>
    </row>
    <row r="21" spans="1:20" ht="24" customHeight="1">
      <c r="A21" s="1605" t="s">
        <v>1807</v>
      </c>
      <c r="B21" s="643" t="s">
        <v>7116</v>
      </c>
      <c r="C21" s="643"/>
      <c r="D21" s="643" t="s">
        <v>79</v>
      </c>
      <c r="E21" s="643">
        <v>6</v>
      </c>
      <c r="F21" s="1613">
        <v>17.157</v>
      </c>
      <c r="G21" s="1613"/>
      <c r="H21" s="661"/>
      <c r="I21" s="661"/>
      <c r="J21" s="661"/>
      <c r="K21" s="1614" t="s">
        <v>7113</v>
      </c>
      <c r="L21" s="1614">
        <v>217893.9</v>
      </c>
      <c r="M21" s="1614">
        <v>21789.39</v>
      </c>
      <c r="N21" s="1618">
        <v>43922</v>
      </c>
      <c r="O21" s="1613" t="s">
        <v>7098</v>
      </c>
      <c r="P21" s="1613" t="s">
        <v>7099</v>
      </c>
      <c r="Q21" s="1616">
        <v>13331072377</v>
      </c>
      <c r="R21" s="1613" t="s">
        <v>7098</v>
      </c>
      <c r="S21" s="1611" t="s">
        <v>7094</v>
      </c>
      <c r="T21" s="1612"/>
    </row>
    <row r="22" spans="1:20" ht="24" customHeight="1">
      <c r="A22" s="1605" t="s">
        <v>2624</v>
      </c>
      <c r="B22" s="643" t="s">
        <v>7117</v>
      </c>
      <c r="C22" s="643"/>
      <c r="D22" s="643" t="s">
        <v>79</v>
      </c>
      <c r="E22" s="643">
        <v>11</v>
      </c>
      <c r="F22" s="1613">
        <v>8.0002999999999993</v>
      </c>
      <c r="G22" s="1613"/>
      <c r="H22" s="661"/>
      <c r="I22" s="661"/>
      <c r="J22" s="661"/>
      <c r="K22" s="1614" t="s">
        <v>7113</v>
      </c>
      <c r="L22" s="1614">
        <v>101600</v>
      </c>
      <c r="M22" s="1614">
        <v>10160</v>
      </c>
      <c r="N22" s="1618">
        <v>43922</v>
      </c>
      <c r="O22" s="1613" t="s">
        <v>7098</v>
      </c>
      <c r="P22" s="1613" t="s">
        <v>7099</v>
      </c>
      <c r="Q22" s="1616">
        <v>13331072377</v>
      </c>
      <c r="R22" s="1613" t="s">
        <v>7098</v>
      </c>
      <c r="S22" s="1611" t="s">
        <v>7094</v>
      </c>
      <c r="T22" s="1612"/>
    </row>
    <row r="23" spans="1:20" ht="24" customHeight="1">
      <c r="A23" s="1605" t="s">
        <v>1808</v>
      </c>
      <c r="B23" s="643" t="s">
        <v>7118</v>
      </c>
      <c r="C23" s="643"/>
      <c r="D23" s="643" t="s">
        <v>79</v>
      </c>
      <c r="E23" s="643">
        <v>6</v>
      </c>
      <c r="F23" s="1613">
        <v>9</v>
      </c>
      <c r="G23" s="1613"/>
      <c r="H23" s="661"/>
      <c r="I23" s="661"/>
      <c r="J23" s="661"/>
      <c r="K23" s="1614" t="s">
        <v>7113</v>
      </c>
      <c r="L23" s="1614">
        <v>115200</v>
      </c>
      <c r="M23" s="1614">
        <v>11520</v>
      </c>
      <c r="N23" s="1618">
        <v>43922</v>
      </c>
      <c r="O23" s="1613" t="s">
        <v>7098</v>
      </c>
      <c r="P23" s="1613" t="s">
        <v>7099</v>
      </c>
      <c r="Q23" s="1616">
        <v>13331072377</v>
      </c>
      <c r="R23" s="1613" t="s">
        <v>7098</v>
      </c>
      <c r="S23" s="1611" t="s">
        <v>7094</v>
      </c>
      <c r="T23" s="1612"/>
    </row>
    <row r="24" spans="1:20" ht="24" customHeight="1">
      <c r="A24" s="1605" t="s">
        <v>1814</v>
      </c>
      <c r="B24" s="643" t="s">
        <v>7119</v>
      </c>
      <c r="C24" s="643"/>
      <c r="D24" s="643" t="s">
        <v>79</v>
      </c>
      <c r="E24" s="643">
        <v>2</v>
      </c>
      <c r="F24" s="1613">
        <v>3.4820000000000002</v>
      </c>
      <c r="G24" s="1613"/>
      <c r="H24" s="661"/>
      <c r="I24" s="661"/>
      <c r="J24" s="661"/>
      <c r="K24" s="1614" t="s">
        <v>7113</v>
      </c>
      <c r="L24" s="1614">
        <v>44575</v>
      </c>
      <c r="M24" s="1614">
        <v>4457.5</v>
      </c>
      <c r="N24" s="1618">
        <v>43922</v>
      </c>
      <c r="O24" s="1613" t="s">
        <v>7098</v>
      </c>
      <c r="P24" s="1613" t="s">
        <v>7099</v>
      </c>
      <c r="Q24" s="1616">
        <v>13331072377</v>
      </c>
      <c r="R24" s="1613" t="s">
        <v>7098</v>
      </c>
      <c r="S24" s="1611" t="s">
        <v>7094</v>
      </c>
      <c r="T24" s="1612"/>
    </row>
    <row r="25" spans="1:20" ht="24" customHeight="1">
      <c r="A25" s="1605" t="s">
        <v>1818</v>
      </c>
      <c r="B25" s="1613" t="s">
        <v>7120</v>
      </c>
      <c r="C25" s="1617"/>
      <c r="D25" s="1613" t="s">
        <v>131</v>
      </c>
      <c r="E25" s="1613">
        <v>35</v>
      </c>
      <c r="F25" s="1613">
        <v>170.13499999999999</v>
      </c>
      <c r="G25" s="1613"/>
      <c r="H25" s="661"/>
      <c r="I25" s="661"/>
      <c r="J25" s="661"/>
      <c r="K25" s="1614" t="s">
        <v>7097</v>
      </c>
      <c r="L25" s="1614">
        <v>271061.67</v>
      </c>
      <c r="M25" s="1614">
        <v>222424.29</v>
      </c>
      <c r="N25" s="1612"/>
      <c r="O25" s="1613" t="s">
        <v>7098</v>
      </c>
      <c r="P25" s="1613" t="s">
        <v>7099</v>
      </c>
      <c r="Q25" s="1616">
        <v>13331072377</v>
      </c>
      <c r="R25" s="1613" t="s">
        <v>7098</v>
      </c>
      <c r="S25" s="1611" t="s">
        <v>7094</v>
      </c>
      <c r="T25" s="1612"/>
    </row>
    <row r="26" spans="1:20" ht="24" customHeight="1">
      <c r="A26" s="1605" t="s">
        <v>1820</v>
      </c>
      <c r="B26" s="1613" t="s">
        <v>7121</v>
      </c>
      <c r="C26" s="1617"/>
      <c r="D26" s="643" t="s">
        <v>79</v>
      </c>
      <c r="E26" s="1613">
        <v>90</v>
      </c>
      <c r="F26" s="1613">
        <v>10.039999999999999</v>
      </c>
      <c r="G26" s="661"/>
      <c r="H26" s="661"/>
      <c r="I26" s="661"/>
      <c r="J26" s="661"/>
      <c r="K26" s="1614" t="s">
        <v>7113</v>
      </c>
      <c r="L26" s="1614">
        <v>125500</v>
      </c>
      <c r="M26" s="1614">
        <v>111061.94</v>
      </c>
      <c r="N26" s="1618">
        <v>44287</v>
      </c>
      <c r="O26" s="1613" t="s">
        <v>7098</v>
      </c>
      <c r="P26" s="1613" t="s">
        <v>7099</v>
      </c>
      <c r="Q26" s="1616">
        <v>13331072377</v>
      </c>
      <c r="R26" s="1613" t="s">
        <v>7098</v>
      </c>
      <c r="S26" s="1611" t="s">
        <v>7094</v>
      </c>
      <c r="T26" s="1612"/>
    </row>
    <row r="27" spans="1:20" ht="24" customHeight="1">
      <c r="A27" s="1605" t="s">
        <v>1823</v>
      </c>
      <c r="B27" s="1613" t="s">
        <v>7122</v>
      </c>
      <c r="C27" s="1617"/>
      <c r="D27" s="643" t="s">
        <v>79</v>
      </c>
      <c r="E27" s="1613">
        <v>13</v>
      </c>
      <c r="F27" s="1613">
        <v>13.1</v>
      </c>
      <c r="G27" s="661"/>
      <c r="H27" s="661"/>
      <c r="I27" s="661"/>
      <c r="J27" s="661"/>
      <c r="K27" s="1614" t="s">
        <v>7113</v>
      </c>
      <c r="L27" s="1614">
        <v>166370</v>
      </c>
      <c r="M27" s="1614">
        <v>147230.09</v>
      </c>
      <c r="N27" s="1618">
        <v>44287</v>
      </c>
      <c r="O27" s="1613" t="s">
        <v>7098</v>
      </c>
      <c r="P27" s="1613" t="s">
        <v>7099</v>
      </c>
      <c r="Q27" s="1616">
        <v>13331072377</v>
      </c>
      <c r="R27" s="1613" t="s">
        <v>7098</v>
      </c>
      <c r="S27" s="1611" t="s">
        <v>7094</v>
      </c>
      <c r="T27" s="1612"/>
    </row>
    <row r="28" spans="1:20" ht="24" customHeight="1">
      <c r="A28" s="1605" t="s">
        <v>1825</v>
      </c>
      <c r="B28" s="1613" t="s">
        <v>7123</v>
      </c>
      <c r="C28" s="1617"/>
      <c r="D28" s="643" t="s">
        <v>79</v>
      </c>
      <c r="E28" s="1613">
        <v>17</v>
      </c>
      <c r="F28" s="1613">
        <v>0.82</v>
      </c>
      <c r="G28" s="661"/>
      <c r="H28" s="661"/>
      <c r="I28" s="661"/>
      <c r="J28" s="661"/>
      <c r="K28" s="1614" t="s">
        <v>7113</v>
      </c>
      <c r="L28" s="1614">
        <v>10414</v>
      </c>
      <c r="M28" s="1614">
        <v>9215.93</v>
      </c>
      <c r="N28" s="1618">
        <v>44287</v>
      </c>
      <c r="O28" s="1613" t="s">
        <v>7098</v>
      </c>
      <c r="P28" s="1613" t="s">
        <v>7099</v>
      </c>
      <c r="Q28" s="1616">
        <v>13331072377</v>
      </c>
      <c r="R28" s="1613" t="s">
        <v>7098</v>
      </c>
      <c r="S28" s="1611" t="s">
        <v>7094</v>
      </c>
      <c r="T28" s="1612"/>
    </row>
    <row r="29" spans="1:20" ht="24" customHeight="1">
      <c r="A29" s="1605" t="s">
        <v>1829</v>
      </c>
      <c r="B29" s="1613" t="s">
        <v>7124</v>
      </c>
      <c r="C29" s="1617"/>
      <c r="D29" s="643" t="s">
        <v>79</v>
      </c>
      <c r="E29" s="1613">
        <v>3</v>
      </c>
      <c r="F29" s="1613">
        <v>5.6</v>
      </c>
      <c r="G29" s="661"/>
      <c r="H29" s="661"/>
      <c r="I29" s="661"/>
      <c r="J29" s="661"/>
      <c r="K29" s="1614" t="s">
        <v>7113</v>
      </c>
      <c r="L29" s="1614">
        <v>71120</v>
      </c>
      <c r="M29" s="1614">
        <v>62938.05</v>
      </c>
      <c r="N29" s="1618">
        <v>44287</v>
      </c>
      <c r="O29" s="1613" t="s">
        <v>7098</v>
      </c>
      <c r="P29" s="1613" t="s">
        <v>7099</v>
      </c>
      <c r="Q29" s="1616">
        <v>13331072377</v>
      </c>
      <c r="R29" s="1613" t="s">
        <v>7098</v>
      </c>
      <c r="S29" s="1611" t="s">
        <v>7094</v>
      </c>
      <c r="T29" s="1612"/>
    </row>
    <row r="30" spans="1:20" ht="24" customHeight="1">
      <c r="A30" s="1605" t="s">
        <v>1833</v>
      </c>
      <c r="B30" s="1613" t="s">
        <v>7125</v>
      </c>
      <c r="C30" s="1617"/>
      <c r="D30" s="643" t="s">
        <v>79</v>
      </c>
      <c r="E30" s="1613"/>
      <c r="F30" s="1613">
        <f>5.63+8.6+3.78</f>
        <v>18.010000000000002</v>
      </c>
      <c r="G30" s="661"/>
      <c r="H30" s="661"/>
      <c r="I30" s="661"/>
      <c r="J30" s="661"/>
      <c r="K30" s="1614" t="s">
        <v>7126</v>
      </c>
      <c r="L30" s="1614">
        <f>73190+111800+49140</f>
        <v>234130</v>
      </c>
      <c r="M30" s="1614">
        <v>207194.69</v>
      </c>
      <c r="N30" s="1618">
        <v>44287</v>
      </c>
      <c r="O30" s="1613" t="s">
        <v>7098</v>
      </c>
      <c r="P30" s="1613" t="s">
        <v>7099</v>
      </c>
      <c r="Q30" s="1616">
        <v>13331072377</v>
      </c>
      <c r="R30" s="1613" t="s">
        <v>7098</v>
      </c>
      <c r="S30" s="1611" t="s">
        <v>7094</v>
      </c>
      <c r="T30" s="1612"/>
    </row>
    <row r="31" spans="1:20" ht="24" customHeight="1">
      <c r="A31" s="1605" t="s">
        <v>1835</v>
      </c>
      <c r="B31" s="1613" t="s">
        <v>7127</v>
      </c>
      <c r="C31" s="1617"/>
      <c r="D31" s="643" t="s">
        <v>79</v>
      </c>
      <c r="E31" s="1613"/>
      <c r="F31" s="1613">
        <v>4.609</v>
      </c>
      <c r="G31" s="661"/>
      <c r="H31" s="661"/>
      <c r="I31" s="661"/>
      <c r="J31" s="661"/>
      <c r="K31" s="1614" t="s">
        <v>7126</v>
      </c>
      <c r="L31" s="1614">
        <v>59917</v>
      </c>
      <c r="M31" s="1614">
        <v>53023.89</v>
      </c>
      <c r="N31" s="1618">
        <v>44287</v>
      </c>
      <c r="O31" s="1613" t="s">
        <v>7098</v>
      </c>
      <c r="P31" s="1613" t="s">
        <v>7099</v>
      </c>
      <c r="Q31" s="1616">
        <v>13331072377</v>
      </c>
      <c r="R31" s="1613" t="s">
        <v>7098</v>
      </c>
      <c r="S31" s="1611" t="s">
        <v>7094</v>
      </c>
      <c r="T31" s="1612"/>
    </row>
    <row r="32" spans="1:20" ht="24" customHeight="1">
      <c r="A32" s="1605" t="s">
        <v>1838</v>
      </c>
      <c r="B32" s="1613" t="s">
        <v>7128</v>
      </c>
      <c r="C32" s="1617"/>
      <c r="D32" s="643" t="s">
        <v>79</v>
      </c>
      <c r="E32" s="1613">
        <v>3</v>
      </c>
      <c r="F32" s="1613">
        <v>5.53</v>
      </c>
      <c r="G32" s="661"/>
      <c r="H32" s="661"/>
      <c r="I32" s="661"/>
      <c r="J32" s="661"/>
      <c r="K32" s="1614" t="s">
        <v>7113</v>
      </c>
      <c r="L32" s="1614">
        <v>69125</v>
      </c>
      <c r="M32" s="1614">
        <v>61172.57</v>
      </c>
      <c r="N32" s="1618">
        <v>44409</v>
      </c>
      <c r="O32" s="1613" t="s">
        <v>7098</v>
      </c>
      <c r="P32" s="1613" t="s">
        <v>7099</v>
      </c>
      <c r="Q32" s="1616">
        <v>13331072377</v>
      </c>
      <c r="R32" s="1613" t="s">
        <v>7098</v>
      </c>
      <c r="S32" s="1611" t="s">
        <v>7094</v>
      </c>
      <c r="T32" s="1612"/>
    </row>
    <row r="33" spans="1:20" ht="24" customHeight="1">
      <c r="A33" s="1605" t="s">
        <v>1840</v>
      </c>
      <c r="B33" s="1613" t="s">
        <v>7129</v>
      </c>
      <c r="C33" s="1617"/>
      <c r="D33" s="643" t="s">
        <v>79</v>
      </c>
      <c r="E33" s="1613">
        <v>11</v>
      </c>
      <c r="F33" s="1613">
        <v>1.1919999999999999</v>
      </c>
      <c r="G33" s="661"/>
      <c r="H33" s="661"/>
      <c r="I33" s="661"/>
      <c r="J33" s="661"/>
      <c r="K33" s="1614" t="s">
        <v>7113</v>
      </c>
      <c r="L33" s="1614">
        <v>14900</v>
      </c>
      <c r="M33" s="1614">
        <v>13185.84</v>
      </c>
      <c r="N33" s="1618">
        <v>44409</v>
      </c>
      <c r="O33" s="1613" t="s">
        <v>7098</v>
      </c>
      <c r="P33" s="1613" t="s">
        <v>7099</v>
      </c>
      <c r="Q33" s="1616">
        <v>13331072377</v>
      </c>
      <c r="R33" s="1613" t="s">
        <v>7098</v>
      </c>
      <c r="S33" s="1611" t="s">
        <v>7094</v>
      </c>
      <c r="T33" s="1612"/>
    </row>
    <row r="34" spans="1:20" ht="24" customHeight="1">
      <c r="A34" s="1605" t="s">
        <v>1843</v>
      </c>
      <c r="B34" s="1613" t="s">
        <v>7130</v>
      </c>
      <c r="C34" s="1617"/>
      <c r="D34" s="643" t="s">
        <v>79</v>
      </c>
      <c r="E34" s="1613">
        <v>23</v>
      </c>
      <c r="F34" s="1613">
        <v>7.16</v>
      </c>
      <c r="G34" s="661"/>
      <c r="H34" s="661"/>
      <c r="I34" s="661"/>
      <c r="J34" s="661"/>
      <c r="K34" s="1614" t="s">
        <v>7113</v>
      </c>
      <c r="L34" s="1614">
        <v>89500</v>
      </c>
      <c r="M34" s="1614">
        <v>79203.539999999994</v>
      </c>
      <c r="N34" s="1618">
        <v>44409</v>
      </c>
      <c r="O34" s="1613" t="s">
        <v>7098</v>
      </c>
      <c r="P34" s="1613" t="s">
        <v>7099</v>
      </c>
      <c r="Q34" s="1616">
        <v>13331072377</v>
      </c>
      <c r="R34" s="1613" t="s">
        <v>7098</v>
      </c>
      <c r="S34" s="1611" t="s">
        <v>7094</v>
      </c>
      <c r="T34" s="1612"/>
    </row>
    <row r="35" spans="1:20" ht="24" customHeight="1">
      <c r="A35" s="1605" t="s">
        <v>1846</v>
      </c>
      <c r="B35" s="1613" t="s">
        <v>7131</v>
      </c>
      <c r="C35" s="1617"/>
      <c r="D35" s="643" t="s">
        <v>79</v>
      </c>
      <c r="E35" s="1613">
        <v>8</v>
      </c>
      <c r="F35" s="1613">
        <v>0.61</v>
      </c>
      <c r="G35" s="661"/>
      <c r="H35" s="661"/>
      <c r="I35" s="661"/>
      <c r="J35" s="661"/>
      <c r="K35" s="1614" t="s">
        <v>7113</v>
      </c>
      <c r="L35" s="1614">
        <v>7625</v>
      </c>
      <c r="M35" s="1614">
        <v>6747.79</v>
      </c>
      <c r="N35" s="1618">
        <v>44409</v>
      </c>
      <c r="O35" s="1613" t="s">
        <v>7098</v>
      </c>
      <c r="P35" s="1613" t="s">
        <v>7099</v>
      </c>
      <c r="Q35" s="1616">
        <v>13331072377</v>
      </c>
      <c r="R35" s="1613" t="s">
        <v>7098</v>
      </c>
      <c r="S35" s="1611" t="s">
        <v>7094</v>
      </c>
      <c r="T35" s="1612"/>
    </row>
    <row r="36" spans="1:20" ht="24" customHeight="1">
      <c r="A36" s="1605" t="s">
        <v>1847</v>
      </c>
      <c r="B36" s="1613" t="s">
        <v>7132</v>
      </c>
      <c r="C36" s="1617"/>
      <c r="D36" s="643" t="s">
        <v>79</v>
      </c>
      <c r="E36" s="1613">
        <v>104</v>
      </c>
      <c r="F36" s="1613">
        <v>8.6449999999999996</v>
      </c>
      <c r="G36" s="661"/>
      <c r="H36" s="661"/>
      <c r="I36" s="661"/>
      <c r="J36" s="661"/>
      <c r="K36" s="1614" t="s">
        <v>7113</v>
      </c>
      <c r="L36" s="1614">
        <v>108062.5</v>
      </c>
      <c r="M36" s="1614">
        <v>95630.53</v>
      </c>
      <c r="N36" s="1618">
        <v>44409</v>
      </c>
      <c r="O36" s="1613" t="s">
        <v>7098</v>
      </c>
      <c r="P36" s="1613" t="s">
        <v>7099</v>
      </c>
      <c r="Q36" s="1616">
        <v>13331072377</v>
      </c>
      <c r="R36" s="1613" t="s">
        <v>7098</v>
      </c>
      <c r="S36" s="1611" t="s">
        <v>7094</v>
      </c>
      <c r="T36" s="1612"/>
    </row>
    <row r="37" spans="1:20" ht="24" customHeight="1">
      <c r="A37" s="1605" t="s">
        <v>1848</v>
      </c>
      <c r="B37" s="1613" t="s">
        <v>7133</v>
      </c>
      <c r="C37" s="1617"/>
      <c r="D37" s="643" t="s">
        <v>79</v>
      </c>
      <c r="E37" s="1613">
        <v>8</v>
      </c>
      <c r="F37" s="1613">
        <v>4.508</v>
      </c>
      <c r="G37" s="661"/>
      <c r="H37" s="661"/>
      <c r="I37" s="661"/>
      <c r="J37" s="661"/>
      <c r="K37" s="1614" t="s">
        <v>7113</v>
      </c>
      <c r="L37" s="1614">
        <v>56350</v>
      </c>
      <c r="M37" s="1614">
        <v>49867.26</v>
      </c>
      <c r="N37" s="1618">
        <v>44409</v>
      </c>
      <c r="O37" s="1613" t="s">
        <v>7098</v>
      </c>
      <c r="P37" s="1613" t="s">
        <v>7099</v>
      </c>
      <c r="Q37" s="1616">
        <v>13331072377</v>
      </c>
      <c r="R37" s="1613" t="s">
        <v>7098</v>
      </c>
      <c r="S37" s="1611" t="s">
        <v>7094</v>
      </c>
      <c r="T37" s="1612"/>
    </row>
    <row r="38" spans="1:20" ht="24" customHeight="1">
      <c r="A38" s="1605" t="s">
        <v>1852</v>
      </c>
      <c r="B38" s="1613" t="s">
        <v>7134</v>
      </c>
      <c r="C38" s="1617"/>
      <c r="D38" s="1613" t="s">
        <v>79</v>
      </c>
      <c r="E38" s="1613">
        <v>12</v>
      </c>
      <c r="F38" s="1613">
        <v>1.2809999999999999</v>
      </c>
      <c r="G38" s="661"/>
      <c r="H38" s="661"/>
      <c r="I38" s="661"/>
      <c r="J38" s="661"/>
      <c r="K38" s="1612"/>
      <c r="L38" s="1614">
        <v>22831.86</v>
      </c>
      <c r="M38" s="653">
        <v>16553.0985</v>
      </c>
      <c r="N38" s="1612"/>
      <c r="O38" s="1613" t="s">
        <v>7098</v>
      </c>
      <c r="P38" s="1613" t="s">
        <v>7099</v>
      </c>
      <c r="Q38" s="1616">
        <v>13331072377</v>
      </c>
      <c r="R38" s="1613" t="s">
        <v>7098</v>
      </c>
      <c r="S38" s="1611" t="s">
        <v>7094</v>
      </c>
      <c r="T38" s="1612"/>
    </row>
    <row r="39" spans="1:20" ht="24" customHeight="1">
      <c r="A39" s="1605" t="s">
        <v>1855</v>
      </c>
      <c r="B39" s="1613" t="s">
        <v>7135</v>
      </c>
      <c r="C39" s="1617"/>
      <c r="D39" s="1613" t="s">
        <v>62</v>
      </c>
      <c r="E39" s="1619"/>
      <c r="F39" s="1613">
        <v>48.88</v>
      </c>
      <c r="G39" s="661"/>
      <c r="H39" s="661"/>
      <c r="I39" s="661"/>
      <c r="J39" s="661"/>
      <c r="K39" s="1612"/>
      <c r="L39" s="1614">
        <v>99510.23</v>
      </c>
      <c r="M39" s="653">
        <v>78000.820000000007</v>
      </c>
      <c r="N39" s="1612"/>
      <c r="O39" s="1613" t="s">
        <v>7098</v>
      </c>
      <c r="P39" s="1613" t="s">
        <v>7099</v>
      </c>
      <c r="Q39" s="1616">
        <v>13331072377</v>
      </c>
      <c r="R39" s="1613" t="s">
        <v>7098</v>
      </c>
      <c r="S39" s="1611" t="s">
        <v>7094</v>
      </c>
      <c r="T39" s="1287"/>
    </row>
    <row r="40" spans="1:20" ht="24" customHeight="1">
      <c r="A40" s="1605" t="s">
        <v>1857</v>
      </c>
      <c r="B40" s="1613" t="s">
        <v>7136</v>
      </c>
      <c r="C40" s="1617"/>
      <c r="D40" s="1613" t="s">
        <v>1467</v>
      </c>
      <c r="E40" s="1613">
        <v>1106.0999999999999</v>
      </c>
      <c r="F40" s="1613">
        <v>0.14099999999999999</v>
      </c>
      <c r="G40" s="661"/>
      <c r="H40" s="661"/>
      <c r="I40" s="661"/>
      <c r="J40" s="661"/>
      <c r="K40" s="1612"/>
      <c r="L40" s="1614">
        <v>246669.91</v>
      </c>
      <c r="M40" s="1614">
        <v>196757.264</v>
      </c>
      <c r="N40" s="1612"/>
      <c r="O40" s="1613" t="s">
        <v>7098</v>
      </c>
      <c r="P40" s="1613" t="s">
        <v>7099</v>
      </c>
      <c r="Q40" s="1616">
        <v>13331072377</v>
      </c>
      <c r="R40" s="1613" t="s">
        <v>7098</v>
      </c>
      <c r="S40" s="1611" t="s">
        <v>7094</v>
      </c>
      <c r="T40" s="1287"/>
    </row>
    <row r="41" spans="1:20" ht="24" customHeight="1">
      <c r="A41" s="1605" t="s">
        <v>1858</v>
      </c>
      <c r="B41" s="1620" t="s">
        <v>7137</v>
      </c>
      <c r="C41" s="1286" t="s">
        <v>7138</v>
      </c>
      <c r="D41" s="1287" t="s">
        <v>131</v>
      </c>
      <c r="E41" s="1286">
        <v>1</v>
      </c>
      <c r="F41" s="1286">
        <v>7</v>
      </c>
      <c r="G41" s="1286" t="s">
        <v>7139</v>
      </c>
      <c r="H41" s="1286" t="s">
        <v>41</v>
      </c>
      <c r="I41" s="1287" t="s">
        <v>7140</v>
      </c>
      <c r="J41" s="1286"/>
      <c r="K41" s="1286"/>
      <c r="L41" s="1621">
        <v>34852.81</v>
      </c>
      <c r="M41" s="1622">
        <v>34852.81</v>
      </c>
      <c r="N41" s="1286"/>
      <c r="O41" s="1286" t="s">
        <v>7141</v>
      </c>
      <c r="P41" s="1287" t="s">
        <v>7142</v>
      </c>
      <c r="Q41" s="1286">
        <v>13370139861</v>
      </c>
      <c r="R41" s="1286" t="s">
        <v>7143</v>
      </c>
      <c r="S41" s="1613" t="s">
        <v>7094</v>
      </c>
      <c r="T41" s="1287"/>
    </row>
    <row r="42" spans="1:20" ht="24" customHeight="1">
      <c r="A42" s="1605" t="s">
        <v>1859</v>
      </c>
      <c r="B42" s="1620" t="s">
        <v>7144</v>
      </c>
      <c r="C42" s="1286" t="s">
        <v>7145</v>
      </c>
      <c r="D42" s="1287" t="s">
        <v>31</v>
      </c>
      <c r="E42" s="1286">
        <v>12</v>
      </c>
      <c r="F42" s="1286">
        <v>4</v>
      </c>
      <c r="G42" s="1286" t="s">
        <v>7139</v>
      </c>
      <c r="H42" s="1286" t="s">
        <v>41</v>
      </c>
      <c r="I42" s="1287" t="s">
        <v>7140</v>
      </c>
      <c r="J42" s="1286"/>
      <c r="K42" s="1286"/>
      <c r="L42" s="1621">
        <v>67752.14</v>
      </c>
      <c r="M42" s="1623">
        <v>67752.14</v>
      </c>
      <c r="N42" s="1286">
        <v>2014</v>
      </c>
      <c r="O42" s="1286" t="s">
        <v>7146</v>
      </c>
      <c r="P42" s="1287" t="s">
        <v>7142</v>
      </c>
      <c r="Q42" s="1286">
        <v>13370139861</v>
      </c>
      <c r="R42" s="1286" t="s">
        <v>7143</v>
      </c>
      <c r="S42" s="1613" t="s">
        <v>7094</v>
      </c>
      <c r="T42" s="1287"/>
    </row>
    <row r="43" spans="1:20" ht="24" customHeight="1">
      <c r="A43" s="1605" t="s">
        <v>1861</v>
      </c>
      <c r="B43" s="1620" t="s">
        <v>7147</v>
      </c>
      <c r="C43" s="1286" t="s">
        <v>7148</v>
      </c>
      <c r="D43" s="1287" t="s">
        <v>131</v>
      </c>
      <c r="E43" s="1286">
        <v>1</v>
      </c>
      <c r="F43" s="1286">
        <v>9</v>
      </c>
      <c r="G43" s="1286" t="s">
        <v>7139</v>
      </c>
      <c r="H43" s="1286" t="s">
        <v>41</v>
      </c>
      <c r="I43" s="1287" t="s">
        <v>7140</v>
      </c>
      <c r="J43" s="1286"/>
      <c r="K43" s="1286"/>
      <c r="L43" s="1621">
        <v>263060.26</v>
      </c>
      <c r="M43" s="1622">
        <v>260294.28</v>
      </c>
      <c r="N43" s="1286"/>
      <c r="O43" s="1286" t="s">
        <v>7146</v>
      </c>
      <c r="P43" s="1287" t="s">
        <v>7142</v>
      </c>
      <c r="Q43" s="1286">
        <v>13370139861</v>
      </c>
      <c r="R43" s="1286" t="s">
        <v>7143</v>
      </c>
      <c r="S43" s="1613" t="s">
        <v>7094</v>
      </c>
      <c r="T43" s="1287"/>
    </row>
    <row r="44" spans="1:20" ht="24" customHeight="1">
      <c r="A44" s="1605" t="s">
        <v>1862</v>
      </c>
      <c r="B44" s="1620" t="s">
        <v>4193</v>
      </c>
      <c r="C44" s="1286" t="s">
        <v>7149</v>
      </c>
      <c r="D44" s="1287"/>
      <c r="E44" s="1286"/>
      <c r="F44" s="1286">
        <v>2</v>
      </c>
      <c r="G44" s="1613" t="s">
        <v>32</v>
      </c>
      <c r="H44" s="1613" t="s">
        <v>33</v>
      </c>
      <c r="I44" s="1287"/>
      <c r="J44" s="1286"/>
      <c r="K44" s="1286"/>
      <c r="L44" s="1621">
        <v>68448.28</v>
      </c>
      <c r="M44" s="1623">
        <v>68448.28</v>
      </c>
      <c r="N44" s="1286">
        <v>2019</v>
      </c>
      <c r="O44" s="1286" t="s">
        <v>7146</v>
      </c>
      <c r="P44" s="1287" t="s">
        <v>7142</v>
      </c>
      <c r="Q44" s="1286">
        <v>13370139861</v>
      </c>
      <c r="R44" s="1286" t="s">
        <v>7143</v>
      </c>
      <c r="S44" s="1613" t="s">
        <v>7094</v>
      </c>
      <c r="T44" s="1287"/>
    </row>
    <row r="45" spans="1:20" ht="24" customHeight="1">
      <c r="A45" s="1605" t="s">
        <v>1863</v>
      </c>
      <c r="B45" s="1624" t="s">
        <v>7150</v>
      </c>
      <c r="C45" s="1624"/>
      <c r="D45" s="1624"/>
      <c r="E45" s="1624"/>
      <c r="F45" s="1624"/>
      <c r="G45" s="1624"/>
      <c r="I45" s="1624"/>
      <c r="J45" s="1625"/>
      <c r="K45" s="1612"/>
      <c r="L45" s="1626"/>
      <c r="M45" s="1626"/>
      <c r="N45" s="1624"/>
      <c r="O45" s="1624"/>
      <c r="P45" s="1624"/>
      <c r="Q45" s="1624"/>
      <c r="R45" s="1624"/>
      <c r="S45" s="1611"/>
      <c r="T45" s="1612"/>
    </row>
    <row r="46" spans="1:20" ht="24" customHeight="1">
      <c r="A46" s="1605" t="s">
        <v>1864</v>
      </c>
      <c r="B46" s="1624" t="s">
        <v>7150</v>
      </c>
      <c r="C46" s="1624"/>
      <c r="D46" s="1624"/>
      <c r="E46" s="1624"/>
      <c r="F46" s="1624"/>
      <c r="G46" s="1624"/>
      <c r="I46" s="1624"/>
      <c r="J46" s="1625"/>
      <c r="K46" s="1612"/>
      <c r="L46" s="1624"/>
      <c r="M46" s="1624"/>
      <c r="N46" s="1624"/>
      <c r="O46" s="1624"/>
      <c r="P46" s="1624"/>
      <c r="Q46" s="1624"/>
      <c r="R46" s="1624"/>
      <c r="S46" s="1611"/>
      <c r="T46" s="1612"/>
    </row>
    <row r="47" spans="1:20" ht="24" customHeight="1">
      <c r="A47" s="1605"/>
      <c r="B47" s="1608" t="s">
        <v>3717</v>
      </c>
      <c r="C47" s="1286"/>
      <c r="D47" s="1607"/>
      <c r="E47" s="1286"/>
      <c r="F47" s="1286"/>
      <c r="G47" s="1608"/>
      <c r="H47" s="1608"/>
      <c r="I47" s="1607"/>
      <c r="J47" s="1608"/>
      <c r="K47" s="1608"/>
      <c r="L47" s="1286"/>
      <c r="M47" s="1610"/>
      <c r="N47" s="1286"/>
      <c r="O47" s="1286"/>
      <c r="P47" s="1287"/>
      <c r="Q47" s="1286"/>
      <c r="R47" s="1608"/>
      <c r="S47" s="1611"/>
      <c r="T47" s="1612"/>
    </row>
    <row r="48" spans="1:20" ht="24" customHeight="1">
      <c r="A48" s="1605">
        <v>2</v>
      </c>
      <c r="B48" s="1608" t="s">
        <v>84</v>
      </c>
      <c r="C48" s="1286"/>
      <c r="D48" s="1607"/>
      <c r="E48" s="1286"/>
      <c r="F48" s="1286"/>
      <c r="G48" s="1608"/>
      <c r="H48" s="1608"/>
      <c r="I48" s="1607"/>
      <c r="J48" s="1608"/>
      <c r="K48" s="1608"/>
      <c r="L48" s="1286"/>
      <c r="M48" s="1610"/>
      <c r="N48" s="1286"/>
      <c r="O48" s="1286"/>
      <c r="P48" s="1287"/>
      <c r="Q48" s="1286"/>
      <c r="R48" s="1608"/>
      <c r="S48" s="1611"/>
      <c r="T48" s="1612"/>
    </row>
    <row r="49" spans="1:20" ht="24" customHeight="1">
      <c r="A49" s="1616" t="s">
        <v>2182</v>
      </c>
      <c r="B49" s="1613" t="s">
        <v>29</v>
      </c>
      <c r="C49" s="1613" t="s">
        <v>7151</v>
      </c>
      <c r="D49" s="1613" t="s">
        <v>62</v>
      </c>
      <c r="E49" s="1613">
        <v>1</v>
      </c>
      <c r="F49" s="1613">
        <v>10</v>
      </c>
      <c r="G49" s="1613" t="s">
        <v>32</v>
      </c>
      <c r="H49" s="1613" t="s">
        <v>33</v>
      </c>
      <c r="I49" s="1613" t="s">
        <v>7152</v>
      </c>
      <c r="J49" s="1965" t="s">
        <v>7153</v>
      </c>
      <c r="K49" s="1975" t="s">
        <v>7154</v>
      </c>
      <c r="L49" s="66">
        <v>71000</v>
      </c>
      <c r="M49" s="1613">
        <v>7100</v>
      </c>
      <c r="N49" s="1613">
        <v>2019.5</v>
      </c>
      <c r="O49" s="1613" t="s">
        <v>7155</v>
      </c>
      <c r="P49" s="1613" t="s">
        <v>7156</v>
      </c>
      <c r="Q49" s="1613">
        <v>18403008585</v>
      </c>
      <c r="R49" s="1627" t="s">
        <v>7157</v>
      </c>
      <c r="S49" s="1613" t="s">
        <v>7094</v>
      </c>
      <c r="T49" s="1612"/>
    </row>
    <row r="50" spans="1:20" ht="24" customHeight="1">
      <c r="A50" s="1616" t="s">
        <v>2191</v>
      </c>
      <c r="B50" s="1613" t="s">
        <v>29</v>
      </c>
      <c r="C50" s="1613" t="s">
        <v>7158</v>
      </c>
      <c r="D50" s="1613" t="s">
        <v>62</v>
      </c>
      <c r="E50" s="1613">
        <v>1</v>
      </c>
      <c r="F50" s="1613">
        <v>11</v>
      </c>
      <c r="G50" s="1613" t="s">
        <v>32</v>
      </c>
      <c r="H50" s="1613" t="s">
        <v>33</v>
      </c>
      <c r="I50" s="1613" t="s">
        <v>7159</v>
      </c>
      <c r="J50" s="1967"/>
      <c r="K50" s="1976"/>
      <c r="L50" s="66">
        <v>78100</v>
      </c>
      <c r="M50" s="1613">
        <v>7810</v>
      </c>
      <c r="N50" s="1613">
        <v>2019.5</v>
      </c>
      <c r="O50" s="1613" t="s">
        <v>7155</v>
      </c>
      <c r="P50" s="1613" t="s">
        <v>7156</v>
      </c>
      <c r="Q50" s="1613">
        <v>18403008585</v>
      </c>
      <c r="R50" s="1627" t="s">
        <v>7157</v>
      </c>
      <c r="S50" s="1613" t="s">
        <v>7094</v>
      </c>
      <c r="T50" s="1612"/>
    </row>
    <row r="51" spans="1:20" s="766" customFormat="1" ht="24" customHeight="1">
      <c r="A51" s="1616" t="s">
        <v>2193</v>
      </c>
      <c r="B51" s="1613" t="s">
        <v>29</v>
      </c>
      <c r="C51" s="1613" t="s">
        <v>7160</v>
      </c>
      <c r="D51" s="1613" t="s">
        <v>62</v>
      </c>
      <c r="E51" s="1613">
        <v>1</v>
      </c>
      <c r="F51" s="1613">
        <v>25.46</v>
      </c>
      <c r="G51" s="1613" t="s">
        <v>32</v>
      </c>
      <c r="H51" s="1613" t="s">
        <v>33</v>
      </c>
      <c r="I51" s="1613" t="s">
        <v>7161</v>
      </c>
      <c r="J51" s="1967"/>
      <c r="K51" s="1976"/>
      <c r="L51" s="66">
        <v>180766</v>
      </c>
      <c r="M51" s="1613">
        <v>18076.599999999999</v>
      </c>
      <c r="N51" s="1613">
        <v>2019.5</v>
      </c>
      <c r="O51" s="1613" t="s">
        <v>7155</v>
      </c>
      <c r="P51" s="1613" t="s">
        <v>7156</v>
      </c>
      <c r="Q51" s="1613">
        <v>18403008585</v>
      </c>
      <c r="R51" s="1627" t="s">
        <v>7157</v>
      </c>
      <c r="S51" s="1613" t="s">
        <v>7094</v>
      </c>
      <c r="T51" s="1628"/>
    </row>
    <row r="52" spans="1:20" s="766" customFormat="1" ht="24" customHeight="1">
      <c r="A52" s="1616" t="s">
        <v>2196</v>
      </c>
      <c r="B52" s="1613" t="s">
        <v>29</v>
      </c>
      <c r="C52" s="1613" t="s">
        <v>7162</v>
      </c>
      <c r="D52" s="1613" t="s">
        <v>62</v>
      </c>
      <c r="E52" s="1613">
        <v>1</v>
      </c>
      <c r="F52" s="1613">
        <v>20.8</v>
      </c>
      <c r="G52" s="1613" t="s">
        <v>32</v>
      </c>
      <c r="H52" s="1613" t="s">
        <v>33</v>
      </c>
      <c r="I52" s="1613" t="s">
        <v>7163</v>
      </c>
      <c r="J52" s="1967"/>
      <c r="K52" s="1977"/>
      <c r="L52" s="66">
        <v>147680</v>
      </c>
      <c r="M52" s="1613">
        <v>14768</v>
      </c>
      <c r="N52" s="1613">
        <v>2019.6</v>
      </c>
      <c r="O52" s="1613" t="s">
        <v>7155</v>
      </c>
      <c r="P52" s="1613" t="s">
        <v>7156</v>
      </c>
      <c r="Q52" s="1613">
        <v>18403008585</v>
      </c>
      <c r="R52" s="1627" t="s">
        <v>7157</v>
      </c>
      <c r="S52" s="1613" t="s">
        <v>7094</v>
      </c>
      <c r="T52" s="1628"/>
    </row>
    <row r="53" spans="1:20" s="766" customFormat="1" ht="24" customHeight="1">
      <c r="A53" s="1616" t="s">
        <v>2202</v>
      </c>
      <c r="B53" s="1613" t="s">
        <v>29</v>
      </c>
      <c r="C53" s="1613" t="s">
        <v>3650</v>
      </c>
      <c r="D53" s="1613" t="s">
        <v>62</v>
      </c>
      <c r="E53" s="1613">
        <v>1</v>
      </c>
      <c r="F53" s="1613">
        <v>16.792999999999999</v>
      </c>
      <c r="G53" s="1613" t="s">
        <v>32</v>
      </c>
      <c r="H53" s="1613" t="s">
        <v>33</v>
      </c>
      <c r="I53" s="1613" t="s">
        <v>7164</v>
      </c>
      <c r="J53" s="1967"/>
      <c r="K53" s="1978" t="s">
        <v>7165</v>
      </c>
      <c r="L53" s="66">
        <v>117551</v>
      </c>
      <c r="M53" s="1613">
        <v>11755.1</v>
      </c>
      <c r="N53" s="1613">
        <v>2019.7</v>
      </c>
      <c r="O53" s="1613" t="s">
        <v>7155</v>
      </c>
      <c r="P53" s="1613" t="s">
        <v>7156</v>
      </c>
      <c r="Q53" s="1613">
        <v>18403008585</v>
      </c>
      <c r="R53" s="1627" t="s">
        <v>7157</v>
      </c>
      <c r="S53" s="1613" t="s">
        <v>7094</v>
      </c>
      <c r="T53" s="1628"/>
    </row>
    <row r="54" spans="1:20" s="766" customFormat="1" ht="24" customHeight="1">
      <c r="A54" s="1616" t="s">
        <v>2209</v>
      </c>
      <c r="B54" s="1613" t="s">
        <v>29</v>
      </c>
      <c r="C54" s="1613" t="s">
        <v>7166</v>
      </c>
      <c r="D54" s="1613" t="s">
        <v>62</v>
      </c>
      <c r="E54" s="1613">
        <v>1</v>
      </c>
      <c r="F54" s="1613">
        <v>35.22</v>
      </c>
      <c r="G54" s="1613" t="s">
        <v>32</v>
      </c>
      <c r="H54" s="1613" t="s">
        <v>33</v>
      </c>
      <c r="I54" s="1613" t="s">
        <v>7167</v>
      </c>
      <c r="J54" s="1967"/>
      <c r="K54" s="1978"/>
      <c r="L54" s="43">
        <v>246540</v>
      </c>
      <c r="M54" s="43">
        <v>24654</v>
      </c>
      <c r="N54" s="43">
        <v>2019.11</v>
      </c>
      <c r="O54" s="43" t="s">
        <v>7155</v>
      </c>
      <c r="P54" s="43" t="s">
        <v>7156</v>
      </c>
      <c r="Q54" s="43">
        <v>18403008585</v>
      </c>
      <c r="R54" s="1627" t="s">
        <v>7157</v>
      </c>
      <c r="S54" s="1613" t="s">
        <v>7094</v>
      </c>
      <c r="T54" s="1628"/>
    </row>
    <row r="55" spans="1:20" s="766" customFormat="1" ht="24" customHeight="1">
      <c r="A55" s="1616" t="s">
        <v>2211</v>
      </c>
      <c r="B55" s="1613" t="s">
        <v>29</v>
      </c>
      <c r="C55" s="1613" t="s">
        <v>3650</v>
      </c>
      <c r="D55" s="1613" t="s">
        <v>62</v>
      </c>
      <c r="E55" s="1613">
        <v>1</v>
      </c>
      <c r="F55" s="1613">
        <v>13.317</v>
      </c>
      <c r="G55" s="1613" t="s">
        <v>32</v>
      </c>
      <c r="H55" s="1613" t="s">
        <v>33</v>
      </c>
      <c r="I55" s="1613" t="s">
        <v>7164</v>
      </c>
      <c r="J55" s="1966"/>
      <c r="K55" s="1978"/>
      <c r="L55" s="1629">
        <v>93219</v>
      </c>
      <c r="M55" s="1613">
        <v>9321.9</v>
      </c>
      <c r="N55" s="43">
        <v>2020.7</v>
      </c>
      <c r="O55" s="43" t="s">
        <v>7155</v>
      </c>
      <c r="P55" s="43" t="s">
        <v>7156</v>
      </c>
      <c r="Q55" s="43">
        <v>18403008585</v>
      </c>
      <c r="R55" s="1613" t="s">
        <v>7157</v>
      </c>
      <c r="S55" s="1613" t="s">
        <v>7094</v>
      </c>
      <c r="T55" s="1628"/>
    </row>
    <row r="56" spans="1:20" s="766" customFormat="1" ht="24" customHeight="1">
      <c r="A56" s="1616" t="s">
        <v>2213</v>
      </c>
      <c r="B56" s="1611" t="s">
        <v>29</v>
      </c>
      <c r="C56" s="1286" t="s">
        <v>7168</v>
      </c>
      <c r="D56" s="1613" t="s">
        <v>31</v>
      </c>
      <c r="E56" s="1286">
        <v>500</v>
      </c>
      <c r="F56" s="1286">
        <v>10</v>
      </c>
      <c r="G56" s="1613" t="s">
        <v>32</v>
      </c>
      <c r="H56" s="1613" t="s">
        <v>33</v>
      </c>
      <c r="I56" s="1613"/>
      <c r="J56" s="1613"/>
      <c r="K56" s="1613"/>
      <c r="L56" s="1286">
        <f>E56*120</f>
        <v>60000</v>
      </c>
      <c r="M56" s="1610">
        <f>L56*0.75*0.85</f>
        <v>38250</v>
      </c>
      <c r="N56" s="1286">
        <v>2021.3</v>
      </c>
      <c r="O56" s="1286" t="s">
        <v>7169</v>
      </c>
      <c r="P56" s="1613" t="s">
        <v>7170</v>
      </c>
      <c r="Q56" s="1613">
        <v>17305372111</v>
      </c>
      <c r="R56" s="1613" t="s">
        <v>7171</v>
      </c>
      <c r="S56" s="1613" t="s">
        <v>7094</v>
      </c>
      <c r="T56" s="1628"/>
    </row>
    <row r="57" spans="1:20" s="766" customFormat="1" ht="24" customHeight="1">
      <c r="A57" s="1616" t="s">
        <v>2218</v>
      </c>
      <c r="B57" s="1611" t="s">
        <v>29</v>
      </c>
      <c r="C57" s="1286" t="s">
        <v>7172</v>
      </c>
      <c r="D57" s="1613" t="s">
        <v>31</v>
      </c>
      <c r="E57" s="1286">
        <v>1100</v>
      </c>
      <c r="F57" s="1286">
        <v>44</v>
      </c>
      <c r="G57" s="1613" t="s">
        <v>32</v>
      </c>
      <c r="H57" s="1613" t="s">
        <v>33</v>
      </c>
      <c r="I57" s="1613"/>
      <c r="J57" s="1613"/>
      <c r="K57" s="1613"/>
      <c r="L57" s="1286">
        <f>700*230</f>
        <v>161000</v>
      </c>
      <c r="M57" s="1610">
        <f>L57*0.8*0.85</f>
        <v>109480</v>
      </c>
      <c r="N57" s="1286">
        <v>2021.3</v>
      </c>
      <c r="O57" s="1286" t="s">
        <v>7169</v>
      </c>
      <c r="P57" s="1613" t="s">
        <v>7170</v>
      </c>
      <c r="Q57" s="1613">
        <v>17305372111</v>
      </c>
      <c r="R57" s="1613" t="s">
        <v>7171</v>
      </c>
      <c r="S57" s="1613" t="s">
        <v>7094</v>
      </c>
      <c r="T57" s="1628"/>
    </row>
    <row r="58" spans="1:20" s="766" customFormat="1" ht="24" customHeight="1">
      <c r="A58" s="1616" t="s">
        <v>2220</v>
      </c>
      <c r="B58" s="1613" t="s">
        <v>29</v>
      </c>
      <c r="C58" s="1613"/>
      <c r="D58" s="1613"/>
      <c r="E58" s="1613"/>
      <c r="F58" s="1613"/>
      <c r="G58" s="1613"/>
      <c r="H58" s="1613"/>
      <c r="I58" s="1613"/>
      <c r="J58" s="1613"/>
      <c r="K58" s="1610"/>
      <c r="L58" s="66"/>
      <c r="M58" s="66"/>
      <c r="N58" s="1613"/>
      <c r="O58" s="1613"/>
      <c r="P58" s="1613"/>
      <c r="Q58" s="1613"/>
      <c r="R58" s="1613"/>
      <c r="S58" s="1613" t="s">
        <v>7094</v>
      </c>
      <c r="T58" s="1628"/>
    </row>
    <row r="59" spans="1:20" s="766" customFormat="1" ht="24" customHeight="1">
      <c r="A59" s="1616" t="s">
        <v>2223</v>
      </c>
      <c r="B59" s="1613" t="s">
        <v>29</v>
      </c>
      <c r="C59" s="1613"/>
      <c r="D59" s="1613"/>
      <c r="E59" s="1613"/>
      <c r="F59" s="1613"/>
      <c r="G59" s="1613"/>
      <c r="H59" s="1613"/>
      <c r="I59" s="1613"/>
      <c r="J59" s="1613"/>
      <c r="K59" s="1610"/>
      <c r="L59" s="66"/>
      <c r="M59" s="66"/>
      <c r="N59" s="1613"/>
      <c r="O59" s="1613"/>
      <c r="P59" s="1613"/>
      <c r="Q59" s="1613"/>
      <c r="R59" s="1613"/>
      <c r="S59" s="1613" t="s">
        <v>7094</v>
      </c>
      <c r="T59" s="1628"/>
    </row>
    <row r="60" spans="1:20" s="766" customFormat="1" ht="24" customHeight="1">
      <c r="A60" s="1616" t="s">
        <v>2225</v>
      </c>
      <c r="B60" s="1613" t="s">
        <v>29</v>
      </c>
      <c r="C60" s="1613"/>
      <c r="D60" s="1613"/>
      <c r="E60" s="1613"/>
      <c r="F60" s="1613"/>
      <c r="G60" s="1613"/>
      <c r="H60" s="1613"/>
      <c r="I60" s="1613"/>
      <c r="J60" s="1613"/>
      <c r="K60" s="1610"/>
      <c r="L60" s="66"/>
      <c r="M60" s="66"/>
      <c r="N60" s="1613"/>
      <c r="O60" s="1613"/>
      <c r="P60" s="1613"/>
      <c r="Q60" s="1613"/>
      <c r="R60" s="1613"/>
      <c r="S60" s="1613" t="s">
        <v>7094</v>
      </c>
      <c r="T60" s="1628"/>
    </row>
    <row r="61" spans="1:20" s="766" customFormat="1" ht="24" customHeight="1">
      <c r="A61" s="1616" t="s">
        <v>2228</v>
      </c>
      <c r="B61" s="1630" t="s">
        <v>7173</v>
      </c>
      <c r="C61" s="43"/>
      <c r="D61" s="1630"/>
      <c r="E61" s="43"/>
      <c r="F61" s="1613"/>
      <c r="G61" s="1611"/>
      <c r="H61" s="1611"/>
      <c r="I61" s="1611"/>
      <c r="J61" s="1611"/>
      <c r="K61" s="1611"/>
      <c r="L61" s="1613"/>
      <c r="M61" s="43"/>
      <c r="N61" s="43"/>
      <c r="O61" s="1613"/>
      <c r="P61" s="1613"/>
      <c r="Q61" s="1613"/>
      <c r="R61" s="1611"/>
      <c r="S61" s="1611" t="s">
        <v>7094</v>
      </c>
      <c r="T61" s="1628"/>
    </row>
    <row r="62" spans="1:20" s="766" customFormat="1" ht="24" customHeight="1">
      <c r="A62" s="1616" t="s">
        <v>2230</v>
      </c>
      <c r="B62" s="1630" t="s">
        <v>7173</v>
      </c>
      <c r="C62" s="43"/>
      <c r="D62" s="1630"/>
      <c r="E62" s="43"/>
      <c r="F62" s="1613"/>
      <c r="G62" s="1611"/>
      <c r="H62" s="1611"/>
      <c r="I62" s="1611"/>
      <c r="J62" s="1611"/>
      <c r="K62" s="1611"/>
      <c r="L62" s="1613"/>
      <c r="M62" s="43"/>
      <c r="N62" s="43"/>
      <c r="O62" s="1613"/>
      <c r="P62" s="1613"/>
      <c r="Q62" s="1613"/>
      <c r="R62" s="1611"/>
      <c r="S62" s="1611" t="s">
        <v>7094</v>
      </c>
      <c r="T62" s="1628"/>
    </row>
    <row r="63" spans="1:20" s="766" customFormat="1" ht="24" customHeight="1">
      <c r="A63" s="1616" t="s">
        <v>2233</v>
      </c>
      <c r="B63" s="1630" t="s">
        <v>7173</v>
      </c>
      <c r="C63" s="43"/>
      <c r="D63" s="1630"/>
      <c r="E63" s="43"/>
      <c r="F63" s="1613"/>
      <c r="G63" s="1611"/>
      <c r="H63" s="1611"/>
      <c r="I63" s="1611"/>
      <c r="J63" s="1611"/>
      <c r="K63" s="1611"/>
      <c r="L63" s="1613"/>
      <c r="M63" s="43"/>
      <c r="N63" s="43"/>
      <c r="O63" s="1613"/>
      <c r="P63" s="1613"/>
      <c r="Q63" s="1613"/>
      <c r="R63" s="1611"/>
      <c r="S63" s="1611" t="s">
        <v>7094</v>
      </c>
      <c r="T63" s="1628"/>
    </row>
    <row r="64" spans="1:20" s="766" customFormat="1" ht="24" customHeight="1">
      <c r="A64" s="1616" t="s">
        <v>2239</v>
      </c>
      <c r="B64" s="1630" t="s">
        <v>7173</v>
      </c>
      <c r="C64" s="43"/>
      <c r="D64" s="1630"/>
      <c r="E64" s="43"/>
      <c r="F64" s="1613"/>
      <c r="G64" s="1611"/>
      <c r="H64" s="1611"/>
      <c r="I64" s="1611"/>
      <c r="J64" s="1611"/>
      <c r="K64" s="1611"/>
      <c r="L64" s="1613"/>
      <c r="M64" s="43"/>
      <c r="N64" s="43"/>
      <c r="O64" s="1613"/>
      <c r="P64" s="1613"/>
      <c r="Q64" s="1613"/>
      <c r="R64" s="1611"/>
      <c r="S64" s="1611" t="s">
        <v>7094</v>
      </c>
      <c r="T64" s="1628"/>
    </row>
    <row r="65" spans="1:20" s="766" customFormat="1" ht="24" customHeight="1">
      <c r="A65" s="1616" t="s">
        <v>2240</v>
      </c>
      <c r="B65" s="1630" t="s">
        <v>7173</v>
      </c>
      <c r="C65" s="43"/>
      <c r="D65" s="1630"/>
      <c r="E65" s="43"/>
      <c r="F65" s="1613"/>
      <c r="G65" s="1611"/>
      <c r="H65" s="1611"/>
      <c r="I65" s="1611"/>
      <c r="J65" s="1611"/>
      <c r="K65" s="1611"/>
      <c r="L65" s="1613"/>
      <c r="M65" s="43"/>
      <c r="N65" s="43"/>
      <c r="O65" s="1613"/>
      <c r="P65" s="1613"/>
      <c r="Q65" s="1613"/>
      <c r="R65" s="1611"/>
      <c r="S65" s="1611" t="s">
        <v>7094</v>
      </c>
      <c r="T65" s="1628"/>
    </row>
    <row r="66" spans="1:20" s="766" customFormat="1" ht="24" customHeight="1">
      <c r="A66" s="1616" t="s">
        <v>2241</v>
      </c>
      <c r="B66" s="1630" t="s">
        <v>7173</v>
      </c>
      <c r="C66" s="43"/>
      <c r="D66" s="1630"/>
      <c r="E66" s="43"/>
      <c r="F66" s="1613"/>
      <c r="G66" s="1611"/>
      <c r="H66" s="1611"/>
      <c r="I66" s="1611"/>
      <c r="J66" s="1611"/>
      <c r="K66" s="1611"/>
      <c r="L66" s="1613"/>
      <c r="M66" s="43"/>
      <c r="N66" s="43"/>
      <c r="O66" s="1613"/>
      <c r="P66" s="1613"/>
      <c r="Q66" s="1613"/>
      <c r="R66" s="1611"/>
      <c r="S66" s="1611" t="s">
        <v>7094</v>
      </c>
      <c r="T66" s="1628"/>
    </row>
    <row r="67" spans="1:20" ht="24" customHeight="1">
      <c r="A67" s="1605"/>
      <c r="B67" s="1608" t="s">
        <v>3717</v>
      </c>
      <c r="C67" s="1286"/>
      <c r="D67" s="1607"/>
      <c r="E67" s="1286"/>
      <c r="F67" s="1286"/>
      <c r="G67" s="1608"/>
      <c r="H67" s="1608"/>
      <c r="I67" s="1607"/>
      <c r="J67" s="1608"/>
      <c r="K67" s="1608"/>
      <c r="L67" s="1286"/>
      <c r="M67" s="1610"/>
      <c r="N67" s="1286"/>
      <c r="O67" s="1286"/>
      <c r="P67" s="1287"/>
      <c r="Q67" s="1286"/>
      <c r="R67" s="1608"/>
      <c r="S67" s="1611"/>
      <c r="T67" s="1612"/>
    </row>
    <row r="68" spans="1:20" ht="24" customHeight="1">
      <c r="A68" s="1605">
        <v>3</v>
      </c>
      <c r="B68" s="1608" t="s">
        <v>134</v>
      </c>
      <c r="C68" s="1286"/>
      <c r="D68" s="1607"/>
      <c r="E68" s="1286"/>
      <c r="F68" s="1286"/>
      <c r="G68" s="1608"/>
      <c r="H68" s="1608"/>
      <c r="I68" s="1611"/>
      <c r="J68" s="1608"/>
      <c r="K68" s="1608"/>
      <c r="L68" s="1286"/>
      <c r="M68" s="1610"/>
      <c r="N68" s="1286"/>
      <c r="O68" s="1286"/>
      <c r="P68" s="1287"/>
      <c r="Q68" s="1286"/>
      <c r="R68" s="1608"/>
      <c r="S68" s="1611"/>
      <c r="T68" s="1612"/>
    </row>
    <row r="69" spans="1:20" s="766" customFormat="1" ht="24" customHeight="1">
      <c r="A69" s="1616" t="s">
        <v>2286</v>
      </c>
      <c r="B69" s="1631" t="s">
        <v>164</v>
      </c>
      <c r="C69" s="1631" t="s">
        <v>7174</v>
      </c>
      <c r="D69" s="1631" t="s">
        <v>79</v>
      </c>
      <c r="E69" s="1631">
        <v>1</v>
      </c>
      <c r="F69" s="1631">
        <v>39</v>
      </c>
      <c r="G69" s="1631" t="s">
        <v>32</v>
      </c>
      <c r="H69" s="1631" t="s">
        <v>33</v>
      </c>
      <c r="I69" s="1632" t="s">
        <v>7175</v>
      </c>
      <c r="J69" s="1611"/>
      <c r="K69" s="1631" t="s">
        <v>7176</v>
      </c>
      <c r="L69" s="1633">
        <v>278850</v>
      </c>
      <c r="M69" s="1631">
        <f>203560.5-40154.4</f>
        <v>163406.1</v>
      </c>
      <c r="N69" s="1631" t="s">
        <v>7177</v>
      </c>
      <c r="O69" s="1631" t="s">
        <v>7178</v>
      </c>
      <c r="P69" s="1631" t="s">
        <v>7179</v>
      </c>
      <c r="Q69" s="1631">
        <v>13933519201</v>
      </c>
      <c r="R69" s="1631" t="s">
        <v>7180</v>
      </c>
      <c r="S69" s="1611" t="s">
        <v>7094</v>
      </c>
      <c r="T69" s="1628"/>
    </row>
    <row r="70" spans="1:20" s="766" customFormat="1" ht="24" customHeight="1">
      <c r="A70" s="1616" t="s">
        <v>2288</v>
      </c>
      <c r="B70" s="1631" t="s">
        <v>164</v>
      </c>
      <c r="C70" s="1631" t="s">
        <v>7181</v>
      </c>
      <c r="D70" s="1631" t="s">
        <v>79</v>
      </c>
      <c r="E70" s="1631">
        <v>1</v>
      </c>
      <c r="F70" s="1631">
        <v>32</v>
      </c>
      <c r="G70" s="1631" t="s">
        <v>32</v>
      </c>
      <c r="H70" s="1631" t="s">
        <v>33</v>
      </c>
      <c r="I70" s="1632" t="s">
        <v>7182</v>
      </c>
      <c r="J70" s="1611"/>
      <c r="K70" s="1631" t="s">
        <v>7183</v>
      </c>
      <c r="L70" s="1634">
        <v>261703</v>
      </c>
      <c r="M70" s="1635">
        <v>176911.23</v>
      </c>
      <c r="N70" s="1631" t="s">
        <v>7184</v>
      </c>
      <c r="O70" s="1631" t="s">
        <v>7178</v>
      </c>
      <c r="P70" s="1631" t="s">
        <v>7179</v>
      </c>
      <c r="Q70" s="1631">
        <v>13933519201</v>
      </c>
      <c r="R70" s="1631" t="s">
        <v>7180</v>
      </c>
      <c r="S70" s="1611" t="s">
        <v>7094</v>
      </c>
      <c r="T70" s="1628"/>
    </row>
    <row r="71" spans="1:20" s="766" customFormat="1" ht="24" customHeight="1">
      <c r="A71" s="1616" t="s">
        <v>2290</v>
      </c>
      <c r="B71" s="1631" t="s">
        <v>164</v>
      </c>
      <c r="C71" s="1631" t="s">
        <v>7185</v>
      </c>
      <c r="D71" s="1631" t="s">
        <v>79</v>
      </c>
      <c r="E71" s="1631">
        <v>1</v>
      </c>
      <c r="F71" s="1631">
        <v>55</v>
      </c>
      <c r="G71" s="1631" t="s">
        <v>32</v>
      </c>
      <c r="H71" s="1631" t="s">
        <v>33</v>
      </c>
      <c r="I71" s="1632" t="s">
        <v>7186</v>
      </c>
      <c r="J71" s="1611"/>
      <c r="K71" s="1611"/>
      <c r="L71" s="1636">
        <v>423500</v>
      </c>
      <c r="M71" s="1636">
        <v>84700</v>
      </c>
      <c r="N71" s="1631" t="s">
        <v>5935</v>
      </c>
      <c r="O71" s="1631" t="s">
        <v>7178</v>
      </c>
      <c r="P71" s="1631" t="s">
        <v>7179</v>
      </c>
      <c r="Q71" s="1631">
        <v>13933519201</v>
      </c>
      <c r="R71" s="1631" t="s">
        <v>7180</v>
      </c>
      <c r="S71" s="1611" t="s">
        <v>7094</v>
      </c>
      <c r="T71" s="1971"/>
    </row>
    <row r="72" spans="1:20" s="766" customFormat="1" ht="24" customHeight="1">
      <c r="A72" s="1616" t="s">
        <v>2291</v>
      </c>
      <c r="B72" s="1631" t="s">
        <v>164</v>
      </c>
      <c r="C72" s="1631" t="s">
        <v>7174</v>
      </c>
      <c r="D72" s="1631" t="s">
        <v>79</v>
      </c>
      <c r="E72" s="1631">
        <v>1</v>
      </c>
      <c r="F72" s="1631">
        <v>57.56</v>
      </c>
      <c r="G72" s="1631" t="s">
        <v>32</v>
      </c>
      <c r="H72" s="1631" t="s">
        <v>33</v>
      </c>
      <c r="I72" s="1632" t="s">
        <v>7187</v>
      </c>
      <c r="J72" s="1611"/>
      <c r="K72" s="1637"/>
      <c r="L72" s="1636">
        <v>443212</v>
      </c>
      <c r="M72" s="1638">
        <v>265927.2</v>
      </c>
      <c r="N72" s="1631" t="s">
        <v>5935</v>
      </c>
      <c r="O72" s="1631" t="s">
        <v>7178</v>
      </c>
      <c r="P72" s="1631" t="s">
        <v>7179</v>
      </c>
      <c r="Q72" s="1631">
        <v>13933519201</v>
      </c>
      <c r="R72" s="1631" t="s">
        <v>7180</v>
      </c>
      <c r="S72" s="1611" t="s">
        <v>7094</v>
      </c>
      <c r="T72" s="1972"/>
    </row>
    <row r="73" spans="1:20" s="766" customFormat="1" ht="24" customHeight="1">
      <c r="A73" s="1616" t="s">
        <v>2292</v>
      </c>
      <c r="B73" s="1631" t="s">
        <v>164</v>
      </c>
      <c r="C73" s="1631" t="s">
        <v>7185</v>
      </c>
      <c r="D73" s="1631" t="s">
        <v>79</v>
      </c>
      <c r="E73" s="1631">
        <v>1</v>
      </c>
      <c r="F73" s="1631">
        <v>55</v>
      </c>
      <c r="G73" s="1631" t="s">
        <v>32</v>
      </c>
      <c r="H73" s="1631" t="s">
        <v>33</v>
      </c>
      <c r="I73" s="1632" t="s">
        <v>7186</v>
      </c>
      <c r="J73" s="1611"/>
      <c r="K73" s="1611"/>
      <c r="L73" s="1636"/>
      <c r="M73" s="1636"/>
      <c r="N73" s="1631" t="s">
        <v>5935</v>
      </c>
      <c r="O73" s="1631" t="s">
        <v>7178</v>
      </c>
      <c r="P73" s="1631" t="s">
        <v>7179</v>
      </c>
      <c r="Q73" s="1631">
        <v>13933519201</v>
      </c>
      <c r="R73" s="1631" t="s">
        <v>7180</v>
      </c>
      <c r="S73" s="1611" t="s">
        <v>7094</v>
      </c>
      <c r="T73" s="1973" t="s">
        <v>7188</v>
      </c>
    </row>
    <row r="74" spans="1:20" s="766" customFormat="1" ht="24" customHeight="1">
      <c r="A74" s="1616" t="s">
        <v>2293</v>
      </c>
      <c r="B74" s="1631" t="s">
        <v>164</v>
      </c>
      <c r="C74" s="1631" t="s">
        <v>7185</v>
      </c>
      <c r="D74" s="1631" t="s">
        <v>79</v>
      </c>
      <c r="E74" s="1631">
        <v>1</v>
      </c>
      <c r="F74" s="1631">
        <v>55</v>
      </c>
      <c r="G74" s="1631" t="s">
        <v>32</v>
      </c>
      <c r="H74" s="1631" t="s">
        <v>33</v>
      </c>
      <c r="I74" s="1632" t="s">
        <v>7186</v>
      </c>
      <c r="J74" s="1611"/>
      <c r="K74" s="1611"/>
      <c r="L74" s="1636"/>
      <c r="M74" s="1636"/>
      <c r="N74" s="1631" t="s">
        <v>5935</v>
      </c>
      <c r="O74" s="1639" t="s">
        <v>7189</v>
      </c>
      <c r="P74" s="1631" t="s">
        <v>7179</v>
      </c>
      <c r="Q74" s="1631">
        <v>13933519201</v>
      </c>
      <c r="R74" s="1631" t="s">
        <v>7180</v>
      </c>
      <c r="S74" s="1611" t="s">
        <v>7094</v>
      </c>
      <c r="T74" s="1974"/>
    </row>
    <row r="75" spans="1:20" s="766" customFormat="1" ht="24" customHeight="1">
      <c r="A75" s="1616" t="s">
        <v>2294</v>
      </c>
      <c r="B75" s="1640" t="s">
        <v>453</v>
      </c>
      <c r="C75" s="1641" t="s">
        <v>7190</v>
      </c>
      <c r="D75" s="1611" t="s">
        <v>79</v>
      </c>
      <c r="E75" s="1642">
        <v>11</v>
      </c>
      <c r="F75" s="1642">
        <v>47.7</v>
      </c>
      <c r="G75" s="1611" t="s">
        <v>32</v>
      </c>
      <c r="H75" s="1631" t="s">
        <v>33</v>
      </c>
      <c r="I75" s="1607"/>
      <c r="J75" s="1643"/>
      <c r="K75" s="1637"/>
      <c r="L75" s="1644">
        <v>367290</v>
      </c>
      <c r="M75" s="1644">
        <v>36729</v>
      </c>
      <c r="N75" s="1633" t="s">
        <v>5935</v>
      </c>
      <c r="O75" s="1631" t="s">
        <v>7178</v>
      </c>
      <c r="P75" s="1631" t="s">
        <v>7179</v>
      </c>
      <c r="Q75" s="1631">
        <v>13933519201</v>
      </c>
      <c r="R75" s="1631" t="s">
        <v>7180</v>
      </c>
      <c r="S75" s="1611" t="s">
        <v>7094</v>
      </c>
      <c r="T75" s="1628"/>
    </row>
    <row r="76" spans="1:20" s="766" customFormat="1" ht="24" customHeight="1">
      <c r="A76" s="1616" t="s">
        <v>2295</v>
      </c>
      <c r="B76" s="1611" t="s">
        <v>164</v>
      </c>
      <c r="C76" s="1613"/>
      <c r="D76" s="1611"/>
      <c r="E76" s="1613"/>
      <c r="F76" s="1613"/>
      <c r="G76" s="1611"/>
      <c r="H76" s="1611"/>
      <c r="I76" s="1607"/>
      <c r="J76" s="1611"/>
      <c r="K76" s="1611"/>
      <c r="L76" s="1286"/>
      <c r="M76" s="1645"/>
      <c r="N76" s="1613"/>
      <c r="O76" s="1613"/>
      <c r="P76" s="1613"/>
      <c r="Q76" s="1613"/>
      <c r="R76" s="1611"/>
      <c r="S76" s="1611" t="s">
        <v>7094</v>
      </c>
      <c r="T76" s="1628"/>
    </row>
    <row r="77" spans="1:20" s="766" customFormat="1" ht="24" customHeight="1">
      <c r="A77" s="1616" t="s">
        <v>2297</v>
      </c>
      <c r="B77" s="1611" t="s">
        <v>164</v>
      </c>
      <c r="C77" s="1613"/>
      <c r="D77" s="1611"/>
      <c r="E77" s="1613"/>
      <c r="F77" s="1613"/>
      <c r="G77" s="1611"/>
      <c r="H77" s="1611"/>
      <c r="I77" s="1613"/>
      <c r="J77" s="1611"/>
      <c r="K77" s="1611"/>
      <c r="L77" s="1286"/>
      <c r="M77" s="1645"/>
      <c r="N77" s="1613"/>
      <c r="O77" s="1613"/>
      <c r="P77" s="1613"/>
      <c r="Q77" s="1613"/>
      <c r="R77" s="1611"/>
      <c r="S77" s="1611" t="s">
        <v>7094</v>
      </c>
      <c r="T77" s="1628"/>
    </row>
    <row r="78" spans="1:20" ht="24" customHeight="1">
      <c r="A78" s="1616" t="s">
        <v>2300</v>
      </c>
      <c r="B78" s="1613" t="s">
        <v>164</v>
      </c>
      <c r="C78" s="1613" t="s">
        <v>7191</v>
      </c>
      <c r="D78" s="1613" t="s">
        <v>79</v>
      </c>
      <c r="E78" s="1613">
        <v>3</v>
      </c>
      <c r="F78" s="1613">
        <v>165</v>
      </c>
      <c r="G78" s="1613" t="s">
        <v>32</v>
      </c>
      <c r="H78" s="1613" t="s">
        <v>33</v>
      </c>
      <c r="I78" s="1613" t="s">
        <v>7192</v>
      </c>
      <c r="J78" s="1613" t="s">
        <v>7193</v>
      </c>
      <c r="K78" s="1613" t="s">
        <v>7194</v>
      </c>
      <c r="L78" s="43">
        <v>1122000</v>
      </c>
      <c r="M78" s="1613">
        <v>207686.27</v>
      </c>
      <c r="N78" s="1613">
        <v>2016.7</v>
      </c>
      <c r="O78" s="1286" t="s">
        <v>7195</v>
      </c>
      <c r="P78" s="1613" t="s">
        <v>7196</v>
      </c>
      <c r="Q78" s="1613">
        <v>15031291720</v>
      </c>
      <c r="R78" s="1613" t="s">
        <v>7197</v>
      </c>
      <c r="S78" s="1613" t="s">
        <v>7094</v>
      </c>
      <c r="T78" s="1612"/>
    </row>
    <row r="79" spans="1:20" s="766" customFormat="1" ht="24" customHeight="1">
      <c r="A79" s="1616" t="s">
        <v>2306</v>
      </c>
      <c r="B79" s="1613" t="s">
        <v>164</v>
      </c>
      <c r="C79" s="1613" t="s">
        <v>7191</v>
      </c>
      <c r="D79" s="1613" t="s">
        <v>79</v>
      </c>
      <c r="E79" s="1613">
        <v>10</v>
      </c>
      <c r="F79" s="1613">
        <v>55</v>
      </c>
      <c r="G79" s="1613" t="s">
        <v>32</v>
      </c>
      <c r="H79" s="1613" t="s">
        <v>33</v>
      </c>
      <c r="I79" s="1613" t="s">
        <v>7192</v>
      </c>
      <c r="J79" s="1613" t="s">
        <v>7193</v>
      </c>
      <c r="K79" s="1613" t="s">
        <v>7194</v>
      </c>
      <c r="L79" s="43">
        <v>324500</v>
      </c>
      <c r="M79" s="1613">
        <v>60066.13</v>
      </c>
      <c r="N79" s="1613">
        <v>2016.7</v>
      </c>
      <c r="O79" s="1286" t="s">
        <v>7195</v>
      </c>
      <c r="P79" s="1613" t="s">
        <v>7196</v>
      </c>
      <c r="Q79" s="1613">
        <v>15031291720</v>
      </c>
      <c r="R79" s="1613" t="s">
        <v>7197</v>
      </c>
      <c r="S79" s="1613" t="s">
        <v>7094</v>
      </c>
      <c r="T79" s="1628"/>
    </row>
    <row r="80" spans="1:20" ht="24" customHeight="1">
      <c r="A80" s="1616" t="s">
        <v>2310</v>
      </c>
      <c r="B80" s="1613" t="s">
        <v>164</v>
      </c>
      <c r="C80" s="1613" t="s">
        <v>3030</v>
      </c>
      <c r="D80" s="1613" t="s">
        <v>79</v>
      </c>
      <c r="E80" s="1613">
        <v>2</v>
      </c>
      <c r="F80" s="1613">
        <v>8.1999999999999993</v>
      </c>
      <c r="G80" s="1613" t="s">
        <v>32</v>
      </c>
      <c r="H80" s="1613" t="s">
        <v>33</v>
      </c>
      <c r="I80" s="1613" t="s">
        <v>7192</v>
      </c>
      <c r="J80" s="1613" t="s">
        <v>7193</v>
      </c>
      <c r="K80" s="1613" t="s">
        <v>7194</v>
      </c>
      <c r="L80" s="43">
        <v>48380</v>
      </c>
      <c r="M80" s="1613">
        <v>9516.07</v>
      </c>
      <c r="N80" s="1613">
        <v>2016.7</v>
      </c>
      <c r="O80" s="1286" t="s">
        <v>7195</v>
      </c>
      <c r="P80" s="1613" t="s">
        <v>7196</v>
      </c>
      <c r="Q80" s="1613">
        <v>15031291720</v>
      </c>
      <c r="R80" s="1613" t="s">
        <v>7197</v>
      </c>
      <c r="S80" s="1613" t="s">
        <v>7094</v>
      </c>
      <c r="T80" s="1612"/>
    </row>
    <row r="81" spans="1:20" ht="24" customHeight="1">
      <c r="A81" s="1616" t="s">
        <v>2312</v>
      </c>
      <c r="B81" s="1613" t="s">
        <v>164</v>
      </c>
      <c r="C81" s="1613" t="s">
        <v>7191</v>
      </c>
      <c r="D81" s="1613" t="s">
        <v>79</v>
      </c>
      <c r="E81" s="1613">
        <v>1</v>
      </c>
      <c r="F81" s="1613">
        <v>55</v>
      </c>
      <c r="G81" s="1613" t="s">
        <v>32</v>
      </c>
      <c r="H81" s="1613" t="s">
        <v>33</v>
      </c>
      <c r="I81" s="1613" t="s">
        <v>7198</v>
      </c>
      <c r="J81" s="1613" t="s">
        <v>7199</v>
      </c>
      <c r="K81" s="1613" t="s">
        <v>7194</v>
      </c>
      <c r="L81" s="43">
        <v>385740</v>
      </c>
      <c r="M81" s="43">
        <v>34070</v>
      </c>
      <c r="N81" s="1613">
        <v>2016.7</v>
      </c>
      <c r="O81" s="1286" t="s">
        <v>7195</v>
      </c>
      <c r="P81" s="1613" t="s">
        <v>7196</v>
      </c>
      <c r="Q81" s="1613">
        <v>15031291720</v>
      </c>
      <c r="R81" s="1613" t="s">
        <v>7197</v>
      </c>
      <c r="S81" s="1613" t="s">
        <v>7094</v>
      </c>
      <c r="T81" s="1612"/>
    </row>
    <row r="82" spans="1:20" ht="24" customHeight="1">
      <c r="A82" s="1616"/>
      <c r="B82" s="1613"/>
      <c r="C82" s="1613"/>
      <c r="D82" s="1613"/>
      <c r="E82" s="1613"/>
      <c r="F82" s="1613"/>
      <c r="G82" s="1613"/>
      <c r="H82" s="1613"/>
      <c r="I82" s="1613"/>
      <c r="J82" s="1613"/>
      <c r="K82" s="1613"/>
      <c r="L82" s="43"/>
      <c r="M82" s="43"/>
      <c r="N82" s="1613"/>
      <c r="O82" s="1286"/>
      <c r="P82" s="1613"/>
      <c r="Q82" s="1613"/>
      <c r="R82" s="1613"/>
      <c r="S82" s="1613"/>
      <c r="T82" s="1612"/>
    </row>
    <row r="83" spans="1:20" ht="24" customHeight="1">
      <c r="A83" s="1616" t="s">
        <v>2314</v>
      </c>
      <c r="B83" s="1611" t="s">
        <v>164</v>
      </c>
      <c r="C83" s="1646" t="s">
        <v>7200</v>
      </c>
      <c r="D83" s="1647" t="s">
        <v>79</v>
      </c>
      <c r="E83" s="1624">
        <v>1</v>
      </c>
      <c r="F83" s="1648">
        <v>37</v>
      </c>
      <c r="G83" s="1646" t="s">
        <v>7201</v>
      </c>
      <c r="H83" s="1646" t="s">
        <v>33</v>
      </c>
      <c r="I83" s="1611"/>
      <c r="J83" s="1611"/>
      <c r="K83" s="1611" t="s">
        <v>7202</v>
      </c>
      <c r="L83" s="1649">
        <v>348700</v>
      </c>
      <c r="M83" s="1650">
        <v>69740</v>
      </c>
      <c r="N83" s="1613" t="s">
        <v>7203</v>
      </c>
      <c r="O83" s="1608" t="s">
        <v>7195</v>
      </c>
      <c r="P83" s="1611" t="s">
        <v>7196</v>
      </c>
      <c r="Q83" s="1613">
        <v>15031291720</v>
      </c>
      <c r="R83" s="1611" t="s">
        <v>7204</v>
      </c>
      <c r="S83" s="1611" t="s">
        <v>7094</v>
      </c>
      <c r="T83" s="1612"/>
    </row>
    <row r="84" spans="1:20" ht="24" customHeight="1">
      <c r="A84" s="1616" t="s">
        <v>2315</v>
      </c>
      <c r="B84" s="1611" t="s">
        <v>164</v>
      </c>
      <c r="C84" s="1646" t="s">
        <v>7205</v>
      </c>
      <c r="D84" s="1647" t="s">
        <v>79</v>
      </c>
      <c r="E84" s="1624">
        <v>1</v>
      </c>
      <c r="F84" s="1648">
        <v>36.700000000000003</v>
      </c>
      <c r="G84" s="1646" t="s">
        <v>7201</v>
      </c>
      <c r="H84" s="1646" t="s">
        <v>33</v>
      </c>
      <c r="I84" s="1611"/>
      <c r="J84" s="1611"/>
      <c r="K84" s="1611" t="s">
        <v>7202</v>
      </c>
      <c r="L84" s="1649">
        <v>373535</v>
      </c>
      <c r="M84" s="1650">
        <v>74707</v>
      </c>
      <c r="N84" s="1613" t="s">
        <v>7203</v>
      </c>
      <c r="O84" s="1608" t="s">
        <v>7195</v>
      </c>
      <c r="P84" s="1611" t="s">
        <v>7196</v>
      </c>
      <c r="Q84" s="1613">
        <v>15031291720</v>
      </c>
      <c r="R84" s="1611" t="s">
        <v>7204</v>
      </c>
      <c r="S84" s="1611" t="s">
        <v>7094</v>
      </c>
      <c r="T84" s="1612"/>
    </row>
    <row r="85" spans="1:20" ht="24" customHeight="1">
      <c r="A85" s="1616" t="s">
        <v>2317</v>
      </c>
      <c r="B85" s="1611" t="s">
        <v>164</v>
      </c>
      <c r="C85" s="1646" t="s">
        <v>7206</v>
      </c>
      <c r="D85" s="1647" t="s">
        <v>79</v>
      </c>
      <c r="E85" s="1624">
        <v>1</v>
      </c>
      <c r="F85" s="1648">
        <v>33.5</v>
      </c>
      <c r="G85" s="1646" t="s">
        <v>7201</v>
      </c>
      <c r="H85" s="1646" t="s">
        <v>33</v>
      </c>
      <c r="I85" s="1611"/>
      <c r="J85" s="1611"/>
      <c r="K85" s="1611" t="s">
        <v>7202</v>
      </c>
      <c r="L85" s="1649">
        <v>339225</v>
      </c>
      <c r="M85" s="1650">
        <v>67845</v>
      </c>
      <c r="N85" s="1613" t="s">
        <v>7203</v>
      </c>
      <c r="O85" s="1608" t="s">
        <v>7195</v>
      </c>
      <c r="P85" s="1611" t="s">
        <v>7196</v>
      </c>
      <c r="Q85" s="1613">
        <v>15031291720</v>
      </c>
      <c r="R85" s="1611" t="s">
        <v>7204</v>
      </c>
      <c r="S85" s="1611" t="s">
        <v>7094</v>
      </c>
      <c r="T85" s="1612"/>
    </row>
    <row r="86" spans="1:20" ht="24" customHeight="1">
      <c r="A86" s="1616" t="s">
        <v>2319</v>
      </c>
      <c r="B86" s="1611" t="s">
        <v>164</v>
      </c>
      <c r="C86" s="1646" t="s">
        <v>7207</v>
      </c>
      <c r="D86" s="1647" t="s">
        <v>79</v>
      </c>
      <c r="E86" s="1624">
        <v>1</v>
      </c>
      <c r="F86" s="1648">
        <v>54</v>
      </c>
      <c r="G86" s="1646" t="s">
        <v>7201</v>
      </c>
      <c r="H86" s="1650" t="s">
        <v>33</v>
      </c>
      <c r="I86" s="1611"/>
      <c r="J86" s="1611"/>
      <c r="K86" s="1611" t="s">
        <v>7202</v>
      </c>
      <c r="L86" s="1649">
        <v>532455</v>
      </c>
      <c r="M86" s="1650">
        <v>106491</v>
      </c>
      <c r="N86" s="1613" t="s">
        <v>7203</v>
      </c>
      <c r="O86" s="1608" t="s">
        <v>7195</v>
      </c>
      <c r="P86" s="1611" t="s">
        <v>7196</v>
      </c>
      <c r="Q86" s="1613">
        <v>15031291720</v>
      </c>
      <c r="R86" s="1611" t="s">
        <v>7204</v>
      </c>
      <c r="S86" s="1611" t="s">
        <v>7094</v>
      </c>
      <c r="T86" s="1612"/>
    </row>
    <row r="87" spans="1:20" ht="24" customHeight="1">
      <c r="A87" s="1616" t="s">
        <v>2321</v>
      </c>
      <c r="B87" s="1611" t="s">
        <v>164</v>
      </c>
      <c r="C87" s="1646" t="s">
        <v>7208</v>
      </c>
      <c r="D87" s="1647" t="s">
        <v>79</v>
      </c>
      <c r="E87" s="1624">
        <v>1</v>
      </c>
      <c r="F87" s="1648">
        <v>54</v>
      </c>
      <c r="G87" s="1646" t="s">
        <v>7201</v>
      </c>
      <c r="H87" s="1650" t="s">
        <v>33</v>
      </c>
      <c r="I87" s="1611"/>
      <c r="J87" s="1611"/>
      <c r="K87" s="1611" t="s">
        <v>7202</v>
      </c>
      <c r="L87" s="1649">
        <v>495469.6</v>
      </c>
      <c r="M87" s="1650">
        <v>99093.92</v>
      </c>
      <c r="N87" s="1613" t="s">
        <v>7203</v>
      </c>
      <c r="O87" s="1608" t="s">
        <v>7195</v>
      </c>
      <c r="P87" s="1611" t="s">
        <v>7196</v>
      </c>
      <c r="Q87" s="1613">
        <v>15031291720</v>
      </c>
      <c r="R87" s="1611" t="s">
        <v>7204</v>
      </c>
      <c r="S87" s="1611" t="s">
        <v>7094</v>
      </c>
      <c r="T87" s="1612"/>
    </row>
    <row r="88" spans="1:20" ht="24" customHeight="1">
      <c r="A88" s="1616" t="s">
        <v>2327</v>
      </c>
      <c r="B88" s="1611" t="s">
        <v>164</v>
      </c>
      <c r="C88" s="1646" t="s">
        <v>7208</v>
      </c>
      <c r="D88" s="1647" t="s">
        <v>79</v>
      </c>
      <c r="E88" s="1624">
        <v>1</v>
      </c>
      <c r="F88" s="1648">
        <v>54</v>
      </c>
      <c r="G88" s="1646" t="s">
        <v>7201</v>
      </c>
      <c r="H88" s="1650" t="s">
        <v>33</v>
      </c>
      <c r="I88" s="1611"/>
      <c r="J88" s="1611"/>
      <c r="K88" s="1611" t="s">
        <v>7202</v>
      </c>
      <c r="L88" s="1649">
        <v>338317.87</v>
      </c>
      <c r="M88" s="1650">
        <v>67663.573999999993</v>
      </c>
      <c r="N88" s="1613" t="s">
        <v>7203</v>
      </c>
      <c r="O88" s="1608" t="s">
        <v>7195</v>
      </c>
      <c r="P88" s="1611" t="s">
        <v>7196</v>
      </c>
      <c r="Q88" s="1613">
        <v>15031291720</v>
      </c>
      <c r="R88" s="1611" t="s">
        <v>7204</v>
      </c>
      <c r="S88" s="1611" t="s">
        <v>7094</v>
      </c>
      <c r="T88" s="1612"/>
    </row>
    <row r="89" spans="1:20" ht="24" customHeight="1">
      <c r="A89" s="1616" t="s">
        <v>2329</v>
      </c>
      <c r="B89" s="1611" t="s">
        <v>164</v>
      </c>
      <c r="C89" s="1646" t="s">
        <v>7209</v>
      </c>
      <c r="D89" s="1647" t="s">
        <v>79</v>
      </c>
      <c r="E89" s="1624">
        <v>1</v>
      </c>
      <c r="F89" s="1648">
        <v>54</v>
      </c>
      <c r="G89" s="1646" t="s">
        <v>7201</v>
      </c>
      <c r="H89" s="1650" t="s">
        <v>33</v>
      </c>
      <c r="I89" s="1611"/>
      <c r="J89" s="1611"/>
      <c r="K89" s="1611" t="s">
        <v>7202</v>
      </c>
      <c r="L89" s="1649">
        <v>173055.92</v>
      </c>
      <c r="M89" s="1650">
        <v>34611.184000000001</v>
      </c>
      <c r="N89" s="1613" t="s">
        <v>7203</v>
      </c>
      <c r="O89" s="1608" t="s">
        <v>7195</v>
      </c>
      <c r="P89" s="1611" t="s">
        <v>7196</v>
      </c>
      <c r="Q89" s="1613">
        <v>15031291720</v>
      </c>
      <c r="R89" s="1611" t="s">
        <v>7204</v>
      </c>
      <c r="S89" s="1611" t="s">
        <v>7094</v>
      </c>
      <c r="T89" s="1612"/>
    </row>
    <row r="90" spans="1:20" ht="24" customHeight="1">
      <c r="A90" s="1616" t="s">
        <v>2331</v>
      </c>
      <c r="B90" s="1611" t="s">
        <v>164</v>
      </c>
      <c r="C90" s="1646" t="s">
        <v>7210</v>
      </c>
      <c r="D90" s="1647" t="s">
        <v>79</v>
      </c>
      <c r="E90" s="1624">
        <v>1</v>
      </c>
      <c r="F90" s="1648">
        <v>54</v>
      </c>
      <c r="G90" s="1646" t="s">
        <v>7201</v>
      </c>
      <c r="H90" s="1650" t="s">
        <v>33</v>
      </c>
      <c r="I90" s="1611"/>
      <c r="J90" s="1611"/>
      <c r="K90" s="1611" t="s">
        <v>7202</v>
      </c>
      <c r="L90" s="1649">
        <v>433500</v>
      </c>
      <c r="M90" s="1650">
        <v>86700</v>
      </c>
      <c r="N90" s="1613" t="s">
        <v>7203</v>
      </c>
      <c r="O90" s="1608" t="s">
        <v>7195</v>
      </c>
      <c r="P90" s="1611" t="s">
        <v>7196</v>
      </c>
      <c r="Q90" s="1613">
        <v>15031291720</v>
      </c>
      <c r="R90" s="1611" t="s">
        <v>7204</v>
      </c>
      <c r="S90" s="1611" t="s">
        <v>7094</v>
      </c>
      <c r="T90" s="1612"/>
    </row>
    <row r="91" spans="1:20" ht="24" customHeight="1">
      <c r="A91" s="1616" t="s">
        <v>2333</v>
      </c>
      <c r="B91" s="1611" t="s">
        <v>164</v>
      </c>
      <c r="C91" s="1646" t="s">
        <v>7211</v>
      </c>
      <c r="D91" s="1647" t="s">
        <v>79</v>
      </c>
      <c r="E91" s="1624">
        <v>1</v>
      </c>
      <c r="F91" s="1648">
        <v>56</v>
      </c>
      <c r="G91" s="1646" t="s">
        <v>7201</v>
      </c>
      <c r="H91" s="1646" t="s">
        <v>33</v>
      </c>
      <c r="I91" s="1611"/>
      <c r="J91" s="1611"/>
      <c r="K91" s="1611" t="s">
        <v>7202</v>
      </c>
      <c r="L91" s="1649">
        <v>443250</v>
      </c>
      <c r="M91" s="1650">
        <v>88650</v>
      </c>
      <c r="N91" s="1613" t="s">
        <v>7203</v>
      </c>
      <c r="O91" s="1608" t="s">
        <v>7195</v>
      </c>
      <c r="P91" s="1611" t="s">
        <v>7196</v>
      </c>
      <c r="Q91" s="1613">
        <v>15031291720</v>
      </c>
      <c r="R91" s="1611" t="s">
        <v>7204</v>
      </c>
      <c r="S91" s="1611" t="s">
        <v>7094</v>
      </c>
      <c r="T91" s="1612"/>
    </row>
    <row r="92" spans="1:20" ht="24" customHeight="1">
      <c r="A92" s="1616" t="s">
        <v>2336</v>
      </c>
      <c r="B92" s="1611" t="s">
        <v>164</v>
      </c>
      <c r="C92" s="1646" t="s">
        <v>7212</v>
      </c>
      <c r="D92" s="1647" t="s">
        <v>79</v>
      </c>
      <c r="E92" s="1624">
        <v>1</v>
      </c>
      <c r="F92" s="1648">
        <v>49</v>
      </c>
      <c r="G92" s="1646" t="s">
        <v>7201</v>
      </c>
      <c r="H92" s="1646" t="s">
        <v>33</v>
      </c>
      <c r="I92" s="1607"/>
      <c r="J92" s="1611"/>
      <c r="K92" s="1611" t="s">
        <v>7202</v>
      </c>
      <c r="L92" s="1649">
        <v>341537.43</v>
      </c>
      <c r="M92" s="1650">
        <v>68307.486000000004</v>
      </c>
      <c r="N92" s="1613" t="s">
        <v>7203</v>
      </c>
      <c r="O92" s="1608" t="s">
        <v>7195</v>
      </c>
      <c r="P92" s="1611" t="s">
        <v>7196</v>
      </c>
      <c r="Q92" s="1613">
        <v>15031291720</v>
      </c>
      <c r="R92" s="1611" t="s">
        <v>7204</v>
      </c>
      <c r="S92" s="1611" t="s">
        <v>7094</v>
      </c>
      <c r="T92" s="1612"/>
    </row>
    <row r="93" spans="1:20" ht="24" customHeight="1">
      <c r="A93" s="1616" t="s">
        <v>2338</v>
      </c>
      <c r="B93" s="1611" t="s">
        <v>164</v>
      </c>
      <c r="C93" s="1646" t="s">
        <v>7213</v>
      </c>
      <c r="D93" s="1647" t="s">
        <v>79</v>
      </c>
      <c r="E93" s="1624">
        <v>1</v>
      </c>
      <c r="F93" s="1648">
        <v>56</v>
      </c>
      <c r="G93" s="1646" t="s">
        <v>7201</v>
      </c>
      <c r="H93" s="1646" t="s">
        <v>33</v>
      </c>
      <c r="I93" s="1607"/>
      <c r="J93" s="1608"/>
      <c r="K93" s="1611" t="s">
        <v>7202</v>
      </c>
      <c r="L93" s="1649">
        <v>443250</v>
      </c>
      <c r="M93" s="1650">
        <v>88650</v>
      </c>
      <c r="N93" s="1613" t="s">
        <v>7203</v>
      </c>
      <c r="O93" s="1608" t="s">
        <v>7195</v>
      </c>
      <c r="P93" s="1611" t="s">
        <v>7196</v>
      </c>
      <c r="Q93" s="1613">
        <v>15031291720</v>
      </c>
      <c r="R93" s="1611" t="s">
        <v>7204</v>
      </c>
      <c r="S93" s="1611" t="s">
        <v>7094</v>
      </c>
      <c r="T93" s="1612"/>
    </row>
    <row r="94" spans="1:20" ht="24" customHeight="1">
      <c r="A94" s="1616" t="s">
        <v>2341</v>
      </c>
      <c r="B94" s="1611" t="s">
        <v>164</v>
      </c>
      <c r="C94" s="1646" t="s">
        <v>7214</v>
      </c>
      <c r="D94" s="1647" t="s">
        <v>79</v>
      </c>
      <c r="E94" s="1624">
        <v>1</v>
      </c>
      <c r="F94" s="1648"/>
      <c r="G94" s="1646" t="s">
        <v>7201</v>
      </c>
      <c r="H94" s="1646" t="s">
        <v>33</v>
      </c>
      <c r="I94" s="1607"/>
      <c r="J94" s="1611"/>
      <c r="K94" s="1611" t="s">
        <v>7202</v>
      </c>
      <c r="L94" s="1649">
        <v>96150</v>
      </c>
      <c r="M94" s="1650">
        <v>19230</v>
      </c>
      <c r="N94" s="1613" t="s">
        <v>7203</v>
      </c>
      <c r="O94" s="1608" t="s">
        <v>7195</v>
      </c>
      <c r="P94" s="1611" t="s">
        <v>7196</v>
      </c>
      <c r="Q94" s="1613">
        <v>15031291720</v>
      </c>
      <c r="R94" s="1611" t="s">
        <v>7204</v>
      </c>
      <c r="S94" s="1611" t="s">
        <v>7094</v>
      </c>
      <c r="T94" s="1612"/>
    </row>
    <row r="95" spans="1:20" ht="24" customHeight="1">
      <c r="A95" s="1616" t="s">
        <v>2344</v>
      </c>
      <c r="B95" s="1611" t="s">
        <v>164</v>
      </c>
      <c r="C95" s="1646" t="s">
        <v>7215</v>
      </c>
      <c r="D95" s="1647" t="s">
        <v>79</v>
      </c>
      <c r="E95" s="1624">
        <v>1</v>
      </c>
      <c r="F95" s="1648">
        <v>22</v>
      </c>
      <c r="G95" s="1646" t="s">
        <v>7201</v>
      </c>
      <c r="H95" s="1646" t="s">
        <v>41</v>
      </c>
      <c r="I95" s="1607"/>
      <c r="J95" s="1611"/>
      <c r="K95" s="1611" t="s">
        <v>7202</v>
      </c>
      <c r="L95" s="1649">
        <v>222270.01</v>
      </c>
      <c r="M95" s="1651">
        <v>184261.84</v>
      </c>
      <c r="N95" s="1613" t="s">
        <v>7203</v>
      </c>
      <c r="O95" s="1608" t="s">
        <v>7216</v>
      </c>
      <c r="P95" s="1611" t="s">
        <v>7217</v>
      </c>
      <c r="Q95" s="1613">
        <v>13603219995</v>
      </c>
      <c r="R95" s="1611" t="s">
        <v>7204</v>
      </c>
      <c r="S95" s="1611" t="s">
        <v>7094</v>
      </c>
      <c r="T95" s="1612"/>
    </row>
    <row r="96" spans="1:20" ht="24" customHeight="1">
      <c r="A96" s="1616" t="s">
        <v>2347</v>
      </c>
      <c r="B96" s="1652" t="s">
        <v>164</v>
      </c>
      <c r="C96" s="1653" t="s">
        <v>7218</v>
      </c>
      <c r="D96" s="1654" t="s">
        <v>79</v>
      </c>
      <c r="E96" s="1653">
        <v>4</v>
      </c>
      <c r="F96" s="1655">
        <v>54.5</v>
      </c>
      <c r="G96" s="1648" t="s">
        <v>33</v>
      </c>
      <c r="H96" s="1624"/>
      <c r="I96" s="1628"/>
      <c r="J96" s="1611"/>
      <c r="K96" s="1624" t="s">
        <v>7219</v>
      </c>
      <c r="L96" s="1656">
        <v>1979440</v>
      </c>
      <c r="M96" s="1656">
        <v>1979440</v>
      </c>
      <c r="N96" s="1613" t="s">
        <v>7203</v>
      </c>
      <c r="O96" s="1624" t="s">
        <v>7220</v>
      </c>
      <c r="P96" s="1624" t="s">
        <v>3752</v>
      </c>
      <c r="Q96" s="1613">
        <v>17330072591</v>
      </c>
      <c r="R96" s="1611" t="s">
        <v>7204</v>
      </c>
      <c r="S96" s="1611" t="s">
        <v>7094</v>
      </c>
      <c r="T96" s="1612"/>
    </row>
    <row r="97" spans="1:20" ht="24" customHeight="1">
      <c r="A97" s="1616" t="s">
        <v>2350</v>
      </c>
      <c r="B97" s="1652" t="s">
        <v>164</v>
      </c>
      <c r="C97" s="1653" t="s">
        <v>7221</v>
      </c>
      <c r="D97" s="1654" t="s">
        <v>79</v>
      </c>
      <c r="E97" s="1653">
        <v>12</v>
      </c>
      <c r="F97" s="1655">
        <v>5.5</v>
      </c>
      <c r="G97" s="1648" t="s">
        <v>33</v>
      </c>
      <c r="H97" s="1624"/>
      <c r="I97" s="1628"/>
      <c r="J97" s="1611"/>
      <c r="K97" s="1624" t="s">
        <v>7219</v>
      </c>
      <c r="L97" s="1656">
        <v>488400</v>
      </c>
      <c r="M97" s="1656">
        <v>488400</v>
      </c>
      <c r="N97" s="1613" t="s">
        <v>7203</v>
      </c>
      <c r="O97" s="1624" t="s">
        <v>7220</v>
      </c>
      <c r="P97" s="1624" t="s">
        <v>3752</v>
      </c>
      <c r="Q97" s="1613">
        <v>17330072591</v>
      </c>
      <c r="R97" s="1611" t="s">
        <v>7204</v>
      </c>
      <c r="S97" s="1611" t="s">
        <v>7094</v>
      </c>
      <c r="T97" s="1612"/>
    </row>
    <row r="98" spans="1:20" ht="24" customHeight="1">
      <c r="A98" s="1616" t="s">
        <v>2352</v>
      </c>
      <c r="B98" s="1652" t="s">
        <v>164</v>
      </c>
      <c r="C98" s="1653" t="s">
        <v>7222</v>
      </c>
      <c r="D98" s="1654" t="s">
        <v>79</v>
      </c>
      <c r="E98" s="1653">
        <v>2</v>
      </c>
      <c r="F98" s="1655">
        <v>53</v>
      </c>
      <c r="G98" s="1648" t="s">
        <v>33</v>
      </c>
      <c r="H98" s="1624"/>
      <c r="I98" s="1628"/>
      <c r="J98" s="1611"/>
      <c r="K98" s="1624" t="s">
        <v>7219</v>
      </c>
      <c r="L98" s="1656">
        <v>962480</v>
      </c>
      <c r="M98" s="1656">
        <v>962480</v>
      </c>
      <c r="N98" s="1613" t="s">
        <v>7203</v>
      </c>
      <c r="O98" s="1624" t="s">
        <v>7220</v>
      </c>
      <c r="P98" s="1624" t="s">
        <v>3752</v>
      </c>
      <c r="Q98" s="1613">
        <v>17330072591</v>
      </c>
      <c r="R98" s="1611" t="s">
        <v>7204</v>
      </c>
      <c r="S98" s="1611" t="s">
        <v>7094</v>
      </c>
      <c r="T98" s="1612"/>
    </row>
    <row r="99" spans="1:20" ht="24" customHeight="1">
      <c r="A99" s="1616" t="s">
        <v>2354</v>
      </c>
      <c r="B99" s="1652" t="s">
        <v>164</v>
      </c>
      <c r="C99" s="1653" t="s">
        <v>7223</v>
      </c>
      <c r="D99" s="1654" t="s">
        <v>79</v>
      </c>
      <c r="E99" s="1653">
        <v>2</v>
      </c>
      <c r="F99" s="1655">
        <v>40</v>
      </c>
      <c r="G99" s="1648" t="s">
        <v>33</v>
      </c>
      <c r="H99" s="1624"/>
      <c r="I99" s="1628"/>
      <c r="J99" s="1611"/>
      <c r="K99" s="1624" t="s">
        <v>7219</v>
      </c>
      <c r="L99" s="1656">
        <v>726400</v>
      </c>
      <c r="M99" s="1656">
        <v>726400</v>
      </c>
      <c r="N99" s="1613" t="s">
        <v>7203</v>
      </c>
      <c r="O99" s="1624" t="s">
        <v>7220</v>
      </c>
      <c r="P99" s="1624" t="s">
        <v>3752</v>
      </c>
      <c r="Q99" s="1613">
        <v>17330072591</v>
      </c>
      <c r="R99" s="1611" t="s">
        <v>7204</v>
      </c>
      <c r="S99" s="1611" t="s">
        <v>7094</v>
      </c>
      <c r="T99" s="1612"/>
    </row>
    <row r="100" spans="1:20" ht="24" customHeight="1">
      <c r="A100" s="1616" t="s">
        <v>2355</v>
      </c>
      <c r="B100" s="1652" t="s">
        <v>164</v>
      </c>
      <c r="C100" s="1653" t="s">
        <v>7224</v>
      </c>
      <c r="D100" s="1654" t="s">
        <v>79</v>
      </c>
      <c r="E100" s="1653">
        <v>1</v>
      </c>
      <c r="F100" s="1655">
        <v>53</v>
      </c>
      <c r="G100" s="1648" t="s">
        <v>33</v>
      </c>
      <c r="H100" s="1624"/>
      <c r="I100" s="1628"/>
      <c r="J100" s="1611"/>
      <c r="K100" s="1624" t="s">
        <v>7219</v>
      </c>
      <c r="L100" s="1656">
        <v>481240</v>
      </c>
      <c r="M100" s="1656">
        <v>481240</v>
      </c>
      <c r="N100" s="1613" t="s">
        <v>7203</v>
      </c>
      <c r="O100" s="1624" t="s">
        <v>7220</v>
      </c>
      <c r="P100" s="1624" t="s">
        <v>3752</v>
      </c>
      <c r="Q100" s="1613">
        <v>17330072591</v>
      </c>
      <c r="R100" s="1611" t="s">
        <v>7204</v>
      </c>
      <c r="S100" s="1611" t="s">
        <v>7094</v>
      </c>
      <c r="T100" s="1612"/>
    </row>
    <row r="101" spans="1:20" ht="24" customHeight="1">
      <c r="A101" s="1616" t="s">
        <v>2357</v>
      </c>
      <c r="B101" s="1652" t="s">
        <v>453</v>
      </c>
      <c r="C101" s="1653" t="s">
        <v>7225</v>
      </c>
      <c r="D101" s="1654" t="s">
        <v>79</v>
      </c>
      <c r="E101" s="1653">
        <v>3</v>
      </c>
      <c r="F101" s="1655">
        <v>5.5</v>
      </c>
      <c r="G101" s="1648" t="s">
        <v>33</v>
      </c>
      <c r="H101" s="1624"/>
      <c r="I101" s="1628"/>
      <c r="J101" s="1611"/>
      <c r="K101" s="1624" t="s">
        <v>7219</v>
      </c>
      <c r="L101" s="1656">
        <v>481240</v>
      </c>
      <c r="M101" s="1656">
        <v>122100</v>
      </c>
      <c r="N101" s="1613" t="s">
        <v>7203</v>
      </c>
      <c r="O101" s="1624" t="s">
        <v>7220</v>
      </c>
      <c r="P101" s="1624" t="s">
        <v>3752</v>
      </c>
      <c r="Q101" s="1613">
        <v>17330072591</v>
      </c>
      <c r="R101" s="1611" t="s">
        <v>7204</v>
      </c>
      <c r="S101" s="1611" t="s">
        <v>7094</v>
      </c>
      <c r="T101" s="1612"/>
    </row>
    <row r="102" spans="1:20" ht="24" customHeight="1">
      <c r="A102" s="1616" t="s">
        <v>2358</v>
      </c>
      <c r="B102" s="1652" t="s">
        <v>7226</v>
      </c>
      <c r="C102" s="1653" t="s">
        <v>7227</v>
      </c>
      <c r="D102" s="1654" t="s">
        <v>79</v>
      </c>
      <c r="E102" s="1653">
        <v>1</v>
      </c>
      <c r="F102" s="1655">
        <v>53</v>
      </c>
      <c r="G102" s="1648" t="s">
        <v>33</v>
      </c>
      <c r="H102" s="1624"/>
      <c r="I102" s="1628"/>
      <c r="J102" s="1611"/>
      <c r="K102" s="1624" t="s">
        <v>7219</v>
      </c>
      <c r="L102" s="1656">
        <v>243344</v>
      </c>
      <c r="M102" s="1656">
        <v>243344</v>
      </c>
      <c r="N102" s="1613" t="s">
        <v>7203</v>
      </c>
      <c r="O102" s="1624" t="s">
        <v>7220</v>
      </c>
      <c r="P102" s="1624" t="s">
        <v>3752</v>
      </c>
      <c r="Q102" s="1613">
        <v>17330072591</v>
      </c>
      <c r="R102" s="1611" t="s">
        <v>7204</v>
      </c>
      <c r="S102" s="1611" t="s">
        <v>7094</v>
      </c>
      <c r="T102" s="1612"/>
    </row>
    <row r="103" spans="1:20" ht="24" customHeight="1">
      <c r="A103" s="1616" t="s">
        <v>2359</v>
      </c>
      <c r="B103" s="1652" t="s">
        <v>7226</v>
      </c>
      <c r="C103" s="1653" t="s">
        <v>7228</v>
      </c>
      <c r="D103" s="1654" t="s">
        <v>79</v>
      </c>
      <c r="E103" s="1653">
        <v>1</v>
      </c>
      <c r="F103" s="1655">
        <v>26.8</v>
      </c>
      <c r="G103" s="1648" t="s">
        <v>33</v>
      </c>
      <c r="H103" s="1624"/>
      <c r="I103" s="1628"/>
      <c r="J103" s="1611"/>
      <c r="K103" s="1624" t="s">
        <v>7219</v>
      </c>
      <c r="L103" s="1656">
        <v>481240</v>
      </c>
      <c r="M103" s="1656">
        <v>481240</v>
      </c>
      <c r="N103" s="1613" t="s">
        <v>7203</v>
      </c>
      <c r="O103" s="1624" t="s">
        <v>7220</v>
      </c>
      <c r="P103" s="1624" t="s">
        <v>3752</v>
      </c>
      <c r="Q103" s="1613">
        <v>17330072591</v>
      </c>
      <c r="R103" s="1611" t="s">
        <v>7204</v>
      </c>
      <c r="S103" s="1611" t="s">
        <v>7094</v>
      </c>
      <c r="T103" s="1612"/>
    </row>
    <row r="104" spans="1:20" ht="24" customHeight="1">
      <c r="A104" s="1616" t="s">
        <v>2362</v>
      </c>
      <c r="B104" s="1652" t="s">
        <v>453</v>
      </c>
      <c r="C104" s="1653" t="s">
        <v>7190</v>
      </c>
      <c r="D104" s="1654" t="s">
        <v>79</v>
      </c>
      <c r="E104" s="1653">
        <v>2</v>
      </c>
      <c r="F104" s="1655">
        <v>11</v>
      </c>
      <c r="G104" s="1648" t="s">
        <v>33</v>
      </c>
      <c r="H104" s="1624"/>
      <c r="I104" s="1628"/>
      <c r="J104" s="1611"/>
      <c r="K104" s="1624" t="s">
        <v>7219</v>
      </c>
      <c r="L104" s="1656">
        <v>81400</v>
      </c>
      <c r="M104" s="1656">
        <v>81400</v>
      </c>
      <c r="N104" s="1613" t="s">
        <v>7203</v>
      </c>
      <c r="O104" s="1624" t="s">
        <v>7220</v>
      </c>
      <c r="P104" s="1624" t="s">
        <v>3752</v>
      </c>
      <c r="Q104" s="1657"/>
      <c r="R104" s="1611"/>
      <c r="S104" s="1611" t="s">
        <v>7094</v>
      </c>
      <c r="T104" s="1612"/>
    </row>
    <row r="105" spans="1:20" ht="24" customHeight="1">
      <c r="A105" s="1616" t="s">
        <v>2364</v>
      </c>
      <c r="B105" s="1611" t="s">
        <v>164</v>
      </c>
      <c r="C105" s="1646" t="s">
        <v>7208</v>
      </c>
      <c r="D105" s="1647" t="s">
        <v>79</v>
      </c>
      <c r="E105" s="1624">
        <v>1</v>
      </c>
      <c r="F105" s="1648">
        <v>54</v>
      </c>
      <c r="G105" s="1611"/>
      <c r="H105" s="1611"/>
      <c r="I105" s="1607"/>
      <c r="J105" s="1611"/>
      <c r="K105" s="1637" t="s">
        <v>7229</v>
      </c>
      <c r="L105" s="1649">
        <v>382455</v>
      </c>
      <c r="M105" s="1651">
        <v>98245.5</v>
      </c>
      <c r="N105" s="1613" t="s">
        <v>7203</v>
      </c>
      <c r="O105" s="1611"/>
      <c r="P105" s="1611" t="s">
        <v>7179</v>
      </c>
      <c r="Q105" s="1613">
        <v>19987813662</v>
      </c>
      <c r="R105" s="1611" t="s">
        <v>7230</v>
      </c>
      <c r="S105" s="1611" t="s">
        <v>7094</v>
      </c>
      <c r="T105" s="1612"/>
    </row>
    <row r="106" spans="1:20" ht="24" customHeight="1">
      <c r="A106" s="1616" t="s">
        <v>2366</v>
      </c>
      <c r="B106" s="1611" t="s">
        <v>164</v>
      </c>
      <c r="C106" s="1646" t="s">
        <v>7208</v>
      </c>
      <c r="D106" s="1647" t="s">
        <v>79</v>
      </c>
      <c r="E106" s="1624">
        <v>1</v>
      </c>
      <c r="F106" s="1648">
        <v>54</v>
      </c>
      <c r="G106" s="1611"/>
      <c r="H106" s="1611"/>
      <c r="I106" s="1607"/>
      <c r="J106" s="1611"/>
      <c r="K106" s="1637" t="s">
        <v>7229</v>
      </c>
      <c r="L106" s="1649">
        <v>369838.7</v>
      </c>
      <c r="M106" s="1651">
        <v>96983.87</v>
      </c>
      <c r="N106" s="1613" t="s">
        <v>7203</v>
      </c>
      <c r="O106" s="1611"/>
      <c r="P106" s="1611" t="s">
        <v>7179</v>
      </c>
      <c r="Q106" s="1613">
        <v>19987813662</v>
      </c>
      <c r="R106" s="1611" t="s">
        <v>7230</v>
      </c>
      <c r="S106" s="1611" t="s">
        <v>7094</v>
      </c>
      <c r="T106" s="1612"/>
    </row>
    <row r="107" spans="1:20" ht="24" customHeight="1">
      <c r="A107" s="1616" t="s">
        <v>2369</v>
      </c>
      <c r="B107" s="1652" t="s">
        <v>164</v>
      </c>
      <c r="C107" s="1653" t="s">
        <v>7218</v>
      </c>
      <c r="D107" s="1654" t="s">
        <v>79</v>
      </c>
      <c r="E107" s="1653">
        <v>4</v>
      </c>
      <c r="F107" s="1655">
        <v>54.5</v>
      </c>
      <c r="G107" s="1648"/>
      <c r="H107" s="1624"/>
      <c r="I107" s="1612"/>
      <c r="J107" s="1624" t="s">
        <v>7231</v>
      </c>
      <c r="K107" s="1612"/>
      <c r="L107" s="1656">
        <v>1979440</v>
      </c>
      <c r="M107" s="1624"/>
      <c r="N107" s="1624"/>
      <c r="O107" s="1624" t="s">
        <v>7232</v>
      </c>
      <c r="P107" s="1624" t="s">
        <v>3752</v>
      </c>
      <c r="Q107" s="1613">
        <v>17330072591</v>
      </c>
      <c r="R107" s="43" t="s">
        <v>7233</v>
      </c>
      <c r="S107" s="1611" t="s">
        <v>7094</v>
      </c>
      <c r="T107" s="1612"/>
    </row>
    <row r="108" spans="1:20" ht="24" customHeight="1">
      <c r="A108" s="1616" t="s">
        <v>2370</v>
      </c>
      <c r="B108" s="1652" t="s">
        <v>164</v>
      </c>
      <c r="C108" s="1653" t="s">
        <v>7221</v>
      </c>
      <c r="D108" s="1654" t="s">
        <v>79</v>
      </c>
      <c r="E108" s="1653">
        <v>6</v>
      </c>
      <c r="F108" s="1655">
        <v>5.5</v>
      </c>
      <c r="G108" s="1648"/>
      <c r="H108" s="1624"/>
      <c r="I108" s="1612"/>
      <c r="J108" s="1624" t="s">
        <v>7231</v>
      </c>
      <c r="K108" s="1612"/>
      <c r="L108" s="1656">
        <v>244200</v>
      </c>
      <c r="M108" s="1624"/>
      <c r="N108" s="1624"/>
      <c r="O108" s="1624" t="s">
        <v>7232</v>
      </c>
      <c r="P108" s="1624" t="s">
        <v>3752</v>
      </c>
      <c r="Q108" s="1613">
        <v>17330072591</v>
      </c>
      <c r="R108" s="43" t="s">
        <v>7233</v>
      </c>
      <c r="S108" s="1611" t="s">
        <v>7094</v>
      </c>
      <c r="T108" s="1612"/>
    </row>
    <row r="109" spans="1:20" ht="24" customHeight="1">
      <c r="A109" s="1616" t="s">
        <v>2372</v>
      </c>
      <c r="B109" s="1652" t="s">
        <v>164</v>
      </c>
      <c r="C109" s="1653" t="s">
        <v>7222</v>
      </c>
      <c r="D109" s="1654" t="s">
        <v>79</v>
      </c>
      <c r="E109" s="1653">
        <v>2</v>
      </c>
      <c r="F109" s="1655">
        <v>53</v>
      </c>
      <c r="G109" s="1648"/>
      <c r="H109" s="1624"/>
      <c r="I109" s="1612"/>
      <c r="J109" s="1624" t="s">
        <v>7231</v>
      </c>
      <c r="K109" s="1612"/>
      <c r="L109" s="1656">
        <v>962480</v>
      </c>
      <c r="M109" s="1624"/>
      <c r="N109" s="1624"/>
      <c r="O109" s="1624" t="s">
        <v>7232</v>
      </c>
      <c r="P109" s="1624" t="s">
        <v>3752</v>
      </c>
      <c r="Q109" s="1613">
        <v>17330072591</v>
      </c>
      <c r="R109" s="43" t="s">
        <v>7233</v>
      </c>
      <c r="S109" s="1611" t="s">
        <v>7094</v>
      </c>
      <c r="T109" s="1612"/>
    </row>
    <row r="110" spans="1:20" ht="24" customHeight="1">
      <c r="A110" s="1616" t="s">
        <v>2374</v>
      </c>
      <c r="B110" s="1652" t="s">
        <v>453</v>
      </c>
      <c r="C110" s="1653" t="s">
        <v>7234</v>
      </c>
      <c r="D110" s="1654" t="s">
        <v>79</v>
      </c>
      <c r="E110" s="1653">
        <v>3</v>
      </c>
      <c r="F110" s="1655">
        <v>5.5</v>
      </c>
      <c r="G110" s="1648"/>
      <c r="H110" s="1624"/>
      <c r="I110" s="1612"/>
      <c r="J110" s="1624" t="s">
        <v>7231</v>
      </c>
      <c r="K110" s="1612"/>
      <c r="L110" s="1656">
        <v>122100</v>
      </c>
      <c r="M110" s="1624"/>
      <c r="N110" s="1624"/>
      <c r="O110" s="1624" t="s">
        <v>7232</v>
      </c>
      <c r="P110" s="1624" t="s">
        <v>3752</v>
      </c>
      <c r="Q110" s="1613">
        <v>17330072591</v>
      </c>
      <c r="R110" s="43" t="s">
        <v>7233</v>
      </c>
      <c r="S110" s="1611" t="s">
        <v>7094</v>
      </c>
      <c r="T110" s="1612"/>
    </row>
    <row r="111" spans="1:20" ht="24" customHeight="1">
      <c r="A111" s="1616" t="s">
        <v>2376</v>
      </c>
      <c r="B111" s="1652" t="s">
        <v>164</v>
      </c>
      <c r="C111" s="1653" t="s">
        <v>7223</v>
      </c>
      <c r="D111" s="1654" t="s">
        <v>79</v>
      </c>
      <c r="E111" s="1653">
        <v>2</v>
      </c>
      <c r="F111" s="1655">
        <v>40</v>
      </c>
      <c r="G111" s="1648"/>
      <c r="H111" s="1624"/>
      <c r="I111" s="1612"/>
      <c r="J111" s="1624" t="s">
        <v>7231</v>
      </c>
      <c r="K111" s="1612"/>
      <c r="L111" s="1656">
        <v>726400</v>
      </c>
      <c r="M111" s="1624"/>
      <c r="N111" s="1624"/>
      <c r="O111" s="1624" t="s">
        <v>7232</v>
      </c>
      <c r="P111" s="1624" t="s">
        <v>3752</v>
      </c>
      <c r="Q111" s="1613">
        <v>17330072591</v>
      </c>
      <c r="R111" s="43" t="s">
        <v>7233</v>
      </c>
      <c r="S111" s="1611" t="s">
        <v>7094</v>
      </c>
      <c r="T111" s="1612"/>
    </row>
    <row r="112" spans="1:20" ht="24" customHeight="1">
      <c r="A112" s="1616" t="s">
        <v>2379</v>
      </c>
      <c r="B112" s="1652" t="s">
        <v>164</v>
      </c>
      <c r="C112" s="1653" t="s">
        <v>7235</v>
      </c>
      <c r="D112" s="1654" t="s">
        <v>79</v>
      </c>
      <c r="E112" s="1653">
        <v>2</v>
      </c>
      <c r="F112" s="1655">
        <v>5.5</v>
      </c>
      <c r="G112" s="1648"/>
      <c r="H112" s="1624"/>
      <c r="I112" s="1612"/>
      <c r="J112" s="1624" t="s">
        <v>7231</v>
      </c>
      <c r="K112" s="1612"/>
      <c r="L112" s="1656">
        <v>81400</v>
      </c>
      <c r="M112" s="1624"/>
      <c r="N112" s="1624"/>
      <c r="O112" s="1624" t="s">
        <v>7232</v>
      </c>
      <c r="P112" s="1624" t="s">
        <v>3752</v>
      </c>
      <c r="Q112" s="1613">
        <v>17330072591</v>
      </c>
      <c r="R112" s="43" t="s">
        <v>7233</v>
      </c>
      <c r="S112" s="1611" t="s">
        <v>7094</v>
      </c>
      <c r="T112" s="1612"/>
    </row>
    <row r="113" spans="1:21" ht="24" customHeight="1">
      <c r="A113" s="1616" t="s">
        <v>2382</v>
      </c>
      <c r="B113" s="1652" t="s">
        <v>164</v>
      </c>
      <c r="C113" s="1653" t="s">
        <v>7224</v>
      </c>
      <c r="D113" s="1654" t="s">
        <v>79</v>
      </c>
      <c r="E113" s="1653">
        <v>1</v>
      </c>
      <c r="F113" s="1655">
        <v>53</v>
      </c>
      <c r="G113" s="1648"/>
      <c r="H113" s="1624"/>
      <c r="I113" s="1612"/>
      <c r="J113" s="1624" t="s">
        <v>7231</v>
      </c>
      <c r="K113" s="1612"/>
      <c r="L113" s="1656">
        <v>481240</v>
      </c>
      <c r="M113" s="1624"/>
      <c r="N113" s="1624"/>
      <c r="O113" s="1624" t="s">
        <v>7232</v>
      </c>
      <c r="P113" s="1624" t="s">
        <v>3752</v>
      </c>
      <c r="Q113" s="1613">
        <v>17330072591</v>
      </c>
      <c r="R113" s="43" t="s">
        <v>7233</v>
      </c>
      <c r="S113" s="1611" t="s">
        <v>7094</v>
      </c>
      <c r="T113" s="1612"/>
    </row>
    <row r="114" spans="1:21" ht="24" customHeight="1">
      <c r="A114" s="1616" t="s">
        <v>2385</v>
      </c>
      <c r="B114" s="1652" t="s">
        <v>453</v>
      </c>
      <c r="C114" s="1653" t="s">
        <v>7225</v>
      </c>
      <c r="D114" s="1654" t="s">
        <v>79</v>
      </c>
      <c r="E114" s="1653">
        <v>3</v>
      </c>
      <c r="F114" s="1655">
        <v>5.5</v>
      </c>
      <c r="G114" s="1648"/>
      <c r="H114" s="1624"/>
      <c r="I114" s="1612"/>
      <c r="J114" s="1624" t="s">
        <v>7231</v>
      </c>
      <c r="K114" s="1612"/>
      <c r="L114" s="1656">
        <v>122100</v>
      </c>
      <c r="M114" s="1624"/>
      <c r="N114" s="1624"/>
      <c r="O114" s="1624" t="s">
        <v>7232</v>
      </c>
      <c r="P114" s="1624" t="s">
        <v>3752</v>
      </c>
      <c r="Q114" s="1613">
        <v>17330072591</v>
      </c>
      <c r="R114" s="43" t="s">
        <v>7233</v>
      </c>
      <c r="S114" s="1611" t="s">
        <v>7094</v>
      </c>
      <c r="T114" s="1612"/>
    </row>
    <row r="115" spans="1:21" ht="24" customHeight="1">
      <c r="A115" s="1616" t="s">
        <v>2387</v>
      </c>
      <c r="B115" s="1652" t="s">
        <v>164</v>
      </c>
      <c r="C115" s="1653" t="s">
        <v>7236</v>
      </c>
      <c r="D115" s="1654" t="s">
        <v>79</v>
      </c>
      <c r="E115" s="1653">
        <v>1</v>
      </c>
      <c r="F115" s="1655">
        <v>26.8</v>
      </c>
      <c r="G115" s="1648"/>
      <c r="H115" s="1624"/>
      <c r="I115" s="1612"/>
      <c r="J115" s="1624" t="s">
        <v>7231</v>
      </c>
      <c r="K115" s="1612"/>
      <c r="L115" s="1656">
        <v>243344</v>
      </c>
      <c r="M115" s="1624"/>
      <c r="N115" s="1624"/>
      <c r="O115" s="1624" t="s">
        <v>7232</v>
      </c>
      <c r="P115" s="1624" t="s">
        <v>3752</v>
      </c>
      <c r="Q115" s="1613">
        <v>17330072591</v>
      </c>
      <c r="R115" s="43" t="s">
        <v>7233</v>
      </c>
      <c r="S115" s="1611" t="s">
        <v>7094</v>
      </c>
      <c r="T115" s="1612"/>
    </row>
    <row r="116" spans="1:21" ht="24" customHeight="1">
      <c r="A116" s="1616"/>
      <c r="B116" s="1613"/>
      <c r="C116" s="1613"/>
      <c r="D116" s="1613"/>
      <c r="E116" s="1613"/>
      <c r="F116" s="1613"/>
      <c r="G116" s="1613"/>
      <c r="H116" s="1613"/>
      <c r="I116" s="1613"/>
      <c r="J116" s="1613"/>
      <c r="K116" s="1613"/>
      <c r="L116" s="43"/>
      <c r="M116" s="43"/>
      <c r="N116" s="1613"/>
      <c r="O116" s="1286"/>
      <c r="P116" s="1613"/>
      <c r="Q116" s="1613"/>
      <c r="R116" s="1613"/>
      <c r="S116" s="1613"/>
      <c r="T116" s="1612"/>
    </row>
    <row r="117" spans="1:21" ht="24" customHeight="1">
      <c r="A117" s="1616" t="s">
        <v>2389</v>
      </c>
      <c r="B117" s="1640" t="s">
        <v>7237</v>
      </c>
      <c r="C117" s="1641"/>
      <c r="D117" s="1611"/>
      <c r="E117" s="1642"/>
      <c r="F117" s="1642"/>
      <c r="G117" s="1611"/>
      <c r="H117" s="1608"/>
      <c r="I117" s="1607"/>
      <c r="J117" s="1643"/>
      <c r="K117" s="1637"/>
      <c r="L117" s="1286"/>
      <c r="M117" s="1613"/>
      <c r="N117" s="1613"/>
      <c r="O117" s="1286"/>
      <c r="P117" s="1613"/>
      <c r="Q117" s="1613"/>
      <c r="R117" s="1611"/>
      <c r="S117" s="1611" t="s">
        <v>7094</v>
      </c>
      <c r="T117" s="1612"/>
    </row>
    <row r="118" spans="1:21" s="766" customFormat="1" ht="24" customHeight="1">
      <c r="A118" s="1616" t="s">
        <v>2393</v>
      </c>
      <c r="B118" s="1613" t="s">
        <v>7238</v>
      </c>
      <c r="C118" s="1613" t="s">
        <v>7239</v>
      </c>
      <c r="D118" s="1613" t="s">
        <v>79</v>
      </c>
      <c r="E118" s="43">
        <v>5</v>
      </c>
      <c r="F118" s="1613"/>
      <c r="G118" s="1611" t="s">
        <v>3560</v>
      </c>
      <c r="H118" s="1764" t="s">
        <v>33</v>
      </c>
      <c r="I118" s="43" t="s">
        <v>7240</v>
      </c>
      <c r="J118" s="1611" t="s">
        <v>4329</v>
      </c>
      <c r="K118" s="1611" t="s">
        <v>4125</v>
      </c>
      <c r="L118" s="1613" t="s">
        <v>34</v>
      </c>
      <c r="M118" s="1613" t="s">
        <v>34</v>
      </c>
      <c r="N118" s="1658" t="s">
        <v>34</v>
      </c>
      <c r="O118" s="1613" t="s">
        <v>7241</v>
      </c>
      <c r="P118" s="1659" t="s">
        <v>7242</v>
      </c>
      <c r="Q118" s="1659">
        <v>18518241904</v>
      </c>
      <c r="R118" s="1610" t="s">
        <v>7243</v>
      </c>
      <c r="S118" s="1613" t="s">
        <v>7094</v>
      </c>
      <c r="T118" s="1628"/>
    </row>
    <row r="119" spans="1:21" s="766" customFormat="1" ht="24" customHeight="1">
      <c r="A119" s="1616" t="s">
        <v>2395</v>
      </c>
      <c r="B119" s="1613" t="s">
        <v>7244</v>
      </c>
      <c r="C119" s="1613" t="s">
        <v>7239</v>
      </c>
      <c r="D119" s="1613" t="s">
        <v>79</v>
      </c>
      <c r="E119" s="43">
        <v>2</v>
      </c>
      <c r="F119" s="1613"/>
      <c r="G119" s="1611" t="s">
        <v>3560</v>
      </c>
      <c r="H119" s="1764" t="s">
        <v>33</v>
      </c>
      <c r="I119" s="43" t="s">
        <v>7240</v>
      </c>
      <c r="J119" s="1611" t="s">
        <v>4329</v>
      </c>
      <c r="K119" s="1611" t="s">
        <v>4125</v>
      </c>
      <c r="L119" s="1613" t="s">
        <v>34</v>
      </c>
      <c r="M119" s="1613" t="s">
        <v>34</v>
      </c>
      <c r="N119" s="1658" t="s">
        <v>34</v>
      </c>
      <c r="O119" s="1613" t="s">
        <v>7241</v>
      </c>
      <c r="P119" s="1659" t="s">
        <v>7242</v>
      </c>
      <c r="Q119" s="1659">
        <v>18518241904</v>
      </c>
      <c r="R119" s="1610" t="s">
        <v>7243</v>
      </c>
      <c r="S119" s="1613" t="s">
        <v>7094</v>
      </c>
      <c r="T119" s="1628"/>
    </row>
    <row r="120" spans="1:21" s="766" customFormat="1" ht="24" customHeight="1">
      <c r="A120" s="1616" t="s">
        <v>2399</v>
      </c>
      <c r="B120" s="1613" t="s">
        <v>7245</v>
      </c>
      <c r="C120" s="1613" t="s">
        <v>7239</v>
      </c>
      <c r="D120" s="1613" t="s">
        <v>79</v>
      </c>
      <c r="E120" s="43">
        <v>5</v>
      </c>
      <c r="F120" s="1613"/>
      <c r="G120" s="1611" t="s">
        <v>3560</v>
      </c>
      <c r="H120" s="1764" t="s">
        <v>33</v>
      </c>
      <c r="I120" s="43" t="s">
        <v>7240</v>
      </c>
      <c r="J120" s="1611" t="s">
        <v>4329</v>
      </c>
      <c r="K120" s="1611" t="s">
        <v>4125</v>
      </c>
      <c r="L120" s="1613" t="s">
        <v>34</v>
      </c>
      <c r="M120" s="1613" t="s">
        <v>34</v>
      </c>
      <c r="N120" s="1658" t="s">
        <v>34</v>
      </c>
      <c r="O120" s="1613" t="s">
        <v>7241</v>
      </c>
      <c r="P120" s="1659" t="s">
        <v>7242</v>
      </c>
      <c r="Q120" s="1659">
        <v>18518241904</v>
      </c>
      <c r="R120" s="1610" t="s">
        <v>7243</v>
      </c>
      <c r="S120" s="1613" t="s">
        <v>7094</v>
      </c>
      <c r="T120" s="1628"/>
    </row>
    <row r="121" spans="1:21" s="766" customFormat="1" ht="24" customHeight="1">
      <c r="A121" s="1616" t="s">
        <v>2401</v>
      </c>
      <c r="B121" s="1613" t="s">
        <v>7246</v>
      </c>
      <c r="C121" s="1613" t="s">
        <v>7239</v>
      </c>
      <c r="D121" s="1613" t="s">
        <v>79</v>
      </c>
      <c r="E121" s="43">
        <v>2</v>
      </c>
      <c r="F121" s="1613"/>
      <c r="G121" s="1611" t="s">
        <v>3560</v>
      </c>
      <c r="H121" s="1764" t="s">
        <v>33</v>
      </c>
      <c r="I121" s="43" t="s">
        <v>7240</v>
      </c>
      <c r="J121" s="1611" t="s">
        <v>4329</v>
      </c>
      <c r="K121" s="1611" t="s">
        <v>4125</v>
      </c>
      <c r="L121" s="1613" t="s">
        <v>34</v>
      </c>
      <c r="M121" s="1613" t="s">
        <v>34</v>
      </c>
      <c r="N121" s="1658" t="s">
        <v>34</v>
      </c>
      <c r="O121" s="1613" t="s">
        <v>7241</v>
      </c>
      <c r="P121" s="1659" t="s">
        <v>7242</v>
      </c>
      <c r="Q121" s="1659">
        <v>18518241904</v>
      </c>
      <c r="R121" s="1610" t="s">
        <v>7243</v>
      </c>
      <c r="S121" s="1613" t="s">
        <v>7094</v>
      </c>
      <c r="T121" s="1628"/>
    </row>
    <row r="122" spans="1:21" s="766" customFormat="1" ht="24" customHeight="1">
      <c r="A122" s="1616" t="s">
        <v>2403</v>
      </c>
      <c r="B122" s="1613" t="s">
        <v>7238</v>
      </c>
      <c r="C122" s="1613" t="s">
        <v>4455</v>
      </c>
      <c r="D122" s="1613" t="s">
        <v>79</v>
      </c>
      <c r="E122" s="1613"/>
      <c r="F122" s="1613"/>
      <c r="G122" s="1611"/>
      <c r="H122" s="1611"/>
      <c r="I122" s="1613"/>
      <c r="J122" s="1613"/>
      <c r="K122" s="1613"/>
      <c r="L122" s="1613"/>
      <c r="M122" s="1613"/>
      <c r="N122" s="1658"/>
      <c r="O122" s="1613"/>
      <c r="P122" s="1613"/>
      <c r="Q122" s="1613"/>
      <c r="R122" s="1610" t="s">
        <v>7243</v>
      </c>
      <c r="S122" s="1613" t="s">
        <v>7094</v>
      </c>
      <c r="T122" s="1628"/>
    </row>
    <row r="123" spans="1:21" s="766" customFormat="1" ht="24" customHeight="1">
      <c r="A123" s="1616" t="s">
        <v>2409</v>
      </c>
      <c r="B123" s="1613" t="s">
        <v>7244</v>
      </c>
      <c r="C123" s="1613" t="s">
        <v>4455</v>
      </c>
      <c r="D123" s="1613" t="s">
        <v>79</v>
      </c>
      <c r="E123" s="43">
        <v>1</v>
      </c>
      <c r="F123" s="1613"/>
      <c r="G123" s="1611" t="s">
        <v>3560</v>
      </c>
      <c r="H123" s="1764" t="s">
        <v>33</v>
      </c>
      <c r="I123" s="43" t="s">
        <v>7240</v>
      </c>
      <c r="J123" s="1611" t="s">
        <v>4329</v>
      </c>
      <c r="K123" s="1611" t="s">
        <v>4125</v>
      </c>
      <c r="L123" s="1613" t="s">
        <v>34</v>
      </c>
      <c r="M123" s="1613" t="s">
        <v>34</v>
      </c>
      <c r="N123" s="1658" t="s">
        <v>34</v>
      </c>
      <c r="O123" s="1613" t="s">
        <v>7241</v>
      </c>
      <c r="P123" s="1659" t="s">
        <v>7242</v>
      </c>
      <c r="Q123" s="1659">
        <v>18518241904</v>
      </c>
      <c r="R123" s="1610" t="s">
        <v>7243</v>
      </c>
      <c r="S123" s="1613" t="s">
        <v>7094</v>
      </c>
      <c r="T123" s="1628"/>
    </row>
    <row r="124" spans="1:21" s="766" customFormat="1" ht="24" customHeight="1">
      <c r="A124" s="1616" t="s">
        <v>2410</v>
      </c>
      <c r="B124" s="1613" t="s">
        <v>7245</v>
      </c>
      <c r="C124" s="1613" t="s">
        <v>4455</v>
      </c>
      <c r="D124" s="1613" t="s">
        <v>79</v>
      </c>
      <c r="E124" s="1613"/>
      <c r="F124" s="1613"/>
      <c r="G124" s="1611"/>
      <c r="H124" s="1611"/>
      <c r="I124" s="1613"/>
      <c r="J124" s="1613"/>
      <c r="K124" s="1613"/>
      <c r="L124" s="1613"/>
      <c r="M124" s="1613"/>
      <c r="N124" s="1658"/>
      <c r="O124" s="1613"/>
      <c r="P124" s="1613"/>
      <c r="Q124" s="1613"/>
      <c r="R124" s="1610" t="s">
        <v>7243</v>
      </c>
      <c r="S124" s="1613" t="s">
        <v>7094</v>
      </c>
      <c r="T124" s="1628"/>
    </row>
    <row r="125" spans="1:21" s="766" customFormat="1" ht="24" customHeight="1">
      <c r="A125" s="1616" t="s">
        <v>2411</v>
      </c>
      <c r="B125" s="1613" t="s">
        <v>7246</v>
      </c>
      <c r="C125" s="1613" t="s">
        <v>4455</v>
      </c>
      <c r="D125" s="1613" t="s">
        <v>79</v>
      </c>
      <c r="E125" s="43">
        <v>1</v>
      </c>
      <c r="F125" s="1613"/>
      <c r="G125" s="1611" t="s">
        <v>3560</v>
      </c>
      <c r="H125" s="1764" t="s">
        <v>33</v>
      </c>
      <c r="I125" s="43" t="s">
        <v>7240</v>
      </c>
      <c r="J125" s="1611" t="s">
        <v>4329</v>
      </c>
      <c r="K125" s="1611" t="s">
        <v>4125</v>
      </c>
      <c r="L125" s="1613" t="s">
        <v>34</v>
      </c>
      <c r="M125" s="1613" t="s">
        <v>34</v>
      </c>
      <c r="N125" s="1658" t="s">
        <v>34</v>
      </c>
      <c r="O125" s="1613" t="s">
        <v>7241</v>
      </c>
      <c r="P125" s="1659" t="s">
        <v>7242</v>
      </c>
      <c r="Q125" s="1659">
        <v>18518241904</v>
      </c>
      <c r="R125" s="1610" t="s">
        <v>7243</v>
      </c>
      <c r="S125" s="1613" t="s">
        <v>7094</v>
      </c>
      <c r="T125" s="1628"/>
    </row>
    <row r="126" spans="1:21" s="766" customFormat="1" ht="24" customHeight="1">
      <c r="A126" s="1616" t="s">
        <v>2419</v>
      </c>
      <c r="B126" s="1613" t="s">
        <v>7247</v>
      </c>
      <c r="C126" s="1613" t="s">
        <v>7191</v>
      </c>
      <c r="D126" s="1610" t="s">
        <v>79</v>
      </c>
      <c r="E126" s="1660"/>
      <c r="F126" s="1613"/>
      <c r="G126" s="1611"/>
      <c r="H126" s="1611"/>
      <c r="I126" s="1613"/>
      <c r="J126" s="1613"/>
      <c r="K126" s="1613"/>
      <c r="L126" s="1613"/>
      <c r="M126" s="1614"/>
      <c r="N126" s="1658"/>
      <c r="O126" s="1613"/>
      <c r="P126" s="1610"/>
      <c r="Q126" s="1613"/>
      <c r="R126" s="1610" t="s">
        <v>7243</v>
      </c>
      <c r="S126" s="1613" t="s">
        <v>7094</v>
      </c>
      <c r="T126" s="1628"/>
      <c r="U126" s="1661"/>
    </row>
    <row r="127" spans="1:21" s="766" customFormat="1" ht="24" customHeight="1">
      <c r="A127" s="1616" t="s">
        <v>2423</v>
      </c>
      <c r="B127" s="1613" t="s">
        <v>7248</v>
      </c>
      <c r="C127" s="1613" t="s">
        <v>7191</v>
      </c>
      <c r="D127" s="1610" t="s">
        <v>79</v>
      </c>
      <c r="E127" s="1660">
        <v>2</v>
      </c>
      <c r="F127" s="1613"/>
      <c r="G127" s="1611" t="s">
        <v>32</v>
      </c>
      <c r="H127" s="1764" t="s">
        <v>33</v>
      </c>
      <c r="I127" s="43" t="s">
        <v>7240</v>
      </c>
      <c r="J127" s="1611" t="s">
        <v>4329</v>
      </c>
      <c r="K127" s="1611" t="s">
        <v>7249</v>
      </c>
      <c r="L127" s="1613">
        <v>1160000</v>
      </c>
      <c r="M127" s="1614">
        <v>1026548.67256637</v>
      </c>
      <c r="N127" s="1662">
        <v>44440</v>
      </c>
      <c r="O127" s="1613" t="s">
        <v>7241</v>
      </c>
      <c r="P127" s="1659" t="s">
        <v>7242</v>
      </c>
      <c r="Q127" s="1659">
        <v>18518241904</v>
      </c>
      <c r="R127" s="1610" t="s">
        <v>7243</v>
      </c>
      <c r="S127" s="1613" t="s">
        <v>7094</v>
      </c>
      <c r="T127" s="1628"/>
      <c r="U127" s="1661"/>
    </row>
    <row r="128" spans="1:21" s="766" customFormat="1" ht="24" customHeight="1">
      <c r="A128" s="1616" t="s">
        <v>2424</v>
      </c>
      <c r="B128" s="1613" t="s">
        <v>7250</v>
      </c>
      <c r="C128" s="1613" t="s">
        <v>7191</v>
      </c>
      <c r="D128" s="1610" t="s">
        <v>79</v>
      </c>
      <c r="E128" s="1660">
        <v>2</v>
      </c>
      <c r="F128" s="1613"/>
      <c r="G128" s="1611" t="s">
        <v>32</v>
      </c>
      <c r="H128" s="1764" t="s">
        <v>33</v>
      </c>
      <c r="I128" s="43" t="s">
        <v>7240</v>
      </c>
      <c r="J128" s="1611" t="s">
        <v>4329</v>
      </c>
      <c r="K128" s="1611" t="s">
        <v>7249</v>
      </c>
      <c r="L128" s="1613">
        <v>785000</v>
      </c>
      <c r="M128" s="1614">
        <v>694690.26548672596</v>
      </c>
      <c r="N128" s="1662">
        <v>44441</v>
      </c>
      <c r="O128" s="1613" t="s">
        <v>7241</v>
      </c>
      <c r="P128" s="1659" t="s">
        <v>7242</v>
      </c>
      <c r="Q128" s="1659">
        <v>18518241904</v>
      </c>
      <c r="R128" s="1610" t="s">
        <v>7243</v>
      </c>
      <c r="S128" s="1613" t="s">
        <v>7094</v>
      </c>
      <c r="T128" s="1628"/>
      <c r="U128" s="1661"/>
    </row>
    <row r="129" spans="1:20" s="766" customFormat="1" ht="24" customHeight="1">
      <c r="A129" s="1616" t="s">
        <v>2426</v>
      </c>
      <c r="B129" s="1613" t="s">
        <v>7251</v>
      </c>
      <c r="C129" s="1613" t="s">
        <v>7191</v>
      </c>
      <c r="D129" s="1610" t="s">
        <v>79</v>
      </c>
      <c r="E129" s="43">
        <v>2</v>
      </c>
      <c r="F129" s="1613"/>
      <c r="G129" s="1611" t="s">
        <v>32</v>
      </c>
      <c r="H129" s="1764" t="s">
        <v>33</v>
      </c>
      <c r="I129" s="43" t="s">
        <v>7240</v>
      </c>
      <c r="J129" s="1611" t="s">
        <v>4329</v>
      </c>
      <c r="K129" s="1611" t="s">
        <v>7249</v>
      </c>
      <c r="L129" s="1613">
        <v>420000</v>
      </c>
      <c r="M129" s="1614">
        <v>371681.41592920403</v>
      </c>
      <c r="N129" s="1662">
        <v>44442</v>
      </c>
      <c r="O129" s="1613" t="s">
        <v>7241</v>
      </c>
      <c r="P129" s="1659" t="s">
        <v>7242</v>
      </c>
      <c r="Q129" s="1659">
        <v>18518241904</v>
      </c>
      <c r="R129" s="1610" t="s">
        <v>7243</v>
      </c>
      <c r="S129" s="1613" t="s">
        <v>7094</v>
      </c>
      <c r="T129" s="1628"/>
    </row>
    <row r="130" spans="1:20" s="766" customFormat="1" ht="24" customHeight="1">
      <c r="A130" s="1616" t="s">
        <v>2427</v>
      </c>
      <c r="B130" s="1613" t="s">
        <v>7247</v>
      </c>
      <c r="C130" s="1613" t="s">
        <v>7191</v>
      </c>
      <c r="D130" s="1610" t="s">
        <v>79</v>
      </c>
      <c r="E130" s="1660">
        <v>1</v>
      </c>
      <c r="F130" s="1613"/>
      <c r="G130" s="1663" t="s">
        <v>32</v>
      </c>
      <c r="H130" s="1764" t="s">
        <v>33</v>
      </c>
      <c r="I130" s="1611" t="s">
        <v>7240</v>
      </c>
      <c r="J130" s="1611" t="s">
        <v>4329</v>
      </c>
      <c r="K130" s="1611" t="s">
        <v>7249</v>
      </c>
      <c r="L130" s="43">
        <v>170000</v>
      </c>
      <c r="M130" s="1614">
        <v>150442.47787610599</v>
      </c>
      <c r="N130" s="1662">
        <v>44443</v>
      </c>
      <c r="O130" s="1613" t="s">
        <v>7241</v>
      </c>
      <c r="P130" s="1659" t="s">
        <v>7242</v>
      </c>
      <c r="Q130" s="1659">
        <v>18518241904</v>
      </c>
      <c r="R130" s="1610" t="s">
        <v>7243</v>
      </c>
      <c r="S130" s="1613" t="s">
        <v>7094</v>
      </c>
      <c r="T130" s="1628"/>
    </row>
    <row r="131" spans="1:20" s="766" customFormat="1" ht="24" customHeight="1">
      <c r="A131" s="1616" t="s">
        <v>2430</v>
      </c>
      <c r="B131" s="1664" t="s">
        <v>7248</v>
      </c>
      <c r="C131" s="1613" t="s">
        <v>7239</v>
      </c>
      <c r="D131" s="1613" t="s">
        <v>79</v>
      </c>
      <c r="E131" s="1613">
        <v>4</v>
      </c>
      <c r="F131" s="1613">
        <v>278</v>
      </c>
      <c r="G131" s="1613" t="s">
        <v>32</v>
      </c>
      <c r="H131" s="1611" t="s">
        <v>33</v>
      </c>
      <c r="I131" s="1611" t="s">
        <v>7252</v>
      </c>
      <c r="J131" s="1613" t="s">
        <v>7253</v>
      </c>
      <c r="K131" s="1613" t="s">
        <v>7254</v>
      </c>
      <c r="L131" s="1613">
        <v>300000</v>
      </c>
      <c r="M131" s="1613">
        <v>300000</v>
      </c>
      <c r="N131" s="1616" t="s">
        <v>3638</v>
      </c>
      <c r="O131" s="1613" t="s">
        <v>7255</v>
      </c>
      <c r="P131" s="1613" t="s">
        <v>7256</v>
      </c>
      <c r="Q131" s="1613">
        <v>19933179135</v>
      </c>
      <c r="R131" s="1613" t="s">
        <v>7257</v>
      </c>
      <c r="S131" s="1613" t="s">
        <v>7094</v>
      </c>
      <c r="T131" s="1628"/>
    </row>
    <row r="132" spans="1:20" s="766" customFormat="1" ht="24" customHeight="1">
      <c r="A132" s="1616" t="s">
        <v>2433</v>
      </c>
      <c r="B132" s="1664" t="s">
        <v>7247</v>
      </c>
      <c r="C132" s="1613" t="s">
        <v>7239</v>
      </c>
      <c r="D132" s="1613" t="s">
        <v>79</v>
      </c>
      <c r="E132" s="1613">
        <v>2</v>
      </c>
      <c r="F132" s="1613">
        <v>114</v>
      </c>
      <c r="G132" s="1613" t="s">
        <v>32</v>
      </c>
      <c r="H132" s="1611" t="s">
        <v>33</v>
      </c>
      <c r="I132" s="1611" t="s">
        <v>7252</v>
      </c>
      <c r="J132" s="1613" t="s">
        <v>7253</v>
      </c>
      <c r="K132" s="1613" t="s">
        <v>7254</v>
      </c>
      <c r="L132" s="1613">
        <v>900000</v>
      </c>
      <c r="M132" s="1613">
        <v>900000</v>
      </c>
      <c r="N132" s="1616" t="s">
        <v>3638</v>
      </c>
      <c r="O132" s="1613" t="s">
        <v>7255</v>
      </c>
      <c r="P132" s="1613" t="s">
        <v>7256</v>
      </c>
      <c r="Q132" s="1613">
        <v>19933179135</v>
      </c>
      <c r="R132" s="1613" t="s">
        <v>7257</v>
      </c>
      <c r="S132" s="1613" t="s">
        <v>7094</v>
      </c>
      <c r="T132" s="1628"/>
    </row>
    <row r="133" spans="1:20" s="766" customFormat="1" ht="24" customHeight="1">
      <c r="A133" s="1616" t="s">
        <v>2436</v>
      </c>
      <c r="B133" s="1664" t="s">
        <v>7250</v>
      </c>
      <c r="C133" s="1613" t="s">
        <v>7239</v>
      </c>
      <c r="D133" s="1613" t="s">
        <v>79</v>
      </c>
      <c r="E133" s="1613">
        <v>4</v>
      </c>
      <c r="F133" s="1613">
        <v>110</v>
      </c>
      <c r="G133" s="1613" t="s">
        <v>32</v>
      </c>
      <c r="H133" s="1611" t="s">
        <v>33</v>
      </c>
      <c r="I133" s="1611" t="s">
        <v>7252</v>
      </c>
      <c r="J133" s="1613" t="s">
        <v>7253</v>
      </c>
      <c r="K133" s="1613" t="s">
        <v>7254</v>
      </c>
      <c r="L133" s="1613">
        <v>760000</v>
      </c>
      <c r="M133" s="1613">
        <v>760000</v>
      </c>
      <c r="N133" s="1616" t="s">
        <v>3638</v>
      </c>
      <c r="O133" s="1613" t="s">
        <v>7255</v>
      </c>
      <c r="P133" s="1613" t="s">
        <v>7256</v>
      </c>
      <c r="Q133" s="1613">
        <v>19933179135</v>
      </c>
      <c r="R133" s="1613" t="s">
        <v>7257</v>
      </c>
      <c r="S133" s="1613" t="s">
        <v>7094</v>
      </c>
      <c r="T133" s="1628"/>
    </row>
    <row r="134" spans="1:20" s="766" customFormat="1" ht="24" customHeight="1">
      <c r="A134" s="1616" t="s">
        <v>2438</v>
      </c>
      <c r="B134" s="1664" t="s">
        <v>7248</v>
      </c>
      <c r="C134" s="1613" t="s">
        <v>7239</v>
      </c>
      <c r="D134" s="1613" t="s">
        <v>79</v>
      </c>
      <c r="E134" s="1613">
        <v>2</v>
      </c>
      <c r="F134" s="1613">
        <v>10</v>
      </c>
      <c r="G134" s="1613" t="s">
        <v>32</v>
      </c>
      <c r="H134" s="1613" t="s">
        <v>33</v>
      </c>
      <c r="I134" s="1613" t="s">
        <v>7252</v>
      </c>
      <c r="J134" s="1613" t="s">
        <v>7253</v>
      </c>
      <c r="K134" s="1613" t="s">
        <v>7254</v>
      </c>
      <c r="L134" s="1613">
        <v>50000</v>
      </c>
      <c r="M134" s="1613">
        <v>50000</v>
      </c>
      <c r="N134" s="1616" t="s">
        <v>3638</v>
      </c>
      <c r="O134" s="1613" t="s">
        <v>7255</v>
      </c>
      <c r="P134" s="1613" t="s">
        <v>7256</v>
      </c>
      <c r="Q134" s="1613">
        <v>19933179135</v>
      </c>
      <c r="R134" s="1613" t="s">
        <v>7257</v>
      </c>
      <c r="S134" s="1613" t="s">
        <v>7094</v>
      </c>
      <c r="T134" s="1628"/>
    </row>
    <row r="135" spans="1:20" s="766" customFormat="1" ht="24" customHeight="1">
      <c r="A135" s="1616" t="s">
        <v>2440</v>
      </c>
      <c r="B135" s="1664" t="s">
        <v>7247</v>
      </c>
      <c r="C135" s="1613" t="s">
        <v>4455</v>
      </c>
      <c r="D135" s="1613" t="s">
        <v>79</v>
      </c>
      <c r="E135" s="1613"/>
      <c r="F135" s="1613"/>
      <c r="G135" s="1613"/>
      <c r="H135" s="1613"/>
      <c r="I135" s="1613"/>
      <c r="J135" s="1613"/>
      <c r="K135" s="1613"/>
      <c r="L135" s="1613"/>
      <c r="M135" s="1613"/>
      <c r="N135" s="1658"/>
      <c r="O135" s="1613"/>
      <c r="P135" s="1613"/>
      <c r="Q135" s="1613"/>
      <c r="R135" s="1613"/>
      <c r="S135" s="1613" t="s">
        <v>7094</v>
      </c>
      <c r="T135" s="1628"/>
    </row>
    <row r="136" spans="1:20" s="766" customFormat="1" ht="24" customHeight="1">
      <c r="A136" s="1616" t="s">
        <v>2442</v>
      </c>
      <c r="B136" s="1664" t="s">
        <v>7250</v>
      </c>
      <c r="C136" s="1613" t="s">
        <v>4455</v>
      </c>
      <c r="D136" s="1613" t="s">
        <v>79</v>
      </c>
      <c r="E136" s="1613">
        <v>1</v>
      </c>
      <c r="F136" s="1613">
        <v>57</v>
      </c>
      <c r="G136" s="1613" t="s">
        <v>32</v>
      </c>
      <c r="H136" s="1613" t="s">
        <v>33</v>
      </c>
      <c r="I136" s="1613" t="s">
        <v>7252</v>
      </c>
      <c r="J136" s="1613" t="s">
        <v>7253</v>
      </c>
      <c r="K136" s="1613" t="s">
        <v>7254</v>
      </c>
      <c r="L136" s="1613">
        <v>350000</v>
      </c>
      <c r="M136" s="1613">
        <v>350000</v>
      </c>
      <c r="N136" s="1616" t="s">
        <v>3638</v>
      </c>
      <c r="O136" s="1613" t="s">
        <v>7255</v>
      </c>
      <c r="P136" s="1613" t="s">
        <v>7256</v>
      </c>
      <c r="Q136" s="1613">
        <v>19933179135</v>
      </c>
      <c r="R136" s="1613" t="s">
        <v>7257</v>
      </c>
      <c r="S136" s="1613" t="s">
        <v>7094</v>
      </c>
      <c r="T136" s="1628"/>
    </row>
    <row r="137" spans="1:20" s="766" customFormat="1" ht="24" customHeight="1">
      <c r="A137" s="1616" t="s">
        <v>2445</v>
      </c>
      <c r="B137" s="1664" t="s">
        <v>7248</v>
      </c>
      <c r="C137" s="1613" t="s">
        <v>4455</v>
      </c>
      <c r="D137" s="1613" t="s">
        <v>79</v>
      </c>
      <c r="E137" s="1613"/>
      <c r="F137" s="1613"/>
      <c r="G137" s="1613"/>
      <c r="H137" s="1613"/>
      <c r="I137" s="1613"/>
      <c r="J137" s="1613"/>
      <c r="K137" s="1613"/>
      <c r="L137" s="1613"/>
      <c r="M137" s="1613"/>
      <c r="N137" s="1658"/>
      <c r="O137" s="1613"/>
      <c r="P137" s="1613"/>
      <c r="Q137" s="1613"/>
      <c r="R137" s="1613"/>
      <c r="S137" s="1613" t="s">
        <v>7094</v>
      </c>
      <c r="T137" s="1628"/>
    </row>
    <row r="138" spans="1:20" s="766" customFormat="1" ht="24" customHeight="1">
      <c r="A138" s="1616" t="s">
        <v>2447</v>
      </c>
      <c r="B138" s="1664" t="s">
        <v>7247</v>
      </c>
      <c r="C138" s="1613" t="s">
        <v>4455</v>
      </c>
      <c r="D138" s="1613" t="s">
        <v>79</v>
      </c>
      <c r="E138" s="1613">
        <v>1</v>
      </c>
      <c r="F138" s="1613">
        <v>4.5</v>
      </c>
      <c r="G138" s="1613" t="s">
        <v>32</v>
      </c>
      <c r="H138" s="1613" t="s">
        <v>33</v>
      </c>
      <c r="I138" s="1613" t="s">
        <v>7258</v>
      </c>
      <c r="J138" s="1613" t="s">
        <v>7253</v>
      </c>
      <c r="K138" s="1613" t="s">
        <v>7254</v>
      </c>
      <c r="L138" s="1613">
        <v>50000</v>
      </c>
      <c r="M138" s="1613">
        <v>50000</v>
      </c>
      <c r="N138" s="1616" t="s">
        <v>3638</v>
      </c>
      <c r="O138" s="1613" t="s">
        <v>7255</v>
      </c>
      <c r="P138" s="1613" t="s">
        <v>7256</v>
      </c>
      <c r="Q138" s="1613">
        <v>19933179135</v>
      </c>
      <c r="R138" s="1613" t="s">
        <v>7257</v>
      </c>
      <c r="S138" s="1613" t="s">
        <v>7094</v>
      </c>
      <c r="T138" s="1628"/>
    </row>
    <row r="139" spans="1:20" s="766" customFormat="1" ht="24" customHeight="1">
      <c r="A139" s="1616" t="s">
        <v>2449</v>
      </c>
      <c r="B139" s="1664" t="s">
        <v>7250</v>
      </c>
      <c r="C139" s="1613" t="s">
        <v>7191</v>
      </c>
      <c r="D139" s="1610" t="s">
        <v>79</v>
      </c>
      <c r="E139" s="1613">
        <v>1</v>
      </c>
      <c r="F139" s="1613">
        <v>63</v>
      </c>
      <c r="G139" s="1613" t="s">
        <v>32</v>
      </c>
      <c r="H139" s="1613" t="s">
        <v>33</v>
      </c>
      <c r="I139" s="1613" t="s">
        <v>7258</v>
      </c>
      <c r="J139" s="1613" t="s">
        <v>7259</v>
      </c>
      <c r="K139" s="1613" t="s">
        <v>7249</v>
      </c>
      <c r="L139" s="1665">
        <f>637168.14*2</f>
        <v>1274336.28</v>
      </c>
      <c r="M139" s="1665">
        <f>637168.14*2</f>
        <v>1274336.28</v>
      </c>
      <c r="N139" s="1616" t="s">
        <v>2749</v>
      </c>
      <c r="O139" s="1613" t="s">
        <v>7255</v>
      </c>
      <c r="P139" s="1613" t="s">
        <v>7256</v>
      </c>
      <c r="Q139" s="1613">
        <v>19933179135</v>
      </c>
      <c r="R139" s="1613" t="s">
        <v>7257</v>
      </c>
      <c r="S139" s="1613" t="s">
        <v>7094</v>
      </c>
      <c r="T139" s="1628"/>
    </row>
    <row r="140" spans="1:20" s="766" customFormat="1" ht="24" customHeight="1">
      <c r="A140" s="1616" t="s">
        <v>2452</v>
      </c>
      <c r="B140" s="1664" t="s">
        <v>7247</v>
      </c>
      <c r="C140" s="1613" t="s">
        <v>7191</v>
      </c>
      <c r="D140" s="1610" t="s">
        <v>79</v>
      </c>
      <c r="E140" s="1613">
        <v>2</v>
      </c>
      <c r="F140" s="1613">
        <v>190</v>
      </c>
      <c r="G140" s="1613" t="s">
        <v>32</v>
      </c>
      <c r="H140" s="1613" t="s">
        <v>33</v>
      </c>
      <c r="I140" s="1613" t="s">
        <v>7258</v>
      </c>
      <c r="J140" s="1613" t="s">
        <v>7259</v>
      </c>
      <c r="K140" s="1613" t="s">
        <v>7249</v>
      </c>
      <c r="L140" s="1665">
        <f>610619.47*2</f>
        <v>1221238.94</v>
      </c>
      <c r="M140" s="1665">
        <f>610619.47*2</f>
        <v>1221238.94</v>
      </c>
      <c r="N140" s="1616" t="s">
        <v>2749</v>
      </c>
      <c r="O140" s="1613" t="s">
        <v>7255</v>
      </c>
      <c r="P140" s="1613" t="s">
        <v>7256</v>
      </c>
      <c r="Q140" s="1613">
        <v>19933179135</v>
      </c>
      <c r="R140" s="1613" t="s">
        <v>7257</v>
      </c>
      <c r="S140" s="1613" t="s">
        <v>7094</v>
      </c>
      <c r="T140" s="1628"/>
    </row>
    <row r="141" spans="1:20" s="766" customFormat="1" ht="24" customHeight="1">
      <c r="A141" s="1616" t="s">
        <v>2455</v>
      </c>
      <c r="B141" s="1664" t="s">
        <v>7248</v>
      </c>
      <c r="C141" s="1613" t="s">
        <v>7191</v>
      </c>
      <c r="D141" s="1610" t="s">
        <v>79</v>
      </c>
      <c r="E141" s="1613">
        <v>2</v>
      </c>
      <c r="F141" s="1613">
        <v>18</v>
      </c>
      <c r="G141" s="1613" t="s">
        <v>32</v>
      </c>
      <c r="H141" s="1613" t="s">
        <v>33</v>
      </c>
      <c r="I141" s="1613" t="s">
        <v>7258</v>
      </c>
      <c r="J141" s="1613" t="s">
        <v>7259</v>
      </c>
      <c r="K141" s="1613" t="s">
        <v>7249</v>
      </c>
      <c r="L141" s="1665">
        <f>70796.46*2</f>
        <v>141592.92000000001</v>
      </c>
      <c r="M141" s="1665">
        <f>70796.46*2</f>
        <v>141592.92000000001</v>
      </c>
      <c r="N141" s="1616" t="s">
        <v>2749</v>
      </c>
      <c r="O141" s="1613" t="s">
        <v>7255</v>
      </c>
      <c r="P141" s="1613" t="s">
        <v>7256</v>
      </c>
      <c r="Q141" s="1613">
        <v>19933179135</v>
      </c>
      <c r="R141" s="1613" t="s">
        <v>7257</v>
      </c>
      <c r="S141" s="1613" t="s">
        <v>7094</v>
      </c>
      <c r="T141" s="1628"/>
    </row>
    <row r="142" spans="1:20" s="766" customFormat="1" ht="24" customHeight="1">
      <c r="A142" s="1616" t="s">
        <v>2457</v>
      </c>
      <c r="B142" s="1641" t="s">
        <v>7251</v>
      </c>
      <c r="C142" s="1641" t="s">
        <v>7260</v>
      </c>
      <c r="D142" s="1613" t="s">
        <v>79</v>
      </c>
      <c r="E142" s="1287">
        <v>2</v>
      </c>
      <c r="F142" s="1960">
        <v>672</v>
      </c>
      <c r="G142" s="1613" t="s">
        <v>32</v>
      </c>
      <c r="H142" s="1764" t="s">
        <v>33</v>
      </c>
      <c r="I142" s="1613" t="s">
        <v>7261</v>
      </c>
      <c r="J142" s="1666" t="s">
        <v>901</v>
      </c>
      <c r="K142" s="1613" t="s">
        <v>7249</v>
      </c>
      <c r="L142" s="1613">
        <v>420000</v>
      </c>
      <c r="M142" s="1666">
        <f t="shared" ref="M142:M146" si="0">L142</f>
        <v>420000</v>
      </c>
      <c r="N142" s="1613">
        <v>2021.3</v>
      </c>
      <c r="O142" s="1613" t="s">
        <v>7262</v>
      </c>
      <c r="P142" s="1613" t="s">
        <v>7263</v>
      </c>
      <c r="Q142" s="1613">
        <v>13934576150</v>
      </c>
      <c r="R142" s="1613" t="s">
        <v>7264</v>
      </c>
      <c r="S142" s="1613" t="s">
        <v>7094</v>
      </c>
      <c r="T142" s="1628"/>
    </row>
    <row r="143" spans="1:20" s="766" customFormat="1" ht="24" customHeight="1">
      <c r="A143" s="1616" t="s">
        <v>2459</v>
      </c>
      <c r="B143" s="1641" t="s">
        <v>7265</v>
      </c>
      <c r="C143" s="1641" t="s">
        <v>7260</v>
      </c>
      <c r="D143" s="1613" t="s">
        <v>79</v>
      </c>
      <c r="E143" s="1287">
        <v>2</v>
      </c>
      <c r="F143" s="1961"/>
      <c r="G143" s="1613" t="s">
        <v>32</v>
      </c>
      <c r="H143" s="1764" t="s">
        <v>33</v>
      </c>
      <c r="I143" s="1613" t="s">
        <v>7261</v>
      </c>
      <c r="J143" s="1666" t="s">
        <v>901</v>
      </c>
      <c r="K143" s="1613" t="s">
        <v>7249</v>
      </c>
      <c r="L143" s="1613">
        <v>1160000</v>
      </c>
      <c r="M143" s="1666">
        <f t="shared" si="0"/>
        <v>1160000</v>
      </c>
      <c r="N143" s="1613">
        <v>2021.3</v>
      </c>
      <c r="O143" s="1613" t="s">
        <v>7262</v>
      </c>
      <c r="P143" s="1613" t="s">
        <v>7263</v>
      </c>
      <c r="Q143" s="1613">
        <v>13934576150</v>
      </c>
      <c r="R143" s="1613" t="s">
        <v>7264</v>
      </c>
      <c r="S143" s="1613" t="s">
        <v>7094</v>
      </c>
      <c r="T143" s="1628"/>
    </row>
    <row r="144" spans="1:20" s="766" customFormat="1" ht="24" customHeight="1">
      <c r="A144" s="1616" t="s">
        <v>2461</v>
      </c>
      <c r="B144" s="1641" t="s">
        <v>7250</v>
      </c>
      <c r="C144" s="1641" t="s">
        <v>7260</v>
      </c>
      <c r="D144" s="1613" t="s">
        <v>79</v>
      </c>
      <c r="E144" s="1287">
        <v>2</v>
      </c>
      <c r="F144" s="1613">
        <v>20</v>
      </c>
      <c r="G144" s="1613" t="s">
        <v>32</v>
      </c>
      <c r="H144" s="1764" t="s">
        <v>33</v>
      </c>
      <c r="I144" s="1613" t="s">
        <v>7261</v>
      </c>
      <c r="J144" s="1666" t="s">
        <v>901</v>
      </c>
      <c r="K144" s="1613" t="s">
        <v>7249</v>
      </c>
      <c r="L144" s="1613">
        <v>170000</v>
      </c>
      <c r="M144" s="1666">
        <f t="shared" si="0"/>
        <v>170000</v>
      </c>
      <c r="N144" s="1613">
        <v>2021.3</v>
      </c>
      <c r="O144" s="1613" t="s">
        <v>7262</v>
      </c>
      <c r="P144" s="1613" t="s">
        <v>7263</v>
      </c>
      <c r="Q144" s="1613">
        <v>13934576150</v>
      </c>
      <c r="R144" s="1613" t="s">
        <v>7264</v>
      </c>
      <c r="S144" s="1613" t="s">
        <v>7094</v>
      </c>
      <c r="T144" s="1628"/>
    </row>
    <row r="145" spans="1:20" s="766" customFormat="1" ht="24" customHeight="1">
      <c r="A145" s="1616" t="s">
        <v>2463</v>
      </c>
      <c r="B145" s="1641" t="s">
        <v>7247</v>
      </c>
      <c r="C145" s="1641" t="s">
        <v>7260</v>
      </c>
      <c r="D145" s="1613" t="s">
        <v>79</v>
      </c>
      <c r="E145" s="1287">
        <v>1</v>
      </c>
      <c r="F145" s="1613">
        <v>180</v>
      </c>
      <c r="G145" s="1613" t="s">
        <v>32</v>
      </c>
      <c r="H145" s="1764" t="s">
        <v>33</v>
      </c>
      <c r="I145" s="1613" t="s">
        <v>7261</v>
      </c>
      <c r="J145" s="1666" t="s">
        <v>901</v>
      </c>
      <c r="K145" s="1613" t="s">
        <v>7249</v>
      </c>
      <c r="L145" s="1613">
        <v>785000</v>
      </c>
      <c r="M145" s="1666">
        <f t="shared" si="0"/>
        <v>785000</v>
      </c>
      <c r="N145" s="1613">
        <v>2021.3</v>
      </c>
      <c r="O145" s="1613" t="s">
        <v>7262</v>
      </c>
      <c r="P145" s="1613" t="s">
        <v>7263</v>
      </c>
      <c r="Q145" s="1613">
        <v>13934576150</v>
      </c>
      <c r="R145" s="1613" t="s">
        <v>7264</v>
      </c>
      <c r="S145" s="1613" t="s">
        <v>7094</v>
      </c>
      <c r="T145" s="1628"/>
    </row>
    <row r="146" spans="1:20" s="766" customFormat="1" ht="24" customHeight="1">
      <c r="A146" s="1616" t="s">
        <v>2465</v>
      </c>
      <c r="B146" s="1641" t="s">
        <v>7251</v>
      </c>
      <c r="C146" s="1641" t="s">
        <v>7260</v>
      </c>
      <c r="D146" s="1613" t="s">
        <v>79</v>
      </c>
      <c r="E146" s="1287">
        <v>5</v>
      </c>
      <c r="F146" s="1960">
        <v>672</v>
      </c>
      <c r="G146" s="1613" t="s">
        <v>32</v>
      </c>
      <c r="H146" s="1764" t="s">
        <v>33</v>
      </c>
      <c r="I146" s="1613" t="s">
        <v>7261</v>
      </c>
      <c r="J146" s="1666" t="s">
        <v>901</v>
      </c>
      <c r="K146" s="1613" t="s">
        <v>7266</v>
      </c>
      <c r="L146" s="1960">
        <v>2700000</v>
      </c>
      <c r="M146" s="1962">
        <f t="shared" si="0"/>
        <v>2700000</v>
      </c>
      <c r="N146" s="1613">
        <v>2021.4</v>
      </c>
      <c r="O146" s="1613" t="s">
        <v>7262</v>
      </c>
      <c r="P146" s="1613" t="s">
        <v>7263</v>
      </c>
      <c r="Q146" s="1613">
        <v>13934576150</v>
      </c>
      <c r="R146" s="1613" t="s">
        <v>7264</v>
      </c>
      <c r="S146" s="1613" t="s">
        <v>7094</v>
      </c>
      <c r="T146" s="1628"/>
    </row>
    <row r="147" spans="1:20" s="766" customFormat="1" ht="24" customHeight="1">
      <c r="A147" s="1616" t="s">
        <v>2467</v>
      </c>
      <c r="B147" s="1641" t="s">
        <v>7265</v>
      </c>
      <c r="C147" s="1641" t="s">
        <v>7260</v>
      </c>
      <c r="D147" s="1613" t="s">
        <v>79</v>
      </c>
      <c r="E147" s="1287">
        <v>5</v>
      </c>
      <c r="F147" s="1961"/>
      <c r="G147" s="1613" t="s">
        <v>32</v>
      </c>
      <c r="H147" s="1764" t="s">
        <v>33</v>
      </c>
      <c r="I147" s="1613" t="s">
        <v>7261</v>
      </c>
      <c r="J147" s="1666" t="s">
        <v>901</v>
      </c>
      <c r="K147" s="1613" t="s">
        <v>7266</v>
      </c>
      <c r="L147" s="1961"/>
      <c r="M147" s="1963"/>
      <c r="N147" s="1613">
        <v>2021.4</v>
      </c>
      <c r="O147" s="1613" t="s">
        <v>7262</v>
      </c>
      <c r="P147" s="1613" t="s">
        <v>7263</v>
      </c>
      <c r="Q147" s="1613">
        <v>13934576150</v>
      </c>
      <c r="R147" s="1613" t="s">
        <v>7264</v>
      </c>
      <c r="S147" s="1613" t="s">
        <v>7094</v>
      </c>
      <c r="T147" s="1628"/>
    </row>
    <row r="148" spans="1:20" s="766" customFormat="1" ht="24" customHeight="1">
      <c r="A148" s="1616" t="s">
        <v>2468</v>
      </c>
      <c r="B148" s="1641" t="s">
        <v>7250</v>
      </c>
      <c r="C148" s="1641" t="s">
        <v>7260</v>
      </c>
      <c r="D148" s="1613" t="s">
        <v>79</v>
      </c>
      <c r="E148" s="1287">
        <v>3</v>
      </c>
      <c r="F148" s="1613">
        <v>20</v>
      </c>
      <c r="G148" s="1613" t="s">
        <v>32</v>
      </c>
      <c r="H148" s="1764" t="s">
        <v>33</v>
      </c>
      <c r="I148" s="1613" t="s">
        <v>7261</v>
      </c>
      <c r="J148" s="1666" t="s">
        <v>901</v>
      </c>
      <c r="K148" s="1613" t="s">
        <v>7266</v>
      </c>
      <c r="L148" s="1613">
        <v>105000</v>
      </c>
      <c r="M148" s="1666">
        <f t="shared" ref="M148:M152" si="1">L148</f>
        <v>105000</v>
      </c>
      <c r="N148" s="1613">
        <v>2021.4</v>
      </c>
      <c r="O148" s="1613" t="s">
        <v>7262</v>
      </c>
      <c r="P148" s="1613" t="s">
        <v>7263</v>
      </c>
      <c r="Q148" s="1613">
        <v>13934576150</v>
      </c>
      <c r="R148" s="1613" t="s">
        <v>7264</v>
      </c>
      <c r="S148" s="1613" t="s">
        <v>7094</v>
      </c>
      <c r="T148" s="1628"/>
    </row>
    <row r="149" spans="1:20" s="766" customFormat="1" ht="24" customHeight="1">
      <c r="A149" s="1616" t="s">
        <v>2470</v>
      </c>
      <c r="B149" s="1641" t="s">
        <v>7247</v>
      </c>
      <c r="C149" s="1641" t="s">
        <v>7260</v>
      </c>
      <c r="D149" s="1613" t="s">
        <v>79</v>
      </c>
      <c r="E149" s="1287">
        <v>2</v>
      </c>
      <c r="F149" s="1613">
        <v>180</v>
      </c>
      <c r="G149" s="1613" t="s">
        <v>32</v>
      </c>
      <c r="H149" s="1764" t="s">
        <v>33</v>
      </c>
      <c r="I149" s="1613" t="s">
        <v>7261</v>
      </c>
      <c r="J149" s="1666" t="s">
        <v>901</v>
      </c>
      <c r="K149" s="1613" t="s">
        <v>7266</v>
      </c>
      <c r="L149" s="1613">
        <v>1110000</v>
      </c>
      <c r="M149" s="1666">
        <f t="shared" si="1"/>
        <v>1110000</v>
      </c>
      <c r="N149" s="1613">
        <v>2021.4</v>
      </c>
      <c r="O149" s="1613" t="s">
        <v>7262</v>
      </c>
      <c r="P149" s="1613" t="s">
        <v>7263</v>
      </c>
      <c r="Q149" s="1613">
        <v>13934576150</v>
      </c>
      <c r="R149" s="1613" t="s">
        <v>7264</v>
      </c>
      <c r="S149" s="1613" t="s">
        <v>7094</v>
      </c>
      <c r="T149" s="1628"/>
    </row>
    <row r="150" spans="1:20" s="766" customFormat="1" ht="24" customHeight="1">
      <c r="A150" s="1616" t="s">
        <v>2472</v>
      </c>
      <c r="B150" s="1641" t="s">
        <v>7247</v>
      </c>
      <c r="C150" s="1641" t="s">
        <v>7267</v>
      </c>
      <c r="D150" s="1613" t="s">
        <v>79</v>
      </c>
      <c r="E150" s="1287">
        <v>1</v>
      </c>
      <c r="F150" s="1613">
        <v>40</v>
      </c>
      <c r="G150" s="1613" t="s">
        <v>32</v>
      </c>
      <c r="H150" s="1764" t="s">
        <v>33</v>
      </c>
      <c r="I150" s="1613" t="s">
        <v>7261</v>
      </c>
      <c r="J150" s="1666" t="s">
        <v>901</v>
      </c>
      <c r="K150" s="1613" t="s">
        <v>7266</v>
      </c>
      <c r="L150" s="1613">
        <v>450000</v>
      </c>
      <c r="M150" s="1666">
        <f t="shared" si="1"/>
        <v>450000</v>
      </c>
      <c r="N150" s="1613">
        <v>2021.4</v>
      </c>
      <c r="O150" s="1613" t="s">
        <v>7262</v>
      </c>
      <c r="P150" s="1613" t="s">
        <v>7263</v>
      </c>
      <c r="Q150" s="1613">
        <v>13934576150</v>
      </c>
      <c r="R150" s="1613" t="s">
        <v>7264</v>
      </c>
      <c r="S150" s="1613" t="s">
        <v>7094</v>
      </c>
      <c r="T150" s="1628"/>
    </row>
    <row r="151" spans="1:20" s="766" customFormat="1" ht="24" customHeight="1">
      <c r="A151" s="1616" t="s">
        <v>2474</v>
      </c>
      <c r="B151" s="1641" t="s">
        <v>7250</v>
      </c>
      <c r="C151" s="1641" t="s">
        <v>7267</v>
      </c>
      <c r="D151" s="1613" t="s">
        <v>79</v>
      </c>
      <c r="E151" s="1287">
        <v>1</v>
      </c>
      <c r="F151" s="1613">
        <v>4</v>
      </c>
      <c r="G151" s="1613" t="s">
        <v>32</v>
      </c>
      <c r="H151" s="1764" t="s">
        <v>33</v>
      </c>
      <c r="I151" s="1613" t="s">
        <v>7261</v>
      </c>
      <c r="J151" s="1666" t="s">
        <v>901</v>
      </c>
      <c r="K151" s="1613" t="s">
        <v>7266</v>
      </c>
      <c r="L151" s="1613">
        <v>35000</v>
      </c>
      <c r="M151" s="1666">
        <f t="shared" si="1"/>
        <v>35000</v>
      </c>
      <c r="N151" s="1613">
        <v>2021.4</v>
      </c>
      <c r="O151" s="1613" t="s">
        <v>7262</v>
      </c>
      <c r="P151" s="1613" t="s">
        <v>7263</v>
      </c>
      <c r="Q151" s="1613">
        <v>13934576150</v>
      </c>
      <c r="R151" s="1613" t="s">
        <v>7264</v>
      </c>
      <c r="S151" s="1613" t="s">
        <v>7094</v>
      </c>
      <c r="T151" s="1628"/>
    </row>
    <row r="152" spans="1:20" s="766" customFormat="1" ht="24" customHeight="1">
      <c r="A152" s="1616" t="s">
        <v>2476</v>
      </c>
      <c r="B152" s="1641" t="s">
        <v>7251</v>
      </c>
      <c r="C152" s="1641" t="s">
        <v>7268</v>
      </c>
      <c r="D152" s="1613" t="s">
        <v>79</v>
      </c>
      <c r="E152" s="1287">
        <v>3</v>
      </c>
      <c r="F152" s="1960">
        <v>228</v>
      </c>
      <c r="G152" s="1613" t="s">
        <v>32</v>
      </c>
      <c r="H152" s="1764" t="s">
        <v>33</v>
      </c>
      <c r="I152" s="1613" t="s">
        <v>7269</v>
      </c>
      <c r="J152" s="1666" t="s">
        <v>901</v>
      </c>
      <c r="K152" s="1613" t="s">
        <v>7266</v>
      </c>
      <c r="L152" s="1960">
        <v>1260000</v>
      </c>
      <c r="M152" s="1962">
        <f t="shared" si="1"/>
        <v>1260000</v>
      </c>
      <c r="N152" s="1613">
        <v>2022.2</v>
      </c>
      <c r="O152" s="1613" t="s">
        <v>7262</v>
      </c>
      <c r="P152" s="1613" t="s">
        <v>7263</v>
      </c>
      <c r="Q152" s="1613">
        <v>13934576150</v>
      </c>
      <c r="R152" s="1613" t="s">
        <v>7264</v>
      </c>
      <c r="S152" s="1613" t="s">
        <v>7094</v>
      </c>
      <c r="T152" s="1628"/>
    </row>
    <row r="153" spans="1:20" s="766" customFormat="1" ht="24" customHeight="1">
      <c r="A153" s="1616" t="s">
        <v>2477</v>
      </c>
      <c r="B153" s="1641" t="s">
        <v>7265</v>
      </c>
      <c r="C153" s="1641" t="s">
        <v>7268</v>
      </c>
      <c r="D153" s="1613" t="s">
        <v>79</v>
      </c>
      <c r="E153" s="1287">
        <v>3</v>
      </c>
      <c r="F153" s="1961"/>
      <c r="G153" s="1613" t="s">
        <v>32</v>
      </c>
      <c r="H153" s="1764" t="s">
        <v>33</v>
      </c>
      <c r="I153" s="1613" t="s">
        <v>7269</v>
      </c>
      <c r="J153" s="1666" t="s">
        <v>901</v>
      </c>
      <c r="K153" s="1613" t="s">
        <v>7266</v>
      </c>
      <c r="L153" s="1961"/>
      <c r="M153" s="1963"/>
      <c r="N153" s="1613">
        <v>2022.2</v>
      </c>
      <c r="O153" s="1613" t="s">
        <v>7262</v>
      </c>
      <c r="P153" s="1613" t="s">
        <v>7263</v>
      </c>
      <c r="Q153" s="1613">
        <v>13934576150</v>
      </c>
      <c r="R153" s="1613" t="s">
        <v>7264</v>
      </c>
      <c r="S153" s="1613" t="s">
        <v>7094</v>
      </c>
      <c r="T153" s="1628"/>
    </row>
    <row r="154" spans="1:20" s="766" customFormat="1" ht="24" customHeight="1">
      <c r="A154" s="1616" t="s">
        <v>7270</v>
      </c>
      <c r="B154" s="1641" t="s">
        <v>7250</v>
      </c>
      <c r="C154" s="1641" t="s">
        <v>7268</v>
      </c>
      <c r="D154" s="1613" t="s">
        <v>79</v>
      </c>
      <c r="E154" s="1287">
        <v>2</v>
      </c>
      <c r="F154" s="1613">
        <v>6</v>
      </c>
      <c r="G154" s="1613" t="s">
        <v>32</v>
      </c>
      <c r="H154" s="1764" t="s">
        <v>33</v>
      </c>
      <c r="I154" s="1613" t="s">
        <v>7269</v>
      </c>
      <c r="J154" s="1666" t="s">
        <v>901</v>
      </c>
      <c r="K154" s="1613" t="s">
        <v>7266</v>
      </c>
      <c r="L154" s="1613">
        <v>60000</v>
      </c>
      <c r="M154" s="1666">
        <f t="shared" ref="M154:M156" si="2">L154</f>
        <v>60000</v>
      </c>
      <c r="N154" s="1613">
        <v>2022.2</v>
      </c>
      <c r="O154" s="1613" t="s">
        <v>7262</v>
      </c>
      <c r="P154" s="1613" t="s">
        <v>7263</v>
      </c>
      <c r="Q154" s="1613">
        <v>13934576150</v>
      </c>
      <c r="R154" s="1613" t="s">
        <v>7264</v>
      </c>
      <c r="S154" s="1613" t="s">
        <v>7094</v>
      </c>
      <c r="T154" s="1628"/>
    </row>
    <row r="155" spans="1:20" s="766" customFormat="1" ht="24" customHeight="1">
      <c r="A155" s="1616" t="s">
        <v>7271</v>
      </c>
      <c r="B155" s="1641" t="s">
        <v>7247</v>
      </c>
      <c r="C155" s="1641" t="s">
        <v>7268</v>
      </c>
      <c r="D155" s="1613" t="s">
        <v>79</v>
      </c>
      <c r="E155" s="1287">
        <v>1</v>
      </c>
      <c r="F155" s="1613">
        <v>40</v>
      </c>
      <c r="G155" s="1613" t="s">
        <v>32</v>
      </c>
      <c r="H155" s="1764" t="s">
        <v>33</v>
      </c>
      <c r="I155" s="1613" t="s">
        <v>7269</v>
      </c>
      <c r="J155" s="1666" t="s">
        <v>901</v>
      </c>
      <c r="K155" s="1613" t="s">
        <v>7266</v>
      </c>
      <c r="L155" s="1613">
        <v>410000</v>
      </c>
      <c r="M155" s="1666">
        <f t="shared" si="2"/>
        <v>410000</v>
      </c>
      <c r="N155" s="1613">
        <v>2022.2</v>
      </c>
      <c r="O155" s="1613" t="s">
        <v>7262</v>
      </c>
      <c r="P155" s="1613" t="s">
        <v>7263</v>
      </c>
      <c r="Q155" s="1613">
        <v>13934576150</v>
      </c>
      <c r="R155" s="1613" t="s">
        <v>7264</v>
      </c>
      <c r="S155" s="1613" t="s">
        <v>7094</v>
      </c>
      <c r="T155" s="1628"/>
    </row>
    <row r="156" spans="1:20" s="766" customFormat="1" ht="24" customHeight="1">
      <c r="A156" s="1616" t="s">
        <v>7272</v>
      </c>
      <c r="B156" s="1641" t="s">
        <v>7247</v>
      </c>
      <c r="C156" s="1641" t="s">
        <v>7273</v>
      </c>
      <c r="D156" s="1613" t="s">
        <v>79</v>
      </c>
      <c r="E156" s="1287">
        <v>1</v>
      </c>
      <c r="F156" s="1613">
        <v>40</v>
      </c>
      <c r="G156" s="1613" t="s">
        <v>32</v>
      </c>
      <c r="H156" s="1764" t="s">
        <v>33</v>
      </c>
      <c r="I156" s="1613" t="s">
        <v>7274</v>
      </c>
      <c r="J156" s="1666" t="s">
        <v>901</v>
      </c>
      <c r="K156" s="1613" t="s">
        <v>7266</v>
      </c>
      <c r="L156" s="1613">
        <v>410000</v>
      </c>
      <c r="M156" s="1666">
        <f t="shared" si="2"/>
        <v>410000</v>
      </c>
      <c r="N156" s="1613">
        <v>2022.2</v>
      </c>
      <c r="O156" s="1613" t="s">
        <v>7262</v>
      </c>
      <c r="P156" s="1613" t="s">
        <v>7263</v>
      </c>
      <c r="Q156" s="1613">
        <v>13934576150</v>
      </c>
      <c r="R156" s="1613" t="s">
        <v>7264</v>
      </c>
      <c r="S156" s="1613" t="s">
        <v>7094</v>
      </c>
      <c r="T156" s="1628"/>
    </row>
    <row r="157" spans="1:20" s="766" customFormat="1" ht="24" customHeight="1">
      <c r="A157" s="1616" t="s">
        <v>7275</v>
      </c>
      <c r="B157" s="1630" t="s">
        <v>7276</v>
      </c>
      <c r="C157" s="66" t="s">
        <v>7260</v>
      </c>
      <c r="D157" s="1630" t="s">
        <v>79</v>
      </c>
      <c r="E157" s="1660">
        <v>2</v>
      </c>
      <c r="F157" s="1667">
        <v>120</v>
      </c>
      <c r="G157" s="1663" t="s">
        <v>32</v>
      </c>
      <c r="H157" s="1611" t="s">
        <v>33</v>
      </c>
      <c r="I157" s="1611" t="s">
        <v>7277</v>
      </c>
      <c r="J157" s="1630" t="s">
        <v>7278</v>
      </c>
      <c r="K157" s="1611" t="s">
        <v>7278</v>
      </c>
      <c r="L157" s="43">
        <v>870796.45</v>
      </c>
      <c r="M157" s="66">
        <v>174159.29</v>
      </c>
      <c r="N157" s="1658">
        <v>42522</v>
      </c>
      <c r="O157" s="66" t="s">
        <v>7279</v>
      </c>
      <c r="P157" s="66" t="s">
        <v>7280</v>
      </c>
      <c r="Q157" s="66">
        <v>18910669242</v>
      </c>
      <c r="R157" s="1611" t="s">
        <v>7281</v>
      </c>
      <c r="S157" s="1611" t="s">
        <v>7094</v>
      </c>
      <c r="T157" s="1628"/>
    </row>
    <row r="158" spans="1:20" s="766" customFormat="1" ht="24" customHeight="1">
      <c r="A158" s="1616" t="s">
        <v>7282</v>
      </c>
      <c r="B158" s="1630" t="s">
        <v>7283</v>
      </c>
      <c r="C158" s="66" t="s">
        <v>7260</v>
      </c>
      <c r="D158" s="1630" t="s">
        <v>79</v>
      </c>
      <c r="E158" s="1660">
        <v>2</v>
      </c>
      <c r="F158" s="1667">
        <v>36</v>
      </c>
      <c r="G158" s="1663" t="s">
        <v>32</v>
      </c>
      <c r="H158" s="1611" t="s">
        <v>33</v>
      </c>
      <c r="I158" s="1611" t="s">
        <v>7277</v>
      </c>
      <c r="J158" s="1630" t="s">
        <v>7278</v>
      </c>
      <c r="K158" s="1611" t="s">
        <v>7278</v>
      </c>
      <c r="L158" s="43">
        <v>110796.45</v>
      </c>
      <c r="M158" s="66">
        <v>22159.29</v>
      </c>
      <c r="N158" s="1658">
        <v>42522</v>
      </c>
      <c r="O158" s="66" t="s">
        <v>7279</v>
      </c>
      <c r="P158" s="66" t="s">
        <v>7280</v>
      </c>
      <c r="Q158" s="66">
        <v>18910669242</v>
      </c>
      <c r="R158" s="1611" t="s">
        <v>7281</v>
      </c>
      <c r="S158" s="1611" t="s">
        <v>7094</v>
      </c>
      <c r="T158" s="1628"/>
    </row>
    <row r="159" spans="1:20" s="766" customFormat="1" ht="24" customHeight="1">
      <c r="A159" s="1616" t="s">
        <v>7284</v>
      </c>
      <c r="B159" s="1630" t="s">
        <v>7285</v>
      </c>
      <c r="C159" s="66" t="s">
        <v>7267</v>
      </c>
      <c r="D159" s="1630" t="s">
        <v>79</v>
      </c>
      <c r="E159" s="1660">
        <v>1</v>
      </c>
      <c r="F159" s="1667">
        <v>48</v>
      </c>
      <c r="G159" s="1663" t="s">
        <v>32</v>
      </c>
      <c r="H159" s="1611" t="s">
        <v>33</v>
      </c>
      <c r="I159" s="1611" t="s">
        <v>7277</v>
      </c>
      <c r="J159" s="1630" t="s">
        <v>7278</v>
      </c>
      <c r="K159" s="1611" t="s">
        <v>7278</v>
      </c>
      <c r="L159" s="43">
        <f t="shared" ref="L159:L162" si="3">M159/0.2</f>
        <v>336991.14999999997</v>
      </c>
      <c r="M159" s="66">
        <v>67398.23</v>
      </c>
      <c r="N159" s="1658">
        <v>42522</v>
      </c>
      <c r="O159" s="66" t="s">
        <v>7279</v>
      </c>
      <c r="P159" s="66" t="s">
        <v>7280</v>
      </c>
      <c r="Q159" s="66">
        <v>18910669242</v>
      </c>
      <c r="R159" s="1611" t="s">
        <v>7281</v>
      </c>
      <c r="S159" s="1611" t="s">
        <v>7094</v>
      </c>
      <c r="T159" s="1628"/>
    </row>
    <row r="160" spans="1:20" s="766" customFormat="1" ht="24" customHeight="1">
      <c r="A160" s="1616" t="s">
        <v>7286</v>
      </c>
      <c r="B160" s="1630" t="s">
        <v>7276</v>
      </c>
      <c r="C160" s="66" t="s">
        <v>7267</v>
      </c>
      <c r="D160" s="1630" t="s">
        <v>79</v>
      </c>
      <c r="E160" s="1660">
        <v>1</v>
      </c>
      <c r="F160" s="1667">
        <v>45</v>
      </c>
      <c r="G160" s="1663" t="s">
        <v>32</v>
      </c>
      <c r="H160" s="1611" t="s">
        <v>33</v>
      </c>
      <c r="I160" s="1611" t="s">
        <v>7277</v>
      </c>
      <c r="J160" s="1630" t="s">
        <v>7278</v>
      </c>
      <c r="K160" s="1611" t="s">
        <v>7278</v>
      </c>
      <c r="L160" s="43">
        <f t="shared" si="3"/>
        <v>525663.69999999995</v>
      </c>
      <c r="M160" s="66">
        <v>105132.74</v>
      </c>
      <c r="N160" s="1658">
        <v>42522</v>
      </c>
      <c r="O160" s="66" t="s">
        <v>7279</v>
      </c>
      <c r="P160" s="66" t="s">
        <v>7280</v>
      </c>
      <c r="Q160" s="66">
        <v>18910669242</v>
      </c>
      <c r="R160" s="1611" t="s">
        <v>7281</v>
      </c>
      <c r="S160" s="1611" t="s">
        <v>7094</v>
      </c>
      <c r="T160" s="1628"/>
    </row>
    <row r="161" spans="1:20" s="766" customFormat="1" ht="24" customHeight="1">
      <c r="A161" s="1616" t="s">
        <v>7287</v>
      </c>
      <c r="B161" s="1630" t="s">
        <v>7283</v>
      </c>
      <c r="C161" s="66" t="s">
        <v>7267</v>
      </c>
      <c r="D161" s="1630" t="s">
        <v>79</v>
      </c>
      <c r="E161" s="1660">
        <v>1</v>
      </c>
      <c r="F161" s="1667">
        <v>9</v>
      </c>
      <c r="G161" s="1663" t="s">
        <v>32</v>
      </c>
      <c r="H161" s="1611" t="s">
        <v>33</v>
      </c>
      <c r="I161" s="1611" t="s">
        <v>7277</v>
      </c>
      <c r="J161" s="1630" t="s">
        <v>7278</v>
      </c>
      <c r="K161" s="1611" t="s">
        <v>7278</v>
      </c>
      <c r="L161" s="43">
        <f t="shared" si="3"/>
        <v>50973.45</v>
      </c>
      <c r="M161" s="66">
        <v>10194.69</v>
      </c>
      <c r="N161" s="1658">
        <v>42522</v>
      </c>
      <c r="O161" s="66" t="s">
        <v>7279</v>
      </c>
      <c r="P161" s="66" t="s">
        <v>7280</v>
      </c>
      <c r="Q161" s="66">
        <v>18910669242</v>
      </c>
      <c r="R161" s="1611" t="s">
        <v>7281</v>
      </c>
      <c r="S161" s="1611" t="s">
        <v>7094</v>
      </c>
      <c r="T161" s="1628"/>
    </row>
    <row r="162" spans="1:20" s="766" customFormat="1" ht="24" customHeight="1">
      <c r="A162" s="1616" t="s">
        <v>7288</v>
      </c>
      <c r="B162" s="1630" t="s">
        <v>7285</v>
      </c>
      <c r="C162" s="66" t="s">
        <v>7260</v>
      </c>
      <c r="D162" s="1630" t="s">
        <v>79</v>
      </c>
      <c r="E162" s="1660">
        <v>1</v>
      </c>
      <c r="F162" s="1667">
        <v>65</v>
      </c>
      <c r="G162" s="1667" t="s">
        <v>41</v>
      </c>
      <c r="H162" s="1611" t="s">
        <v>33</v>
      </c>
      <c r="I162" s="1611" t="s">
        <v>7277</v>
      </c>
      <c r="J162" s="1630" t="s">
        <v>7278</v>
      </c>
      <c r="K162" s="1611" t="s">
        <v>7278</v>
      </c>
      <c r="L162" s="43">
        <f t="shared" si="3"/>
        <v>336991.14999999997</v>
      </c>
      <c r="M162" s="66">
        <v>67398.23</v>
      </c>
      <c r="N162" s="1658">
        <v>42522</v>
      </c>
      <c r="O162" s="66" t="s">
        <v>7279</v>
      </c>
      <c r="P162" s="66" t="s">
        <v>7280</v>
      </c>
      <c r="Q162" s="66">
        <v>18910669242</v>
      </c>
      <c r="R162" s="1611" t="s">
        <v>7281</v>
      </c>
      <c r="S162" s="1611" t="s">
        <v>7094</v>
      </c>
      <c r="T162" s="1628"/>
    </row>
    <row r="163" spans="1:20" s="766" customFormat="1" ht="24" customHeight="1">
      <c r="A163" s="1616" t="s">
        <v>7289</v>
      </c>
      <c r="B163" s="1630" t="s">
        <v>7276</v>
      </c>
      <c r="C163" s="66" t="s">
        <v>7260</v>
      </c>
      <c r="D163" s="1630" t="s">
        <v>79</v>
      </c>
      <c r="E163" s="43">
        <v>1</v>
      </c>
      <c r="F163" s="1667">
        <v>60</v>
      </c>
      <c r="G163" s="1667" t="s">
        <v>41</v>
      </c>
      <c r="H163" s="1611" t="s">
        <v>33</v>
      </c>
      <c r="I163" s="1611" t="s">
        <v>7277</v>
      </c>
      <c r="J163" s="1630" t="s">
        <v>7278</v>
      </c>
      <c r="K163" s="1611" t="s">
        <v>7278</v>
      </c>
      <c r="L163" s="43">
        <v>345132.75</v>
      </c>
      <c r="M163" s="66">
        <v>69026.55</v>
      </c>
      <c r="N163" s="1658">
        <v>42522</v>
      </c>
      <c r="O163" s="66" t="s">
        <v>7279</v>
      </c>
      <c r="P163" s="66" t="s">
        <v>7280</v>
      </c>
      <c r="Q163" s="66">
        <v>18910669242</v>
      </c>
      <c r="R163" s="1611" t="s">
        <v>7281</v>
      </c>
      <c r="S163" s="1611" t="s">
        <v>7094</v>
      </c>
      <c r="T163" s="1628"/>
    </row>
    <row r="164" spans="1:20" s="766" customFormat="1" ht="24" customHeight="1">
      <c r="A164" s="1616" t="s">
        <v>7290</v>
      </c>
      <c r="B164" s="1630" t="s">
        <v>7283</v>
      </c>
      <c r="C164" s="66" t="s">
        <v>7260</v>
      </c>
      <c r="D164" s="1630" t="s">
        <v>79</v>
      </c>
      <c r="E164" s="1660">
        <v>1</v>
      </c>
      <c r="F164" s="1667">
        <v>18</v>
      </c>
      <c r="G164" s="1667" t="s">
        <v>41</v>
      </c>
      <c r="H164" s="1611" t="s">
        <v>33</v>
      </c>
      <c r="I164" s="1611" t="s">
        <v>7277</v>
      </c>
      <c r="J164" s="1630" t="s">
        <v>7278</v>
      </c>
      <c r="K164" s="1611" t="s">
        <v>7278</v>
      </c>
      <c r="L164" s="43">
        <v>59823</v>
      </c>
      <c r="M164" s="66">
        <v>11964.6</v>
      </c>
      <c r="N164" s="1658">
        <v>42522</v>
      </c>
      <c r="O164" s="66" t="s">
        <v>7279</v>
      </c>
      <c r="P164" s="66" t="s">
        <v>7280</v>
      </c>
      <c r="Q164" s="66">
        <v>18910669242</v>
      </c>
      <c r="R164" s="1611" t="s">
        <v>7281</v>
      </c>
      <c r="S164" s="1611" t="s">
        <v>7094</v>
      </c>
      <c r="T164" s="1628"/>
    </row>
    <row r="165" spans="1:20" s="766" customFormat="1" ht="24" customHeight="1">
      <c r="A165" s="1616" t="s">
        <v>7291</v>
      </c>
      <c r="B165" s="1585" t="s">
        <v>7285</v>
      </c>
      <c r="C165" s="66" t="s">
        <v>7260</v>
      </c>
      <c r="D165" s="1663" t="s">
        <v>79</v>
      </c>
      <c r="E165" s="66">
        <v>2</v>
      </c>
      <c r="F165" s="1667">
        <v>180</v>
      </c>
      <c r="G165" s="1663" t="s">
        <v>32</v>
      </c>
      <c r="H165" s="1611" t="s">
        <v>33</v>
      </c>
      <c r="I165" s="1611" t="s">
        <v>7277</v>
      </c>
      <c r="J165" s="1663" t="s">
        <v>901</v>
      </c>
      <c r="K165" s="1611" t="s">
        <v>7259</v>
      </c>
      <c r="L165" s="66">
        <v>1850000</v>
      </c>
      <c r="M165" s="66">
        <v>1637168.14</v>
      </c>
      <c r="N165" s="1658">
        <v>43739</v>
      </c>
      <c r="O165" s="66" t="s">
        <v>7279</v>
      </c>
      <c r="P165" s="66" t="s">
        <v>7280</v>
      </c>
      <c r="Q165" s="66">
        <v>18910669242</v>
      </c>
      <c r="R165" s="1611" t="s">
        <v>7281</v>
      </c>
      <c r="S165" s="1611" t="s">
        <v>7094</v>
      </c>
      <c r="T165" s="1628"/>
    </row>
    <row r="166" spans="1:20" s="766" customFormat="1" ht="24" customHeight="1">
      <c r="A166" s="1616" t="s">
        <v>7292</v>
      </c>
      <c r="B166" s="1585" t="s">
        <v>7283</v>
      </c>
      <c r="C166" s="66" t="s">
        <v>7260</v>
      </c>
      <c r="D166" s="1663" t="s">
        <v>79</v>
      </c>
      <c r="E166" s="66">
        <v>2</v>
      </c>
      <c r="F166" s="1667">
        <v>18</v>
      </c>
      <c r="G166" s="1663" t="s">
        <v>32</v>
      </c>
      <c r="H166" s="1611" t="s">
        <v>33</v>
      </c>
      <c r="I166" s="1611" t="s">
        <v>7277</v>
      </c>
      <c r="J166" s="1663" t="s">
        <v>901</v>
      </c>
      <c r="K166" s="1611" t="s">
        <v>7259</v>
      </c>
      <c r="L166" s="66">
        <v>170000</v>
      </c>
      <c r="M166" s="66">
        <v>150442.48000000001</v>
      </c>
      <c r="N166" s="1658">
        <v>43739</v>
      </c>
      <c r="O166" s="66" t="s">
        <v>7279</v>
      </c>
      <c r="P166" s="66" t="s">
        <v>7280</v>
      </c>
      <c r="Q166" s="66">
        <v>18910669242</v>
      </c>
      <c r="R166" s="1611" t="s">
        <v>7281</v>
      </c>
      <c r="S166" s="1611" t="s">
        <v>7094</v>
      </c>
      <c r="T166" s="1628"/>
    </row>
    <row r="167" spans="1:20" s="766" customFormat="1" ht="24" customHeight="1">
      <c r="A167" s="1616" t="s">
        <v>7293</v>
      </c>
      <c r="B167" s="1585" t="s">
        <v>7276</v>
      </c>
      <c r="C167" s="66" t="s">
        <v>7260</v>
      </c>
      <c r="D167" s="1663" t="s">
        <v>79</v>
      </c>
      <c r="E167" s="66">
        <v>2</v>
      </c>
      <c r="F167" s="1667">
        <v>130</v>
      </c>
      <c r="G167" s="1663" t="s">
        <v>32</v>
      </c>
      <c r="H167" s="1611" t="s">
        <v>33</v>
      </c>
      <c r="I167" s="1611" t="s">
        <v>7277</v>
      </c>
      <c r="J167" s="1663" t="s">
        <v>901</v>
      </c>
      <c r="K167" s="1611" t="s">
        <v>7259</v>
      </c>
      <c r="L167" s="66">
        <v>1700000</v>
      </c>
      <c r="M167" s="66">
        <v>1504424.78</v>
      </c>
      <c r="N167" s="1658">
        <v>43739</v>
      </c>
      <c r="O167" s="66" t="s">
        <v>7279</v>
      </c>
      <c r="P167" s="66" t="s">
        <v>7280</v>
      </c>
      <c r="Q167" s="66">
        <v>18910669242</v>
      </c>
      <c r="R167" s="1611" t="s">
        <v>7281</v>
      </c>
      <c r="S167" s="1611" t="s">
        <v>7094</v>
      </c>
      <c r="T167" s="1628"/>
    </row>
    <row r="168" spans="1:20" s="766" customFormat="1" ht="24" customHeight="1">
      <c r="A168" s="1616" t="s">
        <v>7294</v>
      </c>
      <c r="B168" s="1630" t="s">
        <v>7285</v>
      </c>
      <c r="C168" s="66" t="s">
        <v>7260</v>
      </c>
      <c r="D168" s="1630" t="s">
        <v>79</v>
      </c>
      <c r="E168" s="43">
        <v>4</v>
      </c>
      <c r="F168" s="1667">
        <v>260</v>
      </c>
      <c r="G168" s="1663" t="s">
        <v>32</v>
      </c>
      <c r="H168" s="1611" t="s">
        <v>33</v>
      </c>
      <c r="I168" s="1611" t="s">
        <v>7277</v>
      </c>
      <c r="J168" s="1630" t="s">
        <v>7278</v>
      </c>
      <c r="K168" s="1611" t="s">
        <v>7278</v>
      </c>
      <c r="L168" s="43">
        <v>1451327.45</v>
      </c>
      <c r="M168" s="66">
        <v>290265.49</v>
      </c>
      <c r="N168" s="1658">
        <v>42522</v>
      </c>
      <c r="O168" s="66" t="s">
        <v>7279</v>
      </c>
      <c r="P168" s="66" t="s">
        <v>7280</v>
      </c>
      <c r="Q168" s="66">
        <v>18910669242</v>
      </c>
      <c r="R168" s="1611" t="s">
        <v>7281</v>
      </c>
      <c r="S168" s="1611" t="s">
        <v>7094</v>
      </c>
      <c r="T168" s="1628"/>
    </row>
    <row r="169" spans="1:20" s="766" customFormat="1" ht="24" customHeight="1">
      <c r="A169" s="1616" t="s">
        <v>7295</v>
      </c>
      <c r="B169" s="1630" t="s">
        <v>7296</v>
      </c>
      <c r="C169" s="66" t="s">
        <v>7297</v>
      </c>
      <c r="D169" s="1630" t="s">
        <v>79</v>
      </c>
      <c r="E169" s="43">
        <v>3</v>
      </c>
      <c r="F169" s="1617">
        <v>80</v>
      </c>
      <c r="G169" s="1663" t="s">
        <v>32</v>
      </c>
      <c r="H169" s="1611" t="s">
        <v>33</v>
      </c>
      <c r="I169" s="1611" t="s">
        <v>7297</v>
      </c>
      <c r="J169" s="1611" t="s">
        <v>7298</v>
      </c>
      <c r="K169" s="1611" t="s">
        <v>7298</v>
      </c>
      <c r="L169" s="43">
        <v>809999.99</v>
      </c>
      <c r="M169" s="66">
        <v>801980.19</v>
      </c>
      <c r="N169" s="1658">
        <v>44409</v>
      </c>
      <c r="O169" s="66" t="s">
        <v>7279</v>
      </c>
      <c r="P169" s="66" t="s">
        <v>7280</v>
      </c>
      <c r="Q169" s="66">
        <v>18910669242</v>
      </c>
      <c r="R169" s="1611" t="s">
        <v>7281</v>
      </c>
      <c r="S169" s="1611"/>
      <c r="T169" s="1628"/>
    </row>
    <row r="170" spans="1:20" s="766" customFormat="1" ht="24" customHeight="1">
      <c r="A170" s="1616" t="s">
        <v>7299</v>
      </c>
      <c r="B170" s="1630" t="s">
        <v>7300</v>
      </c>
      <c r="C170" s="66" t="s">
        <v>7297</v>
      </c>
      <c r="D170" s="1630" t="s">
        <v>79</v>
      </c>
      <c r="E170" s="43">
        <v>2</v>
      </c>
      <c r="F170" s="1667">
        <v>40</v>
      </c>
      <c r="G170" s="1663" t="s">
        <v>32</v>
      </c>
      <c r="H170" s="1611" t="s">
        <v>33</v>
      </c>
      <c r="I170" s="1611" t="s">
        <v>7297</v>
      </c>
      <c r="J170" s="1611" t="s">
        <v>7298</v>
      </c>
      <c r="K170" s="1611" t="s">
        <v>7298</v>
      </c>
      <c r="L170" s="43">
        <v>559999.99</v>
      </c>
      <c r="M170" s="66">
        <v>554455.43999999994</v>
      </c>
      <c r="N170" s="1658">
        <v>44409</v>
      </c>
      <c r="O170" s="66" t="s">
        <v>7279</v>
      </c>
      <c r="P170" s="66" t="s">
        <v>7280</v>
      </c>
      <c r="Q170" s="66">
        <v>18910669242</v>
      </c>
      <c r="R170" s="1611" t="s">
        <v>7281</v>
      </c>
      <c r="S170" s="1611"/>
      <c r="T170" s="1628"/>
    </row>
    <row r="171" spans="1:20" s="766" customFormat="1" ht="24" customHeight="1">
      <c r="A171" s="1616" t="s">
        <v>7301</v>
      </c>
      <c r="B171" s="1630" t="s">
        <v>7302</v>
      </c>
      <c r="C171" s="66" t="s">
        <v>7297</v>
      </c>
      <c r="D171" s="1630" t="s">
        <v>79</v>
      </c>
      <c r="E171" s="43">
        <v>2</v>
      </c>
      <c r="F171" s="1667">
        <v>3.6</v>
      </c>
      <c r="G171" s="1663" t="s">
        <v>32</v>
      </c>
      <c r="H171" s="1611" t="s">
        <v>33</v>
      </c>
      <c r="I171" s="1611" t="s">
        <v>7297</v>
      </c>
      <c r="J171" s="1611" t="s">
        <v>7298</v>
      </c>
      <c r="K171" s="1611" t="s">
        <v>7298</v>
      </c>
      <c r="L171" s="43">
        <v>43999.99</v>
      </c>
      <c r="M171" s="66">
        <v>43564.35</v>
      </c>
      <c r="N171" s="1658">
        <v>44409</v>
      </c>
      <c r="O171" s="66" t="s">
        <v>7279</v>
      </c>
      <c r="P171" s="66" t="s">
        <v>7280</v>
      </c>
      <c r="Q171" s="66">
        <v>18910669242</v>
      </c>
      <c r="R171" s="1611" t="s">
        <v>7281</v>
      </c>
      <c r="S171" s="1611"/>
      <c r="T171" s="1628"/>
    </row>
    <row r="172" spans="1:20" s="766" customFormat="1" ht="24" customHeight="1">
      <c r="A172" s="1616" t="s">
        <v>7303</v>
      </c>
      <c r="B172" s="1630" t="s">
        <v>7302</v>
      </c>
      <c r="C172" s="66" t="s">
        <v>7304</v>
      </c>
      <c r="D172" s="1630" t="s">
        <v>79</v>
      </c>
      <c r="E172" s="43">
        <v>1</v>
      </c>
      <c r="F172" s="1667">
        <v>1.8</v>
      </c>
      <c r="G172" s="1663" t="s">
        <v>32</v>
      </c>
      <c r="H172" s="1611" t="s">
        <v>33</v>
      </c>
      <c r="I172" s="1611" t="s">
        <v>7304</v>
      </c>
      <c r="J172" s="1611" t="s">
        <v>7298</v>
      </c>
      <c r="K172" s="1611" t="s">
        <v>7298</v>
      </c>
      <c r="L172" s="43">
        <v>22000</v>
      </c>
      <c r="M172" s="66">
        <v>21782.18</v>
      </c>
      <c r="N172" s="1658">
        <v>44409</v>
      </c>
      <c r="O172" s="66" t="s">
        <v>7279</v>
      </c>
      <c r="P172" s="66" t="s">
        <v>7280</v>
      </c>
      <c r="Q172" s="66">
        <v>18910669242</v>
      </c>
      <c r="R172" s="1611" t="s">
        <v>7281</v>
      </c>
      <c r="S172" s="1611"/>
      <c r="T172" s="1628"/>
    </row>
    <row r="173" spans="1:20" s="766" customFormat="1" ht="24" customHeight="1">
      <c r="A173" s="1616" t="s">
        <v>7305</v>
      </c>
      <c r="B173" s="1613" t="s">
        <v>7306</v>
      </c>
      <c r="C173" s="1613" t="s">
        <v>7191</v>
      </c>
      <c r="D173" s="1613" t="s">
        <v>79</v>
      </c>
      <c r="E173" s="1287">
        <v>1</v>
      </c>
      <c r="F173" s="1613">
        <v>60</v>
      </c>
      <c r="G173" s="1613" t="s">
        <v>32</v>
      </c>
      <c r="H173" s="1613" t="s">
        <v>33</v>
      </c>
      <c r="I173" s="1641" t="s">
        <v>7260</v>
      </c>
      <c r="J173" s="1666" t="s">
        <v>7259</v>
      </c>
      <c r="K173" s="1613" t="s">
        <v>7307</v>
      </c>
      <c r="L173" s="1613">
        <v>730000</v>
      </c>
      <c r="M173" s="1613">
        <v>730000</v>
      </c>
      <c r="N173" s="1613">
        <v>2020.11</v>
      </c>
      <c r="O173" s="1613" t="s">
        <v>7308</v>
      </c>
      <c r="P173" s="1613" t="s">
        <v>7309</v>
      </c>
      <c r="Q173" s="1613">
        <v>18713342010</v>
      </c>
      <c r="R173" s="1613" t="s">
        <v>7310</v>
      </c>
      <c r="S173" s="1613" t="s">
        <v>7094</v>
      </c>
      <c r="T173" s="1628"/>
    </row>
    <row r="174" spans="1:20" s="766" customFormat="1" ht="24" customHeight="1">
      <c r="A174" s="1616" t="s">
        <v>7311</v>
      </c>
      <c r="B174" s="1613" t="s">
        <v>7312</v>
      </c>
      <c r="C174" s="1613" t="s">
        <v>7191</v>
      </c>
      <c r="D174" s="1613" t="s">
        <v>79</v>
      </c>
      <c r="E174" s="1287">
        <v>2</v>
      </c>
      <c r="F174" s="1613">
        <v>120</v>
      </c>
      <c r="G174" s="1613" t="s">
        <v>32</v>
      </c>
      <c r="H174" s="1613" t="s">
        <v>33</v>
      </c>
      <c r="I174" s="1641" t="s">
        <v>7260</v>
      </c>
      <c r="J174" s="1666" t="s">
        <v>7259</v>
      </c>
      <c r="K174" s="1613" t="s">
        <v>7307</v>
      </c>
      <c r="L174" s="1613">
        <v>1420000</v>
      </c>
      <c r="M174" s="1613">
        <v>1420000</v>
      </c>
      <c r="N174" s="1613">
        <v>2020.11</v>
      </c>
      <c r="O174" s="1613" t="s">
        <v>7308</v>
      </c>
      <c r="P174" s="1613" t="s">
        <v>7309</v>
      </c>
      <c r="Q174" s="1613">
        <v>18713342010</v>
      </c>
      <c r="R174" s="1613" t="s">
        <v>7310</v>
      </c>
      <c r="S174" s="1613" t="s">
        <v>7094</v>
      </c>
      <c r="T174" s="1628"/>
    </row>
    <row r="175" spans="1:20" s="766" customFormat="1" ht="24" customHeight="1">
      <c r="A175" s="1616" t="s">
        <v>7313</v>
      </c>
      <c r="B175" s="1613" t="s">
        <v>7314</v>
      </c>
      <c r="C175" s="1613" t="s">
        <v>7191</v>
      </c>
      <c r="D175" s="1613" t="s">
        <v>79</v>
      </c>
      <c r="E175" s="1287">
        <v>1</v>
      </c>
      <c r="F175" s="1613">
        <v>8</v>
      </c>
      <c r="G175" s="1613" t="s">
        <v>32</v>
      </c>
      <c r="H175" s="1613" t="s">
        <v>33</v>
      </c>
      <c r="I175" s="1641" t="s">
        <v>7260</v>
      </c>
      <c r="J175" s="1666" t="s">
        <v>7259</v>
      </c>
      <c r="K175" s="1613" t="s">
        <v>7307</v>
      </c>
      <c r="L175" s="1613">
        <v>80000</v>
      </c>
      <c r="M175" s="1613">
        <v>80000</v>
      </c>
      <c r="N175" s="1613">
        <v>2020.11</v>
      </c>
      <c r="O175" s="1613" t="s">
        <v>7308</v>
      </c>
      <c r="P175" s="1613" t="s">
        <v>7309</v>
      </c>
      <c r="Q175" s="1613">
        <v>18713342010</v>
      </c>
      <c r="R175" s="1613" t="s">
        <v>7310</v>
      </c>
      <c r="S175" s="1613" t="s">
        <v>7094</v>
      </c>
      <c r="T175" s="1628"/>
    </row>
    <row r="176" spans="1:20" s="766" customFormat="1" ht="24" customHeight="1">
      <c r="A176" s="1616" t="s">
        <v>7315</v>
      </c>
      <c r="B176" s="1613" t="s">
        <v>7312</v>
      </c>
      <c r="C176" s="1613" t="s">
        <v>7191</v>
      </c>
      <c r="D176" s="1613" t="s">
        <v>79</v>
      </c>
      <c r="E176" s="1287">
        <v>2</v>
      </c>
      <c r="F176" s="1613">
        <v>120</v>
      </c>
      <c r="G176" s="1613" t="s">
        <v>32</v>
      </c>
      <c r="H176" s="1613" t="s">
        <v>33</v>
      </c>
      <c r="I176" s="1641" t="s">
        <v>7260</v>
      </c>
      <c r="J176" s="1666" t="s">
        <v>7259</v>
      </c>
      <c r="K176" s="1613" t="s">
        <v>7307</v>
      </c>
      <c r="L176" s="1613">
        <v>1420000</v>
      </c>
      <c r="M176" s="1613">
        <v>1080000</v>
      </c>
      <c r="N176" s="1613">
        <v>2020.12</v>
      </c>
      <c r="O176" s="1613" t="s">
        <v>7308</v>
      </c>
      <c r="P176" s="1613" t="s">
        <v>7309</v>
      </c>
      <c r="Q176" s="1613">
        <v>18713342010</v>
      </c>
      <c r="R176" s="1613" t="s">
        <v>7310</v>
      </c>
      <c r="S176" s="1613" t="s">
        <v>7094</v>
      </c>
      <c r="T176" s="1628"/>
    </row>
    <row r="177" spans="1:20" s="766" customFormat="1" ht="24" customHeight="1">
      <c r="A177" s="1616" t="s">
        <v>7316</v>
      </c>
      <c r="B177" s="1613" t="s">
        <v>7306</v>
      </c>
      <c r="C177" s="1613" t="s">
        <v>7191</v>
      </c>
      <c r="D177" s="1613" t="s">
        <v>79</v>
      </c>
      <c r="E177" s="1287">
        <v>1</v>
      </c>
      <c r="F177" s="1613">
        <v>60</v>
      </c>
      <c r="G177" s="1613" t="s">
        <v>32</v>
      </c>
      <c r="H177" s="1613" t="s">
        <v>33</v>
      </c>
      <c r="I177" s="1641" t="s">
        <v>7260</v>
      </c>
      <c r="J177" s="1666" t="s">
        <v>7259</v>
      </c>
      <c r="K177" s="1613" t="s">
        <v>7307</v>
      </c>
      <c r="L177" s="1613">
        <v>730000</v>
      </c>
      <c r="M177" s="1613">
        <v>540000</v>
      </c>
      <c r="N177" s="1613">
        <v>2020.12</v>
      </c>
      <c r="O177" s="1613" t="s">
        <v>7308</v>
      </c>
      <c r="P177" s="1613" t="s">
        <v>7309</v>
      </c>
      <c r="Q177" s="1613">
        <v>18713342010</v>
      </c>
      <c r="R177" s="1613" t="s">
        <v>7310</v>
      </c>
      <c r="S177" s="1613" t="s">
        <v>7094</v>
      </c>
      <c r="T177" s="1628"/>
    </row>
    <row r="178" spans="1:20" s="766" customFormat="1" ht="24" customHeight="1">
      <c r="A178" s="1616" t="s">
        <v>7317</v>
      </c>
      <c r="B178" s="1613" t="s">
        <v>7306</v>
      </c>
      <c r="C178" s="1613" t="s">
        <v>7191</v>
      </c>
      <c r="D178" s="1613" t="s">
        <v>79</v>
      </c>
      <c r="E178" s="1287">
        <v>2</v>
      </c>
      <c r="F178" s="1613">
        <v>120</v>
      </c>
      <c r="G178" s="1613" t="s">
        <v>32</v>
      </c>
      <c r="H178" s="1613" t="s">
        <v>33</v>
      </c>
      <c r="I178" s="1641" t="s">
        <v>7260</v>
      </c>
      <c r="J178" s="1666" t="s">
        <v>7259</v>
      </c>
      <c r="K178" s="1613" t="s">
        <v>7307</v>
      </c>
      <c r="L178" s="1613">
        <v>1460000</v>
      </c>
      <c r="M178" s="1613">
        <v>1130000</v>
      </c>
      <c r="N178" s="1613">
        <v>2021.2</v>
      </c>
      <c r="O178" s="1613" t="s">
        <v>7308</v>
      </c>
      <c r="P178" s="1613" t="s">
        <v>7309</v>
      </c>
      <c r="Q178" s="1613">
        <v>18713342011</v>
      </c>
      <c r="R178" s="1613" t="s">
        <v>7310</v>
      </c>
      <c r="S178" s="1613" t="s">
        <v>7094</v>
      </c>
      <c r="T178" s="1628"/>
    </row>
    <row r="179" spans="1:20" s="766" customFormat="1" ht="24" customHeight="1">
      <c r="A179" s="1616" t="s">
        <v>7318</v>
      </c>
      <c r="B179" s="1613" t="s">
        <v>7312</v>
      </c>
      <c r="C179" s="1613" t="s">
        <v>7191</v>
      </c>
      <c r="D179" s="1613" t="s">
        <v>79</v>
      </c>
      <c r="E179" s="1287">
        <v>3</v>
      </c>
      <c r="F179" s="1613">
        <v>180</v>
      </c>
      <c r="G179" s="1613" t="s">
        <v>32</v>
      </c>
      <c r="H179" s="1613" t="s">
        <v>33</v>
      </c>
      <c r="I179" s="1641" t="s">
        <v>7260</v>
      </c>
      <c r="J179" s="1666" t="s">
        <v>7259</v>
      </c>
      <c r="K179" s="1613" t="s">
        <v>7307</v>
      </c>
      <c r="L179" s="1613">
        <v>2130000</v>
      </c>
      <c r="M179" s="1613">
        <v>1650000</v>
      </c>
      <c r="N179" s="1613">
        <v>2021.2</v>
      </c>
      <c r="O179" s="1613" t="s">
        <v>7308</v>
      </c>
      <c r="P179" s="1613" t="s">
        <v>7309</v>
      </c>
      <c r="Q179" s="1613">
        <v>18713342012</v>
      </c>
      <c r="R179" s="1613" t="s">
        <v>7310</v>
      </c>
      <c r="S179" s="1613" t="s">
        <v>7094</v>
      </c>
      <c r="T179" s="1628"/>
    </row>
    <row r="180" spans="1:20" s="766" customFormat="1" ht="24" customHeight="1">
      <c r="A180" s="1616" t="s">
        <v>7319</v>
      </c>
      <c r="B180" s="1613" t="s">
        <v>7314</v>
      </c>
      <c r="C180" s="1613" t="s">
        <v>7191</v>
      </c>
      <c r="D180" s="1613" t="s">
        <v>79</v>
      </c>
      <c r="E180" s="1287">
        <v>2</v>
      </c>
      <c r="F180" s="1613">
        <v>16</v>
      </c>
      <c r="G180" s="1613" t="s">
        <v>32</v>
      </c>
      <c r="H180" s="1613" t="s">
        <v>33</v>
      </c>
      <c r="I180" s="1641" t="s">
        <v>7260</v>
      </c>
      <c r="J180" s="1666" t="s">
        <v>7259</v>
      </c>
      <c r="K180" s="1613" t="s">
        <v>7307</v>
      </c>
      <c r="L180" s="1613">
        <v>80000</v>
      </c>
      <c r="M180" s="1613">
        <v>70000</v>
      </c>
      <c r="N180" s="1613">
        <v>2021.2</v>
      </c>
      <c r="O180" s="1613" t="s">
        <v>7308</v>
      </c>
      <c r="P180" s="1613" t="s">
        <v>7309</v>
      </c>
      <c r="Q180" s="1613">
        <v>18713342013</v>
      </c>
      <c r="R180" s="1613" t="s">
        <v>7310</v>
      </c>
      <c r="S180" s="1613" t="s">
        <v>7094</v>
      </c>
      <c r="T180" s="1628"/>
    </row>
    <row r="181" spans="1:20" s="766" customFormat="1" ht="24" customHeight="1">
      <c r="A181" s="1616" t="s">
        <v>7320</v>
      </c>
      <c r="B181" s="1613" t="s">
        <v>7321</v>
      </c>
      <c r="C181" s="1613" t="s">
        <v>7191</v>
      </c>
      <c r="D181" s="1613" t="s">
        <v>79</v>
      </c>
      <c r="E181" s="1287">
        <v>1</v>
      </c>
      <c r="F181" s="1613">
        <v>45</v>
      </c>
      <c r="G181" s="1613" t="s">
        <v>32</v>
      </c>
      <c r="H181" s="1613" t="s">
        <v>33</v>
      </c>
      <c r="I181" s="1641" t="s">
        <v>7267</v>
      </c>
      <c r="J181" s="1666" t="s">
        <v>7259</v>
      </c>
      <c r="K181" s="1613" t="s">
        <v>7307</v>
      </c>
      <c r="L181" s="1613">
        <v>1065000</v>
      </c>
      <c r="M181" s="1613">
        <v>450000</v>
      </c>
      <c r="N181" s="1613">
        <v>2021.2</v>
      </c>
      <c r="O181" s="1613" t="s">
        <v>7308</v>
      </c>
      <c r="P181" s="1613" t="s">
        <v>7309</v>
      </c>
      <c r="Q181" s="1613">
        <v>18713342015</v>
      </c>
      <c r="R181" s="1613" t="s">
        <v>7310</v>
      </c>
      <c r="S181" s="1613" t="s">
        <v>7094</v>
      </c>
      <c r="T181" s="1628"/>
    </row>
    <row r="182" spans="1:20" s="766" customFormat="1" ht="24" customHeight="1">
      <c r="A182" s="1616" t="s">
        <v>7322</v>
      </c>
      <c r="B182" s="1613" t="s">
        <v>7323</v>
      </c>
      <c r="C182" s="1613" t="s">
        <v>7191</v>
      </c>
      <c r="D182" s="1613" t="s">
        <v>79</v>
      </c>
      <c r="E182" s="1287">
        <v>1</v>
      </c>
      <c r="F182" s="1613">
        <v>45</v>
      </c>
      <c r="G182" s="1613" t="s">
        <v>32</v>
      </c>
      <c r="H182" s="1613" t="s">
        <v>33</v>
      </c>
      <c r="I182" s="1641" t="s">
        <v>7267</v>
      </c>
      <c r="J182" s="1666" t="s">
        <v>7259</v>
      </c>
      <c r="K182" s="1613" t="s">
        <v>7307</v>
      </c>
      <c r="L182" s="1613">
        <v>547500</v>
      </c>
      <c r="M182" s="1613">
        <v>450000</v>
      </c>
      <c r="N182" s="1613">
        <v>2021.2</v>
      </c>
      <c r="O182" s="1613" t="s">
        <v>7308</v>
      </c>
      <c r="P182" s="1613" t="s">
        <v>7309</v>
      </c>
      <c r="Q182" s="1613">
        <v>18713342014</v>
      </c>
      <c r="R182" s="1613" t="s">
        <v>7310</v>
      </c>
      <c r="S182" s="1613" t="s">
        <v>7094</v>
      </c>
      <c r="T182" s="1628"/>
    </row>
    <row r="183" spans="1:20" s="766" customFormat="1" ht="24" customHeight="1">
      <c r="A183" s="1616" t="s">
        <v>7324</v>
      </c>
      <c r="B183" s="1613" t="s">
        <v>7314</v>
      </c>
      <c r="C183" s="1613" t="s">
        <v>7191</v>
      </c>
      <c r="D183" s="1613" t="s">
        <v>79</v>
      </c>
      <c r="E183" s="1287">
        <v>1</v>
      </c>
      <c r="F183" s="1613">
        <v>8</v>
      </c>
      <c r="G183" s="1613" t="s">
        <v>32</v>
      </c>
      <c r="H183" s="1613" t="s">
        <v>33</v>
      </c>
      <c r="I183" s="1641" t="s">
        <v>7260</v>
      </c>
      <c r="J183" s="1666" t="s">
        <v>7259</v>
      </c>
      <c r="K183" s="1613" t="s">
        <v>7307</v>
      </c>
      <c r="L183" s="1613">
        <v>80000</v>
      </c>
      <c r="M183" s="1613">
        <v>40000</v>
      </c>
      <c r="N183" s="1613">
        <v>2020.12</v>
      </c>
      <c r="O183" s="1613" t="s">
        <v>7308</v>
      </c>
      <c r="P183" s="1613" t="s">
        <v>7309</v>
      </c>
      <c r="Q183" s="1613">
        <v>18713342010</v>
      </c>
      <c r="R183" s="1613" t="s">
        <v>7310</v>
      </c>
      <c r="S183" s="1613" t="s">
        <v>7094</v>
      </c>
      <c r="T183" s="1628"/>
    </row>
    <row r="184" spans="1:20" s="766" customFormat="1" ht="24" customHeight="1">
      <c r="A184" s="1616" t="s">
        <v>7325</v>
      </c>
      <c r="B184" s="1613" t="s">
        <v>7326</v>
      </c>
      <c r="C184" s="1613" t="s">
        <v>7191</v>
      </c>
      <c r="D184" s="1613" t="s">
        <v>79</v>
      </c>
      <c r="E184" s="1287">
        <v>1</v>
      </c>
      <c r="F184" s="1613">
        <v>6</v>
      </c>
      <c r="G184" s="1613" t="s">
        <v>32</v>
      </c>
      <c r="H184" s="1613" t="s">
        <v>33</v>
      </c>
      <c r="I184" s="1641" t="s">
        <v>7267</v>
      </c>
      <c r="J184" s="1666" t="s">
        <v>7259</v>
      </c>
      <c r="K184" s="1613" t="s">
        <v>7307</v>
      </c>
      <c r="L184" s="1613">
        <v>60000</v>
      </c>
      <c r="M184" s="1613">
        <v>35000</v>
      </c>
      <c r="N184" s="1613">
        <v>2021.2</v>
      </c>
      <c r="O184" s="1613" t="s">
        <v>7308</v>
      </c>
      <c r="P184" s="1613" t="s">
        <v>7309</v>
      </c>
      <c r="Q184" s="1613">
        <v>18713342016</v>
      </c>
      <c r="R184" s="1613" t="s">
        <v>7310</v>
      </c>
      <c r="S184" s="1613" t="s">
        <v>7094</v>
      </c>
      <c r="T184" s="1628"/>
    </row>
    <row r="185" spans="1:20" s="766" customFormat="1" ht="24" customHeight="1">
      <c r="A185" s="1616"/>
      <c r="B185" s="1641"/>
      <c r="C185" s="1641"/>
      <c r="D185" s="1613"/>
      <c r="E185" s="1287"/>
      <c r="F185" s="1613"/>
      <c r="G185" s="1613"/>
      <c r="H185" s="1286"/>
      <c r="I185" s="1613"/>
      <c r="J185" s="1666"/>
      <c r="K185" s="1613"/>
      <c r="L185" s="1613"/>
      <c r="M185" s="1666"/>
      <c r="N185" s="1613"/>
      <c r="O185" s="1613"/>
      <c r="P185" s="1613"/>
      <c r="Q185" s="1613"/>
      <c r="R185" s="1613"/>
      <c r="S185" s="1613"/>
      <c r="T185" s="1628"/>
    </row>
    <row r="186" spans="1:20" s="766" customFormat="1" ht="24" customHeight="1">
      <c r="A186" s="1616" t="s">
        <v>7327</v>
      </c>
      <c r="B186" s="1611" t="s">
        <v>7328</v>
      </c>
      <c r="C186" s="1611"/>
      <c r="D186" s="1611" t="s">
        <v>79</v>
      </c>
      <c r="E186" s="1613">
        <v>1</v>
      </c>
      <c r="F186" s="1613"/>
      <c r="G186" s="1637" t="s">
        <v>7201</v>
      </c>
      <c r="H186" s="1637" t="s">
        <v>41</v>
      </c>
      <c r="I186" s="1611"/>
      <c r="J186" s="1611"/>
      <c r="K186" s="1611" t="s">
        <v>7203</v>
      </c>
      <c r="L186" s="1649">
        <v>3666426.29</v>
      </c>
      <c r="M186" s="1651">
        <v>2296310.02</v>
      </c>
      <c r="N186" s="1613" t="s">
        <v>7203</v>
      </c>
      <c r="O186" s="1637" t="s">
        <v>7216</v>
      </c>
      <c r="P186" s="1611" t="s">
        <v>7217</v>
      </c>
      <c r="Q186" s="1613">
        <v>13603219995</v>
      </c>
      <c r="R186" s="1608" t="s">
        <v>7204</v>
      </c>
      <c r="S186" s="1611" t="s">
        <v>7094</v>
      </c>
      <c r="T186" s="1628"/>
    </row>
    <row r="187" spans="1:20" s="766" customFormat="1" ht="24" customHeight="1">
      <c r="A187" s="1616"/>
      <c r="B187" s="1664" t="s">
        <v>7285</v>
      </c>
      <c r="C187" s="1664" t="s">
        <v>7329</v>
      </c>
      <c r="D187" s="1637" t="s">
        <v>79</v>
      </c>
      <c r="E187" s="1610">
        <v>2</v>
      </c>
      <c r="F187" s="1610">
        <v>95</v>
      </c>
      <c r="G187" s="1637" t="s">
        <v>32</v>
      </c>
      <c r="H187" s="1608" t="s">
        <v>33</v>
      </c>
      <c r="I187" s="1637" t="s">
        <v>7330</v>
      </c>
      <c r="J187" s="1637" t="s">
        <v>7259</v>
      </c>
      <c r="K187" s="1668" t="s">
        <v>34</v>
      </c>
      <c r="L187" s="1669">
        <v>1380000</v>
      </c>
      <c r="M187" s="1626">
        <v>244247.788</v>
      </c>
      <c r="N187" s="1610">
        <v>2020.7</v>
      </c>
      <c r="O187" s="1637" t="s">
        <v>7220</v>
      </c>
      <c r="P187" s="1611" t="s">
        <v>3752</v>
      </c>
      <c r="Q187" s="1613">
        <v>17330072591</v>
      </c>
      <c r="R187" s="1611" t="s">
        <v>7233</v>
      </c>
      <c r="S187" s="1611" t="s">
        <v>7094</v>
      </c>
      <c r="T187" s="1628"/>
    </row>
    <row r="188" spans="1:20" s="766" customFormat="1" ht="24" customHeight="1">
      <c r="A188" s="1616" t="s">
        <v>7331</v>
      </c>
      <c r="B188" s="1664" t="s">
        <v>7276</v>
      </c>
      <c r="C188" s="1637" t="s">
        <v>7329</v>
      </c>
      <c r="D188" s="1637" t="s">
        <v>79</v>
      </c>
      <c r="E188" s="1610">
        <v>1</v>
      </c>
      <c r="F188" s="1610">
        <v>63</v>
      </c>
      <c r="G188" s="1637" t="s">
        <v>32</v>
      </c>
      <c r="H188" s="1608" t="s">
        <v>33</v>
      </c>
      <c r="I188" s="1637" t="s">
        <v>7330</v>
      </c>
      <c r="J188" s="1637" t="s">
        <v>7259</v>
      </c>
      <c r="K188" s="1668" t="s">
        <v>34</v>
      </c>
      <c r="L188" s="1669">
        <v>720000</v>
      </c>
      <c r="M188" s="1626">
        <v>127433.628</v>
      </c>
      <c r="N188" s="1610">
        <v>2020.7</v>
      </c>
      <c r="O188" s="1637" t="s">
        <v>7220</v>
      </c>
      <c r="P188" s="1611" t="s">
        <v>3752</v>
      </c>
      <c r="Q188" s="1613">
        <v>17330072592</v>
      </c>
      <c r="R188" s="1611" t="s">
        <v>7233</v>
      </c>
      <c r="S188" s="1611" t="s">
        <v>7094</v>
      </c>
      <c r="T188" s="1628"/>
    </row>
    <row r="189" spans="1:20" s="766" customFormat="1" ht="24" customHeight="1">
      <c r="A189" s="1616"/>
      <c r="B189" s="1664" t="s">
        <v>7283</v>
      </c>
      <c r="C189" s="1637" t="s">
        <v>7329</v>
      </c>
      <c r="D189" s="1637" t="s">
        <v>79</v>
      </c>
      <c r="E189" s="1610">
        <v>1</v>
      </c>
      <c r="F189" s="1610">
        <v>9</v>
      </c>
      <c r="G189" s="1637" t="s">
        <v>32</v>
      </c>
      <c r="H189" s="1608" t="s">
        <v>33</v>
      </c>
      <c r="I189" s="1637" t="s">
        <v>7330</v>
      </c>
      <c r="J189" s="1637" t="s">
        <v>7259</v>
      </c>
      <c r="K189" s="1668" t="s">
        <v>34</v>
      </c>
      <c r="L189" s="1669">
        <v>80000</v>
      </c>
      <c r="M189" s="1626">
        <v>14159.291999999999</v>
      </c>
      <c r="N189" s="1610">
        <v>2020.7</v>
      </c>
      <c r="O189" s="1637" t="s">
        <v>7220</v>
      </c>
      <c r="P189" s="1611" t="s">
        <v>3752</v>
      </c>
      <c r="Q189" s="1613">
        <v>17330072593</v>
      </c>
      <c r="R189" s="1611" t="s">
        <v>7233</v>
      </c>
      <c r="S189" s="1611" t="s">
        <v>7094</v>
      </c>
      <c r="T189" s="1628"/>
    </row>
    <row r="190" spans="1:20" s="766" customFormat="1" ht="24" customHeight="1">
      <c r="A190" s="1616" t="s">
        <v>7332</v>
      </c>
      <c r="B190" s="1664" t="s">
        <v>7333</v>
      </c>
      <c r="C190" s="1637" t="s">
        <v>7334</v>
      </c>
      <c r="D190" s="1637" t="s">
        <v>79</v>
      </c>
      <c r="E190" s="1610">
        <v>7</v>
      </c>
      <c r="F190" s="1610">
        <v>95</v>
      </c>
      <c r="G190" s="1637" t="s">
        <v>32</v>
      </c>
      <c r="H190" s="1608" t="s">
        <v>33</v>
      </c>
      <c r="I190" s="1637" t="s">
        <v>7334</v>
      </c>
      <c r="J190" s="1637" t="s">
        <v>7259</v>
      </c>
      <c r="K190" s="1668" t="s">
        <v>34</v>
      </c>
      <c r="L190" s="1669">
        <v>20000</v>
      </c>
      <c r="M190" s="1626">
        <v>3539.8240000000001</v>
      </c>
      <c r="N190" s="1610">
        <v>2020.8</v>
      </c>
      <c r="O190" s="1637" t="s">
        <v>7220</v>
      </c>
      <c r="P190" s="1611" t="s">
        <v>3752</v>
      </c>
      <c r="Q190" s="1613">
        <v>17330072594</v>
      </c>
      <c r="R190" s="1611" t="s">
        <v>7233</v>
      </c>
      <c r="S190" s="1611" t="s">
        <v>7094</v>
      </c>
      <c r="T190" s="1628"/>
    </row>
    <row r="191" spans="1:20" s="766" customFormat="1" ht="24" customHeight="1">
      <c r="A191" s="1616"/>
      <c r="B191" s="1664" t="s">
        <v>7335</v>
      </c>
      <c r="C191" s="1637" t="s">
        <v>7334</v>
      </c>
      <c r="D191" s="1637" t="s">
        <v>79</v>
      </c>
      <c r="E191" s="1610">
        <v>5</v>
      </c>
      <c r="F191" s="1610">
        <v>63</v>
      </c>
      <c r="G191" s="1637" t="s">
        <v>32</v>
      </c>
      <c r="H191" s="1608" t="s">
        <v>33</v>
      </c>
      <c r="I191" s="1637" t="s">
        <v>7334</v>
      </c>
      <c r="J191" s="1637" t="s">
        <v>7259</v>
      </c>
      <c r="K191" s="1668" t="s">
        <v>34</v>
      </c>
      <c r="L191" s="1669">
        <v>180000</v>
      </c>
      <c r="M191" s="1626">
        <v>130619.47</v>
      </c>
      <c r="N191" s="1610">
        <v>2020.8</v>
      </c>
      <c r="O191" s="1637" t="s">
        <v>7220</v>
      </c>
      <c r="P191" s="1611" t="s">
        <v>3752</v>
      </c>
      <c r="Q191" s="1613">
        <v>17330072595</v>
      </c>
      <c r="R191" s="1611" t="s">
        <v>7233</v>
      </c>
      <c r="S191" s="1611" t="s">
        <v>7094</v>
      </c>
      <c r="T191" s="1628"/>
    </row>
    <row r="192" spans="1:20" s="766" customFormat="1" ht="24" customHeight="1">
      <c r="A192" s="1616" t="s">
        <v>7336</v>
      </c>
      <c r="B192" s="1664" t="s">
        <v>7285</v>
      </c>
      <c r="C192" s="1664" t="s">
        <v>7260</v>
      </c>
      <c r="D192" s="1611" t="s">
        <v>79</v>
      </c>
      <c r="E192" s="1287">
        <v>2</v>
      </c>
      <c r="F192" s="1613">
        <v>60</v>
      </c>
      <c r="G192" s="1611" t="s">
        <v>32</v>
      </c>
      <c r="H192" s="1611" t="s">
        <v>33</v>
      </c>
      <c r="I192" s="1664" t="s">
        <v>7260</v>
      </c>
      <c r="J192" s="1637" t="s">
        <v>7259</v>
      </c>
      <c r="K192" s="1611" t="s">
        <v>7307</v>
      </c>
      <c r="L192" s="1670">
        <v>1420000</v>
      </c>
      <c r="M192" s="1624">
        <v>1256637.1599999999</v>
      </c>
      <c r="N192" s="1613">
        <v>2020.11</v>
      </c>
      <c r="O192" s="1616" t="s">
        <v>7337</v>
      </c>
      <c r="P192" s="1611" t="s">
        <v>7309</v>
      </c>
      <c r="Q192" s="1613">
        <v>18713342010</v>
      </c>
      <c r="R192" s="1611" t="s">
        <v>7310</v>
      </c>
      <c r="S192" s="1611" t="s">
        <v>7094</v>
      </c>
      <c r="T192" s="1628"/>
    </row>
    <row r="193" spans="1:20" s="766" customFormat="1" ht="24" customHeight="1">
      <c r="A193" s="1616"/>
      <c r="B193" s="1664" t="s">
        <v>7276</v>
      </c>
      <c r="C193" s="1664" t="s">
        <v>7260</v>
      </c>
      <c r="D193" s="1611" t="s">
        <v>79</v>
      </c>
      <c r="E193" s="1287">
        <v>1</v>
      </c>
      <c r="F193" s="1613">
        <v>60</v>
      </c>
      <c r="G193" s="1611" t="s">
        <v>32</v>
      </c>
      <c r="H193" s="1611" t="s">
        <v>33</v>
      </c>
      <c r="I193" s="1664" t="s">
        <v>7260</v>
      </c>
      <c r="J193" s="1637" t="s">
        <v>7259</v>
      </c>
      <c r="K193" s="1611" t="s">
        <v>7307</v>
      </c>
      <c r="L193" s="1670">
        <v>730000</v>
      </c>
      <c r="M193" s="1624">
        <v>70159.3</v>
      </c>
      <c r="N193" s="1613">
        <v>2020.11</v>
      </c>
      <c r="O193" s="1616" t="s">
        <v>7337</v>
      </c>
      <c r="P193" s="1611" t="s">
        <v>7309</v>
      </c>
      <c r="Q193" s="1613">
        <v>18713342010</v>
      </c>
      <c r="R193" s="1611" t="s">
        <v>7310</v>
      </c>
      <c r="S193" s="1611" t="s">
        <v>7094</v>
      </c>
      <c r="T193" s="1628"/>
    </row>
    <row r="194" spans="1:20" s="766" customFormat="1" ht="24" customHeight="1">
      <c r="A194" s="1616" t="s">
        <v>7338</v>
      </c>
      <c r="B194" s="1664" t="s">
        <v>7283</v>
      </c>
      <c r="C194" s="1664" t="s">
        <v>7260</v>
      </c>
      <c r="D194" s="1611" t="s">
        <v>79</v>
      </c>
      <c r="E194" s="1287">
        <v>1</v>
      </c>
      <c r="F194" s="1613">
        <v>8</v>
      </c>
      <c r="G194" s="1611" t="s">
        <v>32</v>
      </c>
      <c r="H194" s="1611" t="s">
        <v>33</v>
      </c>
      <c r="I194" s="1664" t="s">
        <v>7260</v>
      </c>
      <c r="J194" s="1637" t="s">
        <v>7259</v>
      </c>
      <c r="K194" s="1611" t="s">
        <v>7307</v>
      </c>
      <c r="L194" s="1670">
        <v>80000</v>
      </c>
      <c r="M194" s="1626">
        <v>640203.54</v>
      </c>
      <c r="N194" s="1613">
        <v>2020.11</v>
      </c>
      <c r="O194" s="1616" t="s">
        <v>7337</v>
      </c>
      <c r="P194" s="1611" t="s">
        <v>7309</v>
      </c>
      <c r="Q194" s="1613">
        <v>18713342010</v>
      </c>
      <c r="R194" s="1611" t="s">
        <v>7310</v>
      </c>
      <c r="S194" s="1611" t="s">
        <v>7094</v>
      </c>
      <c r="T194" s="1628"/>
    </row>
    <row r="195" spans="1:20" s="766" customFormat="1" ht="24" customHeight="1">
      <c r="A195" s="1616"/>
      <c r="B195" s="1611" t="s">
        <v>7285</v>
      </c>
      <c r="C195" s="1637" t="s">
        <v>7339</v>
      </c>
      <c r="D195" s="1611" t="s">
        <v>79</v>
      </c>
      <c r="E195" s="1613">
        <v>4</v>
      </c>
      <c r="F195" s="1613">
        <v>69.5</v>
      </c>
      <c r="G195" s="1611" t="s">
        <v>32</v>
      </c>
      <c r="H195" s="1611" t="s">
        <v>33</v>
      </c>
      <c r="I195" s="1611" t="s">
        <v>7252</v>
      </c>
      <c r="J195" s="1611" t="s">
        <v>7253</v>
      </c>
      <c r="K195" s="1611" t="s">
        <v>7253</v>
      </c>
      <c r="L195" s="1670">
        <v>1200000</v>
      </c>
      <c r="M195" s="1671">
        <v>1061946.8999999999</v>
      </c>
      <c r="N195" s="1613">
        <v>2020.1</v>
      </c>
      <c r="O195" s="1611" t="s">
        <v>7255</v>
      </c>
      <c r="P195" s="1611" t="s">
        <v>7256</v>
      </c>
      <c r="Q195" s="1613">
        <v>19933179135</v>
      </c>
      <c r="R195" s="1611" t="s">
        <v>7257</v>
      </c>
      <c r="S195" s="1611" t="s">
        <v>7094</v>
      </c>
      <c r="T195" s="1628"/>
    </row>
    <row r="196" spans="1:20" s="766" customFormat="1" ht="24" customHeight="1">
      <c r="A196" s="1616" t="s">
        <v>7340</v>
      </c>
      <c r="B196" s="1611" t="s">
        <v>7276</v>
      </c>
      <c r="C196" s="1637" t="s">
        <v>7341</v>
      </c>
      <c r="D196" s="1611" t="s">
        <v>79</v>
      </c>
      <c r="E196" s="1613">
        <v>2</v>
      </c>
      <c r="F196" s="1613">
        <v>57</v>
      </c>
      <c r="G196" s="1611" t="s">
        <v>32</v>
      </c>
      <c r="H196" s="1611" t="s">
        <v>33</v>
      </c>
      <c r="I196" s="1611" t="s">
        <v>7252</v>
      </c>
      <c r="J196" s="1611" t="s">
        <v>7253</v>
      </c>
      <c r="K196" s="1611" t="s">
        <v>7253</v>
      </c>
      <c r="L196" s="1670">
        <v>900000</v>
      </c>
      <c r="M196" s="1671">
        <v>796460.18</v>
      </c>
      <c r="N196" s="1613">
        <v>2020.1</v>
      </c>
      <c r="O196" s="1611" t="s">
        <v>7255</v>
      </c>
      <c r="P196" s="1611" t="s">
        <v>7256</v>
      </c>
      <c r="Q196" s="1613">
        <v>19933179135</v>
      </c>
      <c r="R196" s="1611" t="s">
        <v>7257</v>
      </c>
      <c r="S196" s="1611" t="s">
        <v>7094</v>
      </c>
      <c r="T196" s="1628"/>
    </row>
    <row r="197" spans="1:20" s="766" customFormat="1" ht="24" customHeight="1">
      <c r="A197" s="1616"/>
      <c r="B197" s="1611" t="s">
        <v>7328</v>
      </c>
      <c r="C197" s="1637" t="s">
        <v>7339</v>
      </c>
      <c r="D197" s="1611" t="s">
        <v>79</v>
      </c>
      <c r="E197" s="1613">
        <v>4</v>
      </c>
      <c r="F197" s="1613">
        <v>27.5</v>
      </c>
      <c r="G197" s="1611" t="s">
        <v>32</v>
      </c>
      <c r="H197" s="1611" t="s">
        <v>33</v>
      </c>
      <c r="I197" s="1611" t="s">
        <v>7252</v>
      </c>
      <c r="J197" s="1611" t="s">
        <v>7253</v>
      </c>
      <c r="K197" s="1611" t="s">
        <v>7253</v>
      </c>
      <c r="L197" s="1670">
        <v>760000</v>
      </c>
      <c r="M197" s="1671">
        <v>672566.37</v>
      </c>
      <c r="N197" s="1613">
        <v>2020.1</v>
      </c>
      <c r="O197" s="1611" t="s">
        <v>7255</v>
      </c>
      <c r="P197" s="1611" t="s">
        <v>7256</v>
      </c>
      <c r="Q197" s="1613">
        <v>19933179135</v>
      </c>
      <c r="R197" s="1611" t="s">
        <v>7257</v>
      </c>
      <c r="S197" s="1611" t="s">
        <v>7094</v>
      </c>
      <c r="T197" s="1628"/>
    </row>
    <row r="198" spans="1:20" s="766" customFormat="1" ht="24" customHeight="1">
      <c r="A198" s="1616" t="s">
        <v>7342</v>
      </c>
      <c r="B198" s="1611" t="s">
        <v>7283</v>
      </c>
      <c r="C198" s="1637" t="s">
        <v>7341</v>
      </c>
      <c r="D198" s="1611" t="s">
        <v>79</v>
      </c>
      <c r="E198" s="1613">
        <v>2</v>
      </c>
      <c r="F198" s="1613">
        <v>5</v>
      </c>
      <c r="G198" s="1611" t="s">
        <v>32</v>
      </c>
      <c r="H198" s="1611" t="s">
        <v>33</v>
      </c>
      <c r="I198" s="1611" t="s">
        <v>7252</v>
      </c>
      <c r="J198" s="1611" t="s">
        <v>7253</v>
      </c>
      <c r="K198" s="1611" t="s">
        <v>7253</v>
      </c>
      <c r="L198" s="1670">
        <v>100000</v>
      </c>
      <c r="M198" s="1671">
        <v>88495.58</v>
      </c>
      <c r="N198" s="1613">
        <v>2020.1</v>
      </c>
      <c r="O198" s="1611" t="s">
        <v>7255</v>
      </c>
      <c r="P198" s="1611" t="s">
        <v>7256</v>
      </c>
      <c r="Q198" s="1613">
        <v>19933179135</v>
      </c>
      <c r="R198" s="1611" t="s">
        <v>7257</v>
      </c>
      <c r="S198" s="1611" t="s">
        <v>7094</v>
      </c>
      <c r="T198" s="1628"/>
    </row>
    <row r="199" spans="1:20" s="766" customFormat="1" ht="24" customHeight="1">
      <c r="A199" s="1616"/>
      <c r="B199" s="1611" t="s">
        <v>7276</v>
      </c>
      <c r="C199" s="1637" t="s">
        <v>7343</v>
      </c>
      <c r="D199" s="1611" t="s">
        <v>79</v>
      </c>
      <c r="E199" s="1613">
        <v>1</v>
      </c>
      <c r="F199" s="1613">
        <v>57</v>
      </c>
      <c r="G199" s="1611" t="s">
        <v>32</v>
      </c>
      <c r="H199" s="1611" t="s">
        <v>33</v>
      </c>
      <c r="I199" s="1611" t="s">
        <v>7252</v>
      </c>
      <c r="J199" s="1611" t="s">
        <v>7253</v>
      </c>
      <c r="K199" s="1611" t="s">
        <v>7253</v>
      </c>
      <c r="L199" s="1670">
        <v>350000</v>
      </c>
      <c r="M199" s="1671">
        <v>309734.51</v>
      </c>
      <c r="N199" s="1613">
        <v>2020.1</v>
      </c>
      <c r="O199" s="1611" t="s">
        <v>7255</v>
      </c>
      <c r="P199" s="1611" t="s">
        <v>7256</v>
      </c>
      <c r="Q199" s="1613">
        <v>19933179135</v>
      </c>
      <c r="R199" s="1611" t="s">
        <v>7257</v>
      </c>
      <c r="S199" s="1611" t="s">
        <v>7094</v>
      </c>
      <c r="T199" s="1628"/>
    </row>
    <row r="200" spans="1:20" s="766" customFormat="1" ht="24" customHeight="1">
      <c r="A200" s="1616" t="s">
        <v>7344</v>
      </c>
      <c r="B200" s="1611" t="s">
        <v>7283</v>
      </c>
      <c r="C200" s="1637" t="s">
        <v>7345</v>
      </c>
      <c r="D200" s="1611" t="s">
        <v>79</v>
      </c>
      <c r="E200" s="1613">
        <v>1</v>
      </c>
      <c r="F200" s="1613">
        <v>9</v>
      </c>
      <c r="G200" s="1611" t="s">
        <v>32</v>
      </c>
      <c r="H200" s="1611" t="s">
        <v>33</v>
      </c>
      <c r="I200" s="1611" t="s">
        <v>7252</v>
      </c>
      <c r="J200" s="1611" t="s">
        <v>7253</v>
      </c>
      <c r="K200" s="1611" t="s">
        <v>7253</v>
      </c>
      <c r="L200" s="1670">
        <v>50000</v>
      </c>
      <c r="M200" s="1671">
        <v>44247.79</v>
      </c>
      <c r="N200" s="1613">
        <v>2020.1</v>
      </c>
      <c r="O200" s="1611" t="s">
        <v>7255</v>
      </c>
      <c r="P200" s="1611" t="s">
        <v>7256</v>
      </c>
      <c r="Q200" s="1613">
        <v>19933179135</v>
      </c>
      <c r="R200" s="1611" t="s">
        <v>7257</v>
      </c>
      <c r="S200" s="1611" t="s">
        <v>7094</v>
      </c>
      <c r="T200" s="1628"/>
    </row>
    <row r="201" spans="1:20" s="766" customFormat="1" ht="24" customHeight="1">
      <c r="A201" s="1616"/>
      <c r="B201" s="1611" t="s">
        <v>7276</v>
      </c>
      <c r="C201" s="1611" t="s">
        <v>7346</v>
      </c>
      <c r="D201" s="1611" t="s">
        <v>79</v>
      </c>
      <c r="E201" s="1613">
        <v>1</v>
      </c>
      <c r="F201" s="1613">
        <v>63</v>
      </c>
      <c r="G201" s="1611" t="s">
        <v>32</v>
      </c>
      <c r="H201" s="1611" t="s">
        <v>33</v>
      </c>
      <c r="I201" s="1611" t="s">
        <v>7258</v>
      </c>
      <c r="J201" s="1637" t="s">
        <v>7259</v>
      </c>
      <c r="K201" s="1637" t="s">
        <v>7259</v>
      </c>
      <c r="L201" s="1670">
        <v>720000</v>
      </c>
      <c r="M201" s="1671">
        <v>637168.14</v>
      </c>
      <c r="N201" s="1613" t="s">
        <v>3939</v>
      </c>
      <c r="O201" s="1611" t="s">
        <v>7255</v>
      </c>
      <c r="P201" s="1611" t="s">
        <v>7256</v>
      </c>
      <c r="Q201" s="1613">
        <v>19933179135</v>
      </c>
      <c r="R201" s="1611" t="s">
        <v>7257</v>
      </c>
      <c r="S201" s="1611" t="s">
        <v>7094</v>
      </c>
      <c r="T201" s="1628"/>
    </row>
    <row r="202" spans="1:20" s="766" customFormat="1" ht="24" customHeight="1">
      <c r="A202" s="1616" t="s">
        <v>7347</v>
      </c>
      <c r="B202" s="1611" t="s">
        <v>7285</v>
      </c>
      <c r="C202" s="1611" t="s">
        <v>7346</v>
      </c>
      <c r="D202" s="1611" t="s">
        <v>79</v>
      </c>
      <c r="E202" s="1613">
        <v>2</v>
      </c>
      <c r="F202" s="1613">
        <v>95</v>
      </c>
      <c r="G202" s="1611" t="s">
        <v>32</v>
      </c>
      <c r="H202" s="1611" t="s">
        <v>33</v>
      </c>
      <c r="I202" s="1611" t="s">
        <v>7258</v>
      </c>
      <c r="J202" s="1637" t="s">
        <v>7259</v>
      </c>
      <c r="K202" s="1637" t="s">
        <v>7259</v>
      </c>
      <c r="L202" s="1670">
        <v>1380000</v>
      </c>
      <c r="M202" s="1671">
        <f>610619.47*2</f>
        <v>1221238.94</v>
      </c>
      <c r="N202" s="1613" t="s">
        <v>3939</v>
      </c>
      <c r="O202" s="1611" t="s">
        <v>7255</v>
      </c>
      <c r="P202" s="1611" t="s">
        <v>7256</v>
      </c>
      <c r="Q202" s="1613">
        <v>19933179135</v>
      </c>
      <c r="R202" s="1611" t="s">
        <v>7257</v>
      </c>
      <c r="S202" s="1611" t="s">
        <v>7094</v>
      </c>
      <c r="T202" s="1628"/>
    </row>
    <row r="203" spans="1:20" s="766" customFormat="1" ht="24" customHeight="1">
      <c r="A203" s="1616"/>
      <c r="B203" s="1611" t="s">
        <v>7283</v>
      </c>
      <c r="C203" s="1611" t="s">
        <v>7346</v>
      </c>
      <c r="D203" s="1611" t="s">
        <v>79</v>
      </c>
      <c r="E203" s="1613">
        <v>2</v>
      </c>
      <c r="F203" s="1613">
        <v>9</v>
      </c>
      <c r="G203" s="1611" t="s">
        <v>32</v>
      </c>
      <c r="H203" s="1611" t="s">
        <v>33</v>
      </c>
      <c r="I203" s="1611" t="s">
        <v>7258</v>
      </c>
      <c r="J203" s="1637" t="s">
        <v>7259</v>
      </c>
      <c r="K203" s="1637" t="s">
        <v>7259</v>
      </c>
      <c r="L203" s="1670">
        <f t="shared" ref="L203:L208" si="4">M203*1.13</f>
        <v>159999.99960000001</v>
      </c>
      <c r="M203" s="1671">
        <f>70796.46*2</f>
        <v>141592.92000000001</v>
      </c>
      <c r="N203" s="1613" t="s">
        <v>3939</v>
      </c>
      <c r="O203" s="1611" t="s">
        <v>7255</v>
      </c>
      <c r="P203" s="1611" t="s">
        <v>7256</v>
      </c>
      <c r="Q203" s="1613">
        <v>19933179135</v>
      </c>
      <c r="R203" s="1611" t="s">
        <v>7257</v>
      </c>
      <c r="S203" s="1611" t="s">
        <v>7094</v>
      </c>
      <c r="T203" s="1628"/>
    </row>
    <row r="204" spans="1:20" s="766" customFormat="1" ht="24" customHeight="1">
      <c r="A204" s="1616" t="s">
        <v>7348</v>
      </c>
      <c r="B204" s="1637" t="s">
        <v>7283</v>
      </c>
      <c r="C204" s="1637" t="s">
        <v>7349</v>
      </c>
      <c r="D204" s="1637" t="s">
        <v>79</v>
      </c>
      <c r="E204" s="1610">
        <v>2</v>
      </c>
      <c r="F204" s="1610">
        <v>10</v>
      </c>
      <c r="G204" s="1611" t="s">
        <v>32</v>
      </c>
      <c r="H204" s="1611" t="s">
        <v>33</v>
      </c>
      <c r="I204" s="1637" t="s">
        <v>7261</v>
      </c>
      <c r="J204" s="1666" t="s">
        <v>901</v>
      </c>
      <c r="K204" s="1637" t="s">
        <v>7350</v>
      </c>
      <c r="L204" s="1668">
        <f t="shared" si="4"/>
        <v>69999.996999999988</v>
      </c>
      <c r="M204" s="1672">
        <v>61946.9</v>
      </c>
      <c r="N204" s="1610">
        <v>2021.4</v>
      </c>
      <c r="O204" s="1637" t="s">
        <v>7351</v>
      </c>
      <c r="P204" s="1637" t="s">
        <v>7263</v>
      </c>
      <c r="Q204" s="1610">
        <v>13934576150</v>
      </c>
      <c r="R204" s="1637" t="s">
        <v>7352</v>
      </c>
      <c r="S204" s="1611" t="s">
        <v>7094</v>
      </c>
      <c r="T204" s="1628"/>
    </row>
    <row r="205" spans="1:20" s="766" customFormat="1" ht="24" customHeight="1">
      <c r="A205" s="1616"/>
      <c r="B205" s="1637" t="s">
        <v>7285</v>
      </c>
      <c r="C205" s="1637" t="s">
        <v>7349</v>
      </c>
      <c r="D205" s="1637" t="s">
        <v>79</v>
      </c>
      <c r="E205" s="1610">
        <v>5</v>
      </c>
      <c r="F205" s="1610">
        <v>90</v>
      </c>
      <c r="G205" s="1611" t="s">
        <v>32</v>
      </c>
      <c r="H205" s="1611" t="s">
        <v>33</v>
      </c>
      <c r="I205" s="1637" t="s">
        <v>7261</v>
      </c>
      <c r="J205" s="1666" t="s">
        <v>901</v>
      </c>
      <c r="K205" s="1637" t="s">
        <v>7350</v>
      </c>
      <c r="L205" s="1668">
        <f t="shared" si="4"/>
        <v>2699999.9988999995</v>
      </c>
      <c r="M205" s="1672">
        <v>2389380.5299999998</v>
      </c>
      <c r="N205" s="1610">
        <v>2021.4</v>
      </c>
      <c r="O205" s="1637" t="s">
        <v>7351</v>
      </c>
      <c r="P205" s="1637" t="s">
        <v>7263</v>
      </c>
      <c r="Q205" s="1610">
        <v>13934576150</v>
      </c>
      <c r="R205" s="1637" t="s">
        <v>7352</v>
      </c>
      <c r="S205" s="1611" t="s">
        <v>7094</v>
      </c>
      <c r="T205" s="1628"/>
    </row>
    <row r="206" spans="1:20" s="766" customFormat="1" ht="24" customHeight="1">
      <c r="A206" s="1616" t="s">
        <v>7353</v>
      </c>
      <c r="B206" s="1637" t="s">
        <v>7276</v>
      </c>
      <c r="C206" s="1637" t="s">
        <v>7349</v>
      </c>
      <c r="D206" s="1637" t="s">
        <v>79</v>
      </c>
      <c r="E206" s="1610">
        <v>2</v>
      </c>
      <c r="F206" s="1610">
        <v>60</v>
      </c>
      <c r="G206" s="1611" t="s">
        <v>32</v>
      </c>
      <c r="H206" s="1611" t="s">
        <v>33</v>
      </c>
      <c r="I206" s="1637" t="s">
        <v>7261</v>
      </c>
      <c r="J206" s="1666" t="s">
        <v>901</v>
      </c>
      <c r="K206" s="1637" t="s">
        <v>7350</v>
      </c>
      <c r="L206" s="1668">
        <f t="shared" si="4"/>
        <v>1109999.9944</v>
      </c>
      <c r="M206" s="1672">
        <v>982300.88</v>
      </c>
      <c r="N206" s="1610">
        <v>2021.4</v>
      </c>
      <c r="O206" s="1637" t="s">
        <v>7351</v>
      </c>
      <c r="P206" s="1637" t="s">
        <v>7263</v>
      </c>
      <c r="Q206" s="1610">
        <v>13934576150</v>
      </c>
      <c r="R206" s="1637" t="s">
        <v>7352</v>
      </c>
      <c r="S206" s="1611" t="s">
        <v>7094</v>
      </c>
      <c r="T206" s="1628"/>
    </row>
    <row r="207" spans="1:20" s="766" customFormat="1" ht="24" customHeight="1">
      <c r="A207" s="1616"/>
      <c r="B207" s="1637" t="s">
        <v>7276</v>
      </c>
      <c r="C207" s="1637" t="s">
        <v>7354</v>
      </c>
      <c r="D207" s="1637" t="s">
        <v>79</v>
      </c>
      <c r="E207" s="1610">
        <v>1</v>
      </c>
      <c r="F207" s="1610">
        <v>60</v>
      </c>
      <c r="G207" s="1611" t="s">
        <v>32</v>
      </c>
      <c r="H207" s="1611" t="s">
        <v>33</v>
      </c>
      <c r="I207" s="1637" t="s">
        <v>7261</v>
      </c>
      <c r="J207" s="1666" t="s">
        <v>901</v>
      </c>
      <c r="K207" s="1637" t="s">
        <v>7350</v>
      </c>
      <c r="L207" s="1668">
        <f t="shared" si="4"/>
        <v>450000.00169999996</v>
      </c>
      <c r="M207" s="1672">
        <v>398230.09</v>
      </c>
      <c r="N207" s="1610">
        <v>2021.4</v>
      </c>
      <c r="O207" s="1637" t="s">
        <v>7351</v>
      </c>
      <c r="P207" s="1637" t="s">
        <v>7263</v>
      </c>
      <c r="Q207" s="1610">
        <v>13934576150</v>
      </c>
      <c r="R207" s="1637" t="s">
        <v>7352</v>
      </c>
      <c r="S207" s="1611" t="s">
        <v>7094</v>
      </c>
      <c r="T207" s="1628"/>
    </row>
    <row r="208" spans="1:20" s="766" customFormat="1" ht="24" customHeight="1">
      <c r="A208" s="1616" t="s">
        <v>7355</v>
      </c>
      <c r="B208" s="1637" t="s">
        <v>7283</v>
      </c>
      <c r="C208" s="1637" t="s">
        <v>7354</v>
      </c>
      <c r="D208" s="1637" t="s">
        <v>79</v>
      </c>
      <c r="E208" s="1610">
        <v>1</v>
      </c>
      <c r="F208" s="1610">
        <v>60</v>
      </c>
      <c r="G208" s="1611" t="s">
        <v>32</v>
      </c>
      <c r="H208" s="1611" t="s">
        <v>33</v>
      </c>
      <c r="I208" s="1637" t="s">
        <v>7261</v>
      </c>
      <c r="J208" s="1666" t="s">
        <v>901</v>
      </c>
      <c r="K208" s="1637" t="s">
        <v>7350</v>
      </c>
      <c r="L208" s="1668">
        <f t="shared" si="4"/>
        <v>34999.998499999994</v>
      </c>
      <c r="M208" s="1672">
        <v>30973.45</v>
      </c>
      <c r="N208" s="1610">
        <v>2021.4</v>
      </c>
      <c r="O208" s="1637" t="s">
        <v>7351</v>
      </c>
      <c r="P208" s="1637" t="s">
        <v>7263</v>
      </c>
      <c r="Q208" s="1610">
        <v>13934576150</v>
      </c>
      <c r="R208" s="1637" t="s">
        <v>7352</v>
      </c>
      <c r="S208" s="1611" t="s">
        <v>7094</v>
      </c>
      <c r="T208" s="1628"/>
    </row>
    <row r="209" spans="1:20" s="766" customFormat="1" ht="24" customHeight="1">
      <c r="A209" s="1616"/>
      <c r="B209" s="1637" t="s">
        <v>7283</v>
      </c>
      <c r="C209" s="1637" t="s">
        <v>7356</v>
      </c>
      <c r="D209" s="1637" t="s">
        <v>79</v>
      </c>
      <c r="E209" s="1610">
        <v>2</v>
      </c>
      <c r="F209" s="1610">
        <v>9</v>
      </c>
      <c r="G209" s="1611" t="s">
        <v>32</v>
      </c>
      <c r="H209" s="1611" t="s">
        <v>33</v>
      </c>
      <c r="I209" s="1637" t="s">
        <v>7261</v>
      </c>
      <c r="J209" s="1637" t="s">
        <v>7259</v>
      </c>
      <c r="K209" s="1637" t="s">
        <v>7259</v>
      </c>
      <c r="L209" s="1668">
        <v>170000</v>
      </c>
      <c r="M209" s="1672">
        <f t="shared" ref="M209:M212" si="5">L209/1.13</f>
        <v>150442.47787610622</v>
      </c>
      <c r="N209" s="1610">
        <v>2021.5</v>
      </c>
      <c r="O209" s="1637" t="s">
        <v>7351</v>
      </c>
      <c r="P209" s="1637" t="s">
        <v>7263</v>
      </c>
      <c r="Q209" s="1610">
        <v>13934576150</v>
      </c>
      <c r="R209" s="1637" t="s">
        <v>7352</v>
      </c>
      <c r="S209" s="1611" t="s">
        <v>7094</v>
      </c>
      <c r="T209" s="1628"/>
    </row>
    <row r="210" spans="1:20" s="766" customFormat="1" ht="24" customHeight="1">
      <c r="A210" s="1616" t="s">
        <v>7357</v>
      </c>
      <c r="B210" s="1637" t="s">
        <v>7328</v>
      </c>
      <c r="C210" s="1637" t="s">
        <v>7356</v>
      </c>
      <c r="D210" s="1637" t="s">
        <v>79</v>
      </c>
      <c r="E210" s="1610">
        <v>2</v>
      </c>
      <c r="F210" s="1610">
        <v>10</v>
      </c>
      <c r="G210" s="1611" t="s">
        <v>32</v>
      </c>
      <c r="H210" s="1611" t="s">
        <v>33</v>
      </c>
      <c r="I210" s="1637" t="s">
        <v>7261</v>
      </c>
      <c r="J210" s="1637" t="s">
        <v>7259</v>
      </c>
      <c r="K210" s="1637" t="s">
        <v>7259</v>
      </c>
      <c r="L210" s="1668">
        <v>420000</v>
      </c>
      <c r="M210" s="1672">
        <f t="shared" si="5"/>
        <v>371681.41592920356</v>
      </c>
      <c r="N210" s="1610">
        <v>2021.5</v>
      </c>
      <c r="O210" s="1637" t="s">
        <v>7351</v>
      </c>
      <c r="P210" s="1637" t="s">
        <v>7263</v>
      </c>
      <c r="Q210" s="1610">
        <v>13934576150</v>
      </c>
      <c r="R210" s="1637" t="s">
        <v>7352</v>
      </c>
      <c r="S210" s="1611" t="s">
        <v>7094</v>
      </c>
      <c r="T210" s="1628"/>
    </row>
    <row r="211" spans="1:20" s="766" customFormat="1" ht="24" customHeight="1">
      <c r="A211" s="1616"/>
      <c r="B211" s="1664" t="s">
        <v>7358</v>
      </c>
      <c r="C211" s="1637" t="s">
        <v>7356</v>
      </c>
      <c r="D211" s="1637" t="s">
        <v>79</v>
      </c>
      <c r="E211" s="1610">
        <v>2</v>
      </c>
      <c r="F211" s="1610">
        <v>48.5</v>
      </c>
      <c r="G211" s="1611" t="s">
        <v>32</v>
      </c>
      <c r="H211" s="1611" t="s">
        <v>33</v>
      </c>
      <c r="I211" s="1637" t="s">
        <v>7261</v>
      </c>
      <c r="J211" s="1637" t="s">
        <v>7259</v>
      </c>
      <c r="K211" s="1637" t="s">
        <v>7259</v>
      </c>
      <c r="L211" s="1668">
        <v>1160000</v>
      </c>
      <c r="M211" s="1672">
        <f t="shared" si="5"/>
        <v>1026548.6725663717</v>
      </c>
      <c r="N211" s="1610">
        <v>2021.5</v>
      </c>
      <c r="O211" s="1637" t="s">
        <v>7351</v>
      </c>
      <c r="P211" s="1637" t="s">
        <v>7263</v>
      </c>
      <c r="Q211" s="1610">
        <v>13934576150</v>
      </c>
      <c r="R211" s="1637" t="s">
        <v>7352</v>
      </c>
      <c r="S211" s="1611" t="s">
        <v>7094</v>
      </c>
      <c r="T211" s="1628"/>
    </row>
    <row r="212" spans="1:20" s="766" customFormat="1" ht="24" customHeight="1">
      <c r="A212" s="1616" t="s">
        <v>7359</v>
      </c>
      <c r="B212" s="1664" t="s">
        <v>7276</v>
      </c>
      <c r="C212" s="1637" t="s">
        <v>7356</v>
      </c>
      <c r="D212" s="1637" t="s">
        <v>79</v>
      </c>
      <c r="E212" s="1610">
        <v>1</v>
      </c>
      <c r="F212" s="1610">
        <v>60</v>
      </c>
      <c r="G212" s="1611" t="s">
        <v>32</v>
      </c>
      <c r="H212" s="1611" t="s">
        <v>33</v>
      </c>
      <c r="I212" s="1637" t="s">
        <v>7261</v>
      </c>
      <c r="J212" s="1637" t="s">
        <v>7259</v>
      </c>
      <c r="K212" s="1637" t="s">
        <v>7259</v>
      </c>
      <c r="L212" s="1668">
        <v>785000</v>
      </c>
      <c r="M212" s="1672">
        <f t="shared" si="5"/>
        <v>694690.26548672572</v>
      </c>
      <c r="N212" s="1610">
        <v>2021.5</v>
      </c>
      <c r="O212" s="1637" t="s">
        <v>7351</v>
      </c>
      <c r="P212" s="1637" t="s">
        <v>7263</v>
      </c>
      <c r="Q212" s="1610">
        <v>13934576150</v>
      </c>
      <c r="R212" s="1637" t="s">
        <v>7352</v>
      </c>
      <c r="S212" s="1611" t="s">
        <v>7094</v>
      </c>
      <c r="T212" s="1628"/>
    </row>
    <row r="213" spans="1:20" s="766" customFormat="1" ht="24" customHeight="1">
      <c r="A213" s="1616"/>
      <c r="B213" s="1637" t="s">
        <v>7333</v>
      </c>
      <c r="C213" s="1637" t="s">
        <v>7360</v>
      </c>
      <c r="D213" s="1637" t="s">
        <v>79</v>
      </c>
      <c r="E213" s="1610">
        <v>1</v>
      </c>
      <c r="F213" s="1610"/>
      <c r="G213" s="1611" t="s">
        <v>33</v>
      </c>
      <c r="H213" s="1611"/>
      <c r="I213" s="613"/>
      <c r="J213" s="1637" t="s">
        <v>7259</v>
      </c>
      <c r="K213" s="1637" t="s">
        <v>7259</v>
      </c>
      <c r="L213" s="1668">
        <f t="shared" ref="L213:L216" si="6">M213*1.13</f>
        <v>19819.996599999999</v>
      </c>
      <c r="M213" s="1668">
        <v>17539.82</v>
      </c>
      <c r="N213" s="1610">
        <v>2020.7</v>
      </c>
      <c r="O213" s="1616" t="s">
        <v>7337</v>
      </c>
      <c r="P213" s="1637" t="s">
        <v>7309</v>
      </c>
      <c r="Q213" s="1610">
        <v>18713342010</v>
      </c>
      <c r="R213" s="1616" t="s">
        <v>7361</v>
      </c>
      <c r="S213" s="1611" t="s">
        <v>7094</v>
      </c>
      <c r="T213" s="1628"/>
    </row>
    <row r="214" spans="1:20" s="766" customFormat="1" ht="24" customHeight="1">
      <c r="A214" s="1616" t="s">
        <v>7362</v>
      </c>
      <c r="B214" s="1637" t="s">
        <v>7335</v>
      </c>
      <c r="C214" s="1637" t="s">
        <v>7360</v>
      </c>
      <c r="D214" s="1637" t="s">
        <v>79</v>
      </c>
      <c r="E214" s="1610">
        <v>1</v>
      </c>
      <c r="F214" s="1610"/>
      <c r="G214" s="1611" t="s">
        <v>33</v>
      </c>
      <c r="H214" s="1611"/>
      <c r="I214" s="613"/>
      <c r="J214" s="1637" t="s">
        <v>7259</v>
      </c>
      <c r="K214" s="1637" t="s">
        <v>7259</v>
      </c>
      <c r="L214" s="1668">
        <f t="shared" si="6"/>
        <v>178380.00329999998</v>
      </c>
      <c r="M214" s="1668">
        <v>157858.41</v>
      </c>
      <c r="N214" s="1610">
        <v>2020.7</v>
      </c>
      <c r="O214" s="1616" t="s">
        <v>7337</v>
      </c>
      <c r="P214" s="1637" t="s">
        <v>7309</v>
      </c>
      <c r="Q214" s="1610">
        <v>18713342010</v>
      </c>
      <c r="R214" s="1616" t="s">
        <v>7361</v>
      </c>
      <c r="S214" s="1611" t="s">
        <v>7094</v>
      </c>
      <c r="T214" s="1628"/>
    </row>
    <row r="215" spans="1:20" s="766" customFormat="1" ht="24" customHeight="1">
      <c r="A215" s="1616"/>
      <c r="B215" s="1637" t="s">
        <v>7150</v>
      </c>
      <c r="C215" s="1637" t="s">
        <v>7363</v>
      </c>
      <c r="D215" s="1637" t="s">
        <v>62</v>
      </c>
      <c r="E215" s="1610">
        <v>1</v>
      </c>
      <c r="F215" s="1610">
        <v>68.22</v>
      </c>
      <c r="G215" s="1611" t="s">
        <v>32</v>
      </c>
      <c r="H215" s="1611" t="s">
        <v>33</v>
      </c>
      <c r="I215" s="1637" t="s">
        <v>7364</v>
      </c>
      <c r="J215" s="1637" t="s">
        <v>7365</v>
      </c>
      <c r="K215" s="1637"/>
      <c r="L215" s="1668">
        <f t="shared" si="6"/>
        <v>560831.995</v>
      </c>
      <c r="M215" s="1672">
        <v>496311.5</v>
      </c>
      <c r="N215" s="1610">
        <v>2021.4</v>
      </c>
      <c r="O215" s="1637" t="s">
        <v>7220</v>
      </c>
      <c r="P215" s="1611" t="s">
        <v>3752</v>
      </c>
      <c r="Q215" s="1613">
        <v>17330072595</v>
      </c>
      <c r="R215" s="1611" t="s">
        <v>7233</v>
      </c>
      <c r="S215" s="1611" t="s">
        <v>7094</v>
      </c>
      <c r="T215" s="1628"/>
    </row>
    <row r="216" spans="1:20" s="766" customFormat="1" ht="24" customHeight="1">
      <c r="A216" s="1616" t="s">
        <v>7366</v>
      </c>
      <c r="B216" s="1637" t="s">
        <v>7150</v>
      </c>
      <c r="C216" s="1637" t="s">
        <v>7363</v>
      </c>
      <c r="D216" s="1637" t="s">
        <v>62</v>
      </c>
      <c r="E216" s="1610">
        <v>1</v>
      </c>
      <c r="F216" s="1610">
        <v>20.28</v>
      </c>
      <c r="G216" s="1611" t="s">
        <v>32</v>
      </c>
      <c r="H216" s="1611" t="s">
        <v>33</v>
      </c>
      <c r="I216" s="1637" t="s">
        <v>7364</v>
      </c>
      <c r="J216" s="1637" t="s">
        <v>7365</v>
      </c>
      <c r="K216" s="1637"/>
      <c r="L216" s="1668">
        <f t="shared" si="6"/>
        <v>49818.0049</v>
      </c>
      <c r="M216" s="1672">
        <v>44086.73</v>
      </c>
      <c r="N216" s="1610">
        <v>2021.4</v>
      </c>
      <c r="O216" s="1637" t="s">
        <v>7220</v>
      </c>
      <c r="P216" s="1611" t="s">
        <v>3752</v>
      </c>
      <c r="Q216" s="1613">
        <v>17330072595</v>
      </c>
      <c r="R216" s="1611" t="s">
        <v>7233</v>
      </c>
      <c r="S216" s="1611" t="s">
        <v>7094</v>
      </c>
      <c r="T216" s="1628"/>
    </row>
    <row r="217" spans="1:20" ht="24" customHeight="1">
      <c r="A217" s="1616"/>
      <c r="B217" s="1611"/>
      <c r="C217" s="1613"/>
      <c r="D217" s="1611"/>
      <c r="E217" s="1613"/>
      <c r="F217" s="1613"/>
      <c r="G217" s="1611"/>
      <c r="H217" s="1611"/>
      <c r="I217" s="1611"/>
      <c r="J217" s="1611"/>
      <c r="K217" s="1611"/>
      <c r="L217" s="1613"/>
      <c r="M217" s="1613"/>
      <c r="N217" s="1613"/>
      <c r="O217" s="1613"/>
      <c r="P217" s="1613"/>
      <c r="Q217" s="1613"/>
      <c r="R217" s="1611"/>
      <c r="S217" s="1611"/>
      <c r="T217" s="1612"/>
    </row>
    <row r="218" spans="1:20" ht="24" customHeight="1">
      <c r="A218" s="1605"/>
      <c r="B218" s="1673"/>
      <c r="C218" s="1654"/>
      <c r="D218" s="1673"/>
      <c r="E218" s="1654"/>
      <c r="F218" s="1286"/>
      <c r="G218" s="1611"/>
      <c r="H218" s="1611"/>
      <c r="I218" s="1607"/>
      <c r="J218" s="1608"/>
      <c r="K218" s="1673"/>
      <c r="L218" s="1654"/>
      <c r="M218" s="1654"/>
      <c r="N218" s="1654"/>
      <c r="O218" s="1286"/>
      <c r="P218" s="1287"/>
      <c r="Q218" s="1286"/>
      <c r="R218" s="1608"/>
      <c r="S218" s="1611"/>
      <c r="T218" s="1612"/>
    </row>
    <row r="219" spans="1:20" ht="24" customHeight="1">
      <c r="A219" s="1605">
        <v>4</v>
      </c>
      <c r="B219" s="1608" t="s">
        <v>353</v>
      </c>
      <c r="C219" s="1286"/>
      <c r="D219" s="1607"/>
      <c r="E219" s="1286"/>
      <c r="F219" s="1286"/>
      <c r="G219" s="1608"/>
      <c r="H219" s="1608"/>
      <c r="I219" s="1607"/>
      <c r="J219" s="1608"/>
      <c r="K219" s="1608"/>
      <c r="L219" s="1286"/>
      <c r="M219" s="1610"/>
      <c r="N219" s="1286"/>
      <c r="O219" s="1286"/>
      <c r="P219" s="1287"/>
      <c r="Q219" s="1286"/>
      <c r="R219" s="1608"/>
      <c r="S219" s="1611"/>
      <c r="T219" s="1612"/>
    </row>
    <row r="220" spans="1:20" ht="24" customHeight="1">
      <c r="A220" s="1605"/>
      <c r="B220" s="1608" t="s">
        <v>3717</v>
      </c>
      <c r="C220" s="1286"/>
      <c r="D220" s="1607"/>
      <c r="E220" s="1286"/>
      <c r="F220" s="1286"/>
      <c r="G220" s="1608"/>
      <c r="H220" s="1608"/>
      <c r="I220" s="1607"/>
      <c r="J220" s="1608"/>
      <c r="K220" s="1608"/>
      <c r="L220" s="1286"/>
      <c r="M220" s="1610"/>
      <c r="N220" s="1286"/>
      <c r="O220" s="1286"/>
      <c r="P220" s="1287"/>
      <c r="Q220" s="1286"/>
      <c r="R220" s="1608"/>
      <c r="S220" s="1611"/>
      <c r="T220" s="1612"/>
    </row>
    <row r="221" spans="1:20" ht="24" customHeight="1">
      <c r="A221" s="1605">
        <v>5</v>
      </c>
      <c r="B221" s="1608" t="s">
        <v>510</v>
      </c>
      <c r="C221" s="1286"/>
      <c r="D221" s="1607"/>
      <c r="E221" s="1286"/>
      <c r="F221" s="1286"/>
      <c r="G221" s="1608"/>
      <c r="H221" s="1608"/>
      <c r="I221" s="1607"/>
      <c r="J221" s="1608"/>
      <c r="K221" s="1608"/>
      <c r="L221" s="1286"/>
      <c r="M221" s="1610"/>
      <c r="N221" s="1286"/>
      <c r="O221" s="1286"/>
      <c r="P221" s="1287"/>
      <c r="Q221" s="1286"/>
      <c r="R221" s="1608"/>
      <c r="S221" s="1611"/>
      <c r="T221" s="1612"/>
    </row>
    <row r="222" spans="1:20" ht="24" customHeight="1">
      <c r="A222" s="1605" t="s">
        <v>2516</v>
      </c>
      <c r="B222" s="1674" t="s">
        <v>7367</v>
      </c>
      <c r="C222" s="1637" t="s">
        <v>7368</v>
      </c>
      <c r="D222" s="1637" t="s">
        <v>79</v>
      </c>
      <c r="E222" s="1610">
        <v>4</v>
      </c>
      <c r="F222" s="1627"/>
      <c r="G222" s="1675" t="s">
        <v>32</v>
      </c>
      <c r="H222" s="1676" t="s">
        <v>41</v>
      </c>
      <c r="I222" s="1675"/>
      <c r="J222" s="1637"/>
      <c r="K222" s="1675"/>
      <c r="L222" s="1677">
        <v>248000</v>
      </c>
      <c r="M222" s="1678">
        <v>49600</v>
      </c>
      <c r="N222" s="1610">
        <v>2015.4</v>
      </c>
      <c r="O222" s="1637" t="s">
        <v>7369</v>
      </c>
      <c r="P222" s="1637" t="s">
        <v>7217</v>
      </c>
      <c r="Q222" s="1610">
        <v>13603219995</v>
      </c>
      <c r="R222" s="1637" t="s">
        <v>7204</v>
      </c>
      <c r="S222" s="1611" t="s">
        <v>7094</v>
      </c>
      <c r="T222" s="1612"/>
    </row>
    <row r="223" spans="1:20" ht="24" customHeight="1">
      <c r="A223" s="1605" t="s">
        <v>2522</v>
      </c>
      <c r="B223" s="1674" t="s">
        <v>7370</v>
      </c>
      <c r="C223" s="1637"/>
      <c r="D223" s="1637" t="s">
        <v>79</v>
      </c>
      <c r="E223" s="1610">
        <v>6</v>
      </c>
      <c r="F223" s="1627"/>
      <c r="G223" s="1675" t="s">
        <v>32</v>
      </c>
      <c r="H223" s="1676" t="s">
        <v>33</v>
      </c>
      <c r="I223" s="1675"/>
      <c r="J223" s="1637"/>
      <c r="K223" s="1675"/>
      <c r="L223" s="1677">
        <v>1715843.39</v>
      </c>
      <c r="M223" s="1678">
        <v>55981.05</v>
      </c>
      <c r="N223" s="1610">
        <v>2015.3</v>
      </c>
      <c r="O223" s="1637" t="s">
        <v>7369</v>
      </c>
      <c r="P223" s="1637" t="s">
        <v>7371</v>
      </c>
      <c r="Q223" s="1610">
        <v>19933127309</v>
      </c>
      <c r="R223" s="1637" t="s">
        <v>7204</v>
      </c>
      <c r="S223" s="1611" t="s">
        <v>7094</v>
      </c>
      <c r="T223" s="1612"/>
    </row>
    <row r="224" spans="1:20" ht="24" customHeight="1">
      <c r="A224" s="1605" t="s">
        <v>2526</v>
      </c>
      <c r="B224" s="1674" t="s">
        <v>4679</v>
      </c>
      <c r="C224" s="1637" t="s">
        <v>7372</v>
      </c>
      <c r="D224" s="1637" t="s">
        <v>79</v>
      </c>
      <c r="E224" s="1610">
        <v>1</v>
      </c>
      <c r="F224" s="1627"/>
      <c r="G224" s="1675" t="s">
        <v>7201</v>
      </c>
      <c r="H224" s="1675" t="s">
        <v>7373</v>
      </c>
      <c r="I224" s="1675"/>
      <c r="J224" s="1637" t="s">
        <v>7374</v>
      </c>
      <c r="K224" s="1637" t="s">
        <v>7374</v>
      </c>
      <c r="L224" s="1677">
        <v>1200000</v>
      </c>
      <c r="M224" s="1678">
        <v>600000</v>
      </c>
      <c r="N224" s="1609">
        <v>2014.9</v>
      </c>
      <c r="O224" s="1637" t="s">
        <v>7375</v>
      </c>
      <c r="P224" s="1637" t="s">
        <v>7217</v>
      </c>
      <c r="Q224" s="1610">
        <v>13603219995</v>
      </c>
      <c r="R224" s="1637" t="s">
        <v>7204</v>
      </c>
      <c r="S224" s="1611" t="s">
        <v>7094</v>
      </c>
      <c r="T224" s="1612"/>
    </row>
    <row r="225" spans="1:20" ht="24" customHeight="1">
      <c r="A225" s="1605"/>
      <c r="B225" s="1674"/>
      <c r="C225" s="1637"/>
      <c r="D225" s="1637"/>
      <c r="E225" s="1610"/>
      <c r="F225" s="1627"/>
      <c r="G225" s="1675"/>
      <c r="H225" s="1675"/>
      <c r="I225" s="1675"/>
      <c r="J225" s="1637"/>
      <c r="K225" s="1637"/>
      <c r="L225" s="1677"/>
      <c r="M225" s="1678"/>
      <c r="N225" s="1609"/>
      <c r="O225" s="1637"/>
      <c r="P225" s="1637"/>
      <c r="Q225" s="1610"/>
      <c r="R225" s="1679"/>
      <c r="S225" s="1611"/>
      <c r="T225" s="1612"/>
    </row>
    <row r="226" spans="1:20" ht="24" customHeight="1">
      <c r="A226" s="1605">
        <v>6</v>
      </c>
      <c r="B226" s="1608" t="s">
        <v>7376</v>
      </c>
      <c r="C226" s="1286"/>
      <c r="D226" s="1607"/>
      <c r="E226" s="1286"/>
      <c r="F226" s="1286"/>
      <c r="G226" s="1608"/>
      <c r="H226" s="1608"/>
      <c r="I226" s="1607"/>
      <c r="J226" s="1608"/>
      <c r="K226" s="1608"/>
      <c r="L226" s="1286"/>
      <c r="M226" s="1610"/>
      <c r="N226" s="1286"/>
      <c r="O226" s="1286"/>
      <c r="P226" s="1287"/>
      <c r="Q226" s="1286"/>
      <c r="R226" s="1608"/>
      <c r="S226" s="1611"/>
      <c r="T226" s="1612"/>
    </row>
    <row r="227" spans="1:20" ht="24" customHeight="1">
      <c r="A227" s="1605"/>
      <c r="B227" s="1680"/>
      <c r="C227" s="313"/>
      <c r="D227" s="1680"/>
      <c r="E227" s="1653"/>
      <c r="F227" s="1286"/>
      <c r="G227" s="1681"/>
      <c r="H227" s="1608"/>
      <c r="I227" s="1607"/>
      <c r="J227" s="1608"/>
      <c r="K227" s="1964"/>
      <c r="L227" s="1286"/>
      <c r="M227" s="1652"/>
      <c r="N227" s="1682"/>
      <c r="O227" s="1659"/>
      <c r="P227" s="1659"/>
      <c r="Q227" s="1659"/>
      <c r="R227" s="1608"/>
      <c r="S227" s="1611"/>
      <c r="T227" s="1612"/>
    </row>
    <row r="228" spans="1:20" ht="24" customHeight="1">
      <c r="A228" s="1605" t="s">
        <v>511</v>
      </c>
      <c r="B228" s="1680" t="s">
        <v>512</v>
      </c>
      <c r="C228" s="313"/>
      <c r="D228" s="1680"/>
      <c r="E228" s="1653"/>
      <c r="F228" s="1286"/>
      <c r="G228" s="1681"/>
      <c r="H228" s="1608"/>
      <c r="I228" s="1607"/>
      <c r="J228" s="1608"/>
      <c r="K228" s="1964"/>
      <c r="L228" s="1286"/>
      <c r="M228" s="1652"/>
      <c r="N228" s="1682"/>
      <c r="O228" s="1659"/>
      <c r="P228" s="1659"/>
      <c r="Q228" s="1659"/>
      <c r="R228" s="1608"/>
      <c r="S228" s="1611"/>
      <c r="T228" s="1612"/>
    </row>
    <row r="229" spans="1:20" ht="24" customHeight="1">
      <c r="A229" s="1605">
        <v>1</v>
      </c>
      <c r="B229" s="1680" t="s">
        <v>513</v>
      </c>
      <c r="C229" s="313"/>
      <c r="D229" s="1680"/>
      <c r="E229" s="1653"/>
      <c r="F229" s="1286"/>
      <c r="G229" s="1681"/>
      <c r="H229" s="1608"/>
      <c r="I229" s="1607"/>
      <c r="J229" s="1608"/>
      <c r="K229" s="1964"/>
      <c r="L229" s="1286"/>
      <c r="M229" s="1652"/>
      <c r="N229" s="1682"/>
      <c r="O229" s="1659"/>
      <c r="P229" s="1659"/>
      <c r="Q229" s="1659"/>
      <c r="R229" s="1608"/>
      <c r="S229" s="1611"/>
      <c r="T229" s="1612"/>
    </row>
    <row r="230" spans="1:20" ht="24" customHeight="1">
      <c r="A230" s="1605"/>
      <c r="B230" s="1680" t="s">
        <v>3717</v>
      </c>
      <c r="C230" s="313"/>
      <c r="D230" s="1680"/>
      <c r="E230" s="1653"/>
      <c r="F230" s="1286"/>
      <c r="G230" s="1681"/>
      <c r="H230" s="1608"/>
      <c r="I230" s="1607"/>
      <c r="J230" s="1608"/>
      <c r="K230" s="1964"/>
      <c r="L230" s="1286"/>
      <c r="M230" s="1652"/>
      <c r="N230" s="1682"/>
      <c r="O230" s="1659"/>
      <c r="P230" s="1659"/>
      <c r="Q230" s="1659"/>
      <c r="R230" s="1608"/>
      <c r="S230" s="1611"/>
      <c r="T230" s="1612"/>
    </row>
    <row r="231" spans="1:20" ht="24" customHeight="1">
      <c r="A231" s="1605">
        <v>2</v>
      </c>
      <c r="B231" s="1680" t="s">
        <v>890</v>
      </c>
      <c r="C231" s="313"/>
      <c r="D231" s="1680"/>
      <c r="E231" s="1653"/>
      <c r="F231" s="1286"/>
      <c r="G231" s="1681"/>
      <c r="H231" s="1608"/>
      <c r="I231" s="1607"/>
      <c r="J231" s="1608"/>
      <c r="K231" s="1964"/>
      <c r="L231" s="1286"/>
      <c r="M231" s="1652"/>
      <c r="N231" s="1682"/>
      <c r="O231" s="1659"/>
      <c r="P231" s="1659"/>
      <c r="Q231" s="1659"/>
      <c r="R231" s="1608"/>
      <c r="S231" s="1611"/>
      <c r="T231" s="1612"/>
    </row>
    <row r="232" spans="1:20" s="662" customFormat="1" ht="24" customHeight="1">
      <c r="A232" s="1616" t="s">
        <v>2182</v>
      </c>
      <c r="B232" s="1613" t="s">
        <v>890</v>
      </c>
      <c r="C232" s="1613">
        <v>50</v>
      </c>
      <c r="D232" s="1613" t="s">
        <v>161</v>
      </c>
      <c r="E232" s="1613">
        <v>287.5</v>
      </c>
      <c r="F232" s="1613"/>
      <c r="G232" s="1613" t="s">
        <v>32</v>
      </c>
      <c r="H232" s="1764" t="s">
        <v>33</v>
      </c>
      <c r="I232" s="43" t="s">
        <v>7240</v>
      </c>
      <c r="J232" s="1611" t="s">
        <v>4329</v>
      </c>
      <c r="K232" s="1608" t="s">
        <v>7377</v>
      </c>
      <c r="L232" s="1613">
        <v>81466</v>
      </c>
      <c r="M232" s="1683">
        <f>L232/1.03</f>
        <v>79093.203883495138</v>
      </c>
      <c r="N232" s="1684">
        <v>44275</v>
      </c>
      <c r="O232" s="1613" t="s">
        <v>7241</v>
      </c>
      <c r="P232" s="1659" t="s">
        <v>7242</v>
      </c>
      <c r="Q232" s="1659">
        <v>18518241904</v>
      </c>
      <c r="R232" s="1610" t="s">
        <v>7378</v>
      </c>
      <c r="S232" s="1613" t="s">
        <v>7094</v>
      </c>
      <c r="T232" s="624"/>
    </row>
    <row r="233" spans="1:20" s="662" customFormat="1" ht="24" customHeight="1">
      <c r="A233" s="1616" t="s">
        <v>2191</v>
      </c>
      <c r="B233" s="1613" t="s">
        <v>2781</v>
      </c>
      <c r="C233" s="1613">
        <v>50</v>
      </c>
      <c r="D233" s="1613" t="s">
        <v>161</v>
      </c>
      <c r="E233" s="66">
        <v>662.5</v>
      </c>
      <c r="F233" s="1613"/>
      <c r="G233" s="1613" t="s">
        <v>3560</v>
      </c>
      <c r="H233" s="1764" t="s">
        <v>33</v>
      </c>
      <c r="I233" s="43" t="s">
        <v>7240</v>
      </c>
      <c r="J233" s="1611" t="s">
        <v>4329</v>
      </c>
      <c r="K233" s="1611" t="s">
        <v>4125</v>
      </c>
      <c r="L233" s="1613" t="s">
        <v>34</v>
      </c>
      <c r="M233" s="1613" t="s">
        <v>34</v>
      </c>
      <c r="N233" s="1613" t="s">
        <v>34</v>
      </c>
      <c r="O233" s="1613" t="s">
        <v>7241</v>
      </c>
      <c r="P233" s="1659" t="s">
        <v>7242</v>
      </c>
      <c r="Q233" s="1659">
        <v>18518241904</v>
      </c>
      <c r="R233" s="1610" t="s">
        <v>7378</v>
      </c>
      <c r="S233" s="1613" t="s">
        <v>7094</v>
      </c>
      <c r="T233" s="624"/>
    </row>
    <row r="234" spans="1:20" s="662" customFormat="1" ht="24" customHeight="1">
      <c r="A234" s="1616" t="s">
        <v>2193</v>
      </c>
      <c r="B234" s="1613" t="s">
        <v>7379</v>
      </c>
      <c r="C234" s="1613">
        <v>40</v>
      </c>
      <c r="D234" s="1613" t="s">
        <v>161</v>
      </c>
      <c r="E234" s="1613">
        <v>400</v>
      </c>
      <c r="F234" s="1613">
        <v>16</v>
      </c>
      <c r="G234" s="1613" t="s">
        <v>32</v>
      </c>
      <c r="H234" s="1613" t="s">
        <v>33</v>
      </c>
      <c r="I234" s="1613"/>
      <c r="J234" s="1613"/>
      <c r="K234" s="1613"/>
      <c r="L234" s="1613">
        <v>75400</v>
      </c>
      <c r="M234" s="1613">
        <v>66725.66</v>
      </c>
      <c r="N234" s="1613" t="s">
        <v>7380</v>
      </c>
      <c r="O234" s="1613" t="s">
        <v>7279</v>
      </c>
      <c r="P234" s="1613" t="s">
        <v>7280</v>
      </c>
      <c r="Q234" s="1613">
        <v>18910669242</v>
      </c>
      <c r="R234" s="1613" t="s">
        <v>7381</v>
      </c>
      <c r="S234" s="1613" t="s">
        <v>7094</v>
      </c>
      <c r="T234" s="624"/>
    </row>
    <row r="235" spans="1:20" s="662" customFormat="1" ht="24" customHeight="1">
      <c r="A235" s="1616" t="s">
        <v>2196</v>
      </c>
      <c r="B235" s="1611" t="s">
        <v>890</v>
      </c>
      <c r="C235" s="1613" t="s">
        <v>7382</v>
      </c>
      <c r="D235" s="1613" t="s">
        <v>464</v>
      </c>
      <c r="E235" s="1613"/>
      <c r="F235" s="1613"/>
      <c r="G235" s="1613"/>
      <c r="H235" s="1613"/>
      <c r="I235" s="1613"/>
      <c r="J235" s="1613"/>
      <c r="K235" s="1613"/>
      <c r="L235" s="1613"/>
      <c r="M235" s="1613"/>
      <c r="N235" s="1613"/>
      <c r="O235" s="1613"/>
      <c r="P235" s="1613"/>
      <c r="Q235" s="1613"/>
      <c r="R235" s="1613"/>
      <c r="S235" s="1613" t="s">
        <v>7094</v>
      </c>
      <c r="T235" s="624"/>
    </row>
    <row r="236" spans="1:20" s="662" customFormat="1" ht="24" customHeight="1">
      <c r="A236" s="1616" t="s">
        <v>2202</v>
      </c>
      <c r="B236" s="1611" t="s">
        <v>890</v>
      </c>
      <c r="C236" s="1613" t="s">
        <v>7382</v>
      </c>
      <c r="D236" s="1613" t="s">
        <v>464</v>
      </c>
      <c r="E236" s="1613"/>
      <c r="F236" s="1613"/>
      <c r="G236" s="1613"/>
      <c r="H236" s="1613"/>
      <c r="I236" s="1613"/>
      <c r="J236" s="1613"/>
      <c r="K236" s="1613"/>
      <c r="L236" s="1613"/>
      <c r="M236" s="1613"/>
      <c r="N236" s="1613"/>
      <c r="O236" s="1613"/>
      <c r="P236" s="1613"/>
      <c r="Q236" s="1613"/>
      <c r="R236" s="1613"/>
      <c r="S236" s="1613" t="s">
        <v>7094</v>
      </c>
      <c r="T236" s="624"/>
    </row>
    <row r="237" spans="1:20" s="766" customFormat="1" ht="24" customHeight="1">
      <c r="A237" s="1616" t="s">
        <v>2209</v>
      </c>
      <c r="B237" s="1611" t="s">
        <v>890</v>
      </c>
      <c r="C237" s="1613" t="s">
        <v>7383</v>
      </c>
      <c r="D237" s="1613" t="s">
        <v>464</v>
      </c>
      <c r="E237" s="1613"/>
      <c r="F237" s="1685">
        <v>64.599999999999994</v>
      </c>
      <c r="G237" s="1613" t="s">
        <v>32</v>
      </c>
      <c r="H237" s="1613" t="s">
        <v>33</v>
      </c>
      <c r="I237" s="1613"/>
      <c r="J237" s="1613"/>
      <c r="K237" s="1613"/>
      <c r="L237" s="1613">
        <v>199614</v>
      </c>
      <c r="M237" s="1613">
        <v>199614</v>
      </c>
      <c r="N237" s="1616" t="s">
        <v>3638</v>
      </c>
      <c r="O237" s="1613" t="s">
        <v>7255</v>
      </c>
      <c r="P237" s="1613" t="s">
        <v>7256</v>
      </c>
      <c r="Q237" s="1613">
        <v>19933179135</v>
      </c>
      <c r="R237" s="1613" t="s">
        <v>7257</v>
      </c>
      <c r="S237" s="1613" t="s">
        <v>7094</v>
      </c>
      <c r="T237" s="1628"/>
    </row>
    <row r="238" spans="1:20" s="766" customFormat="1" ht="24" customHeight="1">
      <c r="A238" s="1616" t="s">
        <v>2211</v>
      </c>
      <c r="B238" s="1611" t="s">
        <v>890</v>
      </c>
      <c r="C238" s="1613" t="s">
        <v>7384</v>
      </c>
      <c r="D238" s="1613" t="s">
        <v>464</v>
      </c>
      <c r="E238" s="1613"/>
      <c r="F238" s="1613"/>
      <c r="G238" s="1613"/>
      <c r="H238" s="1613"/>
      <c r="I238" s="1613"/>
      <c r="J238" s="1613"/>
      <c r="K238" s="1613"/>
      <c r="L238" s="1613"/>
      <c r="M238" s="1613"/>
      <c r="N238" s="1613"/>
      <c r="O238" s="1613"/>
      <c r="P238" s="1613"/>
      <c r="Q238" s="1613"/>
      <c r="R238" s="1613"/>
      <c r="S238" s="1613" t="s">
        <v>7094</v>
      </c>
      <c r="T238" s="1628"/>
    </row>
    <row r="239" spans="1:20" s="766" customFormat="1" ht="24" customHeight="1">
      <c r="A239" s="1616" t="s">
        <v>2213</v>
      </c>
      <c r="B239" s="1611" t="s">
        <v>890</v>
      </c>
      <c r="C239" s="1613" t="s">
        <v>913</v>
      </c>
      <c r="D239" s="1613" t="s">
        <v>62</v>
      </c>
      <c r="E239" s="1613"/>
      <c r="F239" s="1613"/>
      <c r="G239" s="1613"/>
      <c r="H239" s="1613"/>
      <c r="I239" s="1613"/>
      <c r="J239" s="1613"/>
      <c r="K239" s="1613"/>
      <c r="L239" s="1613"/>
      <c r="M239" s="1613"/>
      <c r="N239" s="1613"/>
      <c r="O239" s="1613"/>
      <c r="P239" s="1613"/>
      <c r="Q239" s="1613"/>
      <c r="R239" s="1613"/>
      <c r="S239" s="1613" t="s">
        <v>7094</v>
      </c>
      <c r="T239" s="1628"/>
    </row>
    <row r="240" spans="1:20" s="766" customFormat="1" ht="24" customHeight="1">
      <c r="A240" s="1616" t="s">
        <v>2218</v>
      </c>
      <c r="B240" s="1673" t="s">
        <v>890</v>
      </c>
      <c r="C240" s="1613">
        <v>50</v>
      </c>
      <c r="D240" s="1613" t="s">
        <v>161</v>
      </c>
      <c r="E240" s="1613"/>
      <c r="F240" s="1613"/>
      <c r="G240" s="1613"/>
      <c r="H240" s="1286"/>
      <c r="I240" s="1613"/>
      <c r="J240" s="1613"/>
      <c r="K240" s="1613"/>
      <c r="L240" s="1613"/>
      <c r="M240" s="1613"/>
      <c r="N240" s="1613"/>
      <c r="O240" s="1610"/>
      <c r="P240" s="1613"/>
      <c r="Q240" s="1613"/>
      <c r="R240" s="1610"/>
      <c r="S240" s="1613" t="s">
        <v>7094</v>
      </c>
      <c r="T240" s="1628"/>
    </row>
    <row r="241" spans="1:20" s="766" customFormat="1" ht="24" customHeight="1">
      <c r="A241" s="1616" t="s">
        <v>2220</v>
      </c>
      <c r="B241" s="1673" t="s">
        <v>890</v>
      </c>
      <c r="C241" s="1613" t="s">
        <v>3785</v>
      </c>
      <c r="D241" s="1613" t="s">
        <v>161</v>
      </c>
      <c r="E241" s="1613"/>
      <c r="F241" s="1613"/>
      <c r="G241" s="1613"/>
      <c r="H241" s="1613"/>
      <c r="I241" s="1613"/>
      <c r="J241" s="1613"/>
      <c r="K241" s="1613"/>
      <c r="L241" s="1613"/>
      <c r="M241" s="1613"/>
      <c r="N241" s="1613"/>
      <c r="O241" s="1613"/>
      <c r="P241" s="1613"/>
      <c r="Q241" s="1613"/>
      <c r="R241" s="1613"/>
      <c r="S241" s="1613" t="s">
        <v>7094</v>
      </c>
      <c r="T241" s="1628"/>
    </row>
    <row r="242" spans="1:20" s="766" customFormat="1" ht="24" customHeight="1">
      <c r="A242" s="1616" t="s">
        <v>2223</v>
      </c>
      <c r="B242" s="1673" t="s">
        <v>890</v>
      </c>
      <c r="C242" s="1641" t="s">
        <v>7385</v>
      </c>
      <c r="D242" s="1613" t="s">
        <v>62</v>
      </c>
      <c r="E242" s="1686"/>
      <c r="F242" s="1613"/>
      <c r="G242" s="1613"/>
      <c r="H242" s="1286"/>
      <c r="I242" s="1613"/>
      <c r="J242" s="1687"/>
      <c r="K242" s="1613"/>
      <c r="L242" s="1613"/>
      <c r="M242" s="1687"/>
      <c r="N242" s="1613"/>
      <c r="O242" s="1613"/>
      <c r="P242" s="1613"/>
      <c r="Q242" s="1613"/>
      <c r="R242" s="1613"/>
      <c r="S242" s="1613" t="s">
        <v>7094</v>
      </c>
      <c r="T242" s="1628"/>
    </row>
    <row r="243" spans="1:20" s="766" customFormat="1" ht="24" customHeight="1">
      <c r="A243" s="1616" t="s">
        <v>2225</v>
      </c>
      <c r="B243" s="1673" t="s">
        <v>890</v>
      </c>
      <c r="C243" s="1641" t="s">
        <v>7385</v>
      </c>
      <c r="D243" s="1613" t="s">
        <v>161</v>
      </c>
      <c r="E243" s="1642"/>
      <c r="F243" s="1642"/>
      <c r="G243" s="1613"/>
      <c r="H243" s="1613"/>
      <c r="I243" s="1613"/>
      <c r="J243" s="1688"/>
      <c r="K243" s="1616"/>
      <c r="L243" s="1613"/>
      <c r="M243" s="1688"/>
      <c r="N243" s="1616"/>
      <c r="O243" s="1613"/>
      <c r="P243" s="1613"/>
      <c r="Q243" s="1613"/>
      <c r="R243" s="1613"/>
      <c r="S243" s="1613" t="s">
        <v>7094</v>
      </c>
      <c r="T243" s="1628"/>
    </row>
    <row r="244" spans="1:20" s="766" customFormat="1" ht="24" customHeight="1">
      <c r="A244" s="1616" t="s">
        <v>2228</v>
      </c>
      <c r="B244" s="1681" t="s">
        <v>890</v>
      </c>
      <c r="C244" s="1641" t="s">
        <v>1502</v>
      </c>
      <c r="D244" s="1613" t="s">
        <v>161</v>
      </c>
      <c r="E244" s="1642"/>
      <c r="F244" s="1642"/>
      <c r="G244" s="1613"/>
      <c r="H244" s="1613"/>
      <c r="I244" s="1613"/>
      <c r="J244" s="1688"/>
      <c r="K244" s="1616"/>
      <c r="L244" s="1613"/>
      <c r="M244" s="1688"/>
      <c r="N244" s="1616"/>
      <c r="O244" s="1613"/>
      <c r="P244" s="1613"/>
      <c r="Q244" s="1613"/>
      <c r="R244" s="1613"/>
      <c r="S244" s="1613" t="s">
        <v>7094</v>
      </c>
      <c r="T244" s="1628"/>
    </row>
    <row r="245" spans="1:20" s="766" customFormat="1" ht="24" customHeight="1">
      <c r="A245" s="1616" t="s">
        <v>2230</v>
      </c>
      <c r="B245" s="1611" t="s">
        <v>890</v>
      </c>
      <c r="C245" s="1641" t="s">
        <v>7385</v>
      </c>
      <c r="D245" s="1613" t="s">
        <v>62</v>
      </c>
      <c r="E245" s="1685"/>
      <c r="F245" s="1685"/>
      <c r="G245" s="1613"/>
      <c r="H245" s="1613"/>
      <c r="I245" s="1613"/>
      <c r="J245" s="1689"/>
      <c r="K245" s="1616"/>
      <c r="L245" s="1613"/>
      <c r="M245" s="1689"/>
      <c r="N245" s="1616"/>
      <c r="O245" s="1613"/>
      <c r="P245" s="1613"/>
      <c r="Q245" s="1613"/>
      <c r="R245" s="1613"/>
      <c r="S245" s="1613" t="s">
        <v>7094</v>
      </c>
      <c r="T245" s="1628"/>
    </row>
    <row r="246" spans="1:20" s="766" customFormat="1" ht="24" customHeight="1">
      <c r="A246" s="1616" t="s">
        <v>2233</v>
      </c>
      <c r="B246" s="1690" t="s">
        <v>890</v>
      </c>
      <c r="C246" s="1641" t="s">
        <v>1502</v>
      </c>
      <c r="D246" s="1613" t="s">
        <v>62</v>
      </c>
      <c r="E246" s="1685"/>
      <c r="F246" s="1691"/>
      <c r="G246" s="1691"/>
      <c r="H246" s="1691"/>
      <c r="I246" s="1691"/>
      <c r="J246" s="1691"/>
      <c r="K246" s="1691"/>
      <c r="L246" s="1691"/>
      <c r="M246" s="1691"/>
      <c r="N246" s="1691"/>
      <c r="O246" s="1691"/>
      <c r="P246" s="1691"/>
      <c r="Q246" s="1691"/>
      <c r="R246" s="1691"/>
      <c r="S246" s="1613" t="s">
        <v>7094</v>
      </c>
      <c r="T246" s="1628"/>
    </row>
    <row r="247" spans="1:20" s="766" customFormat="1" ht="24" customHeight="1">
      <c r="A247" s="1616" t="s">
        <v>2239</v>
      </c>
      <c r="B247" s="1613" t="s">
        <v>890</v>
      </c>
      <c r="C247" s="1613" t="s">
        <v>4432</v>
      </c>
      <c r="D247" s="1613" t="s">
        <v>464</v>
      </c>
      <c r="E247" s="1685"/>
      <c r="F247" s="1691"/>
      <c r="G247" s="1691"/>
      <c r="H247" s="1691"/>
      <c r="I247" s="1691"/>
      <c r="J247" s="1691"/>
      <c r="K247" s="1691"/>
      <c r="L247" s="1691"/>
      <c r="M247" s="1691"/>
      <c r="N247" s="1691"/>
      <c r="O247" s="1691"/>
      <c r="P247" s="1691"/>
      <c r="Q247" s="1691"/>
      <c r="R247" s="1691"/>
      <c r="S247" s="1613"/>
      <c r="T247" s="1628"/>
    </row>
    <row r="248" spans="1:20" s="766" customFormat="1" ht="24" customHeight="1">
      <c r="A248" s="1616" t="s">
        <v>2240</v>
      </c>
      <c r="B248" s="1613" t="s">
        <v>2781</v>
      </c>
      <c r="C248" s="1613" t="s">
        <v>7383</v>
      </c>
      <c r="D248" s="1613" t="s">
        <v>161</v>
      </c>
      <c r="E248" s="1613">
        <v>1200</v>
      </c>
      <c r="F248" s="1613">
        <v>60</v>
      </c>
      <c r="G248" s="1613" t="s">
        <v>32</v>
      </c>
      <c r="H248" s="1613" t="s">
        <v>33</v>
      </c>
      <c r="I248" s="1613"/>
      <c r="J248" s="1613"/>
      <c r="K248" s="1613"/>
      <c r="L248" s="1613">
        <v>229200</v>
      </c>
      <c r="M248" s="1613">
        <v>229200</v>
      </c>
      <c r="N248" s="1613">
        <v>2020.09</v>
      </c>
      <c r="O248" s="1613" t="s">
        <v>7386</v>
      </c>
      <c r="P248" s="1613" t="s">
        <v>7309</v>
      </c>
      <c r="Q248" s="1613">
        <v>18713342010</v>
      </c>
      <c r="R248" s="1613" t="s">
        <v>7310</v>
      </c>
      <c r="S248" s="1613" t="s">
        <v>7094</v>
      </c>
      <c r="T248" s="1628"/>
    </row>
    <row r="249" spans="1:20" s="766" customFormat="1" ht="24" customHeight="1">
      <c r="A249" s="1616" t="s">
        <v>2241</v>
      </c>
      <c r="B249" s="1692" t="s">
        <v>7387</v>
      </c>
      <c r="C249" s="1693" t="s">
        <v>7388</v>
      </c>
      <c r="D249" s="1610"/>
      <c r="E249" s="1610"/>
      <c r="F249" s="1692">
        <v>392.86</v>
      </c>
      <c r="G249" s="1692" t="s">
        <v>33</v>
      </c>
      <c r="H249" s="1610"/>
      <c r="I249" s="1610"/>
      <c r="J249" s="1610"/>
      <c r="K249" s="1611"/>
      <c r="L249" s="1694">
        <v>1353616.66</v>
      </c>
      <c r="M249" s="1694">
        <v>1353616.66</v>
      </c>
      <c r="N249" s="1610"/>
      <c r="O249" s="1610"/>
      <c r="P249" s="1695" t="s">
        <v>7217</v>
      </c>
      <c r="Q249" s="1695">
        <v>13603219995</v>
      </c>
      <c r="R249" s="1610" t="s">
        <v>7204</v>
      </c>
      <c r="S249" s="662"/>
      <c r="T249" s="1628"/>
    </row>
    <row r="250" spans="1:20" s="766" customFormat="1" ht="24" customHeight="1">
      <c r="A250" s="1616" t="s">
        <v>2243</v>
      </c>
      <c r="B250" s="1692" t="s">
        <v>893</v>
      </c>
      <c r="C250" s="1693"/>
      <c r="D250" s="1610"/>
      <c r="E250" s="1610"/>
      <c r="F250" s="1692"/>
      <c r="G250" s="1692" t="s">
        <v>33</v>
      </c>
      <c r="H250" s="1610"/>
      <c r="I250" s="1610"/>
      <c r="J250" s="1610"/>
      <c r="K250" s="1611"/>
      <c r="L250" s="1694">
        <v>9720</v>
      </c>
      <c r="M250" s="1694">
        <v>9720</v>
      </c>
      <c r="N250" s="1610"/>
      <c r="O250" s="1610"/>
      <c r="P250" s="1695" t="s">
        <v>7217</v>
      </c>
      <c r="Q250" s="1695">
        <v>13603219995</v>
      </c>
      <c r="R250" s="1610" t="s">
        <v>7204</v>
      </c>
      <c r="S250" s="662"/>
      <c r="T250" s="1628"/>
    </row>
    <row r="251" spans="1:20" s="766" customFormat="1" ht="24" customHeight="1">
      <c r="A251" s="1616" t="s">
        <v>2245</v>
      </c>
      <c r="B251" s="1692" t="s">
        <v>893</v>
      </c>
      <c r="C251" s="1696" t="s">
        <v>913</v>
      </c>
      <c r="D251" s="1610"/>
      <c r="E251" s="1610">
        <v>352</v>
      </c>
      <c r="F251" s="1692"/>
      <c r="G251" s="1692" t="s">
        <v>33</v>
      </c>
      <c r="H251" s="1610"/>
      <c r="I251" s="1610"/>
      <c r="J251" s="1610"/>
      <c r="K251" s="1611"/>
      <c r="L251" s="1694">
        <v>34851.49</v>
      </c>
      <c r="M251" s="1694">
        <v>34851.49</v>
      </c>
      <c r="N251" s="1610"/>
      <c r="O251" s="1610"/>
      <c r="P251" s="1695" t="s">
        <v>7217</v>
      </c>
      <c r="Q251" s="1695">
        <v>13603219995</v>
      </c>
      <c r="R251" s="1610" t="s">
        <v>7204</v>
      </c>
      <c r="S251" s="662"/>
      <c r="T251" s="1628"/>
    </row>
    <row r="252" spans="1:20" s="766" customFormat="1" ht="24" customHeight="1">
      <c r="A252" s="1616" t="s">
        <v>2247</v>
      </c>
      <c r="B252" s="1692" t="s">
        <v>893</v>
      </c>
      <c r="C252" s="1696" t="s">
        <v>4430</v>
      </c>
      <c r="D252" s="1610"/>
      <c r="E252" s="1610">
        <v>86</v>
      </c>
      <c r="F252" s="1692"/>
      <c r="G252" s="1692" t="s">
        <v>33</v>
      </c>
      <c r="H252" s="1610"/>
      <c r="I252" s="1610"/>
      <c r="J252" s="1610"/>
      <c r="K252" s="1611"/>
      <c r="L252" s="1694">
        <v>6386.14</v>
      </c>
      <c r="M252" s="1694">
        <v>6386.14</v>
      </c>
      <c r="N252" s="1610"/>
      <c r="O252" s="1610"/>
      <c r="P252" s="1695" t="s">
        <v>7217</v>
      </c>
      <c r="Q252" s="1695">
        <v>13603219995</v>
      </c>
      <c r="R252" s="1610" t="s">
        <v>7204</v>
      </c>
      <c r="S252" s="1697"/>
      <c r="T252" s="1628"/>
    </row>
    <row r="253" spans="1:20" s="766" customFormat="1" ht="24" customHeight="1">
      <c r="A253" s="1616" t="s">
        <v>2248</v>
      </c>
      <c r="B253" s="1692" t="s">
        <v>893</v>
      </c>
      <c r="C253" s="1610"/>
      <c r="D253" s="1610" t="s">
        <v>62</v>
      </c>
      <c r="E253" s="1610"/>
      <c r="F253" s="1692">
        <v>0.5</v>
      </c>
      <c r="G253" s="1692" t="s">
        <v>33</v>
      </c>
      <c r="H253" s="1610"/>
      <c r="I253" s="1610" t="s">
        <v>7389</v>
      </c>
      <c r="J253" s="1610"/>
      <c r="K253" s="1611"/>
      <c r="L253" s="1698">
        <v>37222.5</v>
      </c>
      <c r="M253" s="1699">
        <v>36853.96</v>
      </c>
      <c r="N253" s="1610">
        <v>2021.5</v>
      </c>
      <c r="O253" s="1610" t="s">
        <v>7390</v>
      </c>
      <c r="P253" s="1695" t="s">
        <v>7391</v>
      </c>
      <c r="Q253" s="1610">
        <v>19933179135</v>
      </c>
      <c r="R253" s="1610" t="s">
        <v>7204</v>
      </c>
      <c r="S253" s="1697"/>
      <c r="T253" s="1628"/>
    </row>
    <row r="254" spans="1:20" s="766" customFormat="1" ht="24" customHeight="1">
      <c r="A254" s="1616" t="s">
        <v>2249</v>
      </c>
      <c r="B254" s="1700" t="s">
        <v>7392</v>
      </c>
      <c r="C254" s="1700"/>
      <c r="D254" s="1624"/>
      <c r="E254" s="1624"/>
      <c r="F254" s="1648"/>
      <c r="G254" s="1648" t="s">
        <v>33</v>
      </c>
      <c r="H254" s="1624"/>
      <c r="I254" s="1610"/>
      <c r="J254" s="1610"/>
      <c r="K254" s="1611"/>
      <c r="L254" s="1701">
        <v>1476</v>
      </c>
      <c r="M254" s="1701">
        <v>1476</v>
      </c>
      <c r="N254" s="1610"/>
      <c r="O254" s="1610"/>
      <c r="P254" s="1695" t="s">
        <v>7217</v>
      </c>
      <c r="Q254" s="1695">
        <v>13603219995</v>
      </c>
      <c r="R254" s="1610" t="s">
        <v>7204</v>
      </c>
      <c r="S254" s="1697"/>
      <c r="T254" s="1628"/>
    </row>
    <row r="255" spans="1:20" s="766" customFormat="1" ht="24" customHeight="1">
      <c r="A255" s="1616"/>
      <c r="B255" s="1613"/>
      <c r="C255" s="1613"/>
      <c r="D255" s="1613"/>
      <c r="E255" s="1613"/>
      <c r="F255" s="1613"/>
      <c r="G255" s="1613"/>
      <c r="H255" s="1613"/>
      <c r="I255" s="1613"/>
      <c r="J255" s="1613"/>
      <c r="K255" s="1613"/>
      <c r="L255" s="1613"/>
      <c r="M255" s="1613"/>
      <c r="N255" s="1613"/>
      <c r="O255" s="1613"/>
      <c r="P255" s="1613"/>
      <c r="Q255" s="1613"/>
      <c r="R255" s="1613"/>
      <c r="S255" s="1613"/>
      <c r="T255" s="1628"/>
    </row>
    <row r="256" spans="1:20" s="766" customFormat="1" ht="24" customHeight="1">
      <c r="A256" s="1702">
        <v>3</v>
      </c>
      <c r="B256" s="1611" t="s">
        <v>981</v>
      </c>
      <c r="C256" s="1613"/>
      <c r="D256" s="1611"/>
      <c r="E256" s="1613"/>
      <c r="F256" s="1613"/>
      <c r="G256" s="1611"/>
      <c r="H256" s="1611"/>
      <c r="I256" s="1611"/>
      <c r="J256" s="1611"/>
      <c r="K256" s="1611"/>
      <c r="L256" s="1613"/>
      <c r="M256" s="1613"/>
      <c r="N256" s="1613"/>
      <c r="O256" s="1613"/>
      <c r="P256" s="1613"/>
      <c r="Q256" s="1613"/>
      <c r="R256" s="1611"/>
      <c r="S256" s="1611"/>
      <c r="T256" s="1628"/>
    </row>
    <row r="257" spans="1:20" s="766" customFormat="1" ht="24" customHeight="1">
      <c r="A257" s="1702"/>
      <c r="B257" s="1611" t="s">
        <v>3717</v>
      </c>
      <c r="C257" s="1613"/>
      <c r="D257" s="1611"/>
      <c r="E257" s="1613"/>
      <c r="F257" s="1613"/>
      <c r="G257" s="1611"/>
      <c r="H257" s="1611"/>
      <c r="I257" s="1611"/>
      <c r="J257" s="1611"/>
      <c r="K257" s="1611"/>
      <c r="L257" s="1613"/>
      <c r="M257" s="1613"/>
      <c r="N257" s="1613"/>
      <c r="O257" s="1613"/>
      <c r="P257" s="1613"/>
      <c r="Q257" s="1613"/>
      <c r="R257" s="1611"/>
      <c r="S257" s="1611"/>
      <c r="T257" s="1628"/>
    </row>
    <row r="258" spans="1:20" s="766" customFormat="1" ht="24" customHeight="1">
      <c r="A258" s="1702">
        <v>4</v>
      </c>
      <c r="B258" s="1611" t="s">
        <v>982</v>
      </c>
      <c r="C258" s="1613"/>
      <c r="D258" s="1611"/>
      <c r="E258" s="1613"/>
      <c r="F258" s="1613"/>
      <c r="G258" s="1611"/>
      <c r="H258" s="1611"/>
      <c r="I258" s="1611"/>
      <c r="J258" s="1611"/>
      <c r="K258" s="1611"/>
      <c r="L258" s="1613"/>
      <c r="M258" s="1613"/>
      <c r="N258" s="1613"/>
      <c r="O258" s="1613"/>
      <c r="P258" s="1613"/>
      <c r="Q258" s="1613"/>
      <c r="R258" s="1611"/>
      <c r="S258" s="1611"/>
      <c r="T258" s="1628"/>
    </row>
    <row r="259" spans="1:20" s="766" customFormat="1" ht="24" customHeight="1">
      <c r="A259" s="1702"/>
      <c r="B259" s="1640" t="s">
        <v>3717</v>
      </c>
      <c r="C259" s="1641"/>
      <c r="D259" s="1611"/>
      <c r="E259" s="1642"/>
      <c r="F259" s="1642"/>
      <c r="G259" s="1611"/>
      <c r="H259" s="1611"/>
      <c r="I259" s="1611"/>
      <c r="J259" s="1643"/>
      <c r="K259" s="1611"/>
      <c r="L259" s="1613"/>
      <c r="M259" s="1703"/>
      <c r="N259" s="1613"/>
      <c r="O259" s="1613"/>
      <c r="P259" s="1613"/>
      <c r="Q259" s="1613"/>
      <c r="R259" s="1611"/>
      <c r="S259" s="1611"/>
      <c r="T259" s="1628"/>
    </row>
    <row r="260" spans="1:20" s="766" customFormat="1" ht="24" customHeight="1">
      <c r="A260" s="1702" t="s">
        <v>1006</v>
      </c>
      <c r="B260" s="1704" t="s">
        <v>1007</v>
      </c>
      <c r="C260" s="1641"/>
      <c r="D260" s="1611"/>
      <c r="E260" s="1685"/>
      <c r="F260" s="1685"/>
      <c r="G260" s="1611"/>
      <c r="H260" s="1611"/>
      <c r="I260" s="1611"/>
      <c r="J260" s="1705"/>
      <c r="K260" s="1611"/>
      <c r="L260" s="1613"/>
      <c r="M260" s="1706"/>
      <c r="N260" s="1613"/>
      <c r="O260" s="1613"/>
      <c r="P260" s="1613"/>
      <c r="Q260" s="1613"/>
      <c r="R260" s="1611"/>
      <c r="S260" s="1611"/>
      <c r="T260" s="1628"/>
    </row>
    <row r="261" spans="1:20" s="766" customFormat="1" ht="24" customHeight="1">
      <c r="A261" s="1702">
        <v>1</v>
      </c>
      <c r="B261" s="1704" t="s">
        <v>1008</v>
      </c>
      <c r="C261" s="1641"/>
      <c r="D261" s="1611"/>
      <c r="E261" s="1685"/>
      <c r="F261" s="1685"/>
      <c r="G261" s="1611"/>
      <c r="H261" s="1611"/>
      <c r="I261" s="1611"/>
      <c r="J261" s="1705"/>
      <c r="K261" s="1611"/>
      <c r="L261" s="1613"/>
      <c r="M261" s="1706"/>
      <c r="N261" s="1613"/>
      <c r="O261" s="1613"/>
      <c r="P261" s="1613"/>
      <c r="Q261" s="1613"/>
      <c r="R261" s="1611"/>
      <c r="S261" s="1611"/>
      <c r="T261" s="1628"/>
    </row>
    <row r="262" spans="1:20" s="766" customFormat="1" ht="24" customHeight="1">
      <c r="A262" s="1702"/>
      <c r="B262" s="1663" t="s">
        <v>3717</v>
      </c>
      <c r="C262" s="66"/>
      <c r="D262" s="1663"/>
      <c r="E262" s="66"/>
      <c r="F262" s="1613"/>
      <c r="G262" s="1611"/>
      <c r="H262" s="1608"/>
      <c r="I262" s="1611"/>
      <c r="J262" s="1611"/>
      <c r="K262" s="1611"/>
      <c r="L262" s="1613"/>
      <c r="M262" s="43"/>
      <c r="N262" s="43"/>
      <c r="O262" s="1613"/>
      <c r="P262" s="1610"/>
      <c r="Q262" s="1613"/>
      <c r="R262" s="1611"/>
      <c r="S262" s="1611"/>
      <c r="T262" s="1628"/>
    </row>
    <row r="263" spans="1:20" s="766" customFormat="1" ht="24" customHeight="1">
      <c r="A263" s="1702"/>
      <c r="B263" s="1663"/>
      <c r="C263" s="66"/>
      <c r="D263" s="1663"/>
      <c r="E263" s="66"/>
      <c r="F263" s="1613"/>
      <c r="G263" s="1611"/>
      <c r="H263" s="1608"/>
      <c r="I263" s="1611"/>
      <c r="J263" s="1611"/>
      <c r="K263" s="1611"/>
      <c r="L263" s="1613"/>
      <c r="M263" s="43"/>
      <c r="N263" s="43"/>
      <c r="O263" s="1613"/>
      <c r="P263" s="1610"/>
      <c r="Q263" s="1613"/>
      <c r="R263" s="1611"/>
      <c r="S263" s="1611"/>
      <c r="T263" s="1628"/>
    </row>
    <row r="264" spans="1:20" s="766" customFormat="1" ht="24" customHeight="1">
      <c r="A264" s="1702">
        <v>2</v>
      </c>
      <c r="B264" s="1663" t="s">
        <v>1042</v>
      </c>
      <c r="C264" s="66"/>
      <c r="D264" s="1663"/>
      <c r="E264" s="66"/>
      <c r="F264" s="671"/>
      <c r="G264" s="1663"/>
      <c r="H264" s="1663"/>
      <c r="I264" s="1663"/>
      <c r="J264" s="1663"/>
      <c r="K264" s="1663"/>
      <c r="L264" s="66"/>
      <c r="M264" s="66"/>
      <c r="N264" s="1692"/>
      <c r="O264" s="66"/>
      <c r="P264" s="66"/>
      <c r="Q264" s="66"/>
      <c r="R264" s="1611"/>
      <c r="S264" s="1611"/>
      <c r="T264" s="1628"/>
    </row>
    <row r="265" spans="1:20" s="766" customFormat="1" ht="24" customHeight="1">
      <c r="A265" s="1702"/>
      <c r="B265" s="1663" t="s">
        <v>3717</v>
      </c>
      <c r="C265" s="66"/>
      <c r="D265" s="1663"/>
      <c r="E265" s="66"/>
      <c r="F265" s="671"/>
      <c r="G265" s="1663"/>
      <c r="H265" s="1663"/>
      <c r="I265" s="1663"/>
      <c r="J265" s="1663"/>
      <c r="K265" s="1663"/>
      <c r="L265" s="66"/>
      <c r="M265" s="66"/>
      <c r="N265" s="1692"/>
      <c r="O265" s="66"/>
      <c r="P265" s="66"/>
      <c r="Q265" s="66"/>
      <c r="R265" s="1611"/>
      <c r="S265" s="1611"/>
      <c r="T265" s="1628"/>
    </row>
    <row r="266" spans="1:20" s="662" customFormat="1" ht="24" customHeight="1">
      <c r="A266" s="1616">
        <v>3</v>
      </c>
      <c r="B266" s="1611" t="s">
        <v>1043</v>
      </c>
      <c r="C266" s="1613"/>
      <c r="D266" s="1611"/>
      <c r="E266" s="1613"/>
      <c r="F266" s="1613"/>
      <c r="G266" s="1611"/>
      <c r="H266" s="1611"/>
      <c r="I266" s="1611"/>
      <c r="J266" s="1611"/>
      <c r="K266" s="1611"/>
      <c r="L266" s="1613"/>
      <c r="M266" s="1613"/>
      <c r="N266" s="1613"/>
      <c r="O266" s="1613"/>
      <c r="P266" s="1613"/>
      <c r="Q266" s="1613"/>
      <c r="R266" s="1611"/>
      <c r="S266" s="1611"/>
      <c r="T266" s="624"/>
    </row>
    <row r="267" spans="1:20" s="662" customFormat="1" ht="24" customHeight="1">
      <c r="A267" s="1616"/>
      <c r="B267" s="1611" t="s">
        <v>3717</v>
      </c>
      <c r="C267" s="1613"/>
      <c r="D267" s="1611"/>
      <c r="E267" s="1613"/>
      <c r="F267" s="1613"/>
      <c r="G267" s="1611"/>
      <c r="H267" s="1611"/>
      <c r="I267" s="1611"/>
      <c r="J267" s="1611"/>
      <c r="K267" s="1611"/>
      <c r="L267" s="1613"/>
      <c r="M267" s="1613"/>
      <c r="N267" s="1613"/>
      <c r="O267" s="1613"/>
      <c r="P267" s="1613"/>
      <c r="Q267" s="1613"/>
      <c r="R267" s="1611"/>
      <c r="S267" s="1611"/>
      <c r="T267" s="624"/>
    </row>
    <row r="268" spans="1:20" s="662" customFormat="1" ht="24" customHeight="1">
      <c r="A268" s="1616">
        <v>4</v>
      </c>
      <c r="B268" s="1611" t="s">
        <v>1044</v>
      </c>
      <c r="C268" s="1613"/>
      <c r="D268" s="1611"/>
      <c r="E268" s="1613"/>
      <c r="F268" s="1613"/>
      <c r="G268" s="1611"/>
      <c r="H268" s="1611"/>
      <c r="I268" s="1611"/>
      <c r="J268" s="1611"/>
      <c r="K268" s="1611"/>
      <c r="L268" s="1613"/>
      <c r="M268" s="1613"/>
      <c r="N268" s="1613"/>
      <c r="O268" s="1613"/>
      <c r="P268" s="1613"/>
      <c r="Q268" s="1613"/>
      <c r="R268" s="1611"/>
      <c r="S268" s="1611"/>
      <c r="T268" s="624"/>
    </row>
    <row r="269" spans="1:20" s="662" customFormat="1" ht="24" customHeight="1">
      <c r="A269" s="1616" t="s">
        <v>2478</v>
      </c>
      <c r="B269" s="1611" t="s">
        <v>7393</v>
      </c>
      <c r="C269" s="1613" t="s">
        <v>7394</v>
      </c>
      <c r="D269" s="1613" t="s">
        <v>79</v>
      </c>
      <c r="E269" s="1613">
        <v>2400</v>
      </c>
      <c r="F269" s="1613">
        <v>48</v>
      </c>
      <c r="G269" s="1613" t="s">
        <v>32</v>
      </c>
      <c r="H269" s="1613" t="s">
        <v>33</v>
      </c>
      <c r="I269" s="1613"/>
      <c r="J269" s="1613"/>
      <c r="K269" s="1613"/>
      <c r="L269" s="1613">
        <f>E269*230</f>
        <v>552000</v>
      </c>
      <c r="M269" s="1613">
        <f t="shared" ref="M269:M271" si="7">L269*0.7*0.85</f>
        <v>328440</v>
      </c>
      <c r="N269" s="1613">
        <v>2020.12</v>
      </c>
      <c r="O269" s="1286" t="s">
        <v>7169</v>
      </c>
      <c r="P269" s="1613" t="s">
        <v>7170</v>
      </c>
      <c r="Q269" s="1613">
        <v>17305372111</v>
      </c>
      <c r="R269" s="1613" t="s">
        <v>7171</v>
      </c>
      <c r="S269" s="1613" t="s">
        <v>7094</v>
      </c>
      <c r="T269" s="624"/>
    </row>
    <row r="270" spans="1:20" s="662" customFormat="1" ht="24" customHeight="1">
      <c r="A270" s="1616" t="s">
        <v>2481</v>
      </c>
      <c r="B270" s="1611" t="s">
        <v>7395</v>
      </c>
      <c r="C270" s="1613" t="s">
        <v>7396</v>
      </c>
      <c r="D270" s="1613" t="s">
        <v>131</v>
      </c>
      <c r="E270" s="1613">
        <v>100</v>
      </c>
      <c r="F270" s="1613">
        <v>1.5</v>
      </c>
      <c r="G270" s="1613" t="s">
        <v>32</v>
      </c>
      <c r="H270" s="1613" t="s">
        <v>33</v>
      </c>
      <c r="I270" s="1613"/>
      <c r="J270" s="1613"/>
      <c r="K270" s="1613"/>
      <c r="L270" s="1613">
        <f>E270*130</f>
        <v>13000</v>
      </c>
      <c r="M270" s="1613">
        <f t="shared" si="7"/>
        <v>7735</v>
      </c>
      <c r="N270" s="1613">
        <v>2020.8</v>
      </c>
      <c r="O270" s="1286" t="s">
        <v>7169</v>
      </c>
      <c r="P270" s="1613" t="s">
        <v>7170</v>
      </c>
      <c r="Q270" s="1613">
        <v>17305372111</v>
      </c>
      <c r="R270" s="1613" t="s">
        <v>7171</v>
      </c>
      <c r="S270" s="1613" t="s">
        <v>7094</v>
      </c>
      <c r="T270" s="624"/>
    </row>
    <row r="271" spans="1:20" s="662" customFormat="1" ht="24" customHeight="1">
      <c r="A271" s="1616" t="s">
        <v>7397</v>
      </c>
      <c r="B271" s="1611" t="s">
        <v>7398</v>
      </c>
      <c r="C271" s="43" t="s">
        <v>7399</v>
      </c>
      <c r="D271" s="1613" t="s">
        <v>131</v>
      </c>
      <c r="E271" s="1613">
        <v>600</v>
      </c>
      <c r="F271" s="1613">
        <v>9</v>
      </c>
      <c r="G271" s="1613" t="s">
        <v>32</v>
      </c>
      <c r="H271" s="1613" t="s">
        <v>33</v>
      </c>
      <c r="I271" s="1613"/>
      <c r="J271" s="1613"/>
      <c r="K271" s="1613"/>
      <c r="L271" s="1613">
        <f>E271*140</f>
        <v>84000</v>
      </c>
      <c r="M271" s="1613">
        <f t="shared" si="7"/>
        <v>49979.999999999993</v>
      </c>
      <c r="N271" s="1613">
        <v>2020.12</v>
      </c>
      <c r="O271" s="1286" t="s">
        <v>7169</v>
      </c>
      <c r="P271" s="1613" t="s">
        <v>7170</v>
      </c>
      <c r="Q271" s="1613">
        <v>17305372111</v>
      </c>
      <c r="R271" s="1613" t="s">
        <v>7171</v>
      </c>
      <c r="S271" s="1613" t="s">
        <v>7094</v>
      </c>
      <c r="T271" s="624"/>
    </row>
    <row r="272" spans="1:20" s="662" customFormat="1" ht="24" customHeight="1">
      <c r="A272" s="1616" t="s">
        <v>7400</v>
      </c>
      <c r="B272" s="1611" t="s">
        <v>7398</v>
      </c>
      <c r="C272" s="43" t="s">
        <v>7401</v>
      </c>
      <c r="D272" s="1613" t="s">
        <v>131</v>
      </c>
      <c r="E272" s="1613">
        <v>600</v>
      </c>
      <c r="F272" s="1613">
        <v>10</v>
      </c>
      <c r="G272" s="1613" t="s">
        <v>32</v>
      </c>
      <c r="H272" s="1613" t="s">
        <v>33</v>
      </c>
      <c r="I272" s="1613"/>
      <c r="J272" s="1613"/>
      <c r="K272" s="1613"/>
      <c r="L272" s="1613">
        <f>E272*120</f>
        <v>72000</v>
      </c>
      <c r="M272" s="1613">
        <f>L272*0.7*0.8</f>
        <v>40320</v>
      </c>
      <c r="N272" s="1613">
        <v>2020.8</v>
      </c>
      <c r="O272" s="1286" t="s">
        <v>7402</v>
      </c>
      <c r="P272" s="1613" t="s">
        <v>7170</v>
      </c>
      <c r="Q272" s="1613">
        <v>17305372111</v>
      </c>
      <c r="R272" s="1613" t="s">
        <v>7171</v>
      </c>
      <c r="S272" s="1613" t="s">
        <v>7094</v>
      </c>
      <c r="T272" s="624"/>
    </row>
    <row r="273" spans="1:20" s="662" customFormat="1" ht="24" customHeight="1">
      <c r="A273" s="1616" t="s">
        <v>7403</v>
      </c>
      <c r="B273" s="1611" t="s">
        <v>7404</v>
      </c>
      <c r="C273" s="1613" t="s">
        <v>7405</v>
      </c>
      <c r="D273" s="1613" t="s">
        <v>79</v>
      </c>
      <c r="E273" s="1613">
        <v>600</v>
      </c>
      <c r="F273" s="1613">
        <v>36</v>
      </c>
      <c r="G273" s="1613" t="s">
        <v>32</v>
      </c>
      <c r="H273" s="1613" t="s">
        <v>33</v>
      </c>
      <c r="I273" s="1613"/>
      <c r="J273" s="1613"/>
      <c r="K273" s="1613"/>
      <c r="L273" s="1613">
        <f>E273*680</f>
        <v>408000</v>
      </c>
      <c r="M273" s="1613">
        <f>L273*0.65*0.5</f>
        <v>132600</v>
      </c>
      <c r="N273" s="1613">
        <v>2020.12</v>
      </c>
      <c r="O273" s="1286" t="s">
        <v>7169</v>
      </c>
      <c r="P273" s="1613" t="s">
        <v>7170</v>
      </c>
      <c r="Q273" s="1613">
        <v>17305372111</v>
      </c>
      <c r="R273" s="1613" t="s">
        <v>7171</v>
      </c>
      <c r="S273" s="1613" t="s">
        <v>7094</v>
      </c>
      <c r="T273" s="624"/>
    </row>
    <row r="274" spans="1:20" s="662" customFormat="1" ht="24" customHeight="1">
      <c r="A274" s="1616" t="s">
        <v>7406</v>
      </c>
      <c r="B274" s="1611" t="s">
        <v>7407</v>
      </c>
      <c r="C274" s="1613">
        <v>24</v>
      </c>
      <c r="D274" s="1613" t="s">
        <v>161</v>
      </c>
      <c r="E274" s="1613">
        <v>2800</v>
      </c>
      <c r="F274" s="1613">
        <v>67.2</v>
      </c>
      <c r="G274" s="1613" t="s">
        <v>32</v>
      </c>
      <c r="H274" s="1613" t="s">
        <v>33</v>
      </c>
      <c r="I274" s="1613"/>
      <c r="J274" s="1613"/>
      <c r="K274" s="1613"/>
      <c r="L274" s="1613">
        <v>354200</v>
      </c>
      <c r="M274" s="1613">
        <f>L274*0.8*0.85</f>
        <v>240856</v>
      </c>
      <c r="N274" s="1613">
        <v>2020.12</v>
      </c>
      <c r="O274" s="1286" t="s">
        <v>7169</v>
      </c>
      <c r="P274" s="1613" t="s">
        <v>7170</v>
      </c>
      <c r="Q274" s="1613">
        <v>17305372111</v>
      </c>
      <c r="R274" s="1613" t="s">
        <v>7171</v>
      </c>
      <c r="S274" s="1613" t="s">
        <v>7094</v>
      </c>
      <c r="T274" s="624"/>
    </row>
    <row r="275" spans="1:20" s="662" customFormat="1" ht="24" customHeight="1">
      <c r="A275" s="1616" t="s">
        <v>7408</v>
      </c>
      <c r="B275" s="1704" t="s">
        <v>7409</v>
      </c>
      <c r="C275" s="1707"/>
      <c r="D275" s="43" t="s">
        <v>131</v>
      </c>
      <c r="E275" s="43">
        <v>7</v>
      </c>
      <c r="F275" s="43">
        <v>2.1</v>
      </c>
      <c r="G275" s="1613" t="s">
        <v>32</v>
      </c>
      <c r="H275" s="1613" t="s">
        <v>33</v>
      </c>
      <c r="I275" s="1613"/>
      <c r="J275" s="1613"/>
      <c r="K275" s="1613"/>
      <c r="L275" s="1613">
        <f>E275*9500</f>
        <v>66500</v>
      </c>
      <c r="M275" s="1613">
        <f>L275*0.85*0.8</f>
        <v>45220</v>
      </c>
      <c r="N275" s="1613">
        <v>2020.12</v>
      </c>
      <c r="O275" s="1286" t="s">
        <v>7169</v>
      </c>
      <c r="P275" s="1613" t="s">
        <v>7170</v>
      </c>
      <c r="Q275" s="1613">
        <v>17305372111</v>
      </c>
      <c r="R275" s="1613" t="s">
        <v>7171</v>
      </c>
      <c r="S275" s="1611" t="s">
        <v>7094</v>
      </c>
      <c r="T275" s="624"/>
    </row>
    <row r="276" spans="1:20" s="662" customFormat="1" ht="24" customHeight="1">
      <c r="A276" s="1616"/>
      <c r="B276" s="1611" t="s">
        <v>3717</v>
      </c>
      <c r="C276" s="1613"/>
      <c r="D276" s="1611"/>
      <c r="E276" s="1613"/>
      <c r="F276" s="1613"/>
      <c r="G276" s="1611"/>
      <c r="H276" s="1611"/>
      <c r="I276" s="1611"/>
      <c r="J276" s="1611"/>
      <c r="K276" s="1611"/>
      <c r="L276" s="1613"/>
      <c r="M276" s="1613"/>
      <c r="N276" s="1613"/>
      <c r="O276" s="1613"/>
      <c r="P276" s="1613"/>
      <c r="Q276" s="1613"/>
      <c r="R276" s="1611"/>
      <c r="S276" s="1611"/>
      <c r="T276" s="624"/>
    </row>
    <row r="277" spans="1:20" s="662" customFormat="1" ht="24" customHeight="1">
      <c r="A277" s="1613">
        <v>5</v>
      </c>
      <c r="B277" s="1613" t="s">
        <v>1097</v>
      </c>
      <c r="C277" s="1613"/>
      <c r="D277" s="1611"/>
      <c r="E277" s="1613"/>
      <c r="F277" s="1613"/>
      <c r="G277" s="1611"/>
      <c r="H277" s="1611"/>
      <c r="I277" s="1611"/>
      <c r="J277" s="1611"/>
      <c r="K277" s="1611"/>
      <c r="L277" s="1613"/>
      <c r="M277" s="1613"/>
      <c r="N277" s="1613"/>
      <c r="O277" s="1613"/>
      <c r="P277" s="1613"/>
      <c r="Q277" s="1613"/>
      <c r="R277" s="1611"/>
      <c r="S277" s="1611"/>
      <c r="T277" s="624"/>
    </row>
    <row r="278" spans="1:20" s="662" customFormat="1" ht="24" customHeight="1">
      <c r="A278" s="1613"/>
      <c r="B278" s="1613"/>
      <c r="C278" s="1613"/>
      <c r="D278" s="1611"/>
      <c r="E278" s="1613"/>
      <c r="F278" s="1613"/>
      <c r="G278" s="1611"/>
      <c r="H278" s="1611"/>
      <c r="I278" s="1611"/>
      <c r="J278" s="1611"/>
      <c r="K278" s="1611"/>
      <c r="L278" s="1613"/>
      <c r="M278" s="1613"/>
      <c r="N278" s="1613"/>
      <c r="O278" s="1613"/>
      <c r="P278" s="1613"/>
      <c r="Q278" s="1613"/>
      <c r="R278" s="1611"/>
      <c r="S278" s="1611"/>
      <c r="T278" s="624"/>
    </row>
    <row r="279" spans="1:20" s="662" customFormat="1" ht="24" customHeight="1">
      <c r="A279" s="1616">
        <v>6</v>
      </c>
      <c r="B279" s="1611" t="s">
        <v>1107</v>
      </c>
      <c r="C279" s="1613"/>
      <c r="D279" s="1611"/>
      <c r="E279" s="1613"/>
      <c r="F279" s="1613"/>
      <c r="G279" s="1611"/>
      <c r="H279" s="1611"/>
      <c r="I279" s="1611"/>
      <c r="J279" s="1611"/>
      <c r="K279" s="1611"/>
      <c r="L279" s="1613"/>
      <c r="M279" s="1613"/>
      <c r="N279" s="1613"/>
      <c r="O279" s="1613"/>
      <c r="P279" s="1613"/>
      <c r="Q279" s="1613"/>
      <c r="R279" s="1611"/>
      <c r="S279" s="1611"/>
      <c r="T279" s="624"/>
    </row>
    <row r="280" spans="1:20" s="662" customFormat="1" ht="24" customHeight="1">
      <c r="A280" s="1616"/>
      <c r="B280" s="1611" t="s">
        <v>3717</v>
      </c>
      <c r="C280" s="1613"/>
      <c r="D280" s="1611"/>
      <c r="E280" s="1613"/>
      <c r="F280" s="1613"/>
      <c r="G280" s="1611"/>
      <c r="H280" s="1611"/>
      <c r="I280" s="1611"/>
      <c r="J280" s="1611"/>
      <c r="K280" s="1611"/>
      <c r="L280" s="1613"/>
      <c r="M280" s="1613"/>
      <c r="N280" s="1613"/>
      <c r="O280" s="1613"/>
      <c r="P280" s="1613"/>
      <c r="Q280" s="1613"/>
      <c r="R280" s="1611"/>
      <c r="S280" s="1611"/>
      <c r="T280" s="624"/>
    </row>
    <row r="281" spans="1:20" s="662" customFormat="1" ht="24" customHeight="1">
      <c r="A281" s="1616" t="s">
        <v>1108</v>
      </c>
      <c r="B281" s="1611" t="s">
        <v>1109</v>
      </c>
      <c r="C281" s="1613"/>
      <c r="D281" s="1611"/>
      <c r="E281" s="1613"/>
      <c r="F281" s="1613"/>
      <c r="G281" s="1611"/>
      <c r="H281" s="1611"/>
      <c r="I281" s="1611"/>
      <c r="J281" s="1611"/>
      <c r="K281" s="1611"/>
      <c r="L281" s="1613"/>
      <c r="M281" s="1613"/>
      <c r="N281" s="1613"/>
      <c r="O281" s="1613"/>
      <c r="P281" s="1613"/>
      <c r="Q281" s="1613"/>
      <c r="R281" s="1611"/>
      <c r="S281" s="1611"/>
      <c r="T281" s="624"/>
    </row>
    <row r="282" spans="1:20" s="662" customFormat="1" ht="24" customHeight="1">
      <c r="A282" s="1616">
        <v>1</v>
      </c>
      <c r="B282" s="1611" t="s">
        <v>1110</v>
      </c>
      <c r="C282" s="1613"/>
      <c r="D282" s="1611"/>
      <c r="E282" s="1613"/>
      <c r="F282" s="1613"/>
      <c r="G282" s="1611"/>
      <c r="H282" s="1611"/>
      <c r="I282" s="1611"/>
      <c r="J282" s="1611"/>
      <c r="K282" s="1611"/>
      <c r="L282" s="1613"/>
      <c r="M282" s="1613"/>
      <c r="N282" s="1613"/>
      <c r="O282" s="1613"/>
      <c r="P282" s="1613"/>
      <c r="Q282" s="1613"/>
      <c r="R282" s="1611"/>
      <c r="S282" s="1611"/>
      <c r="T282" s="624"/>
    </row>
    <row r="283" spans="1:20" ht="24" customHeight="1">
      <c r="A283" s="1708"/>
      <c r="B283" s="1611" t="s">
        <v>3717</v>
      </c>
      <c r="C283" s="1613"/>
      <c r="D283" s="1611"/>
      <c r="E283" s="1613"/>
      <c r="F283" s="1613"/>
      <c r="G283" s="1611"/>
      <c r="H283" s="1611"/>
      <c r="I283" s="1611"/>
      <c r="J283" s="1611"/>
      <c r="K283" s="1611"/>
      <c r="L283" s="1613"/>
      <c r="M283" s="1613"/>
      <c r="N283" s="1613"/>
      <c r="O283" s="1286"/>
      <c r="P283" s="1613"/>
      <c r="Q283" s="1613"/>
      <c r="R283" s="1611"/>
      <c r="S283" s="1611"/>
      <c r="T283" s="1612"/>
    </row>
    <row r="284" spans="1:20" s="662" customFormat="1" ht="24" customHeight="1">
      <c r="A284" s="1616">
        <v>2</v>
      </c>
      <c r="B284" s="1611" t="s">
        <v>1146</v>
      </c>
      <c r="C284" s="1613"/>
      <c r="D284" s="1611"/>
      <c r="E284" s="1613"/>
      <c r="F284" s="1613"/>
      <c r="G284" s="1611"/>
      <c r="H284" s="1611"/>
      <c r="I284" s="1611"/>
      <c r="J284" s="1611"/>
      <c r="K284" s="1611"/>
      <c r="L284" s="1613"/>
      <c r="M284" s="1613"/>
      <c r="N284" s="1613"/>
      <c r="O284" s="1286"/>
      <c r="P284" s="1613"/>
      <c r="Q284" s="1613"/>
      <c r="R284" s="1611"/>
      <c r="S284" s="1611"/>
      <c r="T284" s="624"/>
    </row>
    <row r="285" spans="1:20" s="662" customFormat="1" ht="24" customHeight="1">
      <c r="A285" s="1616"/>
      <c r="B285" s="1611" t="s">
        <v>3717</v>
      </c>
      <c r="C285" s="43"/>
      <c r="D285" s="1611"/>
      <c r="E285" s="1613"/>
      <c r="F285" s="1613"/>
      <c r="G285" s="1611"/>
      <c r="H285" s="1611"/>
      <c r="I285" s="1611"/>
      <c r="J285" s="1611"/>
      <c r="K285" s="1611"/>
      <c r="L285" s="1613"/>
      <c r="M285" s="1613"/>
      <c r="N285" s="1613"/>
      <c r="O285" s="1286"/>
      <c r="P285" s="1613"/>
      <c r="Q285" s="1613"/>
      <c r="R285" s="1611"/>
      <c r="S285" s="1611"/>
      <c r="T285" s="624"/>
    </row>
    <row r="286" spans="1:20" s="662" customFormat="1" ht="24" customHeight="1">
      <c r="A286" s="1616">
        <v>3</v>
      </c>
      <c r="B286" s="1611" t="s">
        <v>1147</v>
      </c>
      <c r="C286" s="43"/>
      <c r="D286" s="1611"/>
      <c r="E286" s="1613"/>
      <c r="F286" s="1613"/>
      <c r="G286" s="1611"/>
      <c r="H286" s="1611"/>
      <c r="I286" s="1611"/>
      <c r="J286" s="1611"/>
      <c r="K286" s="1611"/>
      <c r="L286" s="1613"/>
      <c r="M286" s="1613"/>
      <c r="N286" s="1613"/>
      <c r="O286" s="1286"/>
      <c r="P286" s="1613"/>
      <c r="Q286" s="1613"/>
      <c r="R286" s="1611"/>
      <c r="S286" s="1611"/>
      <c r="T286" s="624"/>
    </row>
    <row r="287" spans="1:20" s="662" customFormat="1" ht="24" customHeight="1">
      <c r="A287" s="1616"/>
      <c r="B287" s="1611" t="s">
        <v>3717</v>
      </c>
      <c r="C287" s="1613"/>
      <c r="D287" s="1611"/>
      <c r="E287" s="1613"/>
      <c r="F287" s="1613"/>
      <c r="G287" s="1611"/>
      <c r="H287" s="1611"/>
      <c r="I287" s="1611"/>
      <c r="J287" s="1611"/>
      <c r="K287" s="1611"/>
      <c r="L287" s="1613"/>
      <c r="M287" s="1613"/>
      <c r="N287" s="1613"/>
      <c r="O287" s="1286"/>
      <c r="P287" s="1613"/>
      <c r="Q287" s="1613"/>
      <c r="R287" s="1611"/>
      <c r="S287" s="1611"/>
      <c r="T287" s="624"/>
    </row>
    <row r="288" spans="1:20" s="662" customFormat="1" ht="24" customHeight="1">
      <c r="A288" s="1616" t="s">
        <v>1151</v>
      </c>
      <c r="B288" s="1611" t="s">
        <v>1152</v>
      </c>
      <c r="C288" s="1613"/>
      <c r="D288" s="1611"/>
      <c r="E288" s="1613"/>
      <c r="F288" s="1613"/>
      <c r="G288" s="1611"/>
      <c r="H288" s="1611"/>
      <c r="I288" s="1611"/>
      <c r="J288" s="1611"/>
      <c r="K288" s="1611"/>
      <c r="L288" s="1613"/>
      <c r="M288" s="1613"/>
      <c r="N288" s="1613"/>
      <c r="O288" s="1613"/>
      <c r="P288" s="1613"/>
      <c r="Q288" s="1613"/>
      <c r="R288" s="1611"/>
      <c r="S288" s="1611"/>
      <c r="T288" s="624"/>
    </row>
    <row r="289" spans="1:20" s="662" customFormat="1" ht="24" customHeight="1">
      <c r="A289" s="1616">
        <v>1</v>
      </c>
      <c r="B289" s="1611" t="s">
        <v>1153</v>
      </c>
      <c r="C289" s="1613"/>
      <c r="D289" s="1611"/>
      <c r="E289" s="1613"/>
      <c r="F289" s="1613"/>
      <c r="G289" s="1611"/>
      <c r="H289" s="1611"/>
      <c r="I289" s="1611"/>
      <c r="J289" s="1611"/>
      <c r="K289" s="1611"/>
      <c r="L289" s="1613"/>
      <c r="M289" s="1613"/>
      <c r="N289" s="1613"/>
      <c r="O289" s="1613"/>
      <c r="P289" s="1613"/>
      <c r="Q289" s="1613"/>
      <c r="R289" s="1611"/>
      <c r="S289" s="1611"/>
      <c r="T289" s="624"/>
    </row>
    <row r="290" spans="1:20" s="662" customFormat="1" ht="24" customHeight="1">
      <c r="A290" s="1616"/>
      <c r="B290" s="1611" t="s">
        <v>3717</v>
      </c>
      <c r="C290" s="1613"/>
      <c r="D290" s="1611"/>
      <c r="E290" s="1613"/>
      <c r="F290" s="1613"/>
      <c r="G290" s="1611"/>
      <c r="H290" s="1611"/>
      <c r="I290" s="1611"/>
      <c r="J290" s="1611"/>
      <c r="K290" s="1611"/>
      <c r="L290" s="1613"/>
      <c r="M290" s="1613"/>
      <c r="N290" s="1613"/>
      <c r="O290" s="1613"/>
      <c r="P290" s="1613"/>
      <c r="Q290" s="1613"/>
      <c r="R290" s="1611"/>
      <c r="S290" s="1611"/>
      <c r="T290" s="624"/>
    </row>
    <row r="291" spans="1:20" s="662" customFormat="1" ht="24" customHeight="1">
      <c r="A291" s="1616">
        <v>2</v>
      </c>
      <c r="B291" s="1611" t="s">
        <v>1158</v>
      </c>
      <c r="C291" s="1613"/>
      <c r="D291" s="1611"/>
      <c r="E291" s="1613"/>
      <c r="F291" s="1613"/>
      <c r="G291" s="1611"/>
      <c r="H291" s="1611"/>
      <c r="I291" s="1611"/>
      <c r="J291" s="1611"/>
      <c r="K291" s="1611"/>
      <c r="L291" s="1613"/>
      <c r="M291" s="1613"/>
      <c r="N291" s="1613"/>
      <c r="O291" s="1613"/>
      <c r="P291" s="1613"/>
      <c r="Q291" s="1613"/>
      <c r="R291" s="1611"/>
      <c r="S291" s="1611"/>
      <c r="T291" s="624"/>
    </row>
    <row r="292" spans="1:20" s="662" customFormat="1" ht="24" customHeight="1">
      <c r="A292" s="1616"/>
      <c r="B292" s="1611" t="s">
        <v>3717</v>
      </c>
      <c r="C292" s="1613"/>
      <c r="D292" s="1611"/>
      <c r="E292" s="1613"/>
      <c r="F292" s="1613"/>
      <c r="G292" s="1611"/>
      <c r="H292" s="1611"/>
      <c r="I292" s="1611"/>
      <c r="J292" s="1611"/>
      <c r="K292" s="1611"/>
      <c r="L292" s="1613"/>
      <c r="M292" s="1613"/>
      <c r="N292" s="1613"/>
      <c r="O292" s="1613"/>
      <c r="P292" s="1613"/>
      <c r="Q292" s="1613"/>
      <c r="R292" s="1611"/>
      <c r="S292" s="1611"/>
      <c r="T292" s="624"/>
    </row>
    <row r="293" spans="1:20" s="662" customFormat="1" ht="24" customHeight="1">
      <c r="A293" s="1709" t="s">
        <v>1159</v>
      </c>
      <c r="B293" s="1710" t="s">
        <v>1160</v>
      </c>
      <c r="C293" s="1613"/>
      <c r="D293" s="1611"/>
      <c r="E293" s="1613"/>
      <c r="F293" s="1613"/>
      <c r="G293" s="1611"/>
      <c r="H293" s="1611"/>
      <c r="I293" s="1611"/>
      <c r="J293" s="1611"/>
      <c r="K293" s="1611"/>
      <c r="L293" s="1613"/>
      <c r="M293" s="1613"/>
      <c r="N293" s="1613"/>
      <c r="O293" s="1613"/>
      <c r="P293" s="1613"/>
      <c r="Q293" s="1613"/>
      <c r="R293" s="1611"/>
      <c r="S293" s="1611"/>
      <c r="T293" s="624"/>
    </row>
    <row r="294" spans="1:20" s="662" customFormat="1" ht="24" customHeight="1">
      <c r="A294" s="1616">
        <v>1</v>
      </c>
      <c r="B294" s="1611" t="s">
        <v>1161</v>
      </c>
      <c r="C294" s="1613"/>
      <c r="D294" s="1611"/>
      <c r="E294" s="1613"/>
      <c r="F294" s="1613"/>
      <c r="G294" s="1611"/>
      <c r="H294" s="1611"/>
      <c r="I294" s="1611"/>
      <c r="J294" s="1611"/>
      <c r="K294" s="1611"/>
      <c r="L294" s="1613"/>
      <c r="M294" s="1613"/>
      <c r="N294" s="1613"/>
      <c r="O294" s="1613"/>
      <c r="P294" s="1613"/>
      <c r="Q294" s="1613"/>
      <c r="R294" s="1611"/>
      <c r="S294" s="1611"/>
      <c r="T294" s="624"/>
    </row>
    <row r="295" spans="1:20" s="662" customFormat="1" ht="24" customHeight="1">
      <c r="A295" s="1616"/>
      <c r="B295" s="1611" t="s">
        <v>3717</v>
      </c>
      <c r="C295" s="1613"/>
      <c r="D295" s="1611"/>
      <c r="E295" s="1613"/>
      <c r="F295" s="1613"/>
      <c r="G295" s="1611"/>
      <c r="H295" s="1611"/>
      <c r="I295" s="1611"/>
      <c r="J295" s="1611"/>
      <c r="K295" s="1611"/>
      <c r="L295" s="1613"/>
      <c r="M295" s="1613"/>
      <c r="N295" s="1613"/>
      <c r="O295" s="1613"/>
      <c r="P295" s="1613"/>
      <c r="Q295" s="1613"/>
      <c r="R295" s="1611"/>
      <c r="S295" s="1611"/>
      <c r="T295" s="624"/>
    </row>
    <row r="296" spans="1:20" s="662" customFormat="1" ht="24" customHeight="1">
      <c r="A296" s="1616">
        <v>2</v>
      </c>
      <c r="B296" s="1611" t="s">
        <v>1162</v>
      </c>
      <c r="C296" s="1613"/>
      <c r="D296" s="1611"/>
      <c r="E296" s="1613"/>
      <c r="F296" s="1613"/>
      <c r="G296" s="1611"/>
      <c r="H296" s="1611"/>
      <c r="I296" s="1611"/>
      <c r="J296" s="1611"/>
      <c r="K296" s="1611"/>
      <c r="L296" s="1613"/>
      <c r="M296" s="1613"/>
      <c r="N296" s="1613"/>
      <c r="O296" s="1613"/>
      <c r="P296" s="1613"/>
      <c r="Q296" s="1613"/>
      <c r="R296" s="1611"/>
      <c r="S296" s="1611"/>
      <c r="T296" s="624"/>
    </row>
    <row r="297" spans="1:20" s="662" customFormat="1" ht="24" customHeight="1">
      <c r="A297" s="1616" t="s">
        <v>2182</v>
      </c>
      <c r="B297" s="1611" t="s">
        <v>7410</v>
      </c>
      <c r="C297" s="1613" t="s">
        <v>7411</v>
      </c>
      <c r="D297" s="1613" t="s">
        <v>79</v>
      </c>
      <c r="E297" s="1613">
        <v>67</v>
      </c>
      <c r="F297" s="1613">
        <v>100.5</v>
      </c>
      <c r="G297" s="1613" t="s">
        <v>32</v>
      </c>
      <c r="H297" s="1613" t="s">
        <v>33</v>
      </c>
      <c r="I297" s="1613"/>
      <c r="J297" s="1613" t="s">
        <v>7143</v>
      </c>
      <c r="K297" s="1613" t="s">
        <v>7143</v>
      </c>
      <c r="L297" s="1711">
        <v>959759.89</v>
      </c>
      <c r="M297" s="1711">
        <v>346579.89</v>
      </c>
      <c r="N297" s="1613"/>
      <c r="O297" s="1613" t="s">
        <v>7412</v>
      </c>
      <c r="P297" s="1287" t="s">
        <v>7413</v>
      </c>
      <c r="Q297" s="1286">
        <v>18141929773</v>
      </c>
      <c r="R297" s="1286" t="s">
        <v>7143</v>
      </c>
      <c r="S297" s="1613" t="s">
        <v>7094</v>
      </c>
      <c r="T297" s="1712" t="s">
        <v>7414</v>
      </c>
    </row>
    <row r="298" spans="1:20" s="662" customFormat="1" ht="24" customHeight="1">
      <c r="A298" s="1616" t="s">
        <v>2191</v>
      </c>
      <c r="B298" s="1611" t="s">
        <v>7415</v>
      </c>
      <c r="C298" s="1613" t="s">
        <v>7411</v>
      </c>
      <c r="D298" s="1613" t="s">
        <v>79</v>
      </c>
      <c r="E298" s="1613">
        <v>112</v>
      </c>
      <c r="F298" s="1613">
        <f>1.5*E298</f>
        <v>168</v>
      </c>
      <c r="G298" s="1613" t="s">
        <v>32</v>
      </c>
      <c r="H298" s="1613" t="s">
        <v>33</v>
      </c>
      <c r="I298" s="1613"/>
      <c r="J298" s="1613" t="s">
        <v>7143</v>
      </c>
      <c r="K298" s="1613" t="s">
        <v>7143</v>
      </c>
      <c r="L298" s="1711">
        <v>2239439.7400000002</v>
      </c>
      <c r="M298" s="1711">
        <v>808686.79</v>
      </c>
      <c r="N298" s="1613"/>
      <c r="O298" s="1613" t="s">
        <v>4092</v>
      </c>
      <c r="P298" s="1287" t="s">
        <v>7413</v>
      </c>
      <c r="Q298" s="1286">
        <v>18141929773</v>
      </c>
      <c r="R298" s="1286" t="s">
        <v>7143</v>
      </c>
      <c r="S298" s="1613" t="s">
        <v>7094</v>
      </c>
      <c r="T298" s="1712" t="s">
        <v>7414</v>
      </c>
    </row>
    <row r="299" spans="1:20" s="662" customFormat="1" ht="24" customHeight="1">
      <c r="A299" s="1616"/>
      <c r="B299" s="1611" t="s">
        <v>3717</v>
      </c>
      <c r="C299" s="1613"/>
      <c r="D299" s="1611"/>
      <c r="E299" s="1613"/>
      <c r="F299" s="1613"/>
      <c r="G299" s="1611"/>
      <c r="H299" s="1611"/>
      <c r="I299" s="1611"/>
      <c r="J299" s="1611"/>
      <c r="K299" s="1611"/>
      <c r="L299" s="1613"/>
      <c r="M299" s="1613"/>
      <c r="N299" s="1613"/>
      <c r="O299" s="1613"/>
      <c r="P299" s="1613"/>
      <c r="Q299" s="1286"/>
      <c r="R299" s="1611"/>
      <c r="S299" s="1611"/>
      <c r="T299" s="624"/>
    </row>
    <row r="300" spans="1:20" s="662" customFormat="1" ht="24" customHeight="1">
      <c r="A300" s="1616">
        <v>3</v>
      </c>
      <c r="B300" s="1611" t="s">
        <v>1362</v>
      </c>
      <c r="C300" s="1613"/>
      <c r="D300" s="1611"/>
      <c r="E300" s="1613"/>
      <c r="F300" s="1613"/>
      <c r="G300" s="1611"/>
      <c r="H300" s="1611"/>
      <c r="I300" s="1611"/>
      <c r="J300" s="1611"/>
      <c r="K300" s="1611"/>
      <c r="L300" s="1613"/>
      <c r="M300" s="1613"/>
      <c r="N300" s="1613"/>
      <c r="O300" s="1613"/>
      <c r="P300" s="1613"/>
      <c r="Q300" s="1613"/>
      <c r="R300" s="1611"/>
      <c r="S300" s="1611"/>
      <c r="T300" s="624"/>
    </row>
    <row r="301" spans="1:20" s="662" customFormat="1" ht="24" customHeight="1">
      <c r="A301" s="1616"/>
      <c r="B301" s="1611" t="s">
        <v>3717</v>
      </c>
      <c r="C301" s="1613"/>
      <c r="D301" s="1611"/>
      <c r="E301" s="1613"/>
      <c r="F301" s="1613"/>
      <c r="G301" s="1611"/>
      <c r="H301" s="1611"/>
      <c r="I301" s="1611"/>
      <c r="J301" s="1611"/>
      <c r="K301" s="1611"/>
      <c r="L301" s="1613"/>
      <c r="M301" s="1613"/>
      <c r="N301" s="1613"/>
      <c r="O301" s="1613"/>
      <c r="P301" s="1613"/>
      <c r="Q301" s="1613"/>
      <c r="R301" s="1611"/>
      <c r="S301" s="1611"/>
      <c r="T301" s="624"/>
    </row>
    <row r="302" spans="1:20" s="662" customFormat="1" ht="24" customHeight="1">
      <c r="A302" s="1709" t="s">
        <v>1439</v>
      </c>
      <c r="B302" s="1710" t="s">
        <v>3366</v>
      </c>
      <c r="C302" s="1613"/>
      <c r="D302" s="1611"/>
      <c r="E302" s="1613"/>
      <c r="F302" s="1613"/>
      <c r="G302" s="1611"/>
      <c r="H302" s="1611"/>
      <c r="I302" s="1611"/>
      <c r="J302" s="1611"/>
      <c r="K302" s="1611"/>
      <c r="L302" s="1613"/>
      <c r="M302" s="1613"/>
      <c r="N302" s="1613"/>
      <c r="O302" s="1613"/>
      <c r="P302" s="1613"/>
      <c r="Q302" s="1613"/>
      <c r="R302" s="1611"/>
      <c r="S302" s="1611"/>
      <c r="T302" s="624"/>
    </row>
    <row r="303" spans="1:20" s="662" customFormat="1" ht="24" customHeight="1">
      <c r="A303" s="1613">
        <v>1</v>
      </c>
      <c r="B303" s="1613" t="s">
        <v>7416</v>
      </c>
      <c r="C303" s="1610" t="s">
        <v>7417</v>
      </c>
      <c r="D303" s="1613" t="s">
        <v>464</v>
      </c>
      <c r="E303" s="1613">
        <v>2100</v>
      </c>
      <c r="F303" s="1613"/>
      <c r="G303" s="1613" t="s">
        <v>32</v>
      </c>
      <c r="H303" s="1613" t="s">
        <v>41</v>
      </c>
      <c r="I303" s="1613"/>
      <c r="J303" s="1613"/>
      <c r="K303" s="1965" t="s">
        <v>7418</v>
      </c>
      <c r="L303" s="1613"/>
      <c r="M303" s="1613"/>
      <c r="N303" s="1613">
        <v>2017</v>
      </c>
      <c r="O303" s="1610" t="s">
        <v>7419</v>
      </c>
      <c r="P303" s="1613" t="s">
        <v>7420</v>
      </c>
      <c r="Q303" s="1613">
        <v>13678622298</v>
      </c>
      <c r="R303" s="1610" t="s">
        <v>7421</v>
      </c>
      <c r="S303" s="1613" t="s">
        <v>7094</v>
      </c>
      <c r="T303" s="624"/>
    </row>
    <row r="304" spans="1:20" s="662" customFormat="1" ht="24" customHeight="1">
      <c r="A304" s="1613">
        <v>2</v>
      </c>
      <c r="B304" s="1613" t="s">
        <v>4640</v>
      </c>
      <c r="C304" s="1613" t="s">
        <v>7422</v>
      </c>
      <c r="D304" s="1613" t="s">
        <v>464</v>
      </c>
      <c r="E304" s="1613">
        <v>670</v>
      </c>
      <c r="F304" s="1613"/>
      <c r="G304" s="1613" t="s">
        <v>32</v>
      </c>
      <c r="H304" s="1613" t="s">
        <v>41</v>
      </c>
      <c r="I304" s="1613"/>
      <c r="J304" s="1613"/>
      <c r="K304" s="1966"/>
      <c r="L304" s="1613"/>
      <c r="M304" s="1613"/>
      <c r="N304" s="1613">
        <v>2017</v>
      </c>
      <c r="O304" s="1610" t="s">
        <v>7419</v>
      </c>
      <c r="P304" s="1613" t="s">
        <v>7420</v>
      </c>
      <c r="Q304" s="1613">
        <v>13678622298</v>
      </c>
      <c r="R304" s="1610" t="s">
        <v>7421</v>
      </c>
      <c r="S304" s="1613" t="s">
        <v>7094</v>
      </c>
      <c r="T304" s="624"/>
    </row>
    <row r="305" spans="1:20" s="662" customFormat="1" ht="24" customHeight="1">
      <c r="A305" s="1613">
        <v>3</v>
      </c>
      <c r="B305" s="1713" t="s">
        <v>7423</v>
      </c>
      <c r="C305" s="1641" t="s">
        <v>7424</v>
      </c>
      <c r="D305" s="1613" t="s">
        <v>1477</v>
      </c>
      <c r="E305" s="1642">
        <v>2</v>
      </c>
      <c r="F305" s="1642"/>
      <c r="G305" s="1613" t="s">
        <v>32</v>
      </c>
      <c r="H305" s="1613" t="s">
        <v>41</v>
      </c>
      <c r="I305" s="1613"/>
      <c r="J305" s="1613"/>
      <c r="K305" s="1965" t="s">
        <v>7425</v>
      </c>
      <c r="L305" s="1613">
        <v>5320</v>
      </c>
      <c r="M305" s="1688"/>
      <c r="N305" s="1616" t="s">
        <v>7426</v>
      </c>
      <c r="O305" s="1610" t="s">
        <v>7427</v>
      </c>
      <c r="P305" s="1613" t="s">
        <v>7420</v>
      </c>
      <c r="Q305" s="1613">
        <v>13678622298</v>
      </c>
      <c r="R305" s="1610" t="s">
        <v>7421</v>
      </c>
      <c r="S305" s="1613" t="s">
        <v>7094</v>
      </c>
      <c r="T305" s="624"/>
    </row>
    <row r="306" spans="1:20" s="766" customFormat="1" ht="24" customHeight="1">
      <c r="A306" s="1613">
        <v>4</v>
      </c>
      <c r="B306" s="1713" t="s">
        <v>7423</v>
      </c>
      <c r="C306" s="1641" t="s">
        <v>7428</v>
      </c>
      <c r="D306" s="1613" t="s">
        <v>1477</v>
      </c>
      <c r="E306" s="1642">
        <v>2</v>
      </c>
      <c r="F306" s="1642"/>
      <c r="G306" s="1613" t="s">
        <v>32</v>
      </c>
      <c r="H306" s="1613" t="s">
        <v>41</v>
      </c>
      <c r="I306" s="1613"/>
      <c r="J306" s="1613"/>
      <c r="K306" s="1967"/>
      <c r="L306" s="1613">
        <v>1100</v>
      </c>
      <c r="M306" s="1688"/>
      <c r="N306" s="1616" t="s">
        <v>7426</v>
      </c>
      <c r="O306" s="1610" t="s">
        <v>7427</v>
      </c>
      <c r="P306" s="1613" t="s">
        <v>7420</v>
      </c>
      <c r="Q306" s="1613">
        <v>13678622299</v>
      </c>
      <c r="R306" s="1610" t="s">
        <v>7421</v>
      </c>
      <c r="S306" s="1613" t="s">
        <v>7094</v>
      </c>
      <c r="T306" s="1628"/>
    </row>
    <row r="307" spans="1:20" s="766" customFormat="1" ht="24" customHeight="1">
      <c r="A307" s="1613">
        <v>5</v>
      </c>
      <c r="B307" s="1713" t="s">
        <v>7423</v>
      </c>
      <c r="C307" s="1641" t="s">
        <v>7429</v>
      </c>
      <c r="D307" s="1613" t="s">
        <v>1477</v>
      </c>
      <c r="E307" s="1642">
        <v>2</v>
      </c>
      <c r="F307" s="1642"/>
      <c r="G307" s="1613" t="s">
        <v>32</v>
      </c>
      <c r="H307" s="1613" t="s">
        <v>41</v>
      </c>
      <c r="I307" s="1613"/>
      <c r="J307" s="1613"/>
      <c r="K307" s="1967"/>
      <c r="L307" s="1613">
        <v>1100</v>
      </c>
      <c r="M307" s="1688"/>
      <c r="N307" s="1616" t="s">
        <v>7426</v>
      </c>
      <c r="O307" s="1610" t="s">
        <v>7427</v>
      </c>
      <c r="P307" s="1613" t="s">
        <v>7420</v>
      </c>
      <c r="Q307" s="1613">
        <v>13678622300</v>
      </c>
      <c r="R307" s="1610" t="s">
        <v>7421</v>
      </c>
      <c r="S307" s="1613" t="s">
        <v>7094</v>
      </c>
      <c r="T307" s="1628"/>
    </row>
    <row r="308" spans="1:20" s="766" customFormat="1" ht="24" customHeight="1">
      <c r="A308" s="1613">
        <v>6</v>
      </c>
      <c r="B308" s="1713" t="s">
        <v>7430</v>
      </c>
      <c r="C308" s="1641" t="s">
        <v>7431</v>
      </c>
      <c r="D308" s="1613" t="s">
        <v>1477</v>
      </c>
      <c r="E308" s="1642">
        <v>4</v>
      </c>
      <c r="F308" s="1642"/>
      <c r="G308" s="1613" t="s">
        <v>32</v>
      </c>
      <c r="H308" s="1613" t="s">
        <v>41</v>
      </c>
      <c r="I308" s="1613"/>
      <c r="J308" s="1613"/>
      <c r="K308" s="1967"/>
      <c r="L308" s="1613">
        <v>4260</v>
      </c>
      <c r="M308" s="1688"/>
      <c r="N308" s="1616" t="s">
        <v>7426</v>
      </c>
      <c r="O308" s="1610" t="s">
        <v>7427</v>
      </c>
      <c r="P308" s="1613" t="s">
        <v>7420</v>
      </c>
      <c r="Q308" s="1613">
        <v>13678622301</v>
      </c>
      <c r="R308" s="1610" t="s">
        <v>7421</v>
      </c>
      <c r="S308" s="1613" t="s">
        <v>7094</v>
      </c>
      <c r="T308" s="1628"/>
    </row>
    <row r="309" spans="1:20" s="766" customFormat="1" ht="24" customHeight="1">
      <c r="A309" s="1613">
        <v>7</v>
      </c>
      <c r="B309" s="1713" t="s">
        <v>7432</v>
      </c>
      <c r="C309" s="1641" t="s">
        <v>7433</v>
      </c>
      <c r="D309" s="1613" t="s">
        <v>79</v>
      </c>
      <c r="E309" s="1642">
        <v>1</v>
      </c>
      <c r="F309" s="1642"/>
      <c r="G309" s="1613" t="s">
        <v>32</v>
      </c>
      <c r="H309" s="1613" t="s">
        <v>41</v>
      </c>
      <c r="I309" s="1613"/>
      <c r="J309" s="1613"/>
      <c r="K309" s="1967"/>
      <c r="L309" s="1613">
        <v>21000</v>
      </c>
      <c r="M309" s="1688"/>
      <c r="N309" s="1616" t="s">
        <v>7426</v>
      </c>
      <c r="O309" s="1610" t="s">
        <v>7427</v>
      </c>
      <c r="P309" s="1613" t="s">
        <v>7420</v>
      </c>
      <c r="Q309" s="1613">
        <v>13678622302</v>
      </c>
      <c r="R309" s="1610" t="s">
        <v>7421</v>
      </c>
      <c r="S309" s="1613" t="s">
        <v>7094</v>
      </c>
      <c r="T309" s="1628"/>
    </row>
    <row r="310" spans="1:20" s="766" customFormat="1" ht="24" customHeight="1">
      <c r="A310" s="1613">
        <v>8</v>
      </c>
      <c r="B310" s="1713" t="s">
        <v>7434</v>
      </c>
      <c r="C310" s="1641" t="s">
        <v>7435</v>
      </c>
      <c r="D310" s="1613" t="s">
        <v>1477</v>
      </c>
      <c r="E310" s="1642">
        <v>6</v>
      </c>
      <c r="F310" s="1642"/>
      <c r="G310" s="1613" t="s">
        <v>32</v>
      </c>
      <c r="H310" s="1613" t="s">
        <v>41</v>
      </c>
      <c r="I310" s="1613"/>
      <c r="J310" s="1613"/>
      <c r="K310" s="1967"/>
      <c r="L310" s="1613">
        <v>1580</v>
      </c>
      <c r="M310" s="1688"/>
      <c r="N310" s="1616" t="s">
        <v>7426</v>
      </c>
      <c r="O310" s="1610" t="s">
        <v>7427</v>
      </c>
      <c r="P310" s="1613" t="s">
        <v>7420</v>
      </c>
      <c r="Q310" s="1613">
        <v>13678622303</v>
      </c>
      <c r="R310" s="1610" t="s">
        <v>7421</v>
      </c>
      <c r="S310" s="1613" t="s">
        <v>7094</v>
      </c>
      <c r="T310" s="1628"/>
    </row>
    <row r="311" spans="1:20" s="766" customFormat="1" ht="24" customHeight="1">
      <c r="A311" s="1613">
        <v>9</v>
      </c>
      <c r="B311" s="1713" t="s">
        <v>7436</v>
      </c>
      <c r="C311" s="1641"/>
      <c r="D311" s="1613" t="s">
        <v>131</v>
      </c>
      <c r="E311" s="1642">
        <v>1</v>
      </c>
      <c r="F311" s="1642"/>
      <c r="G311" s="1613" t="s">
        <v>32</v>
      </c>
      <c r="H311" s="1613" t="s">
        <v>41</v>
      </c>
      <c r="I311" s="1613"/>
      <c r="J311" s="1613"/>
      <c r="K311" s="1967"/>
      <c r="L311" s="1613">
        <v>1500</v>
      </c>
      <c r="M311" s="1688"/>
      <c r="N311" s="1616" t="s">
        <v>7426</v>
      </c>
      <c r="O311" s="1610" t="s">
        <v>7427</v>
      </c>
      <c r="P311" s="1613" t="s">
        <v>7420</v>
      </c>
      <c r="Q311" s="1613">
        <v>13678622304</v>
      </c>
      <c r="R311" s="1610" t="s">
        <v>7421</v>
      </c>
      <c r="S311" s="1613" t="s">
        <v>7094</v>
      </c>
      <c r="T311" s="1628"/>
    </row>
    <row r="312" spans="1:20" s="766" customFormat="1" ht="24" customHeight="1">
      <c r="A312" s="1613">
        <v>10</v>
      </c>
      <c r="B312" s="1713" t="s">
        <v>7437</v>
      </c>
      <c r="C312" s="1641"/>
      <c r="D312" s="1613" t="s">
        <v>131</v>
      </c>
      <c r="E312" s="1642">
        <v>4</v>
      </c>
      <c r="F312" s="1642"/>
      <c r="G312" s="1613" t="s">
        <v>32</v>
      </c>
      <c r="H312" s="1613" t="s">
        <v>41</v>
      </c>
      <c r="I312" s="1613"/>
      <c r="J312" s="1613"/>
      <c r="K312" s="1967"/>
      <c r="L312" s="1613">
        <v>3500</v>
      </c>
      <c r="M312" s="1688"/>
      <c r="N312" s="1616" t="s">
        <v>7426</v>
      </c>
      <c r="O312" s="1610" t="s">
        <v>7427</v>
      </c>
      <c r="P312" s="1613" t="s">
        <v>7420</v>
      </c>
      <c r="Q312" s="1613">
        <v>13678622305</v>
      </c>
      <c r="R312" s="1610" t="s">
        <v>7421</v>
      </c>
      <c r="S312" s="1613" t="s">
        <v>7094</v>
      </c>
      <c r="T312" s="1628"/>
    </row>
    <row r="313" spans="1:20" s="766" customFormat="1" ht="24" customHeight="1">
      <c r="A313" s="1613">
        <v>11</v>
      </c>
      <c r="B313" s="1713" t="s">
        <v>1516</v>
      </c>
      <c r="C313" s="1641" t="s">
        <v>7438</v>
      </c>
      <c r="D313" s="1613" t="s">
        <v>161</v>
      </c>
      <c r="E313" s="1642">
        <v>100</v>
      </c>
      <c r="F313" s="1642"/>
      <c r="G313" s="1613" t="s">
        <v>32</v>
      </c>
      <c r="H313" s="1613" t="s">
        <v>41</v>
      </c>
      <c r="I313" s="1613"/>
      <c r="J313" s="1613"/>
      <c r="K313" s="1967"/>
      <c r="L313" s="1613">
        <v>5500</v>
      </c>
      <c r="M313" s="1688"/>
      <c r="N313" s="1616" t="s">
        <v>7426</v>
      </c>
      <c r="O313" s="1610" t="s">
        <v>7427</v>
      </c>
      <c r="P313" s="1613" t="s">
        <v>7420</v>
      </c>
      <c r="Q313" s="1613">
        <v>13678622306</v>
      </c>
      <c r="R313" s="1610" t="s">
        <v>7421</v>
      </c>
      <c r="S313" s="1613" t="s">
        <v>7094</v>
      </c>
      <c r="T313" s="1628"/>
    </row>
    <row r="314" spans="1:20" s="766" customFormat="1" ht="24" customHeight="1">
      <c r="A314" s="1613">
        <v>12</v>
      </c>
      <c r="B314" s="1713" t="s">
        <v>1516</v>
      </c>
      <c r="C314" s="1641" t="s">
        <v>6800</v>
      </c>
      <c r="D314" s="1613" t="s">
        <v>161</v>
      </c>
      <c r="E314" s="1642">
        <v>100</v>
      </c>
      <c r="F314" s="1642"/>
      <c r="G314" s="1613" t="s">
        <v>32</v>
      </c>
      <c r="H314" s="1613" t="s">
        <v>41</v>
      </c>
      <c r="I314" s="1613"/>
      <c r="J314" s="1613"/>
      <c r="K314" s="1966"/>
      <c r="L314" s="1613">
        <v>3250</v>
      </c>
      <c r="M314" s="1688"/>
      <c r="N314" s="1616" t="s">
        <v>7426</v>
      </c>
      <c r="O314" s="1610" t="s">
        <v>7427</v>
      </c>
      <c r="P314" s="1613" t="s">
        <v>7420</v>
      </c>
      <c r="Q314" s="1613">
        <v>13678622307</v>
      </c>
      <c r="R314" s="1610" t="s">
        <v>7421</v>
      </c>
      <c r="S314" s="1613" t="s">
        <v>7094</v>
      </c>
      <c r="T314" s="1628"/>
    </row>
    <row r="315" spans="1:20" s="766" customFormat="1" ht="24" customHeight="1">
      <c r="A315" s="1613">
        <v>13</v>
      </c>
      <c r="B315" s="1713" t="s">
        <v>7423</v>
      </c>
      <c r="C315" s="1641"/>
      <c r="D315" s="1613" t="s">
        <v>1477</v>
      </c>
      <c r="E315" s="1642"/>
      <c r="F315" s="1642"/>
      <c r="G315" s="1613"/>
      <c r="H315" s="1613"/>
      <c r="I315" s="1613"/>
      <c r="J315" s="1613"/>
      <c r="K315" s="1613"/>
      <c r="L315" s="1613"/>
      <c r="M315" s="1688"/>
      <c r="N315" s="1616"/>
      <c r="O315" s="1610"/>
      <c r="P315" s="1613"/>
      <c r="Q315" s="1613"/>
      <c r="R315" s="1613"/>
      <c r="S315" s="1613" t="s">
        <v>7094</v>
      </c>
      <c r="T315" s="1628"/>
    </row>
    <row r="316" spans="1:20" s="766" customFormat="1" ht="24" customHeight="1">
      <c r="A316" s="1613">
        <v>14</v>
      </c>
      <c r="B316" s="1690" t="s">
        <v>7439</v>
      </c>
      <c r="C316" s="1641"/>
      <c r="D316" s="1613" t="s">
        <v>79</v>
      </c>
      <c r="E316" s="1685"/>
      <c r="F316" s="1685"/>
      <c r="G316" s="1613"/>
      <c r="H316" s="1613"/>
      <c r="I316" s="1613"/>
      <c r="J316" s="1613"/>
      <c r="K316" s="1613"/>
      <c r="L316" s="1613"/>
      <c r="M316" s="1689"/>
      <c r="N316" s="1616"/>
      <c r="O316" s="1610"/>
      <c r="P316" s="1613"/>
      <c r="Q316" s="1613"/>
      <c r="R316" s="1613"/>
      <c r="S316" s="1613" t="s">
        <v>7094</v>
      </c>
      <c r="T316" s="1628"/>
    </row>
    <row r="317" spans="1:20" s="766" customFormat="1" ht="24" customHeight="1">
      <c r="A317" s="1613">
        <v>15</v>
      </c>
      <c r="B317" s="1690" t="s">
        <v>7440</v>
      </c>
      <c r="C317" s="1641"/>
      <c r="D317" s="1613" t="s">
        <v>79</v>
      </c>
      <c r="E317" s="1685"/>
      <c r="F317" s="1685"/>
      <c r="G317" s="1613"/>
      <c r="H317" s="1613"/>
      <c r="I317" s="1613"/>
      <c r="J317" s="1613"/>
      <c r="K317" s="1613"/>
      <c r="L317" s="1613"/>
      <c r="M317" s="1689"/>
      <c r="N317" s="1616"/>
      <c r="O317" s="1610"/>
      <c r="P317" s="1613"/>
      <c r="Q317" s="1613"/>
      <c r="R317" s="1613"/>
      <c r="S317" s="1613" t="s">
        <v>7094</v>
      </c>
      <c r="T317" s="1628"/>
    </row>
    <row r="318" spans="1:20" s="766" customFormat="1" ht="24" customHeight="1">
      <c r="A318" s="1613">
        <v>16</v>
      </c>
      <c r="B318" s="1690" t="s">
        <v>7441</v>
      </c>
      <c r="C318" s="1641"/>
      <c r="D318" s="1613" t="s">
        <v>464</v>
      </c>
      <c r="E318" s="1685">
        <v>110</v>
      </c>
      <c r="F318" s="1685"/>
      <c r="G318" s="1613" t="s">
        <v>32</v>
      </c>
      <c r="H318" s="1613" t="s">
        <v>33</v>
      </c>
      <c r="I318" s="1613"/>
      <c r="J318" s="1613"/>
      <c r="K318" s="1613"/>
      <c r="L318" s="1613">
        <v>211860</v>
      </c>
      <c r="M318" s="1613">
        <v>211860</v>
      </c>
      <c r="N318" s="1616" t="s">
        <v>3638</v>
      </c>
      <c r="O318" s="1613" t="s">
        <v>7255</v>
      </c>
      <c r="P318" s="1613" t="s">
        <v>7256</v>
      </c>
      <c r="Q318" s="1613">
        <v>19933179135</v>
      </c>
      <c r="R318" s="1613" t="s">
        <v>7257</v>
      </c>
      <c r="S318" s="1613" t="s">
        <v>7094</v>
      </c>
      <c r="T318" s="1628"/>
    </row>
    <row r="319" spans="1:20" s="766" customFormat="1" ht="24" customHeight="1">
      <c r="A319" s="1613">
        <v>17</v>
      </c>
      <c r="B319" s="1690" t="s">
        <v>7441</v>
      </c>
      <c r="C319" s="1641"/>
      <c r="D319" s="1613" t="s">
        <v>464</v>
      </c>
      <c r="E319" s="43">
        <v>2</v>
      </c>
      <c r="F319" s="1685"/>
      <c r="G319" s="43" t="s">
        <v>32</v>
      </c>
      <c r="H319" s="1764" t="s">
        <v>33</v>
      </c>
      <c r="I319" s="43" t="s">
        <v>7240</v>
      </c>
      <c r="J319" s="1611" t="s">
        <v>4329</v>
      </c>
      <c r="K319" s="1613" t="s">
        <v>4125</v>
      </c>
      <c r="L319" s="1613" t="s">
        <v>34</v>
      </c>
      <c r="M319" s="1689" t="s">
        <v>34</v>
      </c>
      <c r="N319" s="1616"/>
      <c r="O319" s="1613" t="s">
        <v>7241</v>
      </c>
      <c r="P319" s="1659" t="s">
        <v>7242</v>
      </c>
      <c r="Q319" s="1659">
        <v>18518241904</v>
      </c>
      <c r="R319" s="1610" t="s">
        <v>7378</v>
      </c>
      <c r="S319" s="1613" t="s">
        <v>7094</v>
      </c>
      <c r="T319" s="1628"/>
    </row>
    <row r="320" spans="1:20" s="766" customFormat="1" ht="24" customHeight="1">
      <c r="A320" s="1613">
        <v>18</v>
      </c>
      <c r="B320" s="1690" t="s">
        <v>7442</v>
      </c>
      <c r="C320" s="1641"/>
      <c r="D320" s="1613" t="s">
        <v>464</v>
      </c>
      <c r="E320" s="43">
        <v>0</v>
      </c>
      <c r="F320" s="1685"/>
      <c r="G320" s="43" t="s">
        <v>32</v>
      </c>
      <c r="H320" s="1764" t="s">
        <v>33</v>
      </c>
      <c r="I320" s="43" t="s">
        <v>7240</v>
      </c>
      <c r="J320" s="1611" t="s">
        <v>4329</v>
      </c>
      <c r="K320" s="1613" t="s">
        <v>4125</v>
      </c>
      <c r="L320" s="1613" t="s">
        <v>34</v>
      </c>
      <c r="M320" s="1689" t="s">
        <v>34</v>
      </c>
      <c r="N320" s="1616"/>
      <c r="O320" s="1613" t="s">
        <v>7241</v>
      </c>
      <c r="P320" s="1659" t="s">
        <v>7242</v>
      </c>
      <c r="Q320" s="1659">
        <v>18518241904</v>
      </c>
      <c r="R320" s="1610" t="s">
        <v>7378</v>
      </c>
      <c r="S320" s="1613" t="s">
        <v>7094</v>
      </c>
      <c r="T320" s="1628"/>
    </row>
    <row r="321" spans="1:20" s="766" customFormat="1" ht="24" customHeight="1">
      <c r="A321" s="1613">
        <v>19</v>
      </c>
      <c r="B321" s="1690" t="s">
        <v>7443</v>
      </c>
      <c r="C321" s="1641"/>
      <c r="D321" s="1613" t="s">
        <v>464</v>
      </c>
      <c r="E321" s="43">
        <v>16</v>
      </c>
      <c r="F321" s="1685"/>
      <c r="G321" s="43" t="s">
        <v>32</v>
      </c>
      <c r="H321" s="1764" t="s">
        <v>33</v>
      </c>
      <c r="I321" s="43" t="s">
        <v>7240</v>
      </c>
      <c r="J321" s="1611" t="s">
        <v>4329</v>
      </c>
      <c r="K321" s="1613" t="s">
        <v>4125</v>
      </c>
      <c r="L321" s="1613" t="s">
        <v>34</v>
      </c>
      <c r="M321" s="1689" t="s">
        <v>34</v>
      </c>
      <c r="N321" s="1616"/>
      <c r="O321" s="1613" t="s">
        <v>7241</v>
      </c>
      <c r="P321" s="1659" t="s">
        <v>7242</v>
      </c>
      <c r="Q321" s="1659">
        <v>18518241904</v>
      </c>
      <c r="R321" s="1610" t="s">
        <v>7378</v>
      </c>
      <c r="S321" s="1613" t="s">
        <v>7094</v>
      </c>
      <c r="T321" s="1628"/>
    </row>
    <row r="322" spans="1:20" s="766" customFormat="1" ht="24" customHeight="1">
      <c r="A322" s="1613">
        <v>20</v>
      </c>
      <c r="B322" s="1690" t="s">
        <v>7441</v>
      </c>
      <c r="C322" s="1641"/>
      <c r="D322" s="1613" t="s">
        <v>464</v>
      </c>
      <c r="E322" s="43">
        <v>4</v>
      </c>
      <c r="F322" s="1685"/>
      <c r="G322" s="43" t="s">
        <v>32</v>
      </c>
      <c r="H322" s="1764" t="s">
        <v>33</v>
      </c>
      <c r="I322" s="43" t="s">
        <v>7240</v>
      </c>
      <c r="J322" s="1611" t="s">
        <v>4329</v>
      </c>
      <c r="K322" s="1637" t="s">
        <v>7444</v>
      </c>
      <c r="L322" s="1613">
        <v>8280</v>
      </c>
      <c r="M322" s="1613">
        <f t="shared" ref="M322:M324" si="8">L322/1.13</f>
        <v>7327.4336283185849</v>
      </c>
      <c r="N322" s="1616"/>
      <c r="O322" s="1613" t="s">
        <v>7241</v>
      </c>
      <c r="P322" s="1659" t="s">
        <v>7242</v>
      </c>
      <c r="Q322" s="1659">
        <v>18518241904</v>
      </c>
      <c r="R322" s="1610" t="s">
        <v>7378</v>
      </c>
      <c r="S322" s="1613" t="s">
        <v>7094</v>
      </c>
      <c r="T322" s="1628"/>
    </row>
    <row r="323" spans="1:20" s="766" customFormat="1" ht="24" customHeight="1">
      <c r="A323" s="1613">
        <v>21</v>
      </c>
      <c r="B323" s="1690" t="s">
        <v>7442</v>
      </c>
      <c r="C323" s="1641"/>
      <c r="D323" s="1613" t="s">
        <v>464</v>
      </c>
      <c r="E323" s="43">
        <v>108</v>
      </c>
      <c r="F323" s="1685"/>
      <c r="G323" s="43" t="s">
        <v>32</v>
      </c>
      <c r="H323" s="1764" t="s">
        <v>33</v>
      </c>
      <c r="I323" s="43" t="s">
        <v>7240</v>
      </c>
      <c r="J323" s="1611" t="s">
        <v>4329</v>
      </c>
      <c r="K323" s="1637" t="s">
        <v>7444</v>
      </c>
      <c r="L323" s="1613">
        <v>176904</v>
      </c>
      <c r="M323" s="1613">
        <f t="shared" si="8"/>
        <v>156552.21238938055</v>
      </c>
      <c r="N323" s="1616"/>
      <c r="O323" s="1613" t="s">
        <v>7241</v>
      </c>
      <c r="P323" s="1659" t="s">
        <v>7242</v>
      </c>
      <c r="Q323" s="1659">
        <v>18518241904</v>
      </c>
      <c r="R323" s="1610" t="s">
        <v>7378</v>
      </c>
      <c r="S323" s="1613" t="s">
        <v>7094</v>
      </c>
      <c r="T323" s="1628"/>
    </row>
    <row r="324" spans="1:20" s="766" customFormat="1" ht="24" customHeight="1">
      <c r="A324" s="1613">
        <v>22</v>
      </c>
      <c r="B324" s="1690" t="s">
        <v>7443</v>
      </c>
      <c r="C324" s="1641"/>
      <c r="D324" s="1613" t="s">
        <v>464</v>
      </c>
      <c r="E324" s="43">
        <v>20</v>
      </c>
      <c r="F324" s="1685"/>
      <c r="G324" s="43" t="s">
        <v>32</v>
      </c>
      <c r="H324" s="1764" t="s">
        <v>33</v>
      </c>
      <c r="I324" s="43" t="s">
        <v>7240</v>
      </c>
      <c r="J324" s="1611" t="s">
        <v>4329</v>
      </c>
      <c r="K324" s="1637" t="s">
        <v>7444</v>
      </c>
      <c r="L324" s="1613">
        <v>21560</v>
      </c>
      <c r="M324" s="1613">
        <f t="shared" si="8"/>
        <v>19079.646017699117</v>
      </c>
      <c r="N324" s="1616"/>
      <c r="O324" s="1613" t="s">
        <v>7241</v>
      </c>
      <c r="P324" s="1659" t="s">
        <v>7242</v>
      </c>
      <c r="Q324" s="1659">
        <v>18518241904</v>
      </c>
      <c r="R324" s="1610" t="s">
        <v>7378</v>
      </c>
      <c r="S324" s="1613" t="s">
        <v>7094</v>
      </c>
      <c r="T324" s="1628"/>
    </row>
    <row r="325" spans="1:20" s="766" customFormat="1" ht="24" customHeight="1">
      <c r="A325" s="1613">
        <v>23</v>
      </c>
      <c r="B325" s="1690" t="s">
        <v>7445</v>
      </c>
      <c r="C325" s="1641"/>
      <c r="D325" s="1613" t="s">
        <v>464</v>
      </c>
      <c r="E325" s="1685"/>
      <c r="F325" s="1685"/>
      <c r="G325" s="43"/>
      <c r="H325" s="43"/>
      <c r="I325" s="1613"/>
      <c r="J325" s="1613"/>
      <c r="K325" s="1613"/>
      <c r="L325" s="1613"/>
      <c r="M325" s="1689"/>
      <c r="N325" s="1616"/>
      <c r="O325" s="1610"/>
      <c r="P325" s="1613"/>
      <c r="Q325" s="1613"/>
      <c r="R325" s="1613"/>
      <c r="S325" s="1613" t="s">
        <v>7094</v>
      </c>
      <c r="T325" s="1628"/>
    </row>
    <row r="326" spans="1:20" s="766" customFormat="1" ht="24" customHeight="1">
      <c r="A326" s="1613">
        <v>24</v>
      </c>
      <c r="B326" s="43" t="s">
        <v>7446</v>
      </c>
      <c r="C326" s="1641"/>
      <c r="D326" s="43" t="s">
        <v>79</v>
      </c>
      <c r="E326" s="43">
        <v>1</v>
      </c>
      <c r="F326" s="1685"/>
      <c r="G326" s="43" t="s">
        <v>32</v>
      </c>
      <c r="H326" s="43" t="s">
        <v>33</v>
      </c>
      <c r="I326" s="1613"/>
      <c r="J326" s="1613"/>
      <c r="K326" s="1613"/>
      <c r="L326" s="1616" t="s">
        <v>7447</v>
      </c>
      <c r="M326" s="1616" t="s">
        <v>7447</v>
      </c>
      <c r="N326" s="1616" t="s">
        <v>3638</v>
      </c>
      <c r="O326" s="1613" t="s">
        <v>7255</v>
      </c>
      <c r="P326" s="1613" t="s">
        <v>7256</v>
      </c>
      <c r="Q326" s="1613">
        <v>19933179135</v>
      </c>
      <c r="R326" s="1613" t="s">
        <v>7257</v>
      </c>
      <c r="S326" s="1613" t="s">
        <v>7094</v>
      </c>
      <c r="T326" s="1628"/>
    </row>
    <row r="327" spans="1:20" s="766" customFormat="1" ht="24" customHeight="1">
      <c r="A327" s="1613">
        <v>25</v>
      </c>
      <c r="B327" s="1641" t="s">
        <v>7446</v>
      </c>
      <c r="C327" s="1641"/>
      <c r="D327" s="1613" t="s">
        <v>79</v>
      </c>
      <c r="E327" s="43">
        <v>1</v>
      </c>
      <c r="F327" s="1613"/>
      <c r="G327" s="43" t="s">
        <v>32</v>
      </c>
      <c r="H327" s="1764" t="s">
        <v>33</v>
      </c>
      <c r="I327" s="43" t="s">
        <v>7240</v>
      </c>
      <c r="J327" s="1611" t="s">
        <v>4329</v>
      </c>
      <c r="K327" s="1613" t="s">
        <v>4125</v>
      </c>
      <c r="L327" s="1613" t="s">
        <v>34</v>
      </c>
      <c r="M327" s="1666" t="s">
        <v>34</v>
      </c>
      <c r="N327" s="1613"/>
      <c r="O327" s="1613" t="s">
        <v>7241</v>
      </c>
      <c r="P327" s="1659" t="s">
        <v>7242</v>
      </c>
      <c r="Q327" s="1659">
        <v>18518241904</v>
      </c>
      <c r="R327" s="1610" t="s">
        <v>7378</v>
      </c>
      <c r="S327" s="1613" t="s">
        <v>7094</v>
      </c>
      <c r="T327" s="1628"/>
    </row>
    <row r="328" spans="1:20" s="766" customFormat="1" ht="24" customHeight="1">
      <c r="A328" s="1613"/>
      <c r="B328" s="1641" t="s">
        <v>7446</v>
      </c>
      <c r="C328" s="1641"/>
      <c r="D328" s="43" t="s">
        <v>79</v>
      </c>
      <c r="E328" s="1287">
        <v>1</v>
      </c>
      <c r="F328" s="1613">
        <v>10</v>
      </c>
      <c r="G328" s="1613" t="s">
        <v>32</v>
      </c>
      <c r="H328" s="1613" t="s">
        <v>33</v>
      </c>
      <c r="I328" s="1613"/>
      <c r="J328" s="1666"/>
      <c r="K328" s="1613"/>
      <c r="L328" s="1613"/>
      <c r="M328" s="1613">
        <v>110000</v>
      </c>
      <c r="N328" s="1613"/>
      <c r="O328" s="1610"/>
      <c r="P328" s="1613"/>
      <c r="Q328" s="1613"/>
      <c r="R328" s="1613"/>
      <c r="S328" s="1613" t="s">
        <v>7094</v>
      </c>
      <c r="T328" s="1628"/>
    </row>
    <row r="329" spans="1:20" s="766" customFormat="1" ht="24" customHeight="1">
      <c r="A329" s="1613">
        <v>26</v>
      </c>
      <c r="B329" s="43" t="s">
        <v>7448</v>
      </c>
      <c r="C329" s="1641"/>
      <c r="D329" s="43" t="s">
        <v>131</v>
      </c>
      <c r="E329" s="43"/>
      <c r="F329" s="1685"/>
      <c r="G329" s="43"/>
      <c r="H329" s="43"/>
      <c r="I329" s="1613"/>
      <c r="J329" s="1613"/>
      <c r="K329" s="1613"/>
      <c r="L329" s="1613"/>
      <c r="M329" s="1613"/>
      <c r="N329" s="1616"/>
      <c r="O329" s="1613"/>
      <c r="P329" s="1613"/>
      <c r="Q329" s="1613"/>
      <c r="R329" s="1613"/>
      <c r="S329" s="1613" t="s">
        <v>7094</v>
      </c>
      <c r="T329" s="1628"/>
    </row>
    <row r="330" spans="1:20" s="766" customFormat="1" ht="24" customHeight="1">
      <c r="A330" s="1613">
        <v>27</v>
      </c>
      <c r="B330" s="1714" t="s">
        <v>7449</v>
      </c>
      <c r="C330" s="1641"/>
      <c r="D330" s="43" t="s">
        <v>131</v>
      </c>
      <c r="E330" s="43">
        <v>62</v>
      </c>
      <c r="F330" s="1685"/>
      <c r="G330" s="43" t="s">
        <v>32</v>
      </c>
      <c r="H330" s="43" t="s">
        <v>33</v>
      </c>
      <c r="I330" s="1613"/>
      <c r="J330" s="1613"/>
      <c r="K330" s="1613"/>
      <c r="L330" s="1613">
        <v>30070</v>
      </c>
      <c r="M330" s="1613">
        <v>30070</v>
      </c>
      <c r="N330" s="1616" t="s">
        <v>3638</v>
      </c>
      <c r="O330" s="1613" t="s">
        <v>7255</v>
      </c>
      <c r="P330" s="1613" t="s">
        <v>7256</v>
      </c>
      <c r="Q330" s="1613">
        <v>19933179135</v>
      </c>
      <c r="R330" s="1613" t="s">
        <v>7257</v>
      </c>
      <c r="S330" s="1613" t="s">
        <v>7094</v>
      </c>
      <c r="T330" s="1628"/>
    </row>
    <row r="331" spans="1:20" s="766" customFormat="1" ht="24" customHeight="1">
      <c r="A331" s="1613">
        <v>28</v>
      </c>
      <c r="B331" s="1714" t="s">
        <v>7449</v>
      </c>
      <c r="C331" s="1641"/>
      <c r="D331" s="43" t="s">
        <v>131</v>
      </c>
      <c r="E331" s="43">
        <v>180</v>
      </c>
      <c r="F331" s="1685"/>
      <c r="G331" s="43" t="s">
        <v>32</v>
      </c>
      <c r="H331" s="1764" t="s">
        <v>33</v>
      </c>
      <c r="I331" s="43" t="s">
        <v>7240</v>
      </c>
      <c r="J331" s="1611" t="s">
        <v>4329</v>
      </c>
      <c r="K331" s="1613" t="s">
        <v>4125</v>
      </c>
      <c r="L331" s="1613" t="s">
        <v>34</v>
      </c>
      <c r="M331" s="1689" t="s">
        <v>34</v>
      </c>
      <c r="N331" s="1616"/>
      <c r="O331" s="1613" t="s">
        <v>7241</v>
      </c>
      <c r="P331" s="1659" t="s">
        <v>7242</v>
      </c>
      <c r="Q331" s="1659">
        <v>18518241904</v>
      </c>
      <c r="R331" s="1610" t="s">
        <v>7378</v>
      </c>
      <c r="S331" s="1613" t="s">
        <v>7094</v>
      </c>
      <c r="T331" s="1628"/>
    </row>
    <row r="332" spans="1:20" s="766" customFormat="1" ht="24" customHeight="1">
      <c r="A332" s="1613">
        <v>29</v>
      </c>
      <c r="B332" s="1714" t="s">
        <v>7449</v>
      </c>
      <c r="C332" s="1641"/>
      <c r="D332" s="43" t="s">
        <v>131</v>
      </c>
      <c r="E332" s="43">
        <v>60</v>
      </c>
      <c r="F332" s="1685"/>
      <c r="G332" s="43" t="s">
        <v>32</v>
      </c>
      <c r="H332" s="1764" t="s">
        <v>33</v>
      </c>
      <c r="I332" s="43" t="s">
        <v>7240</v>
      </c>
      <c r="J332" s="1611" t="s">
        <v>4329</v>
      </c>
      <c r="K332" s="1637" t="s">
        <v>7444</v>
      </c>
      <c r="L332" s="66">
        <f>60*325</f>
        <v>19500</v>
      </c>
      <c r="M332" s="67">
        <f>L332/1.13</f>
        <v>17256.637168141595</v>
      </c>
      <c r="N332" s="1616"/>
      <c r="O332" s="1613" t="s">
        <v>7241</v>
      </c>
      <c r="P332" s="1659" t="s">
        <v>7242</v>
      </c>
      <c r="Q332" s="1659">
        <v>18518241904</v>
      </c>
      <c r="R332" s="1610" t="s">
        <v>7378</v>
      </c>
      <c r="S332" s="1613" t="s">
        <v>7094</v>
      </c>
      <c r="T332" s="1628"/>
    </row>
    <row r="333" spans="1:20" s="766" customFormat="1" ht="24" customHeight="1">
      <c r="A333" s="1613">
        <v>30</v>
      </c>
      <c r="B333" s="1714" t="s">
        <v>4366</v>
      </c>
      <c r="C333" s="43" t="s">
        <v>7450</v>
      </c>
      <c r="D333" s="43" t="s">
        <v>62</v>
      </c>
      <c r="E333" s="43"/>
      <c r="F333" s="43"/>
      <c r="G333" s="43"/>
      <c r="H333" s="1613"/>
      <c r="I333" s="43"/>
      <c r="J333" s="43"/>
      <c r="K333" s="43"/>
      <c r="L333" s="43"/>
      <c r="M333" s="1715"/>
      <c r="N333" s="43"/>
      <c r="O333" s="43"/>
      <c r="P333" s="43"/>
      <c r="Q333" s="43"/>
      <c r="R333" s="1613"/>
      <c r="S333" s="1613" t="s">
        <v>7094</v>
      </c>
      <c r="T333" s="1628"/>
    </row>
    <row r="334" spans="1:20" s="766" customFormat="1" ht="24" customHeight="1">
      <c r="A334" s="1613">
        <v>31</v>
      </c>
      <c r="B334" s="1714" t="s">
        <v>4366</v>
      </c>
      <c r="C334" s="43" t="s">
        <v>7451</v>
      </c>
      <c r="D334" s="43" t="s">
        <v>62</v>
      </c>
      <c r="E334" s="43"/>
      <c r="F334" s="43"/>
      <c r="G334" s="43"/>
      <c r="H334" s="1613"/>
      <c r="I334" s="43"/>
      <c r="J334" s="43"/>
      <c r="K334" s="43"/>
      <c r="L334" s="43"/>
      <c r="M334" s="1715"/>
      <c r="N334" s="43"/>
      <c r="O334" s="43"/>
      <c r="P334" s="43"/>
      <c r="Q334" s="43"/>
      <c r="R334" s="1613"/>
      <c r="S334" s="1613" t="s">
        <v>7094</v>
      </c>
      <c r="T334" s="1628"/>
    </row>
    <row r="335" spans="1:20" s="766" customFormat="1" ht="24" customHeight="1">
      <c r="A335" s="1613">
        <v>32</v>
      </c>
      <c r="B335" s="43" t="s">
        <v>4366</v>
      </c>
      <c r="C335" s="43" t="s">
        <v>7452</v>
      </c>
      <c r="D335" s="43" t="s">
        <v>62</v>
      </c>
      <c r="E335" s="43"/>
      <c r="F335" s="43"/>
      <c r="G335" s="43"/>
      <c r="H335" s="1613"/>
      <c r="I335" s="43"/>
      <c r="J335" s="43"/>
      <c r="K335" s="43"/>
      <c r="L335" s="43"/>
      <c r="M335" s="1715"/>
      <c r="N335" s="43"/>
      <c r="O335" s="43"/>
      <c r="P335" s="43"/>
      <c r="Q335" s="43"/>
      <c r="R335" s="1613"/>
      <c r="S335" s="1613" t="s">
        <v>7094</v>
      </c>
      <c r="T335" s="1628"/>
    </row>
    <row r="336" spans="1:20" s="766" customFormat="1" ht="24" customHeight="1">
      <c r="A336" s="1613">
        <v>33</v>
      </c>
      <c r="B336" s="43" t="s">
        <v>4366</v>
      </c>
      <c r="C336" s="43" t="s">
        <v>7450</v>
      </c>
      <c r="D336" s="43" t="s">
        <v>62</v>
      </c>
      <c r="E336" s="43"/>
      <c r="F336" s="43"/>
      <c r="G336" s="43"/>
      <c r="H336" s="1613"/>
      <c r="I336" s="43"/>
      <c r="J336" s="43"/>
      <c r="K336" s="43"/>
      <c r="L336" s="43"/>
      <c r="M336" s="1715"/>
      <c r="N336" s="43"/>
      <c r="O336" s="43"/>
      <c r="P336" s="43"/>
      <c r="Q336" s="43"/>
      <c r="R336" s="1613"/>
      <c r="S336" s="1613" t="s">
        <v>7094</v>
      </c>
      <c r="T336" s="1628"/>
    </row>
    <row r="337" spans="1:20" ht="24" customHeight="1">
      <c r="A337" s="1613">
        <v>34</v>
      </c>
      <c r="B337" s="43" t="s">
        <v>4366</v>
      </c>
      <c r="C337" s="43" t="s">
        <v>7451</v>
      </c>
      <c r="D337" s="43" t="s">
        <v>62</v>
      </c>
      <c r="E337" s="43"/>
      <c r="F337" s="43"/>
      <c r="G337" s="43"/>
      <c r="H337" s="1613"/>
      <c r="I337" s="43"/>
      <c r="J337" s="43"/>
      <c r="K337" s="43"/>
      <c r="L337" s="43"/>
      <c r="M337" s="1715"/>
      <c r="N337" s="43"/>
      <c r="O337" s="43"/>
      <c r="P337" s="43"/>
      <c r="Q337" s="43"/>
      <c r="R337" s="1613"/>
      <c r="S337" s="1613" t="s">
        <v>7094</v>
      </c>
      <c r="T337" s="1612"/>
    </row>
    <row r="338" spans="1:20" ht="24" customHeight="1">
      <c r="A338" s="1613">
        <v>35</v>
      </c>
      <c r="B338" s="1704" t="s">
        <v>7453</v>
      </c>
      <c r="C338" s="1613" t="s">
        <v>7454</v>
      </c>
      <c r="D338" s="1613" t="s">
        <v>79</v>
      </c>
      <c r="E338" s="1613">
        <v>1</v>
      </c>
      <c r="F338" s="1613">
        <v>2</v>
      </c>
      <c r="G338" s="1613" t="s">
        <v>32</v>
      </c>
      <c r="H338" s="1613" t="s">
        <v>33</v>
      </c>
      <c r="I338" s="1613"/>
      <c r="J338" s="1613"/>
      <c r="K338" s="1613"/>
      <c r="L338" s="1716">
        <v>56946.9</v>
      </c>
      <c r="M338" s="1717">
        <v>56946.9</v>
      </c>
      <c r="N338" s="1613">
        <v>2019</v>
      </c>
      <c r="O338" s="1286" t="s">
        <v>7146</v>
      </c>
      <c r="P338" s="1287" t="s">
        <v>7413</v>
      </c>
      <c r="Q338" s="1286">
        <v>18141929773</v>
      </c>
      <c r="R338" s="1286" t="s">
        <v>7143</v>
      </c>
      <c r="S338" s="1613" t="s">
        <v>7094</v>
      </c>
      <c r="T338" s="1712" t="s">
        <v>7414</v>
      </c>
    </row>
    <row r="339" spans="1:20" ht="24" customHeight="1">
      <c r="A339" s="1613">
        <v>36</v>
      </c>
      <c r="B339" s="1613" t="s">
        <v>7455</v>
      </c>
      <c r="C339" s="1613" t="s">
        <v>7456</v>
      </c>
      <c r="D339" s="1613" t="s">
        <v>79</v>
      </c>
      <c r="E339" s="1613">
        <v>1</v>
      </c>
      <c r="F339" s="1613">
        <v>5</v>
      </c>
      <c r="G339" s="1613" t="s">
        <v>32</v>
      </c>
      <c r="H339" s="1613" t="s">
        <v>33</v>
      </c>
      <c r="I339" s="1613"/>
      <c r="J339" s="1613"/>
      <c r="K339" s="1613"/>
      <c r="L339" s="1716">
        <v>168141.59</v>
      </c>
      <c r="M339" s="1716">
        <v>152378.35999999999</v>
      </c>
      <c r="N339" s="1613">
        <v>2021</v>
      </c>
      <c r="O339" s="1286" t="s">
        <v>7457</v>
      </c>
      <c r="P339" s="1287" t="s">
        <v>7413</v>
      </c>
      <c r="Q339" s="1286">
        <v>18141929773</v>
      </c>
      <c r="R339" s="1286" t="s">
        <v>7143</v>
      </c>
      <c r="S339" s="1613" t="s">
        <v>7094</v>
      </c>
      <c r="T339" s="1712" t="s">
        <v>7414</v>
      </c>
    </row>
    <row r="340" spans="1:20" ht="24" customHeight="1">
      <c r="A340" s="1613">
        <v>37</v>
      </c>
      <c r="B340" s="1620" t="s">
        <v>7458</v>
      </c>
      <c r="C340" s="66" t="s">
        <v>7459</v>
      </c>
      <c r="D340" s="1673" t="s">
        <v>1477</v>
      </c>
      <c r="E340" s="1654">
        <v>200</v>
      </c>
      <c r="F340" s="1617"/>
      <c r="G340" s="1611" t="s">
        <v>32</v>
      </c>
      <c r="H340" s="1613" t="s">
        <v>33</v>
      </c>
      <c r="I340" s="1611"/>
      <c r="J340" s="1673"/>
      <c r="K340" s="1673"/>
      <c r="L340" s="66">
        <v>166000</v>
      </c>
      <c r="M340" s="66">
        <v>40000</v>
      </c>
      <c r="N340" s="1585" t="s">
        <v>5935</v>
      </c>
      <c r="O340" s="1631" t="s">
        <v>7178</v>
      </c>
      <c r="P340" s="1631" t="s">
        <v>7179</v>
      </c>
      <c r="Q340" s="1631">
        <v>13933519201</v>
      </c>
      <c r="R340" s="1631" t="s">
        <v>7180</v>
      </c>
      <c r="S340" s="1611" t="s">
        <v>7094</v>
      </c>
      <c r="T340" s="624"/>
    </row>
    <row r="341" spans="1:20" ht="24" customHeight="1">
      <c r="A341" s="1613">
        <v>38</v>
      </c>
      <c r="B341" s="1611" t="s">
        <v>7460</v>
      </c>
      <c r="C341" s="1613"/>
      <c r="D341" s="1718" t="s">
        <v>7461</v>
      </c>
      <c r="E341" s="1718">
        <v>7</v>
      </c>
      <c r="F341" s="1617"/>
      <c r="G341" s="1611" t="s">
        <v>32</v>
      </c>
      <c r="H341" s="1613" t="s">
        <v>33</v>
      </c>
      <c r="I341" s="704"/>
      <c r="J341" s="704"/>
      <c r="K341" s="1611"/>
      <c r="L341" s="1644">
        <v>8820</v>
      </c>
      <c r="M341" s="1644">
        <v>8820</v>
      </c>
      <c r="N341" s="1585" t="s">
        <v>5935</v>
      </c>
      <c r="O341" s="1631" t="s">
        <v>7178</v>
      </c>
      <c r="P341" s="1631" t="s">
        <v>7179</v>
      </c>
      <c r="Q341" s="1631">
        <v>13933519201</v>
      </c>
      <c r="R341" s="1631" t="s">
        <v>7180</v>
      </c>
      <c r="S341" s="1611" t="s">
        <v>7094</v>
      </c>
      <c r="T341" s="1628"/>
    </row>
    <row r="342" spans="1:20" ht="24" customHeight="1">
      <c r="A342" s="1613">
        <v>39</v>
      </c>
      <c r="B342" s="1704" t="s">
        <v>7462</v>
      </c>
      <c r="C342" s="1641"/>
      <c r="D342" s="1718" t="s">
        <v>464</v>
      </c>
      <c r="E342" s="1718">
        <v>230</v>
      </c>
      <c r="F342" s="1610"/>
      <c r="G342" s="1611" t="s">
        <v>32</v>
      </c>
      <c r="H342" s="1613" t="s">
        <v>33</v>
      </c>
      <c r="I342" s="1611"/>
      <c r="J342" s="1611"/>
      <c r="K342" s="1719"/>
      <c r="L342" s="1644">
        <v>4140</v>
      </c>
      <c r="M342" s="1644">
        <v>4140</v>
      </c>
      <c r="N342" s="1585" t="s">
        <v>5935</v>
      </c>
      <c r="O342" s="1631" t="s">
        <v>7178</v>
      </c>
      <c r="P342" s="1631" t="s">
        <v>7179</v>
      </c>
      <c r="Q342" s="1631">
        <v>13933519201</v>
      </c>
      <c r="R342" s="1631" t="s">
        <v>7180</v>
      </c>
      <c r="S342" s="1611" t="s">
        <v>7094</v>
      </c>
      <c r="T342" s="1628"/>
    </row>
    <row r="343" spans="1:20" ht="24" customHeight="1">
      <c r="A343" s="1613">
        <v>40</v>
      </c>
      <c r="B343" s="1630" t="s">
        <v>5471</v>
      </c>
      <c r="C343" s="1641"/>
      <c r="D343" s="1718" t="s">
        <v>464</v>
      </c>
      <c r="E343" s="1718">
        <v>23</v>
      </c>
      <c r="F343" s="1610"/>
      <c r="G343" s="1611" t="s">
        <v>32</v>
      </c>
      <c r="H343" s="1613" t="s">
        <v>33</v>
      </c>
      <c r="I343" s="1611"/>
      <c r="J343" s="1611"/>
      <c r="K343" s="1719"/>
      <c r="L343" s="1644">
        <v>7360</v>
      </c>
      <c r="M343" s="1644">
        <v>7360</v>
      </c>
      <c r="N343" s="1585" t="s">
        <v>5935</v>
      </c>
      <c r="O343" s="1631" t="s">
        <v>7178</v>
      </c>
      <c r="P343" s="1631" t="s">
        <v>7179</v>
      </c>
      <c r="Q343" s="1631">
        <v>13933519201</v>
      </c>
      <c r="R343" s="1631" t="s">
        <v>7180</v>
      </c>
      <c r="S343" s="1611" t="s">
        <v>7094</v>
      </c>
      <c r="T343" s="1628"/>
    </row>
    <row r="344" spans="1:20" ht="24" customHeight="1">
      <c r="A344" s="1613">
        <v>41</v>
      </c>
      <c r="B344" s="1673" t="s">
        <v>7463</v>
      </c>
      <c r="C344" s="66"/>
      <c r="D344" s="1673" t="s">
        <v>6535</v>
      </c>
      <c r="E344" s="1654">
        <v>50</v>
      </c>
      <c r="F344" s="1617"/>
      <c r="G344" s="1611" t="s">
        <v>32</v>
      </c>
      <c r="H344" s="1613" t="s">
        <v>33</v>
      </c>
      <c r="I344" s="1611"/>
      <c r="J344" s="1673"/>
      <c r="K344" s="1673"/>
      <c r="L344" s="66">
        <v>2300</v>
      </c>
      <c r="M344" s="66">
        <v>2300</v>
      </c>
      <c r="N344" s="1585" t="s">
        <v>5935</v>
      </c>
      <c r="O344" s="1631" t="s">
        <v>7178</v>
      </c>
      <c r="P344" s="1631" t="s">
        <v>7179</v>
      </c>
      <c r="Q344" s="1631">
        <v>13933519201</v>
      </c>
      <c r="R344" s="1631" t="s">
        <v>7180</v>
      </c>
      <c r="S344" s="1611" t="s">
        <v>7094</v>
      </c>
      <c r="T344" s="1628"/>
    </row>
    <row r="345" spans="1:20" ht="24" customHeight="1">
      <c r="A345" s="1613">
        <v>42</v>
      </c>
      <c r="B345" s="1673" t="s">
        <v>7464</v>
      </c>
      <c r="C345" s="66"/>
      <c r="D345" s="1673" t="s">
        <v>131</v>
      </c>
      <c r="E345" s="1654">
        <v>33</v>
      </c>
      <c r="F345" s="1617"/>
      <c r="G345" s="1611" t="s">
        <v>32</v>
      </c>
      <c r="H345" s="1613" t="s">
        <v>33</v>
      </c>
      <c r="I345" s="1611"/>
      <c r="J345" s="1673"/>
      <c r="K345" s="1673"/>
      <c r="L345" s="66">
        <v>3960</v>
      </c>
      <c r="M345" s="66">
        <v>3960</v>
      </c>
      <c r="N345" s="1585" t="s">
        <v>5935</v>
      </c>
      <c r="O345" s="1631" t="s">
        <v>7178</v>
      </c>
      <c r="P345" s="1631" t="s">
        <v>7179</v>
      </c>
      <c r="Q345" s="1631">
        <v>13933519201</v>
      </c>
      <c r="R345" s="1631" t="s">
        <v>7180</v>
      </c>
      <c r="S345" s="1611" t="s">
        <v>7094</v>
      </c>
      <c r="T345" s="1628"/>
    </row>
    <row r="346" spans="1:20" ht="24" customHeight="1">
      <c r="A346" s="1613">
        <v>43</v>
      </c>
      <c r="B346" s="1704" t="s">
        <v>7465</v>
      </c>
      <c r="C346" s="66" t="s">
        <v>7466</v>
      </c>
      <c r="D346" s="1663" t="s">
        <v>464</v>
      </c>
      <c r="E346" s="43">
        <v>140</v>
      </c>
      <c r="F346" s="1685"/>
      <c r="G346" s="1611" t="s">
        <v>3560</v>
      </c>
      <c r="H346" s="1613" t="s">
        <v>33</v>
      </c>
      <c r="I346" s="1720"/>
      <c r="J346" s="1663" t="s">
        <v>7444</v>
      </c>
      <c r="K346" s="1663" t="s">
        <v>7444</v>
      </c>
      <c r="L346" s="66">
        <v>252000</v>
      </c>
      <c r="M346" s="66">
        <v>44601.77</v>
      </c>
      <c r="N346" s="1658">
        <v>42522</v>
      </c>
      <c r="O346" s="1613" t="s">
        <v>7279</v>
      </c>
      <c r="P346" s="1613" t="s">
        <v>7280</v>
      </c>
      <c r="Q346" s="1613">
        <v>18910669242</v>
      </c>
      <c r="R346" s="1611" t="s">
        <v>7381</v>
      </c>
      <c r="S346" s="1611" t="s">
        <v>7094</v>
      </c>
      <c r="T346" s="1612"/>
    </row>
    <row r="347" spans="1:20" ht="24" customHeight="1">
      <c r="A347" s="1613">
        <v>44</v>
      </c>
      <c r="B347" s="1704" t="s">
        <v>7465</v>
      </c>
      <c r="C347" s="66" t="s">
        <v>7467</v>
      </c>
      <c r="D347" s="1663" t="s">
        <v>464</v>
      </c>
      <c r="E347" s="43">
        <v>7</v>
      </c>
      <c r="F347" s="1685"/>
      <c r="G347" s="1611" t="s">
        <v>3560</v>
      </c>
      <c r="H347" s="1613" t="s">
        <v>33</v>
      </c>
      <c r="I347" s="1720"/>
      <c r="J347" s="1663" t="s">
        <v>7444</v>
      </c>
      <c r="K347" s="1663" t="s">
        <v>7444</v>
      </c>
      <c r="L347" s="66">
        <v>14700</v>
      </c>
      <c r="M347" s="66">
        <v>2601.77</v>
      </c>
      <c r="N347" s="1658">
        <v>42522</v>
      </c>
      <c r="O347" s="1613" t="s">
        <v>7279</v>
      </c>
      <c r="P347" s="1613" t="s">
        <v>7280</v>
      </c>
      <c r="Q347" s="1613">
        <v>18910669242</v>
      </c>
      <c r="R347" s="1611" t="s">
        <v>7381</v>
      </c>
      <c r="S347" s="1611" t="s">
        <v>7094</v>
      </c>
      <c r="T347" s="1612"/>
    </row>
    <row r="348" spans="1:20" ht="24" customHeight="1">
      <c r="A348" s="1613">
        <v>45</v>
      </c>
      <c r="B348" s="1704" t="s">
        <v>7465</v>
      </c>
      <c r="C348" s="66" t="s">
        <v>7468</v>
      </c>
      <c r="D348" s="1663" t="s">
        <v>464</v>
      </c>
      <c r="E348" s="43">
        <v>45</v>
      </c>
      <c r="F348" s="1685"/>
      <c r="G348" s="1611" t="s">
        <v>32</v>
      </c>
      <c r="H348" s="1613" t="s">
        <v>33</v>
      </c>
      <c r="I348" s="1720"/>
      <c r="J348" s="1663" t="s">
        <v>7444</v>
      </c>
      <c r="K348" s="1663" t="s">
        <v>7444</v>
      </c>
      <c r="L348" s="66">
        <v>56700</v>
      </c>
      <c r="M348" s="66">
        <v>50176.99</v>
      </c>
      <c r="N348" s="1658">
        <v>43739</v>
      </c>
      <c r="O348" s="1613" t="s">
        <v>7279</v>
      </c>
      <c r="P348" s="1613" t="s">
        <v>7280</v>
      </c>
      <c r="Q348" s="1613">
        <v>18910669242</v>
      </c>
      <c r="R348" s="1611" t="s">
        <v>7381</v>
      </c>
      <c r="S348" s="1611" t="s">
        <v>7094</v>
      </c>
      <c r="T348" s="1612"/>
    </row>
    <row r="349" spans="1:20" ht="24" customHeight="1">
      <c r="A349" s="1613">
        <v>46</v>
      </c>
      <c r="B349" s="1721" t="s">
        <v>7465</v>
      </c>
      <c r="C349" s="66" t="s">
        <v>7466</v>
      </c>
      <c r="D349" s="1663" t="s">
        <v>464</v>
      </c>
      <c r="E349" s="43">
        <v>52</v>
      </c>
      <c r="F349" s="1685"/>
      <c r="G349" s="1611" t="s">
        <v>32</v>
      </c>
      <c r="H349" s="1613" t="s">
        <v>33</v>
      </c>
      <c r="I349" s="1720"/>
      <c r="J349" s="1663" t="s">
        <v>7444</v>
      </c>
      <c r="K349" s="1663" t="s">
        <v>7444</v>
      </c>
      <c r="L349" s="66">
        <v>93600</v>
      </c>
      <c r="M349" s="66">
        <v>82831.86</v>
      </c>
      <c r="N349" s="1658">
        <v>43739</v>
      </c>
      <c r="O349" s="1613" t="s">
        <v>7279</v>
      </c>
      <c r="P349" s="1613" t="s">
        <v>7280</v>
      </c>
      <c r="Q349" s="1613">
        <v>18910669242</v>
      </c>
      <c r="R349" s="1611" t="s">
        <v>7381</v>
      </c>
      <c r="S349" s="1611" t="s">
        <v>7094</v>
      </c>
      <c r="T349" s="1612"/>
    </row>
    <row r="350" spans="1:20" ht="24" customHeight="1">
      <c r="A350" s="1613">
        <v>47</v>
      </c>
      <c r="B350" s="1721" t="s">
        <v>7465</v>
      </c>
      <c r="C350" s="66" t="s">
        <v>7467</v>
      </c>
      <c r="D350" s="1630" t="s">
        <v>464</v>
      </c>
      <c r="E350" s="43">
        <v>17</v>
      </c>
      <c r="F350" s="1685"/>
      <c r="G350" s="1611" t="s">
        <v>32</v>
      </c>
      <c r="H350" s="1613" t="s">
        <v>33</v>
      </c>
      <c r="I350" s="1720"/>
      <c r="J350" s="1663" t="s">
        <v>7444</v>
      </c>
      <c r="K350" s="1663" t="s">
        <v>7444</v>
      </c>
      <c r="L350" s="66">
        <v>35190</v>
      </c>
      <c r="M350" s="66">
        <v>31141.59</v>
      </c>
      <c r="N350" s="1658">
        <v>43739</v>
      </c>
      <c r="O350" s="1613" t="s">
        <v>7279</v>
      </c>
      <c r="P350" s="1613" t="s">
        <v>7280</v>
      </c>
      <c r="Q350" s="1613">
        <v>18910669242</v>
      </c>
      <c r="R350" s="1611" t="s">
        <v>7381</v>
      </c>
      <c r="S350" s="1611" t="s">
        <v>7094</v>
      </c>
      <c r="T350" s="1612"/>
    </row>
    <row r="351" spans="1:20" ht="24" customHeight="1">
      <c r="A351" s="1613">
        <v>48</v>
      </c>
      <c r="B351" s="1722" t="s">
        <v>7469</v>
      </c>
      <c r="C351" s="1641" t="s">
        <v>7470</v>
      </c>
      <c r="D351" s="1630" t="s">
        <v>31</v>
      </c>
      <c r="E351" s="43">
        <v>248</v>
      </c>
      <c r="F351" s="1685"/>
      <c r="G351" s="1611" t="s">
        <v>3560</v>
      </c>
      <c r="H351" s="1613" t="s">
        <v>33</v>
      </c>
      <c r="I351" s="1720"/>
      <c r="J351" s="1663" t="s">
        <v>7444</v>
      </c>
      <c r="K351" s="1663" t="s">
        <v>7444</v>
      </c>
      <c r="L351" s="66">
        <v>108000</v>
      </c>
      <c r="M351" s="66">
        <v>19115.04</v>
      </c>
      <c r="N351" s="1658">
        <v>42522</v>
      </c>
      <c r="O351" s="1613" t="s">
        <v>7279</v>
      </c>
      <c r="P351" s="1613" t="s">
        <v>7280</v>
      </c>
      <c r="Q351" s="1613">
        <v>18910669242</v>
      </c>
      <c r="R351" s="1611" t="s">
        <v>7381</v>
      </c>
      <c r="S351" s="1611" t="s">
        <v>7094</v>
      </c>
      <c r="T351" s="1612"/>
    </row>
    <row r="352" spans="1:20" ht="24" customHeight="1">
      <c r="A352" s="1613">
        <v>49</v>
      </c>
      <c r="B352" s="1630" t="s">
        <v>7469</v>
      </c>
      <c r="C352" s="1641" t="s">
        <v>7470</v>
      </c>
      <c r="D352" s="1630" t="s">
        <v>31</v>
      </c>
      <c r="E352" s="1287">
        <v>80</v>
      </c>
      <c r="F352" s="1613"/>
      <c r="G352" s="1611" t="s">
        <v>32</v>
      </c>
      <c r="H352" s="1613" t="s">
        <v>33</v>
      </c>
      <c r="I352" s="1611"/>
      <c r="J352" s="1663" t="s">
        <v>7444</v>
      </c>
      <c r="K352" s="1663" t="s">
        <v>7444</v>
      </c>
      <c r="L352" s="66">
        <v>23600</v>
      </c>
      <c r="M352" s="66">
        <v>20884.96</v>
      </c>
      <c r="N352" s="1658">
        <v>43739</v>
      </c>
      <c r="O352" s="1613" t="s">
        <v>7279</v>
      </c>
      <c r="P352" s="1613" t="s">
        <v>7280</v>
      </c>
      <c r="Q352" s="1613">
        <v>18910669242</v>
      </c>
      <c r="R352" s="1611" t="s">
        <v>7381</v>
      </c>
      <c r="S352" s="1611" t="s">
        <v>7094</v>
      </c>
      <c r="T352" s="1612"/>
    </row>
    <row r="353" spans="1:20" ht="24" customHeight="1">
      <c r="A353" s="1613">
        <v>50</v>
      </c>
      <c r="B353" s="66" t="s">
        <v>7471</v>
      </c>
      <c r="C353" s="66" t="s">
        <v>7472</v>
      </c>
      <c r="D353" s="66" t="s">
        <v>464</v>
      </c>
      <c r="E353" s="43">
        <v>24</v>
      </c>
      <c r="F353" s="66" t="s">
        <v>34</v>
      </c>
      <c r="G353" s="66"/>
      <c r="H353" s="43"/>
      <c r="I353" s="43"/>
      <c r="J353" s="43" t="s">
        <v>7444</v>
      </c>
      <c r="K353" s="43" t="s">
        <v>7444</v>
      </c>
      <c r="L353" s="66">
        <v>1926</v>
      </c>
      <c r="M353" s="43">
        <v>46224</v>
      </c>
      <c r="N353" s="43" t="s">
        <v>389</v>
      </c>
      <c r="O353" s="43" t="s">
        <v>7232</v>
      </c>
      <c r="P353" s="1613" t="s">
        <v>3752</v>
      </c>
      <c r="Q353" s="1613">
        <v>17330072591</v>
      </c>
      <c r="R353" s="43" t="s">
        <v>7232</v>
      </c>
      <c r="S353" s="1611" t="s">
        <v>7094</v>
      </c>
      <c r="T353" s="1612"/>
    </row>
    <row r="354" spans="1:20" ht="24" customHeight="1">
      <c r="A354" s="1613">
        <v>51</v>
      </c>
      <c r="B354" s="66" t="s">
        <v>7471</v>
      </c>
      <c r="C354" s="66" t="s">
        <v>7473</v>
      </c>
      <c r="D354" s="66" t="s">
        <v>464</v>
      </c>
      <c r="E354" s="43">
        <v>30</v>
      </c>
      <c r="F354" s="66" t="s">
        <v>34</v>
      </c>
      <c r="G354" s="66"/>
      <c r="H354" s="43"/>
      <c r="I354" s="43"/>
      <c r="J354" s="43" t="s">
        <v>7444</v>
      </c>
      <c r="K354" s="43" t="s">
        <v>7444</v>
      </c>
      <c r="L354" s="66">
        <v>1440</v>
      </c>
      <c r="M354" s="43">
        <v>43200</v>
      </c>
      <c r="N354" s="43" t="s">
        <v>389</v>
      </c>
      <c r="O354" s="43" t="s">
        <v>7232</v>
      </c>
      <c r="P354" s="1613" t="s">
        <v>3752</v>
      </c>
      <c r="Q354" s="1613">
        <v>17330072591</v>
      </c>
      <c r="R354" s="43" t="s">
        <v>7232</v>
      </c>
      <c r="S354" s="1611" t="s">
        <v>7094</v>
      </c>
      <c r="T354" s="1612"/>
    </row>
    <row r="355" spans="1:20" ht="24" customHeight="1">
      <c r="A355" s="1613">
        <v>52</v>
      </c>
      <c r="B355" s="66" t="s">
        <v>7474</v>
      </c>
      <c r="C355" s="66" t="s">
        <v>7472</v>
      </c>
      <c r="D355" s="66" t="s">
        <v>464</v>
      </c>
      <c r="E355" s="43">
        <v>150</v>
      </c>
      <c r="F355" s="66" t="s">
        <v>34</v>
      </c>
      <c r="G355" s="66"/>
      <c r="H355" s="43"/>
      <c r="I355" s="43"/>
      <c r="J355" s="43" t="s">
        <v>7444</v>
      </c>
      <c r="K355" s="43" t="s">
        <v>7444</v>
      </c>
      <c r="L355" s="66">
        <v>1926</v>
      </c>
      <c r="M355" s="43">
        <v>288900</v>
      </c>
      <c r="N355" s="43" t="s">
        <v>389</v>
      </c>
      <c r="O355" s="43" t="s">
        <v>7232</v>
      </c>
      <c r="P355" s="1613" t="s">
        <v>3752</v>
      </c>
      <c r="Q355" s="1613">
        <v>17330072591</v>
      </c>
      <c r="R355" s="43" t="s">
        <v>7232</v>
      </c>
      <c r="S355" s="1611" t="s">
        <v>7094</v>
      </c>
      <c r="T355" s="1612"/>
    </row>
    <row r="356" spans="1:20" ht="24" customHeight="1">
      <c r="A356" s="1613">
        <v>53</v>
      </c>
      <c r="B356" s="66" t="s">
        <v>7474</v>
      </c>
      <c r="C356" s="66" t="s">
        <v>7472</v>
      </c>
      <c r="D356" s="66" t="s">
        <v>464</v>
      </c>
      <c r="E356" s="1723">
        <v>50</v>
      </c>
      <c r="F356" s="66" t="s">
        <v>34</v>
      </c>
      <c r="G356" s="66"/>
      <c r="H356" s="43"/>
      <c r="I356" s="1724"/>
      <c r="J356" s="43" t="s">
        <v>7444</v>
      </c>
      <c r="K356" s="43" t="s">
        <v>7444</v>
      </c>
      <c r="L356" s="66">
        <v>1926</v>
      </c>
      <c r="M356" s="43">
        <v>96300</v>
      </c>
      <c r="N356" s="1724" t="s">
        <v>7475</v>
      </c>
      <c r="O356" s="43" t="s">
        <v>7232</v>
      </c>
      <c r="P356" s="1613" t="s">
        <v>3752</v>
      </c>
      <c r="Q356" s="1613">
        <v>17330072591</v>
      </c>
      <c r="R356" s="43" t="s">
        <v>7232</v>
      </c>
      <c r="S356" s="1611" t="s">
        <v>7094</v>
      </c>
      <c r="T356" s="1612"/>
    </row>
    <row r="357" spans="1:20" ht="24" customHeight="1">
      <c r="A357" s="1613">
        <v>54</v>
      </c>
      <c r="B357" s="66" t="s">
        <v>7471</v>
      </c>
      <c r="C357" s="66" t="s">
        <v>7473</v>
      </c>
      <c r="D357" s="66" t="s">
        <v>464</v>
      </c>
      <c r="E357" s="1723">
        <v>20</v>
      </c>
      <c r="F357" s="66" t="s">
        <v>34</v>
      </c>
      <c r="G357" s="66"/>
      <c r="H357" s="43"/>
      <c r="I357" s="1724"/>
      <c r="J357" s="43" t="s">
        <v>7444</v>
      </c>
      <c r="K357" s="43" t="s">
        <v>7444</v>
      </c>
      <c r="L357" s="66">
        <v>1440</v>
      </c>
      <c r="M357" s="43">
        <v>28800</v>
      </c>
      <c r="N357" s="1724" t="s">
        <v>7475</v>
      </c>
      <c r="O357" s="43" t="s">
        <v>7232</v>
      </c>
      <c r="P357" s="1613" t="s">
        <v>3752</v>
      </c>
      <c r="Q357" s="1613">
        <v>17330072591</v>
      </c>
      <c r="R357" s="43" t="s">
        <v>7232</v>
      </c>
      <c r="S357" s="1611" t="s">
        <v>7094</v>
      </c>
      <c r="T357" s="1612"/>
    </row>
    <row r="358" spans="1:20" ht="24" customHeight="1">
      <c r="A358" s="1613">
        <v>55</v>
      </c>
      <c r="B358" s="1664" t="s">
        <v>7446</v>
      </c>
      <c r="C358" s="1664"/>
      <c r="D358" s="1611"/>
      <c r="E358" s="1287"/>
      <c r="F358" s="1613"/>
      <c r="G358" s="1611"/>
      <c r="H358" s="1611"/>
      <c r="I358" s="1611"/>
      <c r="J358" s="1611"/>
      <c r="K358" s="1611"/>
      <c r="L358" s="1670"/>
      <c r="M358" s="1725"/>
      <c r="N358" s="1613"/>
      <c r="O358" s="1637"/>
      <c r="P358" s="1611"/>
      <c r="Q358" s="1613"/>
      <c r="R358" s="1611"/>
      <c r="S358" s="1611"/>
      <c r="T358" s="1628"/>
    </row>
    <row r="359" spans="1:20" ht="24" customHeight="1">
      <c r="A359" s="1613">
        <v>56</v>
      </c>
      <c r="B359" s="1664" t="s">
        <v>7448</v>
      </c>
      <c r="C359" s="1664"/>
      <c r="D359" s="1611" t="s">
        <v>79</v>
      </c>
      <c r="E359" s="1287">
        <v>1</v>
      </c>
      <c r="F359" s="1613" t="s">
        <v>34</v>
      </c>
      <c r="G359" s="1611" t="s">
        <v>3560</v>
      </c>
      <c r="H359" s="1611" t="s">
        <v>3560</v>
      </c>
      <c r="I359" s="1611" t="s">
        <v>34</v>
      </c>
      <c r="J359" s="1637" t="s">
        <v>7476</v>
      </c>
      <c r="K359" s="1611"/>
      <c r="L359" s="1670" t="s">
        <v>34</v>
      </c>
      <c r="M359" s="1726" t="s">
        <v>34</v>
      </c>
      <c r="N359" s="1613" t="s">
        <v>34</v>
      </c>
      <c r="O359" s="1637" t="s">
        <v>7477</v>
      </c>
      <c r="P359" s="1611" t="s">
        <v>7242</v>
      </c>
      <c r="Q359" s="1613">
        <v>18518241904</v>
      </c>
      <c r="R359" s="1608" t="s">
        <v>7477</v>
      </c>
      <c r="S359" s="1611" t="s">
        <v>7094</v>
      </c>
      <c r="T359" s="1727"/>
    </row>
    <row r="360" spans="1:20" ht="24" customHeight="1">
      <c r="A360" s="1613">
        <v>57</v>
      </c>
      <c r="B360" s="1640" t="s">
        <v>7449</v>
      </c>
      <c r="C360" s="1664" t="s">
        <v>7478</v>
      </c>
      <c r="D360" s="1611" t="s">
        <v>131</v>
      </c>
      <c r="E360" s="1613">
        <v>220</v>
      </c>
      <c r="F360" s="1613" t="s">
        <v>34</v>
      </c>
      <c r="G360" s="1637" t="s">
        <v>7479</v>
      </c>
      <c r="H360" s="1637" t="s">
        <v>7479</v>
      </c>
      <c r="I360" s="1611" t="s">
        <v>34</v>
      </c>
      <c r="J360" s="1637" t="s">
        <v>7476</v>
      </c>
      <c r="K360" s="1611"/>
      <c r="L360" s="1670" t="s">
        <v>34</v>
      </c>
      <c r="M360" s="1726" t="s">
        <v>34</v>
      </c>
      <c r="N360" s="1613" t="s">
        <v>34</v>
      </c>
      <c r="O360" s="1637" t="s">
        <v>7477</v>
      </c>
      <c r="P360" s="1611" t="s">
        <v>7242</v>
      </c>
      <c r="Q360" s="1613">
        <v>18518241904</v>
      </c>
      <c r="R360" s="1608" t="s">
        <v>7477</v>
      </c>
      <c r="S360" s="1611" t="s">
        <v>7094</v>
      </c>
      <c r="T360" s="1727"/>
    </row>
    <row r="361" spans="1:20" ht="24" customHeight="1">
      <c r="A361" s="1613">
        <v>58</v>
      </c>
      <c r="B361" s="1704" t="s">
        <v>7449</v>
      </c>
      <c r="C361" s="1664"/>
      <c r="D361" s="1611"/>
      <c r="E361" s="1685"/>
      <c r="F361" s="1685"/>
      <c r="G361" s="1611"/>
      <c r="H361" s="1611"/>
      <c r="I361" s="1611"/>
      <c r="J361" s="1611"/>
      <c r="K361" s="1611"/>
      <c r="L361" s="1670"/>
      <c r="M361" s="1725"/>
      <c r="N361" s="1613"/>
      <c r="O361" s="1637"/>
      <c r="P361" s="1611"/>
      <c r="Q361" s="1613"/>
      <c r="R361" s="1611"/>
      <c r="S361" s="1611" t="s">
        <v>7094</v>
      </c>
      <c r="T361" s="1628"/>
    </row>
    <row r="362" spans="1:20" ht="24" customHeight="1">
      <c r="A362" s="1613">
        <v>59</v>
      </c>
      <c r="B362" s="1611" t="s">
        <v>7446</v>
      </c>
      <c r="C362" s="1611"/>
      <c r="D362" s="1611"/>
      <c r="E362" s="1613"/>
      <c r="F362" s="1613"/>
      <c r="G362" s="1611"/>
      <c r="H362" s="1611"/>
      <c r="I362" s="1611"/>
      <c r="J362" s="1637"/>
      <c r="K362" s="1611"/>
      <c r="L362" s="1670"/>
      <c r="M362" s="1671"/>
      <c r="N362" s="1613"/>
      <c r="O362" s="1637"/>
      <c r="P362" s="1611"/>
      <c r="Q362" s="1613"/>
      <c r="R362" s="1608"/>
      <c r="S362" s="1611"/>
      <c r="T362" s="1612"/>
    </row>
    <row r="363" spans="1:20" ht="24" customHeight="1">
      <c r="A363" s="1613">
        <v>60</v>
      </c>
      <c r="B363" s="1704" t="s">
        <v>7465</v>
      </c>
      <c r="C363" s="1611" t="s">
        <v>7480</v>
      </c>
      <c r="D363" s="1611" t="s">
        <v>464</v>
      </c>
      <c r="E363" s="1613">
        <v>4</v>
      </c>
      <c r="F363" s="1613" t="s">
        <v>34</v>
      </c>
      <c r="G363" s="1637" t="s">
        <v>7481</v>
      </c>
      <c r="H363" s="1637" t="s">
        <v>7481</v>
      </c>
      <c r="I363" s="1611" t="s">
        <v>34</v>
      </c>
      <c r="J363" s="1637" t="s">
        <v>7476</v>
      </c>
      <c r="K363" s="1611"/>
      <c r="L363" s="1670" t="s">
        <v>34</v>
      </c>
      <c r="M363" s="1671" t="s">
        <v>34</v>
      </c>
      <c r="N363" s="1613" t="s">
        <v>34</v>
      </c>
      <c r="O363" s="1637" t="s">
        <v>7477</v>
      </c>
      <c r="P363" s="1611" t="s">
        <v>7242</v>
      </c>
      <c r="Q363" s="1613">
        <v>18518241904</v>
      </c>
      <c r="R363" s="1608" t="s">
        <v>7477</v>
      </c>
      <c r="S363" s="1611" t="s">
        <v>7094</v>
      </c>
      <c r="T363" s="1612"/>
    </row>
    <row r="364" spans="1:20" ht="24" customHeight="1">
      <c r="A364" s="1613">
        <v>61</v>
      </c>
      <c r="B364" s="1704" t="s">
        <v>7465</v>
      </c>
      <c r="C364" s="1611" t="s">
        <v>7482</v>
      </c>
      <c r="D364" s="1611" t="s">
        <v>464</v>
      </c>
      <c r="E364" s="1613">
        <v>104</v>
      </c>
      <c r="F364" s="1685" t="s">
        <v>34</v>
      </c>
      <c r="G364" s="1637" t="s">
        <v>7479</v>
      </c>
      <c r="H364" s="1637" t="s">
        <v>7479</v>
      </c>
      <c r="I364" s="1720" t="s">
        <v>34</v>
      </c>
      <c r="J364" s="1637" t="s">
        <v>7476</v>
      </c>
      <c r="K364" s="1611"/>
      <c r="L364" s="1668" t="s">
        <v>34</v>
      </c>
      <c r="M364" s="1672" t="s">
        <v>34</v>
      </c>
      <c r="N364" s="1692" t="s">
        <v>34</v>
      </c>
      <c r="O364" s="1637" t="s">
        <v>7477</v>
      </c>
      <c r="P364" s="1611" t="s">
        <v>7242</v>
      </c>
      <c r="Q364" s="1613">
        <v>18518241904</v>
      </c>
      <c r="R364" s="1608" t="s">
        <v>7477</v>
      </c>
      <c r="S364" s="1611" t="s">
        <v>7094</v>
      </c>
      <c r="T364" s="1612"/>
    </row>
    <row r="365" spans="1:20" ht="24" customHeight="1">
      <c r="A365" s="1613">
        <v>62</v>
      </c>
      <c r="B365" s="1704" t="s">
        <v>7465</v>
      </c>
      <c r="C365" s="1611" t="s">
        <v>7483</v>
      </c>
      <c r="D365" s="1611" t="s">
        <v>464</v>
      </c>
      <c r="E365" s="1613">
        <v>6</v>
      </c>
      <c r="F365" s="1685" t="s">
        <v>34</v>
      </c>
      <c r="G365" s="1637" t="s">
        <v>7481</v>
      </c>
      <c r="H365" s="1637" t="s">
        <v>7481</v>
      </c>
      <c r="I365" s="1720" t="s">
        <v>34</v>
      </c>
      <c r="J365" s="1637" t="s">
        <v>7476</v>
      </c>
      <c r="K365" s="1611"/>
      <c r="L365" s="1668" t="s">
        <v>34</v>
      </c>
      <c r="M365" s="1672" t="s">
        <v>34</v>
      </c>
      <c r="N365" s="1692" t="s">
        <v>34</v>
      </c>
      <c r="O365" s="1637" t="s">
        <v>7477</v>
      </c>
      <c r="P365" s="1611" t="s">
        <v>7242</v>
      </c>
      <c r="Q365" s="1613">
        <v>18518241904</v>
      </c>
      <c r="R365" s="1608" t="s">
        <v>7477</v>
      </c>
      <c r="S365" s="1611" t="s">
        <v>7094</v>
      </c>
      <c r="T365" s="1612"/>
    </row>
    <row r="366" spans="1:20" ht="24" customHeight="1">
      <c r="A366" s="1613">
        <v>63</v>
      </c>
      <c r="B366" s="1700" t="s">
        <v>7484</v>
      </c>
      <c r="C366" s="1700"/>
      <c r="D366" s="1624"/>
      <c r="E366" s="1624"/>
      <c r="F366" s="1648"/>
      <c r="G366" s="1648" t="s">
        <v>33</v>
      </c>
      <c r="H366" s="1624"/>
      <c r="I366" s="1624"/>
      <c r="J366" s="1624"/>
      <c r="K366" s="624"/>
      <c r="L366" s="1696">
        <v>7200</v>
      </c>
      <c r="M366" s="1696">
        <v>7200</v>
      </c>
      <c r="N366" s="1624"/>
      <c r="O366" s="1624"/>
      <c r="P366" s="1695" t="s">
        <v>7217</v>
      </c>
      <c r="Q366" s="1695">
        <v>13603219995</v>
      </c>
      <c r="R366" s="1610" t="s">
        <v>7204</v>
      </c>
      <c r="S366" s="1608" t="s">
        <v>7094</v>
      </c>
      <c r="T366" s="1728"/>
    </row>
    <row r="367" spans="1:20" ht="24" customHeight="1">
      <c r="A367" s="1613">
        <v>64</v>
      </c>
      <c r="B367" s="1700" t="s">
        <v>7485</v>
      </c>
      <c r="C367" s="1700"/>
      <c r="D367" s="1624"/>
      <c r="E367" s="1624"/>
      <c r="F367" s="1648"/>
      <c r="G367" s="1648" t="s">
        <v>33</v>
      </c>
      <c r="H367" s="1624"/>
      <c r="I367" s="1624"/>
      <c r="J367" s="1624"/>
      <c r="K367" s="624"/>
      <c r="L367" s="1696">
        <v>22800</v>
      </c>
      <c r="M367" s="1696">
        <v>22800</v>
      </c>
      <c r="N367" s="1624"/>
      <c r="O367" s="1624"/>
      <c r="P367" s="1695" t="s">
        <v>7217</v>
      </c>
      <c r="Q367" s="1695">
        <v>13603219995</v>
      </c>
      <c r="R367" s="1610" t="s">
        <v>7204</v>
      </c>
      <c r="S367" s="1608" t="s">
        <v>7094</v>
      </c>
      <c r="T367" s="1728"/>
    </row>
    <row r="368" spans="1:20" ht="24" customHeight="1">
      <c r="A368" s="1613">
        <v>65</v>
      </c>
      <c r="B368" s="1700" t="s">
        <v>7486</v>
      </c>
      <c r="C368" s="1700"/>
      <c r="D368" s="1624"/>
      <c r="E368" s="1624"/>
      <c r="F368" s="1648"/>
      <c r="G368" s="1648" t="s">
        <v>33</v>
      </c>
      <c r="H368" s="1624"/>
      <c r="I368" s="1624"/>
      <c r="J368" s="1624"/>
      <c r="K368" s="624"/>
      <c r="L368" s="1696">
        <v>12960</v>
      </c>
      <c r="M368" s="1696">
        <v>12960</v>
      </c>
      <c r="N368" s="1624"/>
      <c r="O368" s="1624"/>
      <c r="P368" s="1695" t="s">
        <v>7217</v>
      </c>
      <c r="Q368" s="1695">
        <v>13603219995</v>
      </c>
      <c r="R368" s="1610" t="s">
        <v>7204</v>
      </c>
      <c r="S368" s="1608" t="s">
        <v>7094</v>
      </c>
      <c r="T368" s="1728"/>
    </row>
    <row r="369" spans="1:20" ht="24" customHeight="1">
      <c r="A369" s="1613">
        <v>66</v>
      </c>
      <c r="B369" s="1729" t="s">
        <v>7487</v>
      </c>
      <c r="C369" s="1729">
        <v>70</v>
      </c>
      <c r="D369" s="1610"/>
      <c r="E369" s="1610"/>
      <c r="F369" s="1692"/>
      <c r="G369" s="1692" t="s">
        <v>33</v>
      </c>
      <c r="H369" s="1610"/>
      <c r="I369" s="1610"/>
      <c r="J369" s="1610"/>
      <c r="K369" s="1611"/>
      <c r="L369" s="1701">
        <v>20700</v>
      </c>
      <c r="M369" s="1701">
        <v>20700</v>
      </c>
      <c r="N369" s="1610"/>
      <c r="O369" s="1610"/>
      <c r="P369" s="1695" t="s">
        <v>7217</v>
      </c>
      <c r="Q369" s="1695">
        <v>13603219995</v>
      </c>
      <c r="R369" s="1610" t="s">
        <v>7204</v>
      </c>
      <c r="S369" s="1608" t="s">
        <v>7094</v>
      </c>
      <c r="T369" s="1728"/>
    </row>
    <row r="370" spans="1:20" ht="24" customHeight="1">
      <c r="A370" s="1613">
        <v>67</v>
      </c>
      <c r="B370" s="1729" t="s">
        <v>7488</v>
      </c>
      <c r="C370" s="1729">
        <v>80</v>
      </c>
      <c r="D370" s="1610"/>
      <c r="E370" s="1610"/>
      <c r="F370" s="1692"/>
      <c r="G370" s="1692" t="s">
        <v>33</v>
      </c>
      <c r="H370" s="1610"/>
      <c r="I370" s="1610"/>
      <c r="J370" s="1610"/>
      <c r="K370" s="1611"/>
      <c r="L370" s="1701">
        <v>79716</v>
      </c>
      <c r="M370" s="1701">
        <v>79716</v>
      </c>
      <c r="N370" s="1610"/>
      <c r="O370" s="1610"/>
      <c r="P370" s="1695" t="s">
        <v>7217</v>
      </c>
      <c r="Q370" s="1695">
        <v>13603219995</v>
      </c>
      <c r="R370" s="1610" t="s">
        <v>7204</v>
      </c>
      <c r="S370" s="1608" t="s">
        <v>7094</v>
      </c>
      <c r="T370" s="1728"/>
    </row>
    <row r="371" spans="1:20" ht="24" customHeight="1">
      <c r="A371" s="1613">
        <v>68</v>
      </c>
      <c r="B371" s="1729" t="s">
        <v>7489</v>
      </c>
      <c r="C371" s="1729">
        <v>90</v>
      </c>
      <c r="D371" s="1610"/>
      <c r="E371" s="1610"/>
      <c r="F371" s="1692"/>
      <c r="G371" s="1692" t="s">
        <v>33</v>
      </c>
      <c r="H371" s="1610"/>
      <c r="I371" s="1610"/>
      <c r="J371" s="1610"/>
      <c r="K371" s="1611"/>
      <c r="L371" s="1701">
        <v>49640</v>
      </c>
      <c r="M371" s="1701">
        <v>49640</v>
      </c>
      <c r="N371" s="1610"/>
      <c r="O371" s="1610"/>
      <c r="P371" s="1695" t="s">
        <v>7217</v>
      </c>
      <c r="Q371" s="1695">
        <v>13603219995</v>
      </c>
      <c r="R371" s="1610" t="s">
        <v>7204</v>
      </c>
      <c r="S371" s="1608" t="s">
        <v>7094</v>
      </c>
      <c r="T371" s="1728"/>
    </row>
    <row r="372" spans="1:20" ht="24" customHeight="1">
      <c r="A372" s="1613">
        <v>69</v>
      </c>
      <c r="B372" s="1729" t="s">
        <v>7490</v>
      </c>
      <c r="C372" s="1729"/>
      <c r="D372" s="1610"/>
      <c r="E372" s="1610"/>
      <c r="F372" s="1692"/>
      <c r="G372" s="1692" t="s">
        <v>33</v>
      </c>
      <c r="H372" s="1610"/>
      <c r="I372" s="1610"/>
      <c r="J372" s="1610"/>
      <c r="K372" s="1611"/>
      <c r="L372" s="1701">
        <v>146551.72</v>
      </c>
      <c r="M372" s="1701">
        <v>146551.72</v>
      </c>
      <c r="N372" s="1610"/>
      <c r="O372" s="1610"/>
      <c r="P372" s="1695" t="s">
        <v>7217</v>
      </c>
      <c r="Q372" s="1695">
        <v>13603219995</v>
      </c>
      <c r="R372" s="1610" t="s">
        <v>7204</v>
      </c>
      <c r="S372" s="1608" t="s">
        <v>7094</v>
      </c>
      <c r="T372" s="1728"/>
    </row>
    <row r="373" spans="1:20" ht="24" customHeight="1">
      <c r="A373" s="1613">
        <v>70</v>
      </c>
      <c r="B373" s="1729" t="s">
        <v>7491</v>
      </c>
      <c r="C373" s="1729"/>
      <c r="D373" s="1610"/>
      <c r="E373" s="1610"/>
      <c r="F373" s="1692"/>
      <c r="G373" s="1692" t="s">
        <v>33</v>
      </c>
      <c r="H373" s="1610"/>
      <c r="I373" s="1610"/>
      <c r="J373" s="1610"/>
      <c r="K373" s="1611"/>
      <c r="L373" s="1701">
        <v>150862.07</v>
      </c>
      <c r="M373" s="1701">
        <v>150862.07</v>
      </c>
      <c r="N373" s="1610"/>
      <c r="O373" s="1610"/>
      <c r="P373" s="1695" t="s">
        <v>7217</v>
      </c>
      <c r="Q373" s="1695">
        <v>13603219995</v>
      </c>
      <c r="R373" s="1610" t="s">
        <v>7204</v>
      </c>
      <c r="S373" s="1608" t="s">
        <v>7094</v>
      </c>
      <c r="T373" s="1728"/>
    </row>
    <row r="374" spans="1:20" ht="24" customHeight="1">
      <c r="A374" s="1613">
        <v>71</v>
      </c>
      <c r="B374" s="1729" t="s">
        <v>7492</v>
      </c>
      <c r="C374" s="1701"/>
      <c r="D374" s="1610"/>
      <c r="E374" s="1610"/>
      <c r="F374" s="1692"/>
      <c r="G374" s="1692" t="s">
        <v>33</v>
      </c>
      <c r="H374" s="1610"/>
      <c r="I374" s="1610"/>
      <c r="J374" s="1610"/>
      <c r="K374" s="1611"/>
      <c r="L374" s="1701">
        <v>45000</v>
      </c>
      <c r="M374" s="1701">
        <v>45000</v>
      </c>
      <c r="N374" s="1610"/>
      <c r="O374" s="1610"/>
      <c r="P374" s="1695" t="s">
        <v>7217</v>
      </c>
      <c r="Q374" s="1695">
        <v>13603219995</v>
      </c>
      <c r="R374" s="1610" t="s">
        <v>7204</v>
      </c>
      <c r="S374" s="1608" t="s">
        <v>7094</v>
      </c>
      <c r="T374" s="1728"/>
    </row>
    <row r="375" spans="1:20" ht="24" customHeight="1">
      <c r="A375" s="1613">
        <v>72</v>
      </c>
      <c r="B375" s="1729" t="s">
        <v>7493</v>
      </c>
      <c r="C375" s="1701" t="s">
        <v>7494</v>
      </c>
      <c r="D375" s="1610"/>
      <c r="E375" s="1610"/>
      <c r="F375" s="1692"/>
      <c r="G375" s="1692" t="s">
        <v>33</v>
      </c>
      <c r="H375" s="1610"/>
      <c r="I375" s="1610"/>
      <c r="J375" s="1610"/>
      <c r="K375" s="1611"/>
      <c r="L375" s="1701">
        <v>18000</v>
      </c>
      <c r="M375" s="1701">
        <v>18000</v>
      </c>
      <c r="N375" s="1610"/>
      <c r="O375" s="1610"/>
      <c r="P375" s="1695" t="s">
        <v>7217</v>
      </c>
      <c r="Q375" s="1695">
        <v>13603219995</v>
      </c>
      <c r="R375" s="1610" t="s">
        <v>7204</v>
      </c>
      <c r="S375" s="1608" t="s">
        <v>7094</v>
      </c>
      <c r="T375" s="1728"/>
    </row>
    <row r="376" spans="1:20" ht="24" customHeight="1">
      <c r="A376" s="1613">
        <v>73</v>
      </c>
      <c r="B376" s="1729" t="s">
        <v>7495</v>
      </c>
      <c r="C376" s="1701" t="s">
        <v>6635</v>
      </c>
      <c r="D376" s="1610"/>
      <c r="E376" s="1610"/>
      <c r="F376" s="1692"/>
      <c r="G376" s="1692" t="s">
        <v>33</v>
      </c>
      <c r="H376" s="1610"/>
      <c r="I376" s="1610"/>
      <c r="J376" s="1610"/>
      <c r="K376" s="1611"/>
      <c r="L376" s="1701">
        <v>9000</v>
      </c>
      <c r="M376" s="1701">
        <v>9000</v>
      </c>
      <c r="N376" s="1610"/>
      <c r="O376" s="1610"/>
      <c r="P376" s="1695" t="s">
        <v>7217</v>
      </c>
      <c r="Q376" s="1695">
        <v>13603219995</v>
      </c>
      <c r="R376" s="1610" t="s">
        <v>7204</v>
      </c>
      <c r="S376" s="1608" t="s">
        <v>7094</v>
      </c>
      <c r="T376" s="1728"/>
    </row>
    <row r="377" spans="1:20" ht="24" customHeight="1">
      <c r="A377" s="1613">
        <v>74</v>
      </c>
      <c r="B377" s="1729" t="s">
        <v>7496</v>
      </c>
      <c r="C377" s="1701" t="s">
        <v>6635</v>
      </c>
      <c r="D377" s="1610"/>
      <c r="E377" s="1610"/>
      <c r="F377" s="1692"/>
      <c r="G377" s="1692" t="s">
        <v>33</v>
      </c>
      <c r="H377" s="1610"/>
      <c r="I377" s="1610"/>
      <c r="J377" s="1610"/>
      <c r="K377" s="1611"/>
      <c r="L377" s="1701">
        <v>33000</v>
      </c>
      <c r="M377" s="1701">
        <v>33000</v>
      </c>
      <c r="N377" s="1610"/>
      <c r="O377" s="1610"/>
      <c r="P377" s="1695" t="s">
        <v>7217</v>
      </c>
      <c r="Q377" s="1695">
        <v>13603219995</v>
      </c>
      <c r="R377" s="1610" t="s">
        <v>7204</v>
      </c>
      <c r="S377" s="1608" t="s">
        <v>7094</v>
      </c>
      <c r="T377" s="1728"/>
    </row>
    <row r="378" spans="1:20" ht="24" customHeight="1">
      <c r="A378" s="1613">
        <v>75</v>
      </c>
      <c r="B378" s="1729" t="s">
        <v>7497</v>
      </c>
      <c r="C378" s="1701">
        <v>55</v>
      </c>
      <c r="D378" s="1610"/>
      <c r="E378" s="1610"/>
      <c r="F378" s="1692"/>
      <c r="G378" s="1692" t="s">
        <v>33</v>
      </c>
      <c r="H378" s="1610"/>
      <c r="I378" s="1610"/>
      <c r="J378" s="1610"/>
      <c r="K378" s="1611"/>
      <c r="L378" s="1701">
        <v>19500</v>
      </c>
      <c r="M378" s="1701">
        <v>19500</v>
      </c>
      <c r="N378" s="1610"/>
      <c r="O378" s="1610"/>
      <c r="P378" s="1695" t="s">
        <v>7217</v>
      </c>
      <c r="Q378" s="1695">
        <v>13603219995</v>
      </c>
      <c r="R378" s="1610" t="s">
        <v>7204</v>
      </c>
      <c r="S378" s="1608" t="s">
        <v>7094</v>
      </c>
      <c r="T378" s="1728"/>
    </row>
    <row r="379" spans="1:20" ht="24" customHeight="1">
      <c r="A379" s="1613">
        <v>76</v>
      </c>
      <c r="B379" s="1729" t="s">
        <v>7498</v>
      </c>
      <c r="C379" s="1701">
        <v>60</v>
      </c>
      <c r="D379" s="1610"/>
      <c r="E379" s="1610"/>
      <c r="F379" s="1692"/>
      <c r="G379" s="1692" t="s">
        <v>33</v>
      </c>
      <c r="H379" s="1610"/>
      <c r="I379" s="1610"/>
      <c r="J379" s="1610"/>
      <c r="K379" s="1611"/>
      <c r="L379" s="1701">
        <v>6800</v>
      </c>
      <c r="M379" s="1701">
        <v>6800</v>
      </c>
      <c r="N379" s="1610"/>
      <c r="O379" s="1610"/>
      <c r="P379" s="1695" t="s">
        <v>7217</v>
      </c>
      <c r="Q379" s="1695">
        <v>13603219995</v>
      </c>
      <c r="R379" s="1610" t="s">
        <v>7204</v>
      </c>
      <c r="S379" s="1608" t="s">
        <v>7094</v>
      </c>
      <c r="T379" s="1728"/>
    </row>
    <row r="380" spans="1:20" ht="24" customHeight="1">
      <c r="A380" s="1613">
        <v>77</v>
      </c>
      <c r="B380" s="1729" t="s">
        <v>7499</v>
      </c>
      <c r="C380" s="1701">
        <v>80</v>
      </c>
      <c r="D380" s="1610"/>
      <c r="E380" s="1610"/>
      <c r="F380" s="1692"/>
      <c r="G380" s="1692" t="s">
        <v>33</v>
      </c>
      <c r="H380" s="1610"/>
      <c r="I380" s="1610"/>
      <c r="J380" s="1610"/>
      <c r="K380" s="1611"/>
      <c r="L380" s="1701">
        <v>21250</v>
      </c>
      <c r="M380" s="1701">
        <v>21250</v>
      </c>
      <c r="N380" s="1610"/>
      <c r="O380" s="1610"/>
      <c r="P380" s="1695" t="s">
        <v>7217</v>
      </c>
      <c r="Q380" s="1695">
        <v>13603219995</v>
      </c>
      <c r="R380" s="1610" t="s">
        <v>7204</v>
      </c>
      <c r="S380" s="1608" t="s">
        <v>7094</v>
      </c>
      <c r="T380" s="1728"/>
    </row>
    <row r="381" spans="1:20" ht="24" customHeight="1">
      <c r="A381" s="1613">
        <v>78</v>
      </c>
      <c r="B381" s="1729" t="s">
        <v>7500</v>
      </c>
      <c r="C381" s="1701" t="s">
        <v>7501</v>
      </c>
      <c r="D381" s="1610"/>
      <c r="E381" s="1610"/>
      <c r="F381" s="1692"/>
      <c r="G381" s="1692" t="s">
        <v>33</v>
      </c>
      <c r="H381" s="1610"/>
      <c r="I381" s="1610"/>
      <c r="J381" s="1610"/>
      <c r="K381" s="1611"/>
      <c r="L381" s="1701">
        <v>22000</v>
      </c>
      <c r="M381" s="1701">
        <v>22000</v>
      </c>
      <c r="N381" s="1610"/>
      <c r="O381" s="1610"/>
      <c r="P381" s="1695" t="s">
        <v>7217</v>
      </c>
      <c r="Q381" s="1695">
        <v>13603219995</v>
      </c>
      <c r="R381" s="1610" t="s">
        <v>7204</v>
      </c>
      <c r="S381" s="1608" t="s">
        <v>7094</v>
      </c>
      <c r="T381" s="1728"/>
    </row>
    <row r="382" spans="1:20" ht="24" customHeight="1">
      <c r="A382" s="1730"/>
      <c r="B382" s="1731"/>
      <c r="C382" s="64"/>
      <c r="D382" s="1732"/>
      <c r="E382" s="1733"/>
      <c r="F382" s="1734"/>
      <c r="G382" s="1732"/>
      <c r="H382" s="1735"/>
      <c r="I382" s="1675"/>
      <c r="J382" s="1732"/>
      <c r="K382" s="1732"/>
      <c r="L382" s="1733"/>
      <c r="M382" s="1733"/>
      <c r="N382" s="1736"/>
      <c r="O382" s="1627"/>
      <c r="P382" s="1430"/>
      <c r="Q382" s="1521"/>
      <c r="R382" s="1737"/>
      <c r="S382" s="1738"/>
    </row>
    <row r="383" spans="1:20" ht="24" customHeight="1">
      <c r="A383" s="1739" t="s">
        <v>7502</v>
      </c>
      <c r="B383" s="1740"/>
      <c r="C383" s="64"/>
      <c r="D383" s="1741"/>
      <c r="E383" s="1742"/>
      <c r="F383" s="1734"/>
      <c r="G383" s="1741"/>
      <c r="H383" s="1735"/>
      <c r="I383" s="1735"/>
      <c r="J383" s="1735"/>
      <c r="K383" s="1735"/>
      <c r="L383" s="1627"/>
      <c r="M383" s="64"/>
      <c r="N383" s="1743"/>
      <c r="O383" s="64"/>
      <c r="P383" s="64"/>
      <c r="Q383" s="64"/>
      <c r="R383" s="1679"/>
      <c r="S383" s="1738"/>
    </row>
    <row r="384" spans="1:20" s="1753" customFormat="1" ht="24" customHeight="1">
      <c r="A384" s="1744"/>
      <c r="B384" s="1745"/>
      <c r="C384" s="1746"/>
      <c r="D384" s="1747"/>
      <c r="E384" s="1748"/>
      <c r="F384" s="1749"/>
      <c r="G384" s="1747"/>
      <c r="H384" s="1750"/>
      <c r="I384" s="1750"/>
      <c r="J384" s="1750"/>
      <c r="K384" s="1750"/>
      <c r="L384" s="1744"/>
      <c r="M384" s="1746"/>
      <c r="N384" s="1751"/>
      <c r="O384" s="1746"/>
      <c r="P384" s="1746"/>
      <c r="Q384" s="1746"/>
      <c r="R384" s="1752"/>
      <c r="S384" s="1752"/>
    </row>
    <row r="385" spans="1:19" s="1753" customFormat="1" ht="24" customHeight="1">
      <c r="A385" s="1744"/>
      <c r="B385" s="1747"/>
      <c r="C385" s="1746"/>
      <c r="D385" s="1747"/>
      <c r="E385" s="1748"/>
      <c r="F385" s="1749"/>
      <c r="G385" s="1747"/>
      <c r="H385" s="1750"/>
      <c r="I385" s="1750"/>
      <c r="J385" s="1750"/>
      <c r="K385" s="1750"/>
      <c r="L385" s="1744"/>
      <c r="M385" s="1746"/>
      <c r="N385" s="1751"/>
      <c r="O385" s="1746"/>
      <c r="P385" s="1746"/>
      <c r="Q385" s="1746"/>
      <c r="R385" s="1752"/>
      <c r="S385" s="1752"/>
    </row>
    <row r="386" spans="1:19" s="1753" customFormat="1" ht="24" customHeight="1">
      <c r="A386" s="1744"/>
      <c r="B386" s="1752"/>
      <c r="C386" s="1744"/>
      <c r="D386" s="1752"/>
      <c r="E386" s="1744"/>
      <c r="F386" s="1744"/>
      <c r="G386" s="1752"/>
      <c r="H386" s="1752"/>
      <c r="I386" s="1752"/>
      <c r="J386" s="1752"/>
      <c r="K386" s="1752"/>
      <c r="L386" s="1754"/>
      <c r="M386" s="1755"/>
      <c r="N386" s="1744"/>
      <c r="O386" s="1566"/>
      <c r="P386" s="1756"/>
      <c r="Q386" s="1566"/>
      <c r="R386" s="1757"/>
      <c r="S386" s="1752"/>
    </row>
    <row r="387" spans="1:19" s="1753" customFormat="1" ht="24" customHeight="1">
      <c r="A387" s="1744"/>
      <c r="B387" s="1758"/>
      <c r="C387" s="1759"/>
      <c r="D387" s="1752"/>
      <c r="E387" s="1760"/>
      <c r="F387" s="1760"/>
      <c r="G387" s="1752"/>
      <c r="H387" s="1752"/>
      <c r="I387" s="1752"/>
      <c r="J387" s="1752"/>
      <c r="K387" s="1968"/>
      <c r="L387" s="1744"/>
      <c r="M387" s="1761"/>
      <c r="N387" s="1744"/>
      <c r="O387" s="1762"/>
      <c r="P387" s="1744"/>
      <c r="Q387" s="1744"/>
      <c r="R387" s="1763"/>
      <c r="S387" s="1752"/>
    </row>
    <row r="388" spans="1:19" s="1753" customFormat="1" ht="24" customHeight="1">
      <c r="A388" s="1744"/>
      <c r="B388" s="1758"/>
      <c r="C388" s="1759"/>
      <c r="D388" s="1752"/>
      <c r="E388" s="1760"/>
      <c r="F388" s="1760"/>
      <c r="G388" s="1752"/>
      <c r="H388" s="1752"/>
      <c r="I388" s="1752"/>
      <c r="J388" s="1752"/>
      <c r="K388" s="1968"/>
      <c r="L388" s="1744"/>
      <c r="M388" s="1761"/>
      <c r="N388" s="1744"/>
      <c r="O388" s="1762"/>
      <c r="P388" s="1744"/>
      <c r="Q388" s="1744"/>
      <c r="R388" s="1763"/>
      <c r="S388" s="1752"/>
    </row>
    <row r="389" spans="1:19" s="1753" customFormat="1" ht="24" customHeight="1">
      <c r="A389" s="1744"/>
      <c r="B389" s="1758"/>
      <c r="C389" s="1759"/>
      <c r="D389" s="1752"/>
      <c r="E389" s="1760"/>
      <c r="F389" s="1760"/>
      <c r="G389" s="1752"/>
      <c r="H389" s="1752"/>
      <c r="I389" s="1752"/>
      <c r="J389" s="1752"/>
      <c r="K389" s="1968"/>
      <c r="L389" s="1744"/>
      <c r="M389" s="1761"/>
      <c r="N389" s="1744"/>
      <c r="O389" s="1762"/>
      <c r="P389" s="1744"/>
      <c r="Q389" s="1744"/>
      <c r="R389" s="1763"/>
      <c r="S389" s="1752"/>
    </row>
    <row r="390" spans="1:19" s="1753" customFormat="1" ht="24" customHeight="1">
      <c r="A390" s="1744"/>
      <c r="B390" s="1758"/>
      <c r="C390" s="1759"/>
      <c r="D390" s="1752"/>
      <c r="E390" s="1760"/>
      <c r="F390" s="1760"/>
      <c r="G390" s="1752"/>
      <c r="H390" s="1752"/>
      <c r="I390" s="1752"/>
      <c r="J390" s="1752"/>
      <c r="K390" s="1968"/>
      <c r="L390" s="1744"/>
      <c r="M390" s="1761"/>
      <c r="N390" s="1744"/>
      <c r="O390" s="1762"/>
      <c r="P390" s="1744"/>
      <c r="Q390" s="1744"/>
      <c r="R390" s="1763"/>
      <c r="S390" s="1752"/>
    </row>
    <row r="391" spans="1:19" s="1753" customFormat="1" ht="24" customHeight="1">
      <c r="A391" s="1744"/>
      <c r="B391" s="1758"/>
      <c r="C391" s="1759"/>
      <c r="D391" s="1752"/>
      <c r="E391" s="1760"/>
      <c r="F391" s="1760"/>
      <c r="G391" s="1752"/>
      <c r="H391" s="1752"/>
      <c r="I391" s="1752"/>
      <c r="J391" s="1752"/>
      <c r="K391" s="1968"/>
      <c r="L391" s="1744"/>
      <c r="M391" s="1761"/>
      <c r="N391" s="1744"/>
      <c r="O391" s="1762"/>
      <c r="P391" s="1744"/>
      <c r="Q391" s="1744"/>
      <c r="R391" s="1763"/>
      <c r="S391" s="1752"/>
    </row>
    <row r="392" spans="1:19" s="1753" customFormat="1" ht="24" customHeight="1">
      <c r="A392" s="1744"/>
      <c r="B392" s="1758"/>
      <c r="C392" s="1759"/>
      <c r="D392" s="1752"/>
      <c r="E392" s="1760"/>
      <c r="F392" s="1760"/>
      <c r="G392" s="1752"/>
      <c r="H392" s="1752"/>
      <c r="I392" s="1752"/>
      <c r="J392" s="1752"/>
      <c r="K392" s="1968"/>
      <c r="L392" s="1744"/>
      <c r="M392" s="1761"/>
      <c r="N392" s="1744"/>
      <c r="O392" s="1762"/>
      <c r="P392" s="1744"/>
      <c r="Q392" s="1744"/>
      <c r="R392" s="1763"/>
      <c r="S392" s="1752"/>
    </row>
    <row r="393" spans="1:19" s="1753" customFormat="1" ht="24" customHeight="1">
      <c r="A393" s="1744"/>
      <c r="B393" s="1758"/>
      <c r="C393" s="1759"/>
      <c r="D393" s="1752"/>
      <c r="E393" s="1760"/>
      <c r="F393" s="1760"/>
      <c r="G393" s="1752"/>
      <c r="H393" s="1752"/>
      <c r="I393" s="1752"/>
      <c r="J393" s="1752"/>
      <c r="K393" s="1968"/>
      <c r="L393" s="1744"/>
      <c r="M393" s="1761"/>
      <c r="N393" s="1744"/>
      <c r="O393" s="1762"/>
      <c r="P393" s="1744"/>
      <c r="Q393" s="1744"/>
      <c r="R393" s="1763"/>
      <c r="S393" s="1752"/>
    </row>
    <row r="394" spans="1:19" s="1753" customFormat="1" ht="24" customHeight="1">
      <c r="A394" s="1744"/>
      <c r="B394" s="1758"/>
      <c r="C394" s="1759"/>
      <c r="D394" s="1752"/>
      <c r="E394" s="1760"/>
      <c r="F394" s="1760"/>
      <c r="G394" s="1752"/>
      <c r="H394" s="1752"/>
      <c r="I394" s="1752"/>
      <c r="J394" s="1752"/>
      <c r="K394" s="1968"/>
      <c r="L394" s="1744"/>
      <c r="M394" s="1761"/>
      <c r="N394" s="1744"/>
      <c r="O394" s="1762"/>
      <c r="P394" s="1744"/>
      <c r="Q394" s="1744"/>
      <c r="R394" s="1763"/>
      <c r="S394" s="1752"/>
    </row>
    <row r="395" spans="1:19" s="1753" customFormat="1" ht="24" customHeight="1">
      <c r="A395" s="1744"/>
      <c r="B395" s="1758"/>
      <c r="C395" s="1759"/>
      <c r="D395" s="1752"/>
      <c r="E395" s="1760"/>
      <c r="F395" s="1760"/>
      <c r="G395" s="1752"/>
      <c r="H395" s="1752"/>
      <c r="I395" s="1752"/>
      <c r="J395" s="1752"/>
      <c r="K395" s="1968"/>
      <c r="L395" s="1744"/>
      <c r="M395" s="1761"/>
      <c r="N395" s="1744"/>
      <c r="O395" s="1762"/>
      <c r="P395" s="1744"/>
      <c r="Q395" s="1744"/>
      <c r="R395" s="1763"/>
      <c r="S395" s="1752"/>
    </row>
    <row r="396" spans="1:19" s="1753" customFormat="1" ht="24" customHeight="1">
      <c r="A396" s="1744"/>
      <c r="B396" s="1758"/>
      <c r="C396" s="1759"/>
      <c r="D396" s="1752"/>
      <c r="E396" s="1760"/>
      <c r="F396" s="1760"/>
      <c r="G396" s="1752"/>
      <c r="H396" s="1752"/>
      <c r="I396" s="1752"/>
      <c r="J396" s="1752"/>
      <c r="K396" s="1968"/>
      <c r="L396" s="1744"/>
      <c r="M396" s="1761"/>
      <c r="N396" s="1744"/>
      <c r="O396" s="1762"/>
      <c r="P396" s="1744"/>
      <c r="Q396" s="1744"/>
      <c r="R396" s="1763"/>
      <c r="S396" s="1752"/>
    </row>
    <row r="397" spans="1:19" s="1753" customFormat="1" ht="24" customHeight="1">
      <c r="A397" s="1744"/>
      <c r="B397" s="1752"/>
      <c r="C397" s="1744"/>
      <c r="D397" s="1752"/>
      <c r="E397" s="1744"/>
      <c r="F397" s="1744"/>
      <c r="G397" s="1752"/>
      <c r="H397" s="1752"/>
      <c r="I397" s="1752"/>
      <c r="J397" s="1752"/>
      <c r="K397" s="1752"/>
      <c r="L397" s="1754"/>
      <c r="M397" s="1755"/>
      <c r="N397" s="1744"/>
      <c r="O397" s="1566"/>
      <c r="P397" s="1756"/>
      <c r="Q397" s="1566"/>
      <c r="R397" s="1757"/>
      <c r="S397" s="1752"/>
    </row>
    <row r="398" spans="1:19" s="1753" customFormat="1" ht="24" customHeight="1">
      <c r="A398" s="1958"/>
      <c r="B398" s="1958"/>
      <c r="C398" s="1958"/>
      <c r="D398" s="1958"/>
      <c r="E398" s="1959"/>
      <c r="F398" s="1958"/>
      <c r="G398" s="1958"/>
      <c r="H398" s="1958"/>
      <c r="I398" s="1958"/>
      <c r="J398" s="1958"/>
      <c r="K398" s="1958"/>
      <c r="L398" s="1958"/>
      <c r="M398" s="1958"/>
      <c r="N398" s="1958"/>
      <c r="O398" s="1958"/>
      <c r="P398" s="1958"/>
      <c r="Q398" s="1958"/>
      <c r="R398" s="1958"/>
      <c r="S398" s="1958"/>
    </row>
  </sheetData>
  <autoFilter ref="A5:U81"/>
  <mergeCells count="38">
    <mergeCell ref="L4:L5"/>
    <mergeCell ref="M4:M5"/>
    <mergeCell ref="N4:N5"/>
    <mergeCell ref="O4:O5"/>
    <mergeCell ref="A2:S2"/>
    <mergeCell ref="A3:S3"/>
    <mergeCell ref="B4:B5"/>
    <mergeCell ref="C4:C5"/>
    <mergeCell ref="D4:D5"/>
    <mergeCell ref="E4:E5"/>
    <mergeCell ref="F4:F5"/>
    <mergeCell ref="G4:G5"/>
    <mergeCell ref="H4:H5"/>
    <mergeCell ref="I4:I5"/>
    <mergeCell ref="P4:P5"/>
    <mergeCell ref="Q4:Q5"/>
    <mergeCell ref="J49:J55"/>
    <mergeCell ref="K49:K52"/>
    <mergeCell ref="K53:K55"/>
    <mergeCell ref="J4:J5"/>
    <mergeCell ref="K4:K5"/>
    <mergeCell ref="R4:R5"/>
    <mergeCell ref="S4:S5"/>
    <mergeCell ref="T4:T5"/>
    <mergeCell ref="T71:T72"/>
    <mergeCell ref="T73:T74"/>
    <mergeCell ref="F142:F143"/>
    <mergeCell ref="F146:F147"/>
    <mergeCell ref="L146:L147"/>
    <mergeCell ref="M146:M147"/>
    <mergeCell ref="K387:K396"/>
    <mergeCell ref="A398:S398"/>
    <mergeCell ref="F152:F153"/>
    <mergeCell ref="L152:L153"/>
    <mergeCell ref="M152:M153"/>
    <mergeCell ref="K227:K231"/>
    <mergeCell ref="K303:K304"/>
    <mergeCell ref="K305:K314"/>
  </mergeCells>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T282"/>
  <sheetViews>
    <sheetView tabSelected="1" workbookViewId="0">
      <selection activeCell="I21" sqref="I21"/>
    </sheetView>
  </sheetViews>
  <sheetFormatPr defaultRowHeight="13.5"/>
  <cols>
    <col min="1" max="1" width="6" style="1040" customWidth="1"/>
    <col min="2" max="2" width="13.375" style="1040" customWidth="1"/>
    <col min="3" max="3" width="21.375" style="1040" customWidth="1"/>
    <col min="4" max="4" width="6.875" style="1040" customWidth="1"/>
    <col min="5" max="5" width="9.375" style="1040" customWidth="1"/>
    <col min="6" max="6" width="10.125" style="1040" customWidth="1"/>
    <col min="7" max="7" width="7.125" style="1040" customWidth="1"/>
    <col min="8" max="8" width="8.5" style="1040" customWidth="1"/>
    <col min="9" max="9" width="17.375" style="1040" customWidth="1"/>
    <col min="10" max="10" width="12.75" style="1040" customWidth="1"/>
    <col min="11" max="11" width="13.875" style="1040" customWidth="1"/>
    <col min="12" max="12" width="11.25" style="1040" customWidth="1"/>
    <col min="13" max="13" width="10.625" style="1040" customWidth="1"/>
    <col min="14" max="14" width="13.625" style="1040" bestFit="1" customWidth="1"/>
    <col min="15" max="15" width="13.375" style="1040" customWidth="1"/>
    <col min="16" max="16" width="9" style="1040"/>
    <col min="17" max="17" width="11" style="1040" customWidth="1"/>
    <col min="18" max="16384" width="9" style="1040"/>
  </cols>
  <sheetData>
    <row r="1" spans="1:20" s="1292" customFormat="1" ht="18" customHeight="1">
      <c r="A1" s="1765" t="s">
        <v>0</v>
      </c>
      <c r="B1" s="1766"/>
      <c r="C1" s="1766"/>
      <c r="D1" s="1766"/>
      <c r="E1" s="1766"/>
      <c r="F1" s="1766"/>
      <c r="G1" s="1766"/>
      <c r="H1" s="1766"/>
      <c r="I1" s="1766"/>
      <c r="J1" s="1766"/>
      <c r="K1" s="1766"/>
      <c r="L1" s="1766"/>
      <c r="M1" s="1015"/>
      <c r="N1" s="1766"/>
      <c r="O1" s="1767"/>
      <c r="P1" s="1766"/>
      <c r="Q1" s="1766"/>
      <c r="R1" s="1766"/>
      <c r="S1" s="2015"/>
    </row>
    <row r="2" spans="1:20" s="1288" customFormat="1" ht="27">
      <c r="A2" s="1799" t="s">
        <v>7561</v>
      </c>
      <c r="B2" s="1799"/>
      <c r="C2" s="1799"/>
      <c r="D2" s="1799"/>
      <c r="E2" s="1799"/>
      <c r="F2" s="1799"/>
      <c r="G2" s="1799"/>
      <c r="H2" s="1799"/>
      <c r="I2" s="1799"/>
      <c r="J2" s="1799"/>
      <c r="K2" s="1799"/>
      <c r="L2" s="1799"/>
      <c r="M2" s="1799"/>
      <c r="N2" s="1799"/>
      <c r="O2" s="1799"/>
      <c r="P2" s="1799"/>
      <c r="Q2" s="1799"/>
      <c r="R2" s="1799"/>
      <c r="S2" s="1799"/>
      <c r="T2" s="1799"/>
    </row>
    <row r="3" spans="1:20" s="1288" customFormat="1" ht="24.75" customHeight="1">
      <c r="A3" s="1948">
        <v>44621</v>
      </c>
      <c r="B3" s="1949"/>
      <c r="C3" s="1949"/>
      <c r="D3" s="1949"/>
      <c r="E3" s="1949"/>
      <c r="F3" s="1949"/>
      <c r="G3" s="1949"/>
      <c r="H3" s="1949"/>
      <c r="I3" s="1949"/>
      <c r="J3" s="1949"/>
      <c r="K3" s="1949"/>
      <c r="L3" s="1949"/>
      <c r="M3" s="1949"/>
      <c r="N3" s="1949"/>
      <c r="O3" s="1949"/>
      <c r="P3" s="1949"/>
      <c r="Q3" s="1949"/>
      <c r="R3" s="1949"/>
      <c r="S3" s="1949"/>
      <c r="T3" s="1949"/>
    </row>
    <row r="4" spans="1:20" s="1292" customFormat="1" ht="19.5" customHeight="1">
      <c r="A4" s="2016" t="s">
        <v>2</v>
      </c>
      <c r="B4" s="2017" t="s">
        <v>3</v>
      </c>
      <c r="C4" s="2017" t="s">
        <v>4</v>
      </c>
      <c r="D4" s="2016" t="s">
        <v>5</v>
      </c>
      <c r="E4" s="2017" t="s">
        <v>1729</v>
      </c>
      <c r="F4" s="2018" t="s">
        <v>1730</v>
      </c>
      <c r="G4" s="2017" t="s">
        <v>8</v>
      </c>
      <c r="H4" s="2019" t="s">
        <v>6041</v>
      </c>
      <c r="I4" s="2020" t="s">
        <v>10</v>
      </c>
      <c r="J4" s="2017" t="s">
        <v>11</v>
      </c>
      <c r="K4" s="2018" t="s">
        <v>12</v>
      </c>
      <c r="L4" s="2018" t="s">
        <v>6042</v>
      </c>
      <c r="M4" s="1291" t="s">
        <v>14</v>
      </c>
      <c r="N4" s="2017" t="s">
        <v>15</v>
      </c>
      <c r="O4" s="2017" t="s">
        <v>6043</v>
      </c>
      <c r="P4" s="2016" t="s">
        <v>17</v>
      </c>
      <c r="Q4" s="2017" t="s">
        <v>18</v>
      </c>
      <c r="R4" s="2021" t="s">
        <v>19</v>
      </c>
      <c r="S4" s="1941" t="s">
        <v>6044</v>
      </c>
      <c r="T4" s="1941" t="s">
        <v>6045</v>
      </c>
    </row>
    <row r="5" spans="1:20" s="1292" customFormat="1" ht="18" customHeight="1">
      <c r="A5" s="2016"/>
      <c r="B5" s="2017"/>
      <c r="C5" s="2017"/>
      <c r="D5" s="2016"/>
      <c r="E5" s="2017"/>
      <c r="F5" s="2018" t="s">
        <v>22</v>
      </c>
      <c r="G5" s="2017"/>
      <c r="H5" s="2022"/>
      <c r="I5" s="2020" t="s">
        <v>23</v>
      </c>
      <c r="J5" s="2017"/>
      <c r="K5" s="2018" t="s">
        <v>24</v>
      </c>
      <c r="L5" s="1291" t="s">
        <v>25</v>
      </c>
      <c r="M5" s="1291" t="s">
        <v>25</v>
      </c>
      <c r="N5" s="2017"/>
      <c r="O5" s="2017"/>
      <c r="P5" s="2016"/>
      <c r="Q5" s="2017"/>
      <c r="R5" s="2021"/>
      <c r="S5" s="1941"/>
      <c r="T5" s="1941"/>
    </row>
    <row r="6" spans="1:20" s="1292" customFormat="1" ht="20.100000000000001" customHeight="1">
      <c r="A6" s="2023" t="s">
        <v>6046</v>
      </c>
      <c r="B6" s="2024" t="s">
        <v>6047</v>
      </c>
      <c r="C6" s="2025"/>
      <c r="D6" s="2026"/>
      <c r="E6" s="2025"/>
      <c r="F6" s="2025"/>
      <c r="G6" s="2025"/>
      <c r="H6" s="2027"/>
      <c r="I6" s="2026"/>
      <c r="J6" s="2025"/>
      <c r="K6" s="2025"/>
      <c r="L6" s="2025"/>
      <c r="M6" s="1317"/>
      <c r="N6" s="2025"/>
      <c r="O6" s="2025"/>
      <c r="P6" s="2026"/>
      <c r="Q6" s="2025"/>
      <c r="R6" s="2028"/>
      <c r="S6" s="1530"/>
      <c r="T6" s="1530"/>
    </row>
    <row r="7" spans="1:20" s="1292" customFormat="1" ht="20.100000000000001" customHeight="1">
      <c r="A7" s="2026">
        <v>1</v>
      </c>
      <c r="B7" s="2025"/>
      <c r="C7" s="2025"/>
      <c r="D7" s="2026"/>
      <c r="E7" s="2025"/>
      <c r="F7" s="2025"/>
      <c r="G7" s="2025"/>
      <c r="H7" s="2025"/>
      <c r="I7" s="2026"/>
      <c r="J7" s="2029"/>
      <c r="K7" s="2025"/>
      <c r="L7" s="2025"/>
      <c r="M7" s="1317"/>
      <c r="N7" s="2025"/>
      <c r="O7" s="2030"/>
      <c r="P7" s="2031"/>
      <c r="Q7" s="2030"/>
      <c r="R7" s="2030"/>
      <c r="S7" s="1530" t="s">
        <v>7562</v>
      </c>
      <c r="T7" s="1530"/>
    </row>
    <row r="8" spans="1:20" s="1292" customFormat="1" ht="25.5" customHeight="1">
      <c r="A8" s="2026"/>
      <c r="B8" s="1530"/>
      <c r="C8" s="1530"/>
      <c r="D8" s="1530"/>
      <c r="E8" s="1530"/>
      <c r="F8" s="2025"/>
      <c r="G8" s="1530"/>
      <c r="H8" s="1530"/>
      <c r="I8" s="1530"/>
      <c r="J8" s="1530"/>
      <c r="K8" s="1530"/>
      <c r="L8" s="2032"/>
      <c r="M8" s="2033"/>
      <c r="N8" s="1530"/>
      <c r="O8" s="1530"/>
      <c r="P8" s="1530"/>
      <c r="Q8" s="1530"/>
      <c r="R8" s="1530"/>
      <c r="S8" s="1530" t="s">
        <v>7562</v>
      </c>
      <c r="T8" s="1530"/>
    </row>
    <row r="9" spans="1:20" s="1292" customFormat="1" ht="14.25">
      <c r="A9" s="2026"/>
      <c r="B9" s="2029"/>
      <c r="C9" s="2029"/>
      <c r="D9" s="2034"/>
      <c r="E9" s="2029"/>
      <c r="F9" s="2029"/>
      <c r="G9" s="2029"/>
      <c r="H9" s="2029"/>
      <c r="I9" s="2034"/>
      <c r="J9" s="2029"/>
      <c r="K9" s="2029"/>
      <c r="L9" s="2029"/>
      <c r="M9" s="2035"/>
      <c r="N9" s="2029"/>
      <c r="O9" s="2029"/>
      <c r="P9" s="2034"/>
      <c r="Q9" s="2029"/>
      <c r="R9" s="2029"/>
      <c r="S9" s="1530" t="s">
        <v>7562</v>
      </c>
      <c r="T9" s="1530"/>
    </row>
    <row r="10" spans="1:20" s="1292" customFormat="1" ht="14.25">
      <c r="A10" s="2026">
        <v>2</v>
      </c>
      <c r="B10" s="2029" t="s">
        <v>6090</v>
      </c>
      <c r="C10" s="2029"/>
      <c r="D10" s="2034"/>
      <c r="E10" s="2029"/>
      <c r="F10" s="2029"/>
      <c r="G10" s="2029"/>
      <c r="H10" s="2029"/>
      <c r="I10" s="2034"/>
      <c r="J10" s="2029"/>
      <c r="K10" s="2029"/>
      <c r="L10" s="2029"/>
      <c r="M10" s="2035"/>
      <c r="N10" s="2029"/>
      <c r="O10" s="2029"/>
      <c r="P10" s="2034"/>
      <c r="Q10" s="2029"/>
      <c r="R10" s="2029"/>
      <c r="S10" s="1530" t="s">
        <v>7562</v>
      </c>
      <c r="T10" s="1530"/>
    </row>
    <row r="11" spans="1:20" s="1292" customFormat="1" ht="24" customHeight="1">
      <c r="A11" s="2026"/>
      <c r="B11" s="2030"/>
      <c r="C11" s="2030"/>
      <c r="D11" s="2031"/>
      <c r="E11" s="2030"/>
      <c r="F11" s="2030"/>
      <c r="G11" s="2030"/>
      <c r="H11" s="1530"/>
      <c r="I11" s="2026"/>
      <c r="J11" s="1502"/>
      <c r="K11" s="2030"/>
      <c r="L11" s="2030"/>
      <c r="M11" s="1502"/>
      <c r="N11" s="2030"/>
      <c r="O11" s="2030"/>
      <c r="P11" s="2031"/>
      <c r="Q11" s="2030"/>
      <c r="R11" s="2030"/>
      <c r="S11" s="1530" t="s">
        <v>7562</v>
      </c>
      <c r="T11" s="1530"/>
    </row>
    <row r="12" spans="1:20" s="1292" customFormat="1" ht="24.75" customHeight="1">
      <c r="A12" s="2026"/>
      <c r="B12" s="2030"/>
      <c r="C12" s="2030"/>
      <c r="D12" s="2031"/>
      <c r="E12" s="2030"/>
      <c r="F12" s="2030"/>
      <c r="G12" s="2030"/>
      <c r="H12" s="1530"/>
      <c r="I12" s="2026"/>
      <c r="J12" s="1502"/>
      <c r="K12" s="2030"/>
      <c r="L12" s="2030"/>
      <c r="M12" s="1502"/>
      <c r="N12" s="2030"/>
      <c r="O12" s="2030"/>
      <c r="P12" s="2031"/>
      <c r="Q12" s="2030"/>
      <c r="R12" s="2030"/>
      <c r="S12" s="1530" t="s">
        <v>7562</v>
      </c>
      <c r="T12" s="1530"/>
    </row>
    <row r="13" spans="1:20" s="1292" customFormat="1" ht="20.100000000000001" customHeight="1">
      <c r="A13" s="2026"/>
      <c r="B13" s="2025" t="s">
        <v>6537</v>
      </c>
      <c r="C13" s="2025"/>
      <c r="D13" s="2026"/>
      <c r="E13" s="2025"/>
      <c r="F13" s="2025"/>
      <c r="G13" s="2025"/>
      <c r="H13" s="2025"/>
      <c r="I13" s="2026"/>
      <c r="J13" s="2025"/>
      <c r="K13" s="2025"/>
      <c r="L13" s="2025"/>
      <c r="M13" s="1317"/>
      <c r="N13" s="2025"/>
      <c r="O13" s="2025"/>
      <c r="P13" s="2026"/>
      <c r="Q13" s="2025"/>
      <c r="R13" s="2025"/>
      <c r="S13" s="1530"/>
      <c r="T13" s="1530"/>
    </row>
    <row r="14" spans="1:20" s="1292" customFormat="1" ht="14.25">
      <c r="A14" s="2026">
        <v>3</v>
      </c>
      <c r="B14" s="2025" t="s">
        <v>6177</v>
      </c>
      <c r="C14" s="2025"/>
      <c r="D14" s="2026"/>
      <c r="E14" s="2025"/>
      <c r="F14" s="2025"/>
      <c r="G14" s="1530"/>
      <c r="H14" s="1530"/>
      <c r="I14" s="2026"/>
      <c r="J14" s="1502"/>
      <c r="K14" s="2025"/>
      <c r="L14" s="2025"/>
      <c r="M14" s="2036"/>
      <c r="N14" s="2025"/>
      <c r="O14" s="1502"/>
      <c r="P14" s="1530"/>
      <c r="Q14" s="2029"/>
      <c r="R14" s="1530"/>
      <c r="S14" s="1530" t="s">
        <v>7562</v>
      </c>
      <c r="T14" s="1530"/>
    </row>
    <row r="15" spans="1:20" s="1292" customFormat="1" ht="14.25">
      <c r="A15" s="2026"/>
      <c r="B15" s="2025"/>
      <c r="C15" s="2025"/>
      <c r="D15" s="2026"/>
      <c r="E15" s="2025"/>
      <c r="F15" s="2025"/>
      <c r="G15" s="1530"/>
      <c r="H15" s="1530"/>
      <c r="I15" s="2026"/>
      <c r="J15" s="1502"/>
      <c r="K15" s="2025"/>
      <c r="L15" s="2025"/>
      <c r="M15" s="2036"/>
      <c r="N15" s="2025"/>
      <c r="O15" s="1502"/>
      <c r="P15" s="1530"/>
      <c r="Q15" s="2029"/>
      <c r="R15" s="1530"/>
      <c r="S15" s="1530" t="s">
        <v>7562</v>
      </c>
      <c r="T15" s="1530"/>
    </row>
    <row r="16" spans="1:20" s="1292" customFormat="1" ht="14.25">
      <c r="A16" s="2026"/>
      <c r="B16" s="2025"/>
      <c r="C16" s="2025"/>
      <c r="D16" s="2026"/>
      <c r="E16" s="2025"/>
      <c r="F16" s="2025"/>
      <c r="G16" s="1530"/>
      <c r="H16" s="1530"/>
      <c r="I16" s="2026"/>
      <c r="J16" s="1502"/>
      <c r="K16" s="2025"/>
      <c r="L16" s="2025"/>
      <c r="M16" s="2036"/>
      <c r="N16" s="2025"/>
      <c r="O16" s="1502"/>
      <c r="P16" s="1530"/>
      <c r="Q16" s="2029"/>
      <c r="R16" s="1530"/>
      <c r="S16" s="1530" t="s">
        <v>7562</v>
      </c>
      <c r="T16" s="1530"/>
    </row>
    <row r="17" spans="1:20" s="1292" customFormat="1" ht="14.25">
      <c r="A17" s="2026"/>
      <c r="B17" s="2025"/>
      <c r="C17" s="2025"/>
      <c r="D17" s="2026"/>
      <c r="E17" s="2025"/>
      <c r="F17" s="2025"/>
      <c r="G17" s="1530"/>
      <c r="H17" s="1530"/>
      <c r="I17" s="2026"/>
      <c r="J17" s="1502"/>
      <c r="K17" s="2025"/>
      <c r="L17" s="2025"/>
      <c r="M17" s="2036"/>
      <c r="N17" s="2025"/>
      <c r="O17" s="1502"/>
      <c r="P17" s="1530"/>
      <c r="Q17" s="2029"/>
      <c r="R17" s="1530"/>
      <c r="S17" s="1530" t="s">
        <v>7562</v>
      </c>
      <c r="T17" s="1530"/>
    </row>
    <row r="18" spans="1:20" s="1292" customFormat="1" ht="14.25">
      <c r="A18" s="2026"/>
      <c r="B18" s="2025"/>
      <c r="C18" s="2025"/>
      <c r="D18" s="2026"/>
      <c r="E18" s="2025"/>
      <c r="F18" s="2025"/>
      <c r="G18" s="1530"/>
      <c r="H18" s="1530"/>
      <c r="I18" s="2026"/>
      <c r="J18" s="1502"/>
      <c r="K18" s="2025"/>
      <c r="L18" s="2025"/>
      <c r="M18" s="2036"/>
      <c r="N18" s="2025"/>
      <c r="O18" s="1502"/>
      <c r="P18" s="1530"/>
      <c r="Q18" s="2029"/>
      <c r="R18" s="1530"/>
      <c r="S18" s="1530" t="s">
        <v>7562</v>
      </c>
      <c r="T18" s="1530"/>
    </row>
    <row r="19" spans="1:20" s="1292" customFormat="1" ht="14.25">
      <c r="A19" s="2026"/>
      <c r="B19" s="2025"/>
      <c r="C19" s="2025"/>
      <c r="D19" s="2026"/>
      <c r="E19" s="2025"/>
      <c r="F19" s="2025"/>
      <c r="G19" s="1530"/>
      <c r="H19" s="1530"/>
      <c r="I19" s="2026"/>
      <c r="J19" s="1502"/>
      <c r="K19" s="2025"/>
      <c r="L19" s="2025"/>
      <c r="M19" s="2036"/>
      <c r="N19" s="2025"/>
      <c r="O19" s="1502"/>
      <c r="P19" s="1530"/>
      <c r="Q19" s="2029"/>
      <c r="R19" s="1530"/>
      <c r="S19" s="1530" t="s">
        <v>7562</v>
      </c>
      <c r="T19" s="1530"/>
    </row>
    <row r="20" spans="1:20" s="1292" customFormat="1" ht="14.25">
      <c r="A20" s="2026"/>
      <c r="B20" s="2025"/>
      <c r="C20" s="2025"/>
      <c r="D20" s="2026"/>
      <c r="E20" s="2025"/>
      <c r="F20" s="2025"/>
      <c r="G20" s="1530"/>
      <c r="H20" s="1530"/>
      <c r="I20" s="2026"/>
      <c r="J20" s="1502"/>
      <c r="K20" s="2025"/>
      <c r="L20" s="2025"/>
      <c r="M20" s="2036"/>
      <c r="N20" s="2025"/>
      <c r="O20" s="1502"/>
      <c r="P20" s="1530"/>
      <c r="Q20" s="2029"/>
      <c r="R20" s="1530"/>
      <c r="S20" s="1530" t="s">
        <v>7562</v>
      </c>
      <c r="T20" s="1530"/>
    </row>
    <row r="21" spans="1:20" s="1292" customFormat="1" ht="14.25">
      <c r="A21" s="2026"/>
      <c r="B21" s="2025"/>
      <c r="C21" s="2025"/>
      <c r="D21" s="2026"/>
      <c r="E21" s="2025"/>
      <c r="F21" s="2025"/>
      <c r="G21" s="1530"/>
      <c r="H21" s="1530"/>
      <c r="I21" s="2026"/>
      <c r="J21" s="1502"/>
      <c r="K21" s="2025"/>
      <c r="L21" s="2025"/>
      <c r="M21" s="2036"/>
      <c r="N21" s="2025"/>
      <c r="O21" s="1502"/>
      <c r="P21" s="1530"/>
      <c r="Q21" s="2029"/>
      <c r="R21" s="1530"/>
      <c r="S21" s="1530" t="s">
        <v>7562</v>
      </c>
      <c r="T21" s="1530"/>
    </row>
    <row r="22" spans="1:20" s="1292" customFormat="1" ht="20.100000000000001" customHeight="1">
      <c r="A22" s="2026">
        <v>4</v>
      </c>
      <c r="B22" s="2025" t="s">
        <v>6430</v>
      </c>
      <c r="C22" s="2025"/>
      <c r="D22" s="2026"/>
      <c r="E22" s="2025"/>
      <c r="F22" s="2025"/>
      <c r="G22" s="2025"/>
      <c r="H22" s="2025"/>
      <c r="I22" s="2026"/>
      <c r="J22" s="2025"/>
      <c r="K22" s="2025"/>
      <c r="L22" s="2025"/>
      <c r="M22" s="1317"/>
      <c r="N22" s="2025"/>
      <c r="O22" s="2025"/>
      <c r="P22" s="2026"/>
      <c r="Q22" s="2025"/>
      <c r="R22" s="2025"/>
      <c r="S22" s="1530"/>
      <c r="T22" s="1530"/>
    </row>
    <row r="23" spans="1:20" s="1292" customFormat="1" ht="20.100000000000001" customHeight="1">
      <c r="A23" s="2026"/>
      <c r="B23" s="2025" t="s">
        <v>6537</v>
      </c>
      <c r="C23" s="2025"/>
      <c r="D23" s="2026"/>
      <c r="E23" s="2025"/>
      <c r="F23" s="2025"/>
      <c r="G23" s="2025"/>
      <c r="H23" s="2025"/>
      <c r="I23" s="2026"/>
      <c r="J23" s="2025"/>
      <c r="K23" s="2025"/>
      <c r="L23" s="2025"/>
      <c r="M23" s="1317"/>
      <c r="N23" s="2025"/>
      <c r="O23" s="2025"/>
      <c r="P23" s="2026"/>
      <c r="Q23" s="2025"/>
      <c r="R23" s="2025"/>
      <c r="S23" s="1530"/>
      <c r="T23" s="1530"/>
    </row>
    <row r="24" spans="1:20" s="1292" customFormat="1" ht="20.100000000000001" customHeight="1">
      <c r="A24" s="2026">
        <v>5</v>
      </c>
      <c r="B24" s="2025" t="s">
        <v>6445</v>
      </c>
      <c r="C24" s="2025"/>
      <c r="D24" s="2026"/>
      <c r="E24" s="2025"/>
      <c r="F24" s="2025"/>
      <c r="G24" s="2025"/>
      <c r="H24" s="2025"/>
      <c r="I24" s="2026"/>
      <c r="J24" s="2025"/>
      <c r="K24" s="2025"/>
      <c r="L24" s="2025"/>
      <c r="M24" s="1317"/>
      <c r="N24" s="2025"/>
      <c r="O24" s="2025"/>
      <c r="P24" s="2026"/>
      <c r="Q24" s="2025"/>
      <c r="R24" s="2025"/>
      <c r="S24" s="1530"/>
      <c r="T24" s="1530"/>
    </row>
    <row r="25" spans="1:20" s="1292" customFormat="1" ht="20.100000000000001" customHeight="1">
      <c r="A25" s="2026"/>
      <c r="B25" s="2025" t="s">
        <v>6537</v>
      </c>
      <c r="C25" s="2025"/>
      <c r="D25" s="2026"/>
      <c r="E25" s="2025"/>
      <c r="F25" s="2025"/>
      <c r="G25" s="2025"/>
      <c r="H25" s="2025"/>
      <c r="I25" s="2026"/>
      <c r="J25" s="2025"/>
      <c r="K25" s="2025"/>
      <c r="L25" s="2025"/>
      <c r="M25" s="1317"/>
      <c r="N25" s="2025"/>
      <c r="O25" s="2025"/>
      <c r="P25" s="2026"/>
      <c r="Q25" s="2025"/>
      <c r="R25" s="2025"/>
      <c r="S25" s="1530"/>
      <c r="T25" s="1530"/>
    </row>
    <row r="26" spans="1:20" s="1030" customFormat="1" ht="20.100000000000001" customHeight="1">
      <c r="A26" s="1530" t="s">
        <v>6446</v>
      </c>
      <c r="B26" s="1537" t="s">
        <v>6447</v>
      </c>
      <c r="C26" s="1530"/>
      <c r="D26" s="1530"/>
      <c r="E26" s="1530"/>
      <c r="F26" s="1530"/>
      <c r="G26" s="1530"/>
      <c r="H26" s="1530"/>
      <c r="I26" s="1530"/>
      <c r="J26" s="1530"/>
      <c r="K26" s="1530"/>
      <c r="L26" s="1530"/>
      <c r="M26" s="1530"/>
      <c r="N26" s="1530"/>
      <c r="O26" s="1530"/>
      <c r="P26" s="1530"/>
      <c r="Q26" s="1530"/>
      <c r="R26" s="1530"/>
      <c r="S26" s="1530"/>
      <c r="T26" s="1458"/>
    </row>
    <row r="27" spans="1:20" s="1030" customFormat="1" ht="24">
      <c r="A27" s="1530">
        <v>1</v>
      </c>
      <c r="B27" s="2037" t="s">
        <v>7563</v>
      </c>
      <c r="C27" s="2037" t="s">
        <v>7564</v>
      </c>
      <c r="D27" s="2037" t="s">
        <v>62</v>
      </c>
      <c r="E27" s="2037">
        <v>20</v>
      </c>
      <c r="F27" s="2038"/>
      <c r="G27" s="2039" t="s">
        <v>7565</v>
      </c>
      <c r="H27" s="2040" t="s">
        <v>33</v>
      </c>
      <c r="I27" s="2038"/>
      <c r="J27" s="2041"/>
      <c r="K27" s="2041" t="s">
        <v>7566</v>
      </c>
      <c r="L27" s="2041">
        <v>48960.2</v>
      </c>
      <c r="M27" s="2042">
        <v>16757.5334542579</v>
      </c>
      <c r="N27" s="2039">
        <v>2019.9</v>
      </c>
      <c r="O27" s="2043" t="s">
        <v>7567</v>
      </c>
      <c r="P27" s="2040" t="s">
        <v>7568</v>
      </c>
      <c r="Q27" s="2040">
        <v>17601040821</v>
      </c>
      <c r="R27" s="2044" t="s">
        <v>7569</v>
      </c>
      <c r="S27" s="2045" t="s">
        <v>7562</v>
      </c>
      <c r="T27" s="1458"/>
    </row>
    <row r="28" spans="1:20" s="1030" customFormat="1" ht="24">
      <c r="A28" s="1530"/>
      <c r="B28" s="2037" t="s">
        <v>7570</v>
      </c>
      <c r="C28" s="2037" t="s">
        <v>7571</v>
      </c>
      <c r="D28" s="2037" t="s">
        <v>62</v>
      </c>
      <c r="E28" s="2037">
        <v>22.968</v>
      </c>
      <c r="F28" s="2041"/>
      <c r="G28" s="2039" t="s">
        <v>7572</v>
      </c>
      <c r="H28" s="2040" t="s">
        <v>33</v>
      </c>
      <c r="I28" s="2038"/>
      <c r="J28" s="2038"/>
      <c r="K28" s="2041" t="s">
        <v>7573</v>
      </c>
      <c r="L28" s="2038">
        <v>93498.05</v>
      </c>
      <c r="M28" s="2042">
        <v>53605.545333333372</v>
      </c>
      <c r="N28" s="2039">
        <v>2020.7</v>
      </c>
      <c r="O28" s="2043" t="s">
        <v>7567</v>
      </c>
      <c r="P28" s="2040" t="s">
        <v>7568</v>
      </c>
      <c r="Q28" s="2040">
        <v>17601040821</v>
      </c>
      <c r="R28" s="2044" t="s">
        <v>7569</v>
      </c>
      <c r="S28" s="2045" t="s">
        <v>7562</v>
      </c>
      <c r="T28" s="1458"/>
    </row>
    <row r="29" spans="1:20" s="1030" customFormat="1" ht="24">
      <c r="A29" s="1530"/>
      <c r="B29" s="2037" t="s">
        <v>596</v>
      </c>
      <c r="C29" s="2037" t="s">
        <v>7574</v>
      </c>
      <c r="D29" s="2037" t="s">
        <v>62</v>
      </c>
      <c r="E29" s="2037">
        <v>22.968</v>
      </c>
      <c r="F29" s="2041"/>
      <c r="G29" s="2039" t="s">
        <v>7572</v>
      </c>
      <c r="H29" s="2040" t="s">
        <v>33</v>
      </c>
      <c r="I29" s="2038"/>
      <c r="J29" s="2038"/>
      <c r="K29" s="2041" t="s">
        <v>7573</v>
      </c>
      <c r="L29" s="2041">
        <v>93498.05</v>
      </c>
      <c r="M29" s="2042">
        <v>43867.7979513561</v>
      </c>
      <c r="N29" s="2039">
        <v>2020.7</v>
      </c>
      <c r="O29" s="2043" t="s">
        <v>7567</v>
      </c>
      <c r="P29" s="2040" t="s">
        <v>7568</v>
      </c>
      <c r="Q29" s="2040">
        <v>17601040821</v>
      </c>
      <c r="R29" s="2044" t="s">
        <v>7569</v>
      </c>
      <c r="S29" s="2045" t="s">
        <v>7562</v>
      </c>
      <c r="T29" s="2046"/>
    </row>
    <row r="30" spans="1:20" s="1030" customFormat="1" ht="24">
      <c r="A30" s="1530"/>
      <c r="B30" s="2047" t="s">
        <v>593</v>
      </c>
      <c r="C30" s="2047" t="s">
        <v>937</v>
      </c>
      <c r="D30" s="2047" t="s">
        <v>464</v>
      </c>
      <c r="E30" s="2047">
        <v>70</v>
      </c>
      <c r="F30" s="2038"/>
      <c r="G30" s="2039" t="s">
        <v>7572</v>
      </c>
      <c r="H30" s="2040" t="s">
        <v>7572</v>
      </c>
      <c r="I30" s="2038"/>
      <c r="J30" s="2038"/>
      <c r="K30" s="2041" t="s">
        <v>7575</v>
      </c>
      <c r="L30" s="2038">
        <v>17097.349999999999</v>
      </c>
      <c r="M30" s="2048">
        <v>7617.4165402000035</v>
      </c>
      <c r="N30" s="2039">
        <v>2020.7</v>
      </c>
      <c r="O30" s="2043" t="s">
        <v>7567</v>
      </c>
      <c r="P30" s="2040" t="s">
        <v>7568</v>
      </c>
      <c r="Q30" s="2040">
        <v>17601040821</v>
      </c>
      <c r="R30" s="2044" t="s">
        <v>7569</v>
      </c>
      <c r="S30" s="2045" t="s">
        <v>7562</v>
      </c>
      <c r="T30" s="2046"/>
    </row>
    <row r="31" spans="1:20" s="1030" customFormat="1" ht="24">
      <c r="A31" s="1530"/>
      <c r="B31" s="2048" t="s">
        <v>596</v>
      </c>
      <c r="C31" s="2048" t="s">
        <v>7576</v>
      </c>
      <c r="D31" s="2047" t="s">
        <v>62</v>
      </c>
      <c r="E31" s="2047">
        <v>11.101000000000001</v>
      </c>
      <c r="F31" s="2038"/>
      <c r="G31" s="2039" t="s">
        <v>7572</v>
      </c>
      <c r="H31" s="2040" t="s">
        <v>7572</v>
      </c>
      <c r="I31" s="2038"/>
      <c r="J31" s="2038"/>
      <c r="K31" s="2041" t="s">
        <v>7575</v>
      </c>
      <c r="L31" s="2038">
        <v>43716.33</v>
      </c>
      <c r="M31" s="2048">
        <v>28172.745999999999</v>
      </c>
      <c r="N31" s="2039">
        <v>2020.9</v>
      </c>
      <c r="O31" s="2043" t="s">
        <v>7567</v>
      </c>
      <c r="P31" s="2040" t="s">
        <v>7568</v>
      </c>
      <c r="Q31" s="2040">
        <v>17601040821</v>
      </c>
      <c r="R31" s="2044" t="s">
        <v>7569</v>
      </c>
      <c r="S31" s="2045" t="s">
        <v>7562</v>
      </c>
      <c r="T31" s="2046"/>
    </row>
    <row r="32" spans="1:20" s="1030" customFormat="1" ht="24">
      <c r="A32" s="1530"/>
      <c r="B32" s="2049" t="s">
        <v>596</v>
      </c>
      <c r="C32" s="2049" t="s">
        <v>7576</v>
      </c>
      <c r="D32" s="2037" t="s">
        <v>62</v>
      </c>
      <c r="E32" s="2037">
        <v>6.125</v>
      </c>
      <c r="F32" s="2049"/>
      <c r="G32" s="2039" t="s">
        <v>7572</v>
      </c>
      <c r="H32" s="2040" t="s">
        <v>33</v>
      </c>
      <c r="I32" s="2038"/>
      <c r="J32" s="2038"/>
      <c r="K32" s="2041" t="s">
        <v>7573</v>
      </c>
      <c r="L32" s="2041">
        <v>24120.575221238902</v>
      </c>
      <c r="M32" s="2042">
        <v>15544.370698131741</v>
      </c>
      <c r="N32" s="2039">
        <v>2020.9</v>
      </c>
      <c r="O32" s="2043" t="s">
        <v>7567</v>
      </c>
      <c r="P32" s="2040" t="s">
        <v>7568</v>
      </c>
      <c r="Q32" s="2040">
        <v>17601040821</v>
      </c>
      <c r="R32" s="2044" t="s">
        <v>7569</v>
      </c>
      <c r="S32" s="2045" t="s">
        <v>7562</v>
      </c>
      <c r="T32" s="2046"/>
    </row>
    <row r="33" spans="1:20" s="1030" customFormat="1" ht="24">
      <c r="A33" s="1530"/>
      <c r="B33" s="2050" t="s">
        <v>6448</v>
      </c>
      <c r="C33" s="2051" t="s">
        <v>7577</v>
      </c>
      <c r="D33" s="2051" t="s">
        <v>464</v>
      </c>
      <c r="E33" s="2052">
        <v>40</v>
      </c>
      <c r="F33" s="2053"/>
      <c r="G33" s="2053"/>
      <c r="H33" s="2054" t="s">
        <v>7040</v>
      </c>
      <c r="I33" s="2053"/>
      <c r="J33" s="2055" t="s">
        <v>7578</v>
      </c>
      <c r="K33" s="2053"/>
      <c r="L33" s="2053">
        <v>3360</v>
      </c>
      <c r="M33" s="2056">
        <v>2370.8159999999998</v>
      </c>
      <c r="N33" s="2057">
        <v>43435</v>
      </c>
      <c r="O33" s="2058" t="s">
        <v>7579</v>
      </c>
      <c r="P33" s="2053" t="s">
        <v>7580</v>
      </c>
      <c r="Q33" s="2059" t="s">
        <v>7581</v>
      </c>
      <c r="R33" s="2053" t="s">
        <v>7582</v>
      </c>
      <c r="S33" s="2045" t="s">
        <v>7562</v>
      </c>
      <c r="T33" s="2046"/>
    </row>
    <row r="34" spans="1:20" s="1030" customFormat="1" ht="24">
      <c r="A34" s="1530"/>
      <c r="B34" s="2050" t="s">
        <v>6448</v>
      </c>
      <c r="C34" s="2051" t="s">
        <v>7583</v>
      </c>
      <c r="D34" s="2051" t="s">
        <v>131</v>
      </c>
      <c r="E34" s="2052">
        <v>40</v>
      </c>
      <c r="F34" s="2053"/>
      <c r="G34" s="2053"/>
      <c r="H34" s="2054" t="s">
        <v>7040</v>
      </c>
      <c r="I34" s="2053"/>
      <c r="J34" s="2055" t="s">
        <v>7578</v>
      </c>
      <c r="K34" s="2053"/>
      <c r="L34" s="2053">
        <v>160</v>
      </c>
      <c r="M34" s="2056">
        <v>112.896</v>
      </c>
      <c r="N34" s="2057">
        <v>43435</v>
      </c>
      <c r="O34" s="2058" t="s">
        <v>7579</v>
      </c>
      <c r="P34" s="2053" t="s">
        <v>7580</v>
      </c>
      <c r="Q34" s="2059" t="s">
        <v>7581</v>
      </c>
      <c r="R34" s="2053" t="s">
        <v>7582</v>
      </c>
      <c r="S34" s="2045" t="s">
        <v>7562</v>
      </c>
      <c r="T34" s="1458"/>
    </row>
    <row r="35" spans="1:20" s="1030" customFormat="1" ht="24">
      <c r="A35" s="1530"/>
      <c r="B35" s="2050" t="s">
        <v>6448</v>
      </c>
      <c r="C35" s="2051" t="s">
        <v>7584</v>
      </c>
      <c r="D35" s="2051" t="s">
        <v>464</v>
      </c>
      <c r="E35" s="2052">
        <v>33</v>
      </c>
      <c r="F35" s="2053"/>
      <c r="G35" s="2053"/>
      <c r="H35" s="2054" t="s">
        <v>7040</v>
      </c>
      <c r="I35" s="2053"/>
      <c r="J35" s="2055" t="s">
        <v>7578</v>
      </c>
      <c r="K35" s="2053"/>
      <c r="L35" s="2053">
        <v>2772</v>
      </c>
      <c r="M35" s="2056">
        <v>1955.9232</v>
      </c>
      <c r="N35" s="2057">
        <v>43435</v>
      </c>
      <c r="O35" s="2058" t="s">
        <v>7579</v>
      </c>
      <c r="P35" s="2053" t="s">
        <v>7580</v>
      </c>
      <c r="Q35" s="2059" t="s">
        <v>7581</v>
      </c>
      <c r="R35" s="2053" t="s">
        <v>7582</v>
      </c>
      <c r="S35" s="2045" t="s">
        <v>7562</v>
      </c>
      <c r="T35" s="1458"/>
    </row>
    <row r="36" spans="1:20" s="1030" customFormat="1" ht="24">
      <c r="A36" s="1530"/>
      <c r="B36" s="2050" t="s">
        <v>6448</v>
      </c>
      <c r="C36" s="2051" t="s">
        <v>7585</v>
      </c>
      <c r="D36" s="2051"/>
      <c r="E36" s="2051">
        <v>33</v>
      </c>
      <c r="F36" s="2053"/>
      <c r="G36" s="2053"/>
      <c r="H36" s="2054" t="s">
        <v>7040</v>
      </c>
      <c r="I36" s="2053"/>
      <c r="J36" s="2055" t="s">
        <v>7578</v>
      </c>
      <c r="K36" s="2053"/>
      <c r="L36" s="2053">
        <v>132</v>
      </c>
      <c r="M36" s="2056">
        <v>93.139199999999988</v>
      </c>
      <c r="N36" s="2057">
        <v>43436</v>
      </c>
      <c r="O36" s="2058" t="s">
        <v>7579</v>
      </c>
      <c r="P36" s="2053" t="s">
        <v>7580</v>
      </c>
      <c r="Q36" s="2059" t="s">
        <v>7581</v>
      </c>
      <c r="R36" s="2053" t="s">
        <v>7582</v>
      </c>
      <c r="S36" s="2045" t="s">
        <v>7562</v>
      </c>
      <c r="T36" s="1458"/>
    </row>
    <row r="37" spans="1:20" s="1030" customFormat="1" ht="24">
      <c r="A37" s="1530"/>
      <c r="B37" s="2050" t="s">
        <v>6448</v>
      </c>
      <c r="C37" s="2051" t="s">
        <v>7586</v>
      </c>
      <c r="D37" s="2051">
        <v>16</v>
      </c>
      <c r="E37" s="2052">
        <v>204</v>
      </c>
      <c r="F37" s="2053"/>
      <c r="G37" s="2053"/>
      <c r="H37" s="2054" t="s">
        <v>7040</v>
      </c>
      <c r="I37" s="2053"/>
      <c r="J37" s="2055" t="s">
        <v>7578</v>
      </c>
      <c r="K37" s="2053"/>
      <c r="L37" s="2053">
        <v>1397.3999999999999</v>
      </c>
      <c r="M37" s="2056">
        <v>986.00543999999991</v>
      </c>
      <c r="N37" s="2057">
        <v>43437</v>
      </c>
      <c r="O37" s="2058" t="s">
        <v>7579</v>
      </c>
      <c r="P37" s="2053" t="s">
        <v>7580</v>
      </c>
      <c r="Q37" s="2059" t="s">
        <v>7581</v>
      </c>
      <c r="R37" s="2053" t="s">
        <v>7582</v>
      </c>
      <c r="S37" s="2045" t="s">
        <v>7562</v>
      </c>
      <c r="T37" s="1458"/>
    </row>
    <row r="38" spans="1:20" s="1030" customFormat="1" ht="24">
      <c r="A38" s="1530"/>
      <c r="B38" s="2050" t="s">
        <v>6448</v>
      </c>
      <c r="C38" s="2051" t="s">
        <v>7587</v>
      </c>
      <c r="D38" s="2051" t="s">
        <v>7588</v>
      </c>
      <c r="E38" s="2052">
        <v>300</v>
      </c>
      <c r="F38" s="2053"/>
      <c r="G38" s="2053"/>
      <c r="H38" s="2054" t="s">
        <v>7040</v>
      </c>
      <c r="I38" s="2053"/>
      <c r="J38" s="2055" t="s">
        <v>7578</v>
      </c>
      <c r="K38" s="2053"/>
      <c r="L38" s="2053">
        <v>22650</v>
      </c>
      <c r="M38" s="2056">
        <v>15981.84</v>
      </c>
      <c r="N38" s="2057">
        <v>43438</v>
      </c>
      <c r="O38" s="2058" t="s">
        <v>7579</v>
      </c>
      <c r="P38" s="2053" t="s">
        <v>7580</v>
      </c>
      <c r="Q38" s="2059" t="s">
        <v>7581</v>
      </c>
      <c r="R38" s="2053" t="s">
        <v>7582</v>
      </c>
      <c r="S38" s="2045" t="s">
        <v>7562</v>
      </c>
      <c r="T38" s="1458"/>
    </row>
    <row r="39" spans="1:20" s="1030" customFormat="1" ht="24">
      <c r="A39" s="1530"/>
      <c r="B39" s="2050" t="s">
        <v>6448</v>
      </c>
      <c r="C39" s="2051" t="s">
        <v>7589</v>
      </c>
      <c r="D39" s="2051">
        <v>16</v>
      </c>
      <c r="E39" s="2052">
        <v>300</v>
      </c>
      <c r="F39" s="2053"/>
      <c r="G39" s="2053"/>
      <c r="H39" s="2054" t="s">
        <v>7040</v>
      </c>
      <c r="I39" s="2053"/>
      <c r="J39" s="2055" t="s">
        <v>7578</v>
      </c>
      <c r="K39" s="2053"/>
      <c r="L39" s="2053">
        <v>2055</v>
      </c>
      <c r="M39" s="2056">
        <v>1450.008</v>
      </c>
      <c r="N39" s="2057">
        <v>43439</v>
      </c>
      <c r="O39" s="2058" t="s">
        <v>7579</v>
      </c>
      <c r="P39" s="2053" t="s">
        <v>7580</v>
      </c>
      <c r="Q39" s="2059" t="s">
        <v>7581</v>
      </c>
      <c r="R39" s="2053" t="s">
        <v>7582</v>
      </c>
      <c r="S39" s="2045" t="s">
        <v>7562</v>
      </c>
      <c r="T39" s="1458"/>
    </row>
    <row r="40" spans="1:20" s="1030" customFormat="1" ht="24">
      <c r="A40" s="1530"/>
      <c r="B40" s="2050" t="s">
        <v>6448</v>
      </c>
      <c r="C40" s="2051" t="s">
        <v>7587</v>
      </c>
      <c r="D40" s="2051" t="s">
        <v>7590</v>
      </c>
      <c r="E40" s="2052">
        <v>300</v>
      </c>
      <c r="F40" s="2053"/>
      <c r="G40" s="2053"/>
      <c r="H40" s="2054" t="s">
        <v>7040</v>
      </c>
      <c r="I40" s="2053"/>
      <c r="J40" s="2055" t="s">
        <v>7578</v>
      </c>
      <c r="K40" s="2053"/>
      <c r="L40" s="2053">
        <v>23040</v>
      </c>
      <c r="M40" s="2056">
        <v>16257.024000000001</v>
      </c>
      <c r="N40" s="2057">
        <v>43440</v>
      </c>
      <c r="O40" s="2058" t="s">
        <v>7579</v>
      </c>
      <c r="P40" s="2053" t="s">
        <v>7580</v>
      </c>
      <c r="Q40" s="2059" t="s">
        <v>7581</v>
      </c>
      <c r="R40" s="2053" t="s">
        <v>7582</v>
      </c>
      <c r="S40" s="2045" t="s">
        <v>7562</v>
      </c>
      <c r="T40" s="1458"/>
    </row>
    <row r="41" spans="1:20" s="1030" customFormat="1" ht="24">
      <c r="A41" s="1530"/>
      <c r="B41" s="2050" t="s">
        <v>6448</v>
      </c>
      <c r="C41" s="2051" t="s">
        <v>7591</v>
      </c>
      <c r="D41" s="2051" t="s">
        <v>7592</v>
      </c>
      <c r="E41" s="2052">
        <v>160</v>
      </c>
      <c r="F41" s="2053"/>
      <c r="G41" s="2053"/>
      <c r="H41" s="2054" t="s">
        <v>7040</v>
      </c>
      <c r="I41" s="2053"/>
      <c r="J41" s="2055" t="s">
        <v>7578</v>
      </c>
      <c r="K41" s="2053"/>
      <c r="L41" s="2053">
        <v>41856</v>
      </c>
      <c r="M41" s="2056">
        <v>29533.5936</v>
      </c>
      <c r="N41" s="2057">
        <v>43497</v>
      </c>
      <c r="O41" s="2058" t="s">
        <v>7579</v>
      </c>
      <c r="P41" s="2053" t="s">
        <v>7580</v>
      </c>
      <c r="Q41" s="2059" t="s">
        <v>7581</v>
      </c>
      <c r="R41" s="2053" t="s">
        <v>7582</v>
      </c>
      <c r="S41" s="2045" t="s">
        <v>7562</v>
      </c>
      <c r="T41" s="1458"/>
    </row>
    <row r="42" spans="1:20" s="1030" customFormat="1" ht="24">
      <c r="A42" s="1530"/>
      <c r="B42" s="2050" t="s">
        <v>6448</v>
      </c>
      <c r="C42" s="2051" t="s">
        <v>7593</v>
      </c>
      <c r="D42" s="2051" t="s">
        <v>7592</v>
      </c>
      <c r="E42" s="2052">
        <v>60</v>
      </c>
      <c r="F42" s="2053"/>
      <c r="G42" s="2053"/>
      <c r="H42" s="2054" t="s">
        <v>7040</v>
      </c>
      <c r="I42" s="2053"/>
      <c r="J42" s="2055" t="s">
        <v>7578</v>
      </c>
      <c r="K42" s="2053"/>
      <c r="L42" s="2053">
        <v>15000</v>
      </c>
      <c r="M42" s="2056">
        <v>10584</v>
      </c>
      <c r="N42" s="2057">
        <v>43497</v>
      </c>
      <c r="O42" s="2058" t="s">
        <v>7579</v>
      </c>
      <c r="P42" s="2053" t="s">
        <v>7580</v>
      </c>
      <c r="Q42" s="2059" t="s">
        <v>7581</v>
      </c>
      <c r="R42" s="2053" t="s">
        <v>7582</v>
      </c>
      <c r="S42" s="2045" t="s">
        <v>7562</v>
      </c>
      <c r="T42" s="1458"/>
    </row>
    <row r="43" spans="1:20" s="1030" customFormat="1" ht="24">
      <c r="A43" s="1530"/>
      <c r="B43" s="2050" t="s">
        <v>6448</v>
      </c>
      <c r="C43" s="2051" t="s">
        <v>7594</v>
      </c>
      <c r="D43" s="2051" t="s">
        <v>7592</v>
      </c>
      <c r="E43" s="2052">
        <v>492</v>
      </c>
      <c r="F43" s="2053"/>
      <c r="G43" s="2053"/>
      <c r="H43" s="2054" t="s">
        <v>7595</v>
      </c>
      <c r="I43" s="2053"/>
      <c r="J43" s="2055" t="s">
        <v>7578</v>
      </c>
      <c r="K43" s="2053"/>
      <c r="L43" s="2053">
        <v>164815.07999999999</v>
      </c>
      <c r="M43" s="2056">
        <v>120644.63855999999</v>
      </c>
      <c r="N43" s="2057">
        <v>43647</v>
      </c>
      <c r="O43" s="2058" t="s">
        <v>7579</v>
      </c>
      <c r="P43" s="2053" t="s">
        <v>7580</v>
      </c>
      <c r="Q43" s="2059" t="s">
        <v>7581</v>
      </c>
      <c r="R43" s="2053" t="s">
        <v>7582</v>
      </c>
      <c r="S43" s="2045" t="s">
        <v>7562</v>
      </c>
      <c r="T43" s="1458"/>
    </row>
    <row r="44" spans="1:20" s="1030" customFormat="1" ht="36">
      <c r="A44" s="1530"/>
      <c r="B44" s="2060" t="s">
        <v>593</v>
      </c>
      <c r="C44" s="2060" t="s">
        <v>7596</v>
      </c>
      <c r="D44" s="2061" t="s">
        <v>62</v>
      </c>
      <c r="E44" s="2053"/>
      <c r="F44" s="2062">
        <v>8.3670000000000009</v>
      </c>
      <c r="G44" s="2061" t="s">
        <v>32</v>
      </c>
      <c r="H44" s="2061" t="s">
        <v>33</v>
      </c>
      <c r="I44" s="2061" t="s">
        <v>34</v>
      </c>
      <c r="J44" s="1313"/>
      <c r="K44" s="2063"/>
      <c r="L44" s="2060">
        <v>29177.230769400001</v>
      </c>
      <c r="M44" s="2049">
        <v>9725.7435898000003</v>
      </c>
      <c r="N44" s="2064">
        <v>42979</v>
      </c>
      <c r="O44" s="1313" t="s">
        <v>7597</v>
      </c>
      <c r="P44" s="2065" t="s">
        <v>7598</v>
      </c>
      <c r="Q44" s="1313">
        <v>18635695671</v>
      </c>
      <c r="R44" s="1313" t="s">
        <v>7599</v>
      </c>
      <c r="S44" s="2045" t="s">
        <v>7562</v>
      </c>
      <c r="T44" s="1458"/>
    </row>
    <row r="45" spans="1:20" s="1030" customFormat="1" ht="36">
      <c r="A45" s="1530"/>
      <c r="B45" s="2060" t="s">
        <v>593</v>
      </c>
      <c r="C45" s="2060" t="s">
        <v>7596</v>
      </c>
      <c r="D45" s="2061" t="s">
        <v>62</v>
      </c>
      <c r="E45" s="2053"/>
      <c r="F45" s="2062">
        <v>2.5609999999999999</v>
      </c>
      <c r="G45" s="2061" t="s">
        <v>32</v>
      </c>
      <c r="H45" s="2061" t="s">
        <v>33</v>
      </c>
      <c r="I45" s="2061" t="s">
        <v>34</v>
      </c>
      <c r="J45" s="1313"/>
      <c r="K45" s="2063"/>
      <c r="L45" s="2060">
        <v>8930.6666667000009</v>
      </c>
      <c r="M45" s="2049">
        <v>2976.8888889</v>
      </c>
      <c r="N45" s="2064">
        <v>42979</v>
      </c>
      <c r="O45" s="1313" t="s">
        <v>7597</v>
      </c>
      <c r="P45" s="2065" t="s">
        <v>7598</v>
      </c>
      <c r="Q45" s="1313">
        <v>18635695671</v>
      </c>
      <c r="R45" s="1313" t="s">
        <v>7599</v>
      </c>
      <c r="S45" s="2045" t="s">
        <v>7562</v>
      </c>
      <c r="T45" s="1458"/>
    </row>
    <row r="46" spans="1:20" s="1030" customFormat="1" ht="36">
      <c r="A46" s="1530"/>
      <c r="B46" s="2060" t="s">
        <v>593</v>
      </c>
      <c r="C46" s="2060" t="s">
        <v>7596</v>
      </c>
      <c r="D46" s="2061" t="s">
        <v>62</v>
      </c>
      <c r="E46" s="2053"/>
      <c r="F46" s="2062">
        <v>4.5330000000000004</v>
      </c>
      <c r="G46" s="2061" t="s">
        <v>32</v>
      </c>
      <c r="H46" s="2061" t="s">
        <v>33</v>
      </c>
      <c r="I46" s="2061" t="s">
        <v>34</v>
      </c>
      <c r="J46" s="1313"/>
      <c r="K46" s="2063"/>
      <c r="L46" s="2060">
        <v>17822.0512819</v>
      </c>
      <c r="M46" s="2049">
        <v>5940.6837606333302</v>
      </c>
      <c r="N46" s="2064">
        <v>42979</v>
      </c>
      <c r="O46" s="1313" t="s">
        <v>7597</v>
      </c>
      <c r="P46" s="2065" t="s">
        <v>7598</v>
      </c>
      <c r="Q46" s="1313">
        <v>18635695671</v>
      </c>
      <c r="R46" s="1313" t="s">
        <v>7599</v>
      </c>
      <c r="S46" s="2045" t="s">
        <v>7562</v>
      </c>
      <c r="T46" s="1458"/>
    </row>
    <row r="47" spans="1:20" s="1030" customFormat="1" ht="36">
      <c r="A47" s="1530"/>
      <c r="B47" s="2060" t="s">
        <v>593</v>
      </c>
      <c r="C47" s="2060" t="s">
        <v>7596</v>
      </c>
      <c r="D47" s="2061" t="s">
        <v>62</v>
      </c>
      <c r="E47" s="2053"/>
      <c r="F47" s="2062">
        <v>16.681000000000001</v>
      </c>
      <c r="G47" s="2061" t="s">
        <v>32</v>
      </c>
      <c r="H47" s="2061" t="s">
        <v>33</v>
      </c>
      <c r="I47" s="2061" t="s">
        <v>34</v>
      </c>
      <c r="J47" s="1313"/>
      <c r="K47" s="2063"/>
      <c r="L47" s="2060">
        <v>65583.418802999993</v>
      </c>
      <c r="M47" s="2049">
        <v>21861.139600999999</v>
      </c>
      <c r="N47" s="2064">
        <v>42979</v>
      </c>
      <c r="O47" s="1313" t="s">
        <v>7597</v>
      </c>
      <c r="P47" s="2065" t="s">
        <v>7598</v>
      </c>
      <c r="Q47" s="1313">
        <v>18635695671</v>
      </c>
      <c r="R47" s="1313" t="s">
        <v>7599</v>
      </c>
      <c r="S47" s="2045" t="s">
        <v>7562</v>
      </c>
      <c r="T47" s="1458"/>
    </row>
    <row r="48" spans="1:20" s="1030" customFormat="1" ht="36">
      <c r="A48" s="1530"/>
      <c r="B48" s="2060" t="s">
        <v>593</v>
      </c>
      <c r="C48" s="2060" t="s">
        <v>7596</v>
      </c>
      <c r="D48" s="2061" t="s">
        <v>62</v>
      </c>
      <c r="E48" s="2053"/>
      <c r="F48" s="2062">
        <v>0.70699999999999996</v>
      </c>
      <c r="G48" s="2061" t="s">
        <v>32</v>
      </c>
      <c r="H48" s="2061" t="s">
        <v>33</v>
      </c>
      <c r="I48" s="2061" t="s">
        <v>34</v>
      </c>
      <c r="J48" s="1313"/>
      <c r="K48" s="2063"/>
      <c r="L48" s="2060">
        <v>2779.6581196000002</v>
      </c>
      <c r="M48" s="2049">
        <v>926.55270653333298</v>
      </c>
      <c r="N48" s="2064">
        <v>42979</v>
      </c>
      <c r="O48" s="1313" t="s">
        <v>7597</v>
      </c>
      <c r="P48" s="2065" t="s">
        <v>7598</v>
      </c>
      <c r="Q48" s="1313">
        <v>18635695671</v>
      </c>
      <c r="R48" s="1313" t="s">
        <v>7599</v>
      </c>
      <c r="S48" s="2045" t="s">
        <v>7562</v>
      </c>
      <c r="T48" s="1458"/>
    </row>
    <row r="49" spans="1:20" s="1030" customFormat="1">
      <c r="A49" s="1530"/>
      <c r="B49" s="2060"/>
      <c r="C49" s="2060"/>
      <c r="D49" s="2061"/>
      <c r="E49" s="2053"/>
      <c r="F49" s="2062"/>
      <c r="G49" s="2061"/>
      <c r="H49" s="2061"/>
      <c r="I49" s="2061"/>
      <c r="J49" s="1313"/>
      <c r="K49" s="2063"/>
      <c r="L49" s="2060"/>
      <c r="M49" s="2049"/>
      <c r="N49" s="2064"/>
      <c r="O49" s="1313"/>
      <c r="P49" s="2065"/>
      <c r="Q49" s="1313"/>
      <c r="R49" s="1313"/>
      <c r="S49" s="2045" t="s">
        <v>7562</v>
      </c>
      <c r="T49" s="1458"/>
    </row>
    <row r="50" spans="1:20" s="1030" customFormat="1">
      <c r="A50" s="1530"/>
      <c r="B50" s="2060"/>
      <c r="C50" s="2060"/>
      <c r="D50" s="2061"/>
      <c r="E50" s="2053"/>
      <c r="F50" s="2062"/>
      <c r="G50" s="2061"/>
      <c r="H50" s="2061"/>
      <c r="I50" s="2061"/>
      <c r="J50" s="1313"/>
      <c r="K50" s="2063"/>
      <c r="L50" s="2060"/>
      <c r="M50" s="2049"/>
      <c r="N50" s="2064"/>
      <c r="O50" s="1313"/>
      <c r="P50" s="2065"/>
      <c r="Q50" s="1313"/>
      <c r="R50" s="1313"/>
      <c r="S50" s="2045" t="s">
        <v>7562</v>
      </c>
      <c r="T50" s="1458"/>
    </row>
    <row r="51" spans="1:20" s="1030" customFormat="1">
      <c r="A51" s="1530"/>
      <c r="B51" s="2060"/>
      <c r="C51" s="2060"/>
      <c r="D51" s="2061"/>
      <c r="E51" s="2053"/>
      <c r="F51" s="2062"/>
      <c r="G51" s="2061"/>
      <c r="H51" s="2061"/>
      <c r="I51" s="2061"/>
      <c r="J51" s="1313"/>
      <c r="K51" s="2063"/>
      <c r="L51" s="2060"/>
      <c r="M51" s="2049"/>
      <c r="N51" s="2064"/>
      <c r="O51" s="1313"/>
      <c r="P51" s="2065"/>
      <c r="Q51" s="1313"/>
      <c r="R51" s="1313"/>
      <c r="S51" s="2045"/>
      <c r="T51" s="1458"/>
    </row>
    <row r="52" spans="1:20" s="1030" customFormat="1">
      <c r="A52" s="1530"/>
      <c r="B52" s="2060"/>
      <c r="C52" s="2060"/>
      <c r="D52" s="2060"/>
      <c r="E52" s="2065"/>
      <c r="F52" s="2060"/>
      <c r="G52" s="2061"/>
      <c r="H52" s="2053"/>
      <c r="I52" s="2061"/>
      <c r="J52" s="2065"/>
      <c r="K52" s="2065"/>
      <c r="L52" s="2060"/>
      <c r="M52" s="2049"/>
      <c r="N52" s="2064"/>
      <c r="O52" s="1313"/>
      <c r="P52" s="2065"/>
      <c r="Q52" s="1313"/>
      <c r="R52" s="1313"/>
      <c r="S52" s="2045"/>
      <c r="T52" s="1458"/>
    </row>
    <row r="53" spans="1:20" s="1030" customFormat="1">
      <c r="A53" s="1530"/>
      <c r="B53" s="2060"/>
      <c r="C53" s="2060"/>
      <c r="D53" s="2060"/>
      <c r="E53" s="2065"/>
      <c r="F53" s="2060"/>
      <c r="G53" s="2061"/>
      <c r="H53" s="2053"/>
      <c r="I53" s="2061"/>
      <c r="J53" s="2065"/>
      <c r="K53" s="2065"/>
      <c r="L53" s="2060"/>
      <c r="M53" s="2049"/>
      <c r="N53" s="2064"/>
      <c r="O53" s="1313"/>
      <c r="P53" s="2065"/>
      <c r="Q53" s="1313"/>
      <c r="R53" s="1313"/>
      <c r="S53" s="2045"/>
      <c r="T53" s="1458"/>
    </row>
    <row r="54" spans="1:20" s="1030" customFormat="1">
      <c r="A54" s="1530"/>
      <c r="B54" s="2060"/>
      <c r="C54" s="2060"/>
      <c r="D54" s="2060"/>
      <c r="E54" s="2065"/>
      <c r="F54" s="2060"/>
      <c r="G54" s="2061"/>
      <c r="H54" s="2053"/>
      <c r="I54" s="2061"/>
      <c r="J54" s="2065"/>
      <c r="K54" s="2065"/>
      <c r="L54" s="2060"/>
      <c r="M54" s="2049"/>
      <c r="N54" s="2064"/>
      <c r="O54" s="1313"/>
      <c r="P54" s="2065"/>
      <c r="Q54" s="1313"/>
      <c r="R54" s="1313"/>
      <c r="S54" s="2045"/>
      <c r="T54" s="1458"/>
    </row>
    <row r="55" spans="1:20" s="1030" customFormat="1">
      <c r="A55" s="1530"/>
      <c r="B55" s="2060"/>
      <c r="C55" s="2060"/>
      <c r="D55" s="2060"/>
      <c r="E55" s="2065"/>
      <c r="F55" s="2060"/>
      <c r="G55" s="2061"/>
      <c r="H55" s="2053"/>
      <c r="I55" s="2061"/>
      <c r="J55" s="2065"/>
      <c r="K55" s="2065"/>
      <c r="L55" s="2060"/>
      <c r="M55" s="2049"/>
      <c r="N55" s="2064"/>
      <c r="O55" s="1313"/>
      <c r="P55" s="2065"/>
      <c r="Q55" s="1313"/>
      <c r="R55" s="1313"/>
      <c r="S55" s="2045"/>
      <c r="T55" s="1458"/>
    </row>
    <row r="56" spans="1:20" s="1030" customFormat="1">
      <c r="A56" s="1530"/>
      <c r="B56" s="2060"/>
      <c r="C56" s="2060"/>
      <c r="D56" s="2060"/>
      <c r="E56" s="2065"/>
      <c r="F56" s="2060"/>
      <c r="G56" s="2061"/>
      <c r="H56" s="2053"/>
      <c r="I56" s="2061"/>
      <c r="J56" s="2065"/>
      <c r="K56" s="2065"/>
      <c r="L56" s="2060"/>
      <c r="M56" s="2049"/>
      <c r="N56" s="2064"/>
      <c r="O56" s="1313"/>
      <c r="P56" s="2065"/>
      <c r="Q56" s="1313"/>
      <c r="R56" s="1313"/>
      <c r="S56" s="2045"/>
      <c r="T56" s="1458"/>
    </row>
    <row r="57" spans="1:20" s="1030" customFormat="1">
      <c r="A57" s="1530"/>
      <c r="B57" s="2060"/>
      <c r="C57" s="2060"/>
      <c r="D57" s="2060"/>
      <c r="E57" s="2065"/>
      <c r="F57" s="2060"/>
      <c r="G57" s="2061"/>
      <c r="H57" s="2053"/>
      <c r="I57" s="2061"/>
      <c r="J57" s="2065"/>
      <c r="K57" s="2065"/>
      <c r="L57" s="2060"/>
      <c r="M57" s="2049"/>
      <c r="N57" s="2064"/>
      <c r="O57" s="1313"/>
      <c r="P57" s="2065"/>
      <c r="Q57" s="1313"/>
      <c r="R57" s="1313"/>
      <c r="S57" s="2045"/>
      <c r="T57" s="1458"/>
    </row>
    <row r="58" spans="1:20" s="1030" customFormat="1">
      <c r="A58" s="1530"/>
      <c r="B58" s="2060"/>
      <c r="C58" s="2060"/>
      <c r="D58" s="2060"/>
      <c r="E58" s="2065"/>
      <c r="F58" s="2060"/>
      <c r="G58" s="2061"/>
      <c r="H58" s="2053"/>
      <c r="I58" s="2061"/>
      <c r="J58" s="2065"/>
      <c r="K58" s="2065"/>
      <c r="L58" s="2060"/>
      <c r="M58" s="2049"/>
      <c r="N58" s="2064"/>
      <c r="O58" s="1313"/>
      <c r="P58" s="2065"/>
      <c r="Q58" s="1313"/>
      <c r="R58" s="1313"/>
      <c r="S58" s="2045"/>
      <c r="T58" s="1458"/>
    </row>
    <row r="59" spans="1:20" s="1030" customFormat="1">
      <c r="A59" s="1530"/>
      <c r="B59" s="2060"/>
      <c r="C59" s="2060"/>
      <c r="D59" s="2060"/>
      <c r="E59" s="2065"/>
      <c r="F59" s="2060"/>
      <c r="G59" s="2061"/>
      <c r="H59" s="2053"/>
      <c r="I59" s="2061"/>
      <c r="J59" s="2065"/>
      <c r="K59" s="2065"/>
      <c r="L59" s="2060"/>
      <c r="M59" s="2049"/>
      <c r="N59" s="2064"/>
      <c r="O59" s="1313"/>
      <c r="P59" s="2065"/>
      <c r="Q59" s="1313"/>
      <c r="R59" s="1313"/>
      <c r="S59" s="2045"/>
      <c r="T59" s="1458"/>
    </row>
    <row r="60" spans="1:20" s="1030" customFormat="1">
      <c r="A60" s="1530"/>
      <c r="B60" s="2060"/>
      <c r="C60" s="2060"/>
      <c r="D60" s="2060"/>
      <c r="E60" s="2065"/>
      <c r="F60" s="2060"/>
      <c r="G60" s="2061"/>
      <c r="H60" s="2053"/>
      <c r="I60" s="2061"/>
      <c r="J60" s="2065"/>
      <c r="K60" s="2065"/>
      <c r="L60" s="2060"/>
      <c r="M60" s="2049"/>
      <c r="N60" s="2064"/>
      <c r="O60" s="1313"/>
      <c r="P60" s="2065"/>
      <c r="Q60" s="1313"/>
      <c r="R60" s="1313"/>
      <c r="S60" s="2045"/>
      <c r="T60" s="1458"/>
    </row>
    <row r="61" spans="1:20" s="1030" customFormat="1">
      <c r="A61" s="1530"/>
      <c r="B61" s="2060"/>
      <c r="C61" s="2060"/>
      <c r="D61" s="2060"/>
      <c r="E61" s="2065"/>
      <c r="F61" s="2060"/>
      <c r="G61" s="2061"/>
      <c r="H61" s="2053"/>
      <c r="I61" s="2061"/>
      <c r="J61" s="2065"/>
      <c r="K61" s="2065"/>
      <c r="L61" s="2060"/>
      <c r="M61" s="2049"/>
      <c r="N61" s="2064"/>
      <c r="O61" s="1313"/>
      <c r="P61" s="2065"/>
      <c r="Q61" s="1313"/>
      <c r="R61" s="1313"/>
      <c r="S61" s="2045"/>
      <c r="T61" s="1458"/>
    </row>
    <row r="62" spans="1:20" s="1030" customFormat="1">
      <c r="A62" s="1530"/>
      <c r="B62" s="2060"/>
      <c r="C62" s="2060"/>
      <c r="D62" s="2060"/>
      <c r="E62" s="2065"/>
      <c r="F62" s="2060"/>
      <c r="G62" s="2061"/>
      <c r="H62" s="2053"/>
      <c r="I62" s="2061"/>
      <c r="J62" s="2065"/>
      <c r="K62" s="2065"/>
      <c r="L62" s="2060"/>
      <c r="M62" s="2049"/>
      <c r="N62" s="2064"/>
      <c r="O62" s="1313"/>
      <c r="P62" s="2065"/>
      <c r="Q62" s="1313"/>
      <c r="R62" s="1313"/>
      <c r="S62" s="2045"/>
      <c r="T62" s="1458"/>
    </row>
    <row r="63" spans="1:20" s="1030" customFormat="1">
      <c r="A63" s="1530"/>
      <c r="B63" s="2060"/>
      <c r="C63" s="2066"/>
      <c r="D63" s="2066"/>
      <c r="E63" s="2067"/>
      <c r="F63" s="2053"/>
      <c r="G63" s="2053"/>
      <c r="H63" s="2068"/>
      <c r="I63" s="2053"/>
      <c r="J63" s="2055"/>
      <c r="K63" s="2053"/>
      <c r="L63" s="2053"/>
      <c r="M63" s="2053"/>
      <c r="N63" s="2057"/>
      <c r="O63" s="2063"/>
      <c r="P63" s="2053"/>
      <c r="Q63" s="2059"/>
      <c r="R63" s="2053"/>
      <c r="S63" s="2045"/>
      <c r="T63" s="1458"/>
    </row>
    <row r="64" spans="1:20" s="1030" customFormat="1">
      <c r="A64" s="1530"/>
      <c r="B64" s="2060"/>
      <c r="C64" s="2066"/>
      <c r="D64" s="2066"/>
      <c r="E64" s="2067"/>
      <c r="F64" s="2053"/>
      <c r="G64" s="2053"/>
      <c r="H64" s="2068"/>
      <c r="I64" s="2053"/>
      <c r="J64" s="2055"/>
      <c r="K64" s="2053"/>
      <c r="L64" s="2053"/>
      <c r="M64" s="2053"/>
      <c r="N64" s="2057"/>
      <c r="O64" s="2063"/>
      <c r="P64" s="2053"/>
      <c r="Q64" s="2059"/>
      <c r="R64" s="2053"/>
      <c r="S64" s="2045"/>
      <c r="T64" s="1458"/>
    </row>
    <row r="65" spans="1:20" s="1030" customFormat="1">
      <c r="A65" s="1530"/>
      <c r="B65" s="2060"/>
      <c r="C65" s="2066"/>
      <c r="D65" s="2066"/>
      <c r="E65" s="2067"/>
      <c r="F65" s="2053"/>
      <c r="G65" s="2053"/>
      <c r="H65" s="2068"/>
      <c r="I65" s="2053"/>
      <c r="J65" s="2055"/>
      <c r="K65" s="2053"/>
      <c r="L65" s="2053"/>
      <c r="M65" s="2056"/>
      <c r="N65" s="2057"/>
      <c r="O65" s="2063"/>
      <c r="P65" s="2053"/>
      <c r="Q65" s="2059"/>
      <c r="R65" s="2053"/>
      <c r="S65" s="2045"/>
      <c r="T65" s="1458"/>
    </row>
    <row r="66" spans="1:20" s="1030" customFormat="1">
      <c r="A66" s="1530"/>
      <c r="B66" s="2060"/>
      <c r="C66" s="2066"/>
      <c r="D66" s="2066"/>
      <c r="E66" s="2066"/>
      <c r="F66" s="2053"/>
      <c r="G66" s="2053"/>
      <c r="H66" s="2068"/>
      <c r="I66" s="2053"/>
      <c r="J66" s="2055"/>
      <c r="K66" s="2053"/>
      <c r="L66" s="2053"/>
      <c r="M66" s="2053"/>
      <c r="N66" s="2057"/>
      <c r="O66" s="2063"/>
      <c r="P66" s="2053"/>
      <c r="Q66" s="2059"/>
      <c r="R66" s="2053"/>
      <c r="S66" s="2045"/>
      <c r="T66" s="1458"/>
    </row>
    <row r="67" spans="1:20" s="1030" customFormat="1">
      <c r="A67" s="1530"/>
      <c r="B67" s="2060"/>
      <c r="C67" s="2066"/>
      <c r="D67" s="2066"/>
      <c r="E67" s="2066"/>
      <c r="F67" s="2053"/>
      <c r="G67" s="2053"/>
      <c r="H67" s="2068"/>
      <c r="I67" s="2053"/>
      <c r="J67" s="2055"/>
      <c r="K67" s="2053"/>
      <c r="L67" s="2053"/>
      <c r="M67" s="2053"/>
      <c r="N67" s="2057"/>
      <c r="O67" s="2063"/>
      <c r="P67" s="2053"/>
      <c r="Q67" s="2059"/>
      <c r="R67" s="2053"/>
      <c r="S67" s="2045"/>
      <c r="T67" s="1458"/>
    </row>
    <row r="68" spans="1:20" s="1030" customFormat="1">
      <c r="A68" s="1530"/>
      <c r="B68" s="2069"/>
      <c r="C68" s="2069"/>
      <c r="D68" s="2070"/>
      <c r="E68" s="2069"/>
      <c r="F68" s="2071"/>
      <c r="G68" s="2069"/>
      <c r="H68" s="2069"/>
      <c r="I68" s="2070"/>
      <c r="J68" s="2069"/>
      <c r="K68" s="2069"/>
      <c r="L68" s="2069"/>
      <c r="M68" s="2072"/>
      <c r="N68" s="2069"/>
      <c r="O68" s="2069"/>
      <c r="P68" s="2053"/>
      <c r="Q68" s="2073"/>
      <c r="R68" s="2074"/>
      <c r="S68" s="2045"/>
      <c r="T68" s="1458"/>
    </row>
    <row r="69" spans="1:20" s="1030" customFormat="1">
      <c r="A69" s="1530"/>
      <c r="B69" s="1313"/>
      <c r="C69" s="2075"/>
      <c r="D69" s="2075"/>
      <c r="E69" s="2075"/>
      <c r="F69" s="2055"/>
      <c r="G69" s="2055"/>
      <c r="H69" s="2076"/>
      <c r="I69" s="2055"/>
      <c r="J69" s="2055"/>
      <c r="K69" s="2055"/>
      <c r="L69" s="2055"/>
      <c r="M69" s="2055"/>
      <c r="N69" s="2077"/>
      <c r="O69" s="2063"/>
      <c r="P69" s="2055"/>
      <c r="Q69" s="2078"/>
      <c r="R69" s="2055"/>
      <c r="S69" s="2045"/>
      <c r="T69" s="1458"/>
    </row>
    <row r="70" spans="1:20" s="1030" customFormat="1">
      <c r="A70" s="1530"/>
      <c r="B70" s="1313"/>
      <c r="C70" s="1313"/>
      <c r="D70" s="2061"/>
      <c r="E70" s="2053"/>
      <c r="F70" s="1313"/>
      <c r="G70" s="2061"/>
      <c r="H70" s="2061"/>
      <c r="I70" s="2061"/>
      <c r="J70" s="1313"/>
      <c r="K70" s="2063"/>
      <c r="L70" s="1313"/>
      <c r="M70" s="2049"/>
      <c r="N70" s="2079"/>
      <c r="O70" s="1313"/>
      <c r="P70" s="2065"/>
      <c r="Q70" s="1313"/>
      <c r="R70" s="1313"/>
      <c r="S70" s="2045" t="s">
        <v>7562</v>
      </c>
      <c r="T70" s="1458"/>
    </row>
    <row r="71" spans="1:20" s="1030" customFormat="1">
      <c r="A71" s="1530"/>
      <c r="B71" s="2041"/>
      <c r="C71" s="2041"/>
      <c r="D71" s="2080"/>
      <c r="E71" s="2045"/>
      <c r="F71" s="2041"/>
      <c r="G71" s="2080"/>
      <c r="H71" s="2080"/>
      <c r="I71" s="2080"/>
      <c r="J71" s="2041"/>
      <c r="K71" s="2081"/>
      <c r="L71" s="2041"/>
      <c r="M71" s="2049"/>
      <c r="N71" s="2082"/>
      <c r="O71" s="2041"/>
      <c r="P71" s="2038"/>
      <c r="Q71" s="2041"/>
      <c r="R71" s="2041"/>
      <c r="S71" s="2045"/>
      <c r="T71" s="1458"/>
    </row>
    <row r="72" spans="1:20" s="1030" customFormat="1">
      <c r="A72" s="1530"/>
      <c r="B72" s="2041"/>
      <c r="C72" s="2041"/>
      <c r="D72" s="2080"/>
      <c r="E72" s="2045"/>
      <c r="F72" s="2041"/>
      <c r="G72" s="2080"/>
      <c r="H72" s="2080"/>
      <c r="I72" s="2080"/>
      <c r="J72" s="2041"/>
      <c r="K72" s="2081"/>
      <c r="L72" s="2041"/>
      <c r="M72" s="2049"/>
      <c r="N72" s="2082"/>
      <c r="O72" s="2041"/>
      <c r="P72" s="2038"/>
      <c r="Q72" s="2041"/>
      <c r="R72" s="2041"/>
      <c r="S72" s="2045"/>
      <c r="T72" s="1458"/>
    </row>
    <row r="73" spans="1:20" s="1030" customFormat="1">
      <c r="A73" s="1530"/>
      <c r="B73" s="2041"/>
      <c r="C73" s="2041"/>
      <c r="D73" s="2080"/>
      <c r="E73" s="2045"/>
      <c r="F73" s="2041"/>
      <c r="G73" s="2080"/>
      <c r="H73" s="2080"/>
      <c r="I73" s="2080"/>
      <c r="J73" s="2041"/>
      <c r="K73" s="2081"/>
      <c r="L73" s="2041"/>
      <c r="M73" s="2049"/>
      <c r="N73" s="2082"/>
      <c r="O73" s="2041"/>
      <c r="P73" s="2038"/>
      <c r="Q73" s="2041"/>
      <c r="R73" s="2041"/>
      <c r="S73" s="2045"/>
      <c r="T73" s="1458"/>
    </row>
    <row r="74" spans="1:20" s="1030" customFormat="1">
      <c r="A74" s="1530"/>
      <c r="B74" s="2041"/>
      <c r="C74" s="2041"/>
      <c r="D74" s="2080"/>
      <c r="E74" s="2045"/>
      <c r="F74" s="2041"/>
      <c r="G74" s="2080"/>
      <c r="H74" s="2080"/>
      <c r="I74" s="2080"/>
      <c r="J74" s="2041"/>
      <c r="K74" s="2081"/>
      <c r="L74" s="2041"/>
      <c r="M74" s="2049"/>
      <c r="N74" s="2082"/>
      <c r="O74" s="2041"/>
      <c r="P74" s="2038"/>
      <c r="Q74" s="2041"/>
      <c r="R74" s="2041"/>
      <c r="S74" s="2045" t="s">
        <v>7562</v>
      </c>
      <c r="T74" s="1458"/>
    </row>
    <row r="75" spans="1:20" s="1030" customFormat="1">
      <c r="A75" s="1530"/>
      <c r="B75" s="2041"/>
      <c r="C75" s="2041"/>
      <c r="D75" s="2080"/>
      <c r="E75" s="2045"/>
      <c r="F75" s="2041"/>
      <c r="G75" s="2080"/>
      <c r="H75" s="2080"/>
      <c r="I75" s="2080"/>
      <c r="J75" s="2041"/>
      <c r="K75" s="2081"/>
      <c r="L75" s="2041"/>
      <c r="M75" s="2049"/>
      <c r="N75" s="2082"/>
      <c r="O75" s="2041"/>
      <c r="P75" s="2038"/>
      <c r="Q75" s="2041"/>
      <c r="R75" s="2041"/>
      <c r="S75" s="2045" t="s">
        <v>7562</v>
      </c>
      <c r="T75" s="1458"/>
    </row>
    <row r="76" spans="1:20" s="1030" customFormat="1">
      <c r="A76" s="1530"/>
      <c r="B76" s="2045"/>
      <c r="C76" s="2066"/>
      <c r="D76" s="2066"/>
      <c r="E76" s="2083"/>
      <c r="F76" s="2045"/>
      <c r="G76" s="2045"/>
      <c r="H76" s="2068"/>
      <c r="I76" s="2045"/>
      <c r="J76" s="2072"/>
      <c r="K76" s="2045"/>
      <c r="L76" s="2045"/>
      <c r="M76" s="2045"/>
      <c r="N76" s="2084"/>
      <c r="O76" s="2081"/>
      <c r="P76" s="2045"/>
      <c r="Q76" s="2085"/>
      <c r="R76" s="2045"/>
      <c r="S76" s="2045" t="s">
        <v>7562</v>
      </c>
      <c r="T76" s="1458"/>
    </row>
    <row r="77" spans="1:20" s="1030" customFormat="1">
      <c r="A77" s="1530"/>
      <c r="B77" s="2045"/>
      <c r="C77" s="2066"/>
      <c r="D77" s="2066"/>
      <c r="E77" s="2083"/>
      <c r="F77" s="2045"/>
      <c r="G77" s="2045"/>
      <c r="H77" s="2068"/>
      <c r="I77" s="2045"/>
      <c r="J77" s="2072"/>
      <c r="K77" s="2045"/>
      <c r="L77" s="2045"/>
      <c r="M77" s="2045"/>
      <c r="N77" s="2084"/>
      <c r="O77" s="2081"/>
      <c r="P77" s="2045"/>
      <c r="Q77" s="2085"/>
      <c r="R77" s="2045"/>
      <c r="S77" s="2045" t="s">
        <v>7562</v>
      </c>
      <c r="T77" s="1458"/>
    </row>
    <row r="78" spans="1:20" s="1030" customFormat="1">
      <c r="A78" s="1530"/>
      <c r="B78" s="2045"/>
      <c r="C78" s="2041"/>
      <c r="D78" s="2041"/>
      <c r="E78" s="2041"/>
      <c r="F78" s="2081"/>
      <c r="G78" s="2049"/>
      <c r="H78" s="2045"/>
      <c r="I78" s="2081"/>
      <c r="J78" s="2041"/>
      <c r="K78" s="2081"/>
      <c r="L78" s="2041"/>
      <c r="M78" s="2049"/>
      <c r="N78" s="2082"/>
      <c r="O78" s="2041"/>
      <c r="P78" s="2038"/>
      <c r="Q78" s="2041"/>
      <c r="R78" s="2041"/>
      <c r="S78" s="2045" t="s">
        <v>7562</v>
      </c>
      <c r="T78" s="1458"/>
    </row>
    <row r="79" spans="1:20" s="1030" customFormat="1" ht="24">
      <c r="A79" s="1530">
        <v>2</v>
      </c>
      <c r="B79" s="2037" t="s">
        <v>890</v>
      </c>
      <c r="C79" s="2037" t="s">
        <v>7600</v>
      </c>
      <c r="D79" s="2037" t="s">
        <v>464</v>
      </c>
      <c r="E79" s="2037">
        <v>36</v>
      </c>
      <c r="F79" s="2041"/>
      <c r="G79" s="2040" t="s">
        <v>32</v>
      </c>
      <c r="H79" s="2040" t="s">
        <v>33</v>
      </c>
      <c r="I79" s="2038"/>
      <c r="J79" s="2038"/>
      <c r="K79" s="2041" t="s">
        <v>7566</v>
      </c>
      <c r="L79" s="2041">
        <v>6178.68</v>
      </c>
      <c r="M79" s="2049">
        <v>0</v>
      </c>
      <c r="N79" s="2039">
        <v>2019.9</v>
      </c>
      <c r="O79" s="2043" t="s">
        <v>7567</v>
      </c>
      <c r="P79" s="2040" t="s">
        <v>7568</v>
      </c>
      <c r="Q79" s="2040">
        <v>17601040821</v>
      </c>
      <c r="R79" s="2044" t="s">
        <v>7569</v>
      </c>
      <c r="S79" s="2045" t="s">
        <v>7562</v>
      </c>
      <c r="T79" s="1458"/>
    </row>
    <row r="80" spans="1:20" s="1030" customFormat="1" ht="24">
      <c r="A80" s="1530"/>
      <c r="B80" s="2037" t="s">
        <v>890</v>
      </c>
      <c r="C80" s="2037" t="s">
        <v>7600</v>
      </c>
      <c r="D80" s="2037" t="s">
        <v>464</v>
      </c>
      <c r="E80" s="2037">
        <v>23</v>
      </c>
      <c r="F80" s="2041"/>
      <c r="G80" s="2040" t="s">
        <v>32</v>
      </c>
      <c r="H80" s="2040" t="s">
        <v>33</v>
      </c>
      <c r="I80" s="2038"/>
      <c r="J80" s="2038"/>
      <c r="K80" s="2041" t="s">
        <v>7566</v>
      </c>
      <c r="L80" s="2041">
        <v>2070</v>
      </c>
      <c r="M80" s="2049">
        <v>0</v>
      </c>
      <c r="N80" s="2039">
        <v>2019.9</v>
      </c>
      <c r="O80" s="2043" t="s">
        <v>7567</v>
      </c>
      <c r="P80" s="2040" t="s">
        <v>7568</v>
      </c>
      <c r="Q80" s="2040">
        <v>17601040821</v>
      </c>
      <c r="R80" s="2044" t="s">
        <v>7569</v>
      </c>
      <c r="S80" s="2045" t="s">
        <v>7562</v>
      </c>
      <c r="T80" s="1458"/>
    </row>
    <row r="81" spans="1:20" s="1030" customFormat="1" ht="24">
      <c r="A81" s="1530"/>
      <c r="B81" s="2037" t="s">
        <v>890</v>
      </c>
      <c r="C81" s="2037"/>
      <c r="D81" s="2037" t="s">
        <v>62</v>
      </c>
      <c r="E81" s="2038"/>
      <c r="F81" s="2037">
        <v>27.1739</v>
      </c>
      <c r="G81" s="2040" t="s">
        <v>7572</v>
      </c>
      <c r="H81" s="2040" t="s">
        <v>33</v>
      </c>
      <c r="I81" s="2038"/>
      <c r="J81" s="2038"/>
      <c r="K81" s="2041" t="s">
        <v>7601</v>
      </c>
      <c r="L81" s="2041">
        <v>88495.58</v>
      </c>
      <c r="M81" s="2042">
        <v>45060.535445709203</v>
      </c>
      <c r="N81" s="2039">
        <v>2020.8</v>
      </c>
      <c r="O81" s="2043" t="s">
        <v>7567</v>
      </c>
      <c r="P81" s="2040" t="s">
        <v>7568</v>
      </c>
      <c r="Q81" s="2040">
        <v>17601040821</v>
      </c>
      <c r="R81" s="2044" t="s">
        <v>7569</v>
      </c>
      <c r="S81" s="2045" t="s">
        <v>7562</v>
      </c>
      <c r="T81" s="1458"/>
    </row>
    <row r="82" spans="1:20" s="1030" customFormat="1" ht="27" customHeight="1">
      <c r="A82" s="1530"/>
      <c r="B82" s="2037" t="s">
        <v>890</v>
      </c>
      <c r="C82" s="2037"/>
      <c r="D82" s="2037" t="s">
        <v>62</v>
      </c>
      <c r="E82" s="2038"/>
      <c r="F82" s="2037">
        <v>10.8721</v>
      </c>
      <c r="G82" s="2040" t="s">
        <v>7572</v>
      </c>
      <c r="H82" s="2040" t="s">
        <v>33</v>
      </c>
      <c r="I82" s="2038"/>
      <c r="J82" s="2038"/>
      <c r="K82" s="2041" t="s">
        <v>7601</v>
      </c>
      <c r="L82" s="2041">
        <v>35406.730000000003</v>
      </c>
      <c r="M82" s="2049">
        <v>18077.536149920001</v>
      </c>
      <c r="N82" s="2039">
        <v>2020.8</v>
      </c>
      <c r="O82" s="2043" t="s">
        <v>7567</v>
      </c>
      <c r="P82" s="2040" t="s">
        <v>7568</v>
      </c>
      <c r="Q82" s="2040">
        <v>17601040821</v>
      </c>
      <c r="R82" s="2044" t="s">
        <v>7569</v>
      </c>
      <c r="S82" s="2045" t="s">
        <v>7562</v>
      </c>
      <c r="T82" s="1458"/>
    </row>
    <row r="83" spans="1:20" s="1030" customFormat="1" ht="24">
      <c r="A83" s="1530"/>
      <c r="B83" s="2037" t="s">
        <v>890</v>
      </c>
      <c r="C83" s="2037"/>
      <c r="D83" s="2037" t="s">
        <v>62</v>
      </c>
      <c r="E83" s="2038"/>
      <c r="F83" s="2037">
        <v>27.1739</v>
      </c>
      <c r="G83" s="2040" t="s">
        <v>7572</v>
      </c>
      <c r="H83" s="2040" t="s">
        <v>33</v>
      </c>
      <c r="I83" s="2038"/>
      <c r="J83" s="2038"/>
      <c r="K83" s="2041" t="s">
        <v>7601</v>
      </c>
      <c r="L83" s="2041">
        <v>88495.58</v>
      </c>
      <c r="M83" s="2049">
        <v>45060.535445709203</v>
      </c>
      <c r="N83" s="2039">
        <v>2020.8</v>
      </c>
      <c r="O83" s="2043" t="s">
        <v>7567</v>
      </c>
      <c r="P83" s="2040" t="s">
        <v>7568</v>
      </c>
      <c r="Q83" s="2040">
        <v>17601040821</v>
      </c>
      <c r="R83" s="2044" t="s">
        <v>7569</v>
      </c>
      <c r="S83" s="2045" t="s">
        <v>7562</v>
      </c>
      <c r="T83" s="1458"/>
    </row>
    <row r="84" spans="1:20" s="1030" customFormat="1" ht="27" customHeight="1">
      <c r="A84" s="1530"/>
      <c r="B84" s="2049" t="s">
        <v>890</v>
      </c>
      <c r="C84" s="2037"/>
      <c r="D84" s="2037" t="s">
        <v>62</v>
      </c>
      <c r="E84" s="2041"/>
      <c r="F84" s="2037">
        <v>27</v>
      </c>
      <c r="G84" s="2040" t="s">
        <v>7572</v>
      </c>
      <c r="H84" s="2040" t="s">
        <v>33</v>
      </c>
      <c r="I84" s="2038"/>
      <c r="J84" s="2038"/>
      <c r="K84" s="2041" t="s">
        <v>7601</v>
      </c>
      <c r="L84" s="2041">
        <v>87929.2</v>
      </c>
      <c r="M84" s="2042">
        <v>44772.162980691399</v>
      </c>
      <c r="N84" s="2039">
        <v>2020.9</v>
      </c>
      <c r="O84" s="2043" t="s">
        <v>7567</v>
      </c>
      <c r="P84" s="2040" t="s">
        <v>7568</v>
      </c>
      <c r="Q84" s="2040">
        <v>17601040821</v>
      </c>
      <c r="R84" s="2044" t="s">
        <v>7569</v>
      </c>
      <c r="S84" s="2045" t="s">
        <v>7562</v>
      </c>
      <c r="T84" s="1458"/>
    </row>
    <row r="85" spans="1:20" s="1030" customFormat="1" ht="27" customHeight="1">
      <c r="A85" s="1530"/>
      <c r="B85" s="2049" t="s">
        <v>890</v>
      </c>
      <c r="C85" s="2037"/>
      <c r="D85" s="2037" t="s">
        <v>62</v>
      </c>
      <c r="E85" s="2041"/>
      <c r="F85" s="2037">
        <v>14.39</v>
      </c>
      <c r="G85" s="2040" t="s">
        <v>7572</v>
      </c>
      <c r="H85" s="2040" t="s">
        <v>33</v>
      </c>
      <c r="I85" s="2038"/>
      <c r="J85" s="2038"/>
      <c r="K85" s="2041" t="s">
        <v>7601</v>
      </c>
      <c r="L85" s="2041">
        <v>46863.01</v>
      </c>
      <c r="M85" s="2042">
        <v>23861.868420234601</v>
      </c>
      <c r="N85" s="2039">
        <v>2020.9</v>
      </c>
      <c r="O85" s="2043" t="s">
        <v>7567</v>
      </c>
      <c r="P85" s="2040" t="s">
        <v>7568</v>
      </c>
      <c r="Q85" s="2040">
        <v>17601040821</v>
      </c>
      <c r="R85" s="2044" t="s">
        <v>7569</v>
      </c>
      <c r="S85" s="2045" t="s">
        <v>7562</v>
      </c>
      <c r="T85" s="1458"/>
    </row>
    <row r="86" spans="1:20" s="1030" customFormat="1" ht="24.75" customHeight="1">
      <c r="A86" s="1530"/>
      <c r="B86" s="2049" t="s">
        <v>890</v>
      </c>
      <c r="C86" s="2037"/>
      <c r="D86" s="2037" t="s">
        <v>62</v>
      </c>
      <c r="E86" s="2086"/>
      <c r="F86" s="2037">
        <v>27</v>
      </c>
      <c r="G86" s="2040" t="s">
        <v>7572</v>
      </c>
      <c r="H86" s="2040" t="s">
        <v>33</v>
      </c>
      <c r="I86" s="2087"/>
      <c r="J86" s="2087"/>
      <c r="K86" s="2086" t="s">
        <v>7601</v>
      </c>
      <c r="L86" s="2086">
        <v>87929.2</v>
      </c>
      <c r="M86" s="2088">
        <v>44772.162980691399</v>
      </c>
      <c r="N86" s="2089">
        <v>2020.9</v>
      </c>
      <c r="O86" s="2090" t="s">
        <v>7567</v>
      </c>
      <c r="P86" s="2091" t="s">
        <v>7568</v>
      </c>
      <c r="Q86" s="2091">
        <v>17601040821</v>
      </c>
      <c r="R86" s="2092" t="s">
        <v>7569</v>
      </c>
      <c r="S86" s="2045" t="s">
        <v>7562</v>
      </c>
      <c r="T86" s="1458"/>
    </row>
    <row r="87" spans="1:20" s="1030" customFormat="1" ht="24.75" customHeight="1">
      <c r="A87" s="1530"/>
      <c r="B87" s="2061" t="s">
        <v>890</v>
      </c>
      <c r="C87" s="2051" t="s">
        <v>7602</v>
      </c>
      <c r="D87" s="2051" t="s">
        <v>2724</v>
      </c>
      <c r="E87" s="2052">
        <v>350</v>
      </c>
      <c r="F87" s="2052"/>
      <c r="G87" s="2053"/>
      <c r="H87" s="2054" t="s">
        <v>7040</v>
      </c>
      <c r="I87" s="2053"/>
      <c r="J87" s="2055" t="s">
        <v>7578</v>
      </c>
      <c r="K87" s="2053"/>
      <c r="L87" s="2053">
        <v>56700</v>
      </c>
      <c r="M87" s="2056">
        <v>11340</v>
      </c>
      <c r="N87" s="2057">
        <v>42917</v>
      </c>
      <c r="O87" s="2058" t="s">
        <v>7579</v>
      </c>
      <c r="P87" s="2053" t="s">
        <v>7580</v>
      </c>
      <c r="Q87" s="2059" t="s">
        <v>7581</v>
      </c>
      <c r="R87" s="2053" t="s">
        <v>7582</v>
      </c>
      <c r="S87" s="2045" t="s">
        <v>7562</v>
      </c>
      <c r="T87" s="1458"/>
    </row>
    <row r="88" spans="1:20" s="1030" customFormat="1" ht="24">
      <c r="A88" s="1530"/>
      <c r="B88" s="2061" t="s">
        <v>890</v>
      </c>
      <c r="C88" s="2051" t="s">
        <v>7602</v>
      </c>
      <c r="D88" s="2053" t="s">
        <v>7603</v>
      </c>
      <c r="E88" s="2053">
        <v>98</v>
      </c>
      <c r="F88" s="2053"/>
      <c r="G88" s="2053"/>
      <c r="H88" s="2054" t="s">
        <v>7040</v>
      </c>
      <c r="I88" s="2053"/>
      <c r="J88" s="2055" t="s">
        <v>7578</v>
      </c>
      <c r="K88" s="2053"/>
      <c r="L88" s="2053">
        <v>113190</v>
      </c>
      <c r="M88" s="2056">
        <v>67517.834999999992</v>
      </c>
      <c r="N88" s="2057">
        <v>43101</v>
      </c>
      <c r="O88" s="2058" t="s">
        <v>7579</v>
      </c>
      <c r="P88" s="2053" t="s">
        <v>7580</v>
      </c>
      <c r="Q88" s="2059" t="s">
        <v>7581</v>
      </c>
      <c r="R88" s="2053" t="s">
        <v>7582</v>
      </c>
      <c r="S88" s="2045" t="s">
        <v>7562</v>
      </c>
      <c r="T88" s="1458"/>
    </row>
    <row r="89" spans="1:20" s="1030" customFormat="1" ht="24">
      <c r="A89" s="1530"/>
      <c r="B89" s="2061" t="s">
        <v>890</v>
      </c>
      <c r="C89" s="2051" t="s">
        <v>7602</v>
      </c>
      <c r="D89" s="2053" t="s">
        <v>7604</v>
      </c>
      <c r="E89" s="2053">
        <v>88.277000000000001</v>
      </c>
      <c r="F89" s="2053"/>
      <c r="G89" s="2053"/>
      <c r="H89" s="2054" t="s">
        <v>7040</v>
      </c>
      <c r="I89" s="2053"/>
      <c r="J89" s="2055" t="s">
        <v>7578</v>
      </c>
      <c r="K89" s="2053"/>
      <c r="L89" s="2053">
        <v>327093.75</v>
      </c>
      <c r="M89" s="2056">
        <v>211793.2</v>
      </c>
      <c r="N89" s="2057">
        <v>43282</v>
      </c>
      <c r="O89" s="2058" t="s">
        <v>7579</v>
      </c>
      <c r="P89" s="2053" t="s">
        <v>7580</v>
      </c>
      <c r="Q89" s="2059" t="s">
        <v>7581</v>
      </c>
      <c r="R89" s="2053" t="s">
        <v>7582</v>
      </c>
      <c r="S89" s="2045" t="s">
        <v>7562</v>
      </c>
      <c r="T89" s="1458"/>
    </row>
    <row r="90" spans="1:20" s="1030" customFormat="1" ht="24">
      <c r="A90" s="1530"/>
      <c r="B90" s="2061" t="s">
        <v>890</v>
      </c>
      <c r="C90" s="2051" t="s">
        <v>7602</v>
      </c>
      <c r="D90" s="2053" t="s">
        <v>7603</v>
      </c>
      <c r="E90" s="2053">
        <v>253</v>
      </c>
      <c r="F90" s="2053"/>
      <c r="G90" s="2053"/>
      <c r="H90" s="2054" t="s">
        <v>7040</v>
      </c>
      <c r="I90" s="2053"/>
      <c r="J90" s="2055" t="s">
        <v>7578</v>
      </c>
      <c r="K90" s="2053"/>
      <c r="L90" s="2053">
        <v>317768</v>
      </c>
      <c r="M90" s="2056">
        <v>222755.36800000002</v>
      </c>
      <c r="N90" s="2057">
        <v>43435</v>
      </c>
      <c r="O90" s="2058" t="s">
        <v>7579</v>
      </c>
      <c r="P90" s="2053" t="s">
        <v>7580</v>
      </c>
      <c r="Q90" s="2059" t="s">
        <v>7581</v>
      </c>
      <c r="R90" s="2053" t="s">
        <v>7582</v>
      </c>
      <c r="S90" s="2045" t="s">
        <v>7562</v>
      </c>
      <c r="T90" s="1458"/>
    </row>
    <row r="91" spans="1:20" s="1030" customFormat="1" ht="24">
      <c r="A91" s="1530"/>
      <c r="B91" s="2061" t="s">
        <v>890</v>
      </c>
      <c r="C91" s="2051" t="s">
        <v>7605</v>
      </c>
      <c r="D91" s="2051" t="s">
        <v>7592</v>
      </c>
      <c r="E91" s="2052">
        <v>101</v>
      </c>
      <c r="F91" s="2053"/>
      <c r="G91" s="2053"/>
      <c r="H91" s="2054" t="s">
        <v>7040</v>
      </c>
      <c r="I91" s="2053"/>
      <c r="J91" s="2055" t="s">
        <v>7578</v>
      </c>
      <c r="K91" s="2053"/>
      <c r="L91" s="2053">
        <v>86674.16</v>
      </c>
      <c r="M91" s="2056">
        <v>61157.287295999995</v>
      </c>
      <c r="N91" s="2057">
        <v>43497</v>
      </c>
      <c r="O91" s="2058" t="s">
        <v>7579</v>
      </c>
      <c r="P91" s="2053" t="s">
        <v>7580</v>
      </c>
      <c r="Q91" s="2059" t="s">
        <v>7581</v>
      </c>
      <c r="R91" s="2053" t="s">
        <v>7582</v>
      </c>
      <c r="S91" s="2045" t="s">
        <v>7562</v>
      </c>
      <c r="T91" s="1458"/>
    </row>
    <row r="92" spans="1:20" s="1030" customFormat="1" ht="24">
      <c r="A92" s="1530"/>
      <c r="B92" s="2061" t="s">
        <v>890</v>
      </c>
      <c r="C92" s="2051" t="s">
        <v>7605</v>
      </c>
      <c r="D92" s="2051" t="s">
        <v>7592</v>
      </c>
      <c r="E92" s="2052">
        <v>156</v>
      </c>
      <c r="F92" s="2053"/>
      <c r="G92" s="2053"/>
      <c r="H92" s="2054" t="s">
        <v>7595</v>
      </c>
      <c r="I92" s="2053"/>
      <c r="J92" s="2055" t="s">
        <v>7578</v>
      </c>
      <c r="K92" s="2053"/>
      <c r="L92" s="2053">
        <v>180122.28000000003</v>
      </c>
      <c r="M92" s="2056">
        <v>127094.28076800003</v>
      </c>
      <c r="N92" s="2057">
        <v>43556</v>
      </c>
      <c r="O92" s="2058" t="s">
        <v>7579</v>
      </c>
      <c r="P92" s="2053" t="s">
        <v>7580</v>
      </c>
      <c r="Q92" s="2059" t="s">
        <v>7581</v>
      </c>
      <c r="R92" s="2053" t="s">
        <v>7582</v>
      </c>
      <c r="S92" s="2045" t="s">
        <v>7562</v>
      </c>
      <c r="T92" s="1458"/>
    </row>
    <row r="93" spans="1:20" s="1030" customFormat="1" ht="24">
      <c r="A93" s="1530"/>
      <c r="B93" s="2061" t="s">
        <v>890</v>
      </c>
      <c r="C93" s="2051" t="s">
        <v>7605</v>
      </c>
      <c r="D93" s="2051" t="s">
        <v>7592</v>
      </c>
      <c r="E93" s="2052">
        <v>362</v>
      </c>
      <c r="F93" s="2053"/>
      <c r="G93" s="2053"/>
      <c r="H93" s="2054" t="s">
        <v>7595</v>
      </c>
      <c r="I93" s="2053"/>
      <c r="J93" s="2055" t="s">
        <v>7578</v>
      </c>
      <c r="K93" s="2053"/>
      <c r="L93" s="2053">
        <v>54166.06</v>
      </c>
      <c r="M93" s="2056">
        <v>39649.555919999999</v>
      </c>
      <c r="N93" s="2057">
        <v>43647</v>
      </c>
      <c r="O93" s="2058" t="s">
        <v>7579</v>
      </c>
      <c r="P93" s="2053" t="s">
        <v>7580</v>
      </c>
      <c r="Q93" s="2059" t="s">
        <v>7581</v>
      </c>
      <c r="R93" s="2053" t="s">
        <v>7582</v>
      </c>
      <c r="S93" s="2045" t="s">
        <v>7562</v>
      </c>
      <c r="T93" s="1458"/>
    </row>
    <row r="94" spans="1:20" s="1030" customFormat="1" ht="24">
      <c r="A94" s="1530"/>
      <c r="B94" s="2061" t="s">
        <v>890</v>
      </c>
      <c r="C94" s="2051" t="s">
        <v>7605</v>
      </c>
      <c r="D94" s="2051" t="s">
        <v>7606</v>
      </c>
      <c r="E94" s="2052">
        <v>47.43</v>
      </c>
      <c r="F94" s="2053"/>
      <c r="G94" s="2053"/>
      <c r="H94" s="2054" t="s">
        <v>7595</v>
      </c>
      <c r="I94" s="2053"/>
      <c r="J94" s="2055" t="s">
        <v>7578</v>
      </c>
      <c r="K94" s="2055"/>
      <c r="L94" s="2056">
        <v>227664</v>
      </c>
      <c r="M94" s="2056">
        <v>188050.46400000001</v>
      </c>
      <c r="N94" s="2057">
        <v>44075</v>
      </c>
      <c r="O94" s="2058" t="s">
        <v>7579</v>
      </c>
      <c r="P94" s="2053" t="s">
        <v>7580</v>
      </c>
      <c r="Q94" s="2059" t="s">
        <v>7581</v>
      </c>
      <c r="R94" s="2053" t="s">
        <v>7607</v>
      </c>
      <c r="S94" s="2045" t="s">
        <v>7562</v>
      </c>
      <c r="T94" s="1458"/>
    </row>
    <row r="95" spans="1:20" s="1030" customFormat="1" ht="48">
      <c r="A95" s="1530"/>
      <c r="B95" s="2053" t="s">
        <v>890</v>
      </c>
      <c r="C95" s="2053">
        <v>60</v>
      </c>
      <c r="D95" s="2053" t="s">
        <v>62</v>
      </c>
      <c r="E95" s="2053">
        <v>21.21</v>
      </c>
      <c r="F95" s="2053">
        <v>21.21</v>
      </c>
      <c r="G95" s="2053" t="s">
        <v>32</v>
      </c>
      <c r="H95" s="2053" t="s">
        <v>41</v>
      </c>
      <c r="I95" s="2053"/>
      <c r="J95" s="2053"/>
      <c r="K95" s="2041" t="s">
        <v>7608</v>
      </c>
      <c r="L95" s="2047">
        <v>88686.86</v>
      </c>
      <c r="M95" s="2047">
        <v>72445.100000000006</v>
      </c>
      <c r="N95" s="2047">
        <v>2019.8</v>
      </c>
      <c r="O95" s="2041" t="s">
        <v>7609</v>
      </c>
      <c r="P95" s="2041" t="s">
        <v>7610</v>
      </c>
      <c r="Q95" s="2041">
        <v>18601341823</v>
      </c>
      <c r="R95" s="2041" t="s">
        <v>7608</v>
      </c>
      <c r="S95" s="2045" t="s">
        <v>7562</v>
      </c>
      <c r="T95" s="1458"/>
    </row>
    <row r="96" spans="1:20" s="1030" customFormat="1" ht="48">
      <c r="A96" s="1530"/>
      <c r="B96" s="2053" t="s">
        <v>890</v>
      </c>
      <c r="C96" s="2093">
        <v>43</v>
      </c>
      <c r="D96" s="2093" t="s">
        <v>62</v>
      </c>
      <c r="E96" s="2093">
        <v>32.61</v>
      </c>
      <c r="F96" s="2093">
        <v>32.61</v>
      </c>
      <c r="G96" s="2053" t="s">
        <v>32</v>
      </c>
      <c r="H96" s="2053" t="s">
        <v>41</v>
      </c>
      <c r="I96" s="2093"/>
      <c r="J96" s="2093"/>
      <c r="K96" s="2041" t="s">
        <v>7608</v>
      </c>
      <c r="L96" s="2047">
        <v>138834.65346534699</v>
      </c>
      <c r="M96" s="2047">
        <v>130053.364356659</v>
      </c>
      <c r="N96" s="2047">
        <v>2020.6</v>
      </c>
      <c r="O96" s="2041" t="s">
        <v>7609</v>
      </c>
      <c r="P96" s="2041" t="s">
        <v>7610</v>
      </c>
      <c r="Q96" s="2041">
        <v>18601341823</v>
      </c>
      <c r="R96" s="2041" t="s">
        <v>7608</v>
      </c>
      <c r="S96" s="2045" t="s">
        <v>7562</v>
      </c>
      <c r="T96" s="1458"/>
    </row>
    <row r="97" spans="1:20" s="1030" customFormat="1" ht="48">
      <c r="A97" s="1530"/>
      <c r="B97" s="2065" t="s">
        <v>890</v>
      </c>
      <c r="C97" s="2065"/>
      <c r="D97" s="2065" t="s">
        <v>62</v>
      </c>
      <c r="E97" s="2065"/>
      <c r="F97" s="2065">
        <v>3.54</v>
      </c>
      <c r="G97" s="2065" t="s">
        <v>32</v>
      </c>
      <c r="H97" s="2065" t="s">
        <v>33</v>
      </c>
      <c r="I97" s="2065"/>
      <c r="J97" s="1313"/>
      <c r="K97" s="1313" t="s">
        <v>7611</v>
      </c>
      <c r="L97" s="1313">
        <v>13414.44</v>
      </c>
      <c r="M97" s="1313">
        <v>6817.29</v>
      </c>
      <c r="N97" s="1313"/>
      <c r="O97" s="2043" t="s">
        <v>7612</v>
      </c>
      <c r="P97" s="2094" t="s">
        <v>7613</v>
      </c>
      <c r="Q97" s="2094">
        <v>13240207999</v>
      </c>
      <c r="R97" s="2043" t="s">
        <v>7614</v>
      </c>
      <c r="S97" s="2045" t="s">
        <v>7562</v>
      </c>
      <c r="T97" s="1458"/>
    </row>
    <row r="98" spans="1:20" s="1030" customFormat="1">
      <c r="A98" s="1530"/>
      <c r="B98" s="2053" t="s">
        <v>890</v>
      </c>
      <c r="C98" s="2053" t="s">
        <v>7615</v>
      </c>
      <c r="D98" s="2053" t="s">
        <v>464</v>
      </c>
      <c r="E98" s="2053">
        <v>830</v>
      </c>
      <c r="F98" s="2053"/>
      <c r="G98" s="2053" t="s">
        <v>32</v>
      </c>
      <c r="H98" s="2053" t="s">
        <v>6008</v>
      </c>
      <c r="I98" s="2053"/>
      <c r="J98" s="2053"/>
      <c r="K98" s="2053" t="s">
        <v>7616</v>
      </c>
      <c r="L98" s="2053">
        <v>689987.3</v>
      </c>
      <c r="M98" s="2053">
        <v>508142.6</v>
      </c>
      <c r="N98" s="2053" t="s">
        <v>34</v>
      </c>
      <c r="O98" s="2053" t="s">
        <v>4459</v>
      </c>
      <c r="P98" s="2053" t="s">
        <v>7617</v>
      </c>
      <c r="Q98" s="2053">
        <v>15393142502</v>
      </c>
      <c r="R98" s="2053" t="s">
        <v>7618</v>
      </c>
      <c r="S98" s="2045" t="s">
        <v>7562</v>
      </c>
      <c r="T98" s="1458"/>
    </row>
    <row r="99" spans="1:20" s="1030" customFormat="1">
      <c r="A99" s="1530"/>
      <c r="B99" s="2053" t="s">
        <v>7619</v>
      </c>
      <c r="C99" s="2053" t="s">
        <v>3510</v>
      </c>
      <c r="D99" s="2053" t="s">
        <v>131</v>
      </c>
      <c r="E99" s="2053">
        <v>179</v>
      </c>
      <c r="F99" s="2053"/>
      <c r="G99" s="2053" t="s">
        <v>32</v>
      </c>
      <c r="H99" s="2053" t="s">
        <v>6008</v>
      </c>
      <c r="I99" s="2053"/>
      <c r="J99" s="2053"/>
      <c r="K99" s="2053" t="s">
        <v>7616</v>
      </c>
      <c r="L99" s="2053">
        <v>24344</v>
      </c>
      <c r="M99" s="2053">
        <v>16639.84</v>
      </c>
      <c r="N99" s="2053" t="s">
        <v>34</v>
      </c>
      <c r="O99" s="2053" t="s">
        <v>4459</v>
      </c>
      <c r="P99" s="2053" t="s">
        <v>7617</v>
      </c>
      <c r="Q99" s="2053">
        <v>15393142502</v>
      </c>
      <c r="R99" s="2053" t="s">
        <v>7618</v>
      </c>
      <c r="S99" s="2045" t="s">
        <v>7562</v>
      </c>
      <c r="T99" s="1458"/>
    </row>
    <row r="100" spans="1:20" s="1030" customFormat="1">
      <c r="A100" s="1530"/>
      <c r="B100" s="2053" t="s">
        <v>890</v>
      </c>
      <c r="C100" s="2053" t="s">
        <v>7620</v>
      </c>
      <c r="D100" s="2053" t="s">
        <v>464</v>
      </c>
      <c r="E100" s="2053">
        <v>178</v>
      </c>
      <c r="F100" s="2053"/>
      <c r="G100" s="2053" t="s">
        <v>32</v>
      </c>
      <c r="H100" s="2053" t="s">
        <v>6008</v>
      </c>
      <c r="I100" s="2053"/>
      <c r="J100" s="2053"/>
      <c r="K100" s="2053" t="s">
        <v>7616</v>
      </c>
      <c r="L100" s="2053">
        <v>73987.48</v>
      </c>
      <c r="M100" s="2053">
        <v>54487.58</v>
      </c>
      <c r="N100" s="2053" t="s">
        <v>34</v>
      </c>
      <c r="O100" s="2053" t="s">
        <v>4459</v>
      </c>
      <c r="P100" s="2053" t="s">
        <v>7617</v>
      </c>
      <c r="Q100" s="2053">
        <v>15393142502</v>
      </c>
      <c r="R100" s="2053" t="s">
        <v>7618</v>
      </c>
      <c r="S100" s="2045" t="s">
        <v>7621</v>
      </c>
      <c r="T100" s="1458"/>
    </row>
    <row r="101" spans="1:20" s="1030" customFormat="1">
      <c r="A101" s="1530"/>
      <c r="B101" s="2053" t="s">
        <v>890</v>
      </c>
      <c r="C101" s="2053" t="s">
        <v>7615</v>
      </c>
      <c r="D101" s="2053" t="s">
        <v>464</v>
      </c>
      <c r="E101" s="2053">
        <v>672</v>
      </c>
      <c r="F101" s="2053"/>
      <c r="G101" s="2053" t="s">
        <v>32</v>
      </c>
      <c r="H101" s="2053" t="s">
        <v>6008</v>
      </c>
      <c r="I101" s="2053"/>
      <c r="J101" s="2053"/>
      <c r="K101" s="2053" t="s">
        <v>7616</v>
      </c>
      <c r="L101" s="2053">
        <v>558640.31999999995</v>
      </c>
      <c r="M101" s="2053">
        <v>411411.84</v>
      </c>
      <c r="N101" s="2053" t="s">
        <v>34</v>
      </c>
      <c r="O101" s="2053" t="s">
        <v>4459</v>
      </c>
      <c r="P101" s="2053" t="s">
        <v>7617</v>
      </c>
      <c r="Q101" s="2053">
        <v>15393142502</v>
      </c>
      <c r="R101" s="2053" t="s">
        <v>7618</v>
      </c>
      <c r="S101" s="2045" t="s">
        <v>7621</v>
      </c>
      <c r="T101" s="1458"/>
    </row>
    <row r="102" spans="1:20" s="1030" customFormat="1">
      <c r="A102" s="1530"/>
      <c r="B102" s="2053" t="s">
        <v>7619</v>
      </c>
      <c r="C102" s="2053" t="s">
        <v>3510</v>
      </c>
      <c r="D102" s="2053" t="s">
        <v>131</v>
      </c>
      <c r="E102" s="2053">
        <v>1433</v>
      </c>
      <c r="F102" s="2053"/>
      <c r="G102" s="2053" t="s">
        <v>32</v>
      </c>
      <c r="H102" s="2053" t="s">
        <v>6008</v>
      </c>
      <c r="I102" s="2053"/>
      <c r="J102" s="2053"/>
      <c r="K102" s="2053" t="s">
        <v>7616</v>
      </c>
      <c r="L102" s="2053">
        <v>194888</v>
      </c>
      <c r="M102" s="2053">
        <v>133211.68</v>
      </c>
      <c r="N102" s="2053" t="s">
        <v>34</v>
      </c>
      <c r="O102" s="2053" t="s">
        <v>4459</v>
      </c>
      <c r="P102" s="2053" t="s">
        <v>7617</v>
      </c>
      <c r="Q102" s="2053">
        <v>15393142502</v>
      </c>
      <c r="R102" s="2053" t="s">
        <v>7618</v>
      </c>
      <c r="S102" s="2045" t="s">
        <v>7621</v>
      </c>
      <c r="T102" s="1458"/>
    </row>
    <row r="103" spans="1:20" s="1030" customFormat="1">
      <c r="A103" s="1530"/>
      <c r="B103" s="2053" t="s">
        <v>890</v>
      </c>
      <c r="C103" s="2053" t="s">
        <v>7615</v>
      </c>
      <c r="D103" s="2053" t="s">
        <v>464</v>
      </c>
      <c r="E103" s="2053">
        <v>110</v>
      </c>
      <c r="F103" s="2053"/>
      <c r="G103" s="2053" t="s">
        <v>32</v>
      </c>
      <c r="H103" s="2053" t="s">
        <v>6008</v>
      </c>
      <c r="I103" s="2053"/>
      <c r="J103" s="2053"/>
      <c r="K103" s="2053" t="s">
        <v>7616</v>
      </c>
      <c r="L103" s="2053" t="s">
        <v>34</v>
      </c>
      <c r="M103" s="2053" t="s">
        <v>34</v>
      </c>
      <c r="N103" s="2053" t="s">
        <v>34</v>
      </c>
      <c r="O103" s="2053" t="s">
        <v>4459</v>
      </c>
      <c r="P103" s="2053" t="s">
        <v>7617</v>
      </c>
      <c r="Q103" s="2053">
        <v>15393142502</v>
      </c>
      <c r="R103" s="2053" t="s">
        <v>7618</v>
      </c>
      <c r="S103" s="2045" t="s">
        <v>7562</v>
      </c>
      <c r="T103" s="1458"/>
    </row>
    <row r="104" spans="1:20" s="1030" customFormat="1">
      <c r="A104" s="1530"/>
      <c r="B104" s="2053" t="s">
        <v>890</v>
      </c>
      <c r="C104" s="2053" t="s">
        <v>7615</v>
      </c>
      <c r="D104" s="2053" t="s">
        <v>464</v>
      </c>
      <c r="E104" s="2053">
        <v>93</v>
      </c>
      <c r="F104" s="2053"/>
      <c r="G104" s="2053" t="s">
        <v>32</v>
      </c>
      <c r="H104" s="2053" t="s">
        <v>6008</v>
      </c>
      <c r="I104" s="2053"/>
      <c r="J104" s="2053"/>
      <c r="K104" s="2053" t="s">
        <v>7616</v>
      </c>
      <c r="L104" s="2053">
        <v>13548.24</v>
      </c>
      <c r="M104" s="2053">
        <v>11447.37</v>
      </c>
      <c r="N104" s="2053" t="s">
        <v>34</v>
      </c>
      <c r="O104" s="2053" t="s">
        <v>4459</v>
      </c>
      <c r="P104" s="2053" t="s">
        <v>7617</v>
      </c>
      <c r="Q104" s="2053">
        <v>15393142502</v>
      </c>
      <c r="R104" s="2053" t="s">
        <v>7618</v>
      </c>
      <c r="S104" s="2045" t="s">
        <v>7562</v>
      </c>
      <c r="T104" s="1458"/>
    </row>
    <row r="105" spans="1:20" s="1030" customFormat="1">
      <c r="A105" s="1530"/>
      <c r="B105" s="2053" t="s">
        <v>890</v>
      </c>
      <c r="C105" s="2053" t="s">
        <v>7615</v>
      </c>
      <c r="D105" s="2053" t="s">
        <v>464</v>
      </c>
      <c r="E105" s="2053">
        <v>85</v>
      </c>
      <c r="F105" s="2053"/>
      <c r="G105" s="2053" t="s">
        <v>32</v>
      </c>
      <c r="H105" s="2053" t="s">
        <v>6008</v>
      </c>
      <c r="I105" s="2053"/>
      <c r="J105" s="2053"/>
      <c r="K105" s="2053" t="s">
        <v>7622</v>
      </c>
      <c r="L105" s="2053" t="s">
        <v>34</v>
      </c>
      <c r="M105" s="2053" t="s">
        <v>34</v>
      </c>
      <c r="N105" s="2053" t="s">
        <v>34</v>
      </c>
      <c r="O105" s="2053" t="s">
        <v>4459</v>
      </c>
      <c r="P105" s="2053" t="s">
        <v>7617</v>
      </c>
      <c r="Q105" s="2053">
        <v>15393142502</v>
      </c>
      <c r="R105" s="2053" t="s">
        <v>7618</v>
      </c>
      <c r="S105" s="2045" t="s">
        <v>7562</v>
      </c>
      <c r="T105" s="1458"/>
    </row>
    <row r="106" spans="1:20" s="1030" customFormat="1">
      <c r="A106" s="1530"/>
      <c r="B106" s="2053" t="s">
        <v>890</v>
      </c>
      <c r="C106" s="2053" t="s">
        <v>7615</v>
      </c>
      <c r="D106" s="2053" t="s">
        <v>464</v>
      </c>
      <c r="E106" s="2053">
        <v>92</v>
      </c>
      <c r="F106" s="2053"/>
      <c r="G106" s="2053" t="s">
        <v>32</v>
      </c>
      <c r="H106" s="2053" t="s">
        <v>6008</v>
      </c>
      <c r="I106" s="2053"/>
      <c r="J106" s="2053"/>
      <c r="K106" s="2053" t="s">
        <v>7622</v>
      </c>
      <c r="L106" s="2053" t="s">
        <v>34</v>
      </c>
      <c r="M106" s="2053" t="s">
        <v>34</v>
      </c>
      <c r="N106" s="2053" t="s">
        <v>34</v>
      </c>
      <c r="O106" s="2053" t="s">
        <v>4459</v>
      </c>
      <c r="P106" s="2053" t="s">
        <v>7617</v>
      </c>
      <c r="Q106" s="2053">
        <v>15393142502</v>
      </c>
      <c r="R106" s="2053" t="s">
        <v>7618</v>
      </c>
      <c r="S106" s="2045" t="s">
        <v>7562</v>
      </c>
      <c r="T106" s="1458"/>
    </row>
    <row r="107" spans="1:20" s="1030" customFormat="1">
      <c r="A107" s="1530"/>
      <c r="B107" s="2053" t="s">
        <v>7619</v>
      </c>
      <c r="C107" s="2053" t="s">
        <v>3510</v>
      </c>
      <c r="D107" s="2053" t="s">
        <v>131</v>
      </c>
      <c r="E107" s="2053">
        <v>105</v>
      </c>
      <c r="F107" s="2053"/>
      <c r="G107" s="2053" t="s">
        <v>32</v>
      </c>
      <c r="H107" s="2053" t="s">
        <v>6008</v>
      </c>
      <c r="I107" s="2053"/>
      <c r="J107" s="2053"/>
      <c r="K107" s="2053" t="s">
        <v>7622</v>
      </c>
      <c r="L107" s="2053" t="s">
        <v>34</v>
      </c>
      <c r="M107" s="2053" t="s">
        <v>34</v>
      </c>
      <c r="N107" s="2053" t="s">
        <v>34</v>
      </c>
      <c r="O107" s="2053" t="s">
        <v>4459</v>
      </c>
      <c r="P107" s="2053" t="s">
        <v>7617</v>
      </c>
      <c r="Q107" s="2053">
        <v>15393142502</v>
      </c>
      <c r="R107" s="2053" t="s">
        <v>7618</v>
      </c>
      <c r="S107" s="2045" t="s">
        <v>7562</v>
      </c>
      <c r="T107" s="1458"/>
    </row>
    <row r="108" spans="1:20" s="1030" customFormat="1">
      <c r="A108" s="1530"/>
      <c r="B108" s="2053" t="s">
        <v>7619</v>
      </c>
      <c r="C108" s="2053" t="s">
        <v>3510</v>
      </c>
      <c r="D108" s="2053" t="s">
        <v>131</v>
      </c>
      <c r="E108" s="2053">
        <v>436</v>
      </c>
      <c r="F108" s="2053"/>
      <c r="G108" s="2053" t="s">
        <v>32</v>
      </c>
      <c r="H108" s="2053" t="s">
        <v>6008</v>
      </c>
      <c r="I108" s="2053"/>
      <c r="J108" s="2053"/>
      <c r="K108" s="2053" t="s">
        <v>7622</v>
      </c>
      <c r="L108" s="2053" t="s">
        <v>34</v>
      </c>
      <c r="M108" s="2053" t="s">
        <v>34</v>
      </c>
      <c r="N108" s="2053" t="s">
        <v>34</v>
      </c>
      <c r="O108" s="2053" t="s">
        <v>4459</v>
      </c>
      <c r="P108" s="2053" t="s">
        <v>7617</v>
      </c>
      <c r="Q108" s="2053">
        <v>15393142502</v>
      </c>
      <c r="R108" s="2053" t="s">
        <v>7618</v>
      </c>
      <c r="S108" s="2045" t="s">
        <v>7562</v>
      </c>
      <c r="T108" s="1458"/>
    </row>
    <row r="109" spans="1:20" s="1030" customFormat="1">
      <c r="A109" s="1530"/>
      <c r="B109" s="2053" t="s">
        <v>7619</v>
      </c>
      <c r="C109" s="2053" t="s">
        <v>3510</v>
      </c>
      <c r="D109" s="2053" t="s">
        <v>131</v>
      </c>
      <c r="E109" s="2053">
        <v>132</v>
      </c>
      <c r="F109" s="2053"/>
      <c r="G109" s="2053" t="s">
        <v>32</v>
      </c>
      <c r="H109" s="2053" t="s">
        <v>6008</v>
      </c>
      <c r="I109" s="2053"/>
      <c r="J109" s="2053"/>
      <c r="K109" s="2053" t="s">
        <v>7622</v>
      </c>
      <c r="L109" s="2053" t="s">
        <v>34</v>
      </c>
      <c r="M109" s="2053" t="s">
        <v>34</v>
      </c>
      <c r="N109" s="2053" t="s">
        <v>34</v>
      </c>
      <c r="O109" s="2053" t="s">
        <v>4459</v>
      </c>
      <c r="P109" s="2053" t="s">
        <v>7617</v>
      </c>
      <c r="Q109" s="2053">
        <v>15393142502</v>
      </c>
      <c r="R109" s="2053" t="s">
        <v>7618</v>
      </c>
      <c r="S109" s="2045" t="s">
        <v>7562</v>
      </c>
      <c r="T109" s="1458"/>
    </row>
    <row r="110" spans="1:20" s="1030" customFormat="1">
      <c r="A110" s="1530"/>
      <c r="B110" s="2053" t="s">
        <v>890</v>
      </c>
      <c r="C110" s="2053" t="s">
        <v>7623</v>
      </c>
      <c r="D110" s="2053" t="s">
        <v>464</v>
      </c>
      <c r="E110" s="2053">
        <v>133</v>
      </c>
      <c r="F110" s="2053"/>
      <c r="G110" s="2053" t="s">
        <v>32</v>
      </c>
      <c r="H110" s="2053" t="s">
        <v>6008</v>
      </c>
      <c r="I110" s="2053"/>
      <c r="J110" s="2053"/>
      <c r="K110" s="2053" t="s">
        <v>7622</v>
      </c>
      <c r="L110" s="2056">
        <v>159157.425742575</v>
      </c>
      <c r="M110" s="2056">
        <v>139952.697272277</v>
      </c>
      <c r="N110" s="2053">
        <v>2021.5</v>
      </c>
      <c r="O110" s="2053" t="s">
        <v>4459</v>
      </c>
      <c r="P110" s="2053" t="s">
        <v>7617</v>
      </c>
      <c r="Q110" s="2053">
        <v>15393142502</v>
      </c>
      <c r="R110" s="2053" t="s">
        <v>7618</v>
      </c>
      <c r="S110" s="2045" t="s">
        <v>7562</v>
      </c>
      <c r="T110" s="1458"/>
    </row>
    <row r="111" spans="1:20" s="1030" customFormat="1">
      <c r="A111" s="1530"/>
      <c r="B111" s="2053" t="s">
        <v>890</v>
      </c>
      <c r="C111" s="2053" t="s">
        <v>7623</v>
      </c>
      <c r="D111" s="2053" t="s">
        <v>464</v>
      </c>
      <c r="E111" s="2053">
        <v>49</v>
      </c>
      <c r="F111" s="2053"/>
      <c r="G111" s="2053" t="s">
        <v>32</v>
      </c>
      <c r="H111" s="2053" t="s">
        <v>6008</v>
      </c>
      <c r="I111" s="2053"/>
      <c r="J111" s="2053"/>
      <c r="K111" s="2053" t="s">
        <v>7622</v>
      </c>
      <c r="L111" s="2056">
        <v>58703.324420033197</v>
      </c>
      <c r="M111" s="2056">
        <v>50663.8917286984</v>
      </c>
      <c r="N111" s="2053">
        <v>2021.5</v>
      </c>
      <c r="O111" s="2053" t="s">
        <v>4459</v>
      </c>
      <c r="P111" s="2053" t="s">
        <v>7617</v>
      </c>
      <c r="Q111" s="2053">
        <v>15393142502</v>
      </c>
      <c r="R111" s="2053" t="s">
        <v>7618</v>
      </c>
      <c r="S111" s="2045" t="s">
        <v>7562</v>
      </c>
      <c r="T111" s="1458"/>
    </row>
    <row r="112" spans="1:20" s="1030" customFormat="1" ht="48">
      <c r="A112" s="1530"/>
      <c r="B112" s="2061" t="s">
        <v>890</v>
      </c>
      <c r="C112" s="2061" t="s">
        <v>4432</v>
      </c>
      <c r="D112" s="2061" t="s">
        <v>62</v>
      </c>
      <c r="E112" s="2061">
        <v>8.33</v>
      </c>
      <c r="F112" s="2061"/>
      <c r="G112" s="2095" t="s">
        <v>32</v>
      </c>
      <c r="H112" s="2080" t="s">
        <v>33</v>
      </c>
      <c r="I112" s="2061"/>
      <c r="J112" s="2061"/>
      <c r="K112" s="2061" t="s">
        <v>7624</v>
      </c>
      <c r="L112" s="2061">
        <v>38028.870000000003</v>
      </c>
      <c r="M112" s="2061">
        <v>22817.322</v>
      </c>
      <c r="N112" s="2080">
        <v>2022.1</v>
      </c>
      <c r="O112" s="2095" t="s">
        <v>7625</v>
      </c>
      <c r="P112" s="2095" t="s">
        <v>7626</v>
      </c>
      <c r="Q112" s="2096">
        <v>18600741779</v>
      </c>
      <c r="R112" s="2080" t="s">
        <v>7627</v>
      </c>
      <c r="S112" s="2045" t="s">
        <v>7562</v>
      </c>
      <c r="T112" s="1458"/>
    </row>
    <row r="113" spans="1:20" s="1030" customFormat="1" ht="48">
      <c r="A113" s="1530"/>
      <c r="B113" s="2061" t="s">
        <v>890</v>
      </c>
      <c r="C113" s="2061" t="s">
        <v>4432</v>
      </c>
      <c r="D113" s="2061" t="s">
        <v>62</v>
      </c>
      <c r="E113" s="2061">
        <v>13.08</v>
      </c>
      <c r="F113" s="2061"/>
      <c r="G113" s="2095" t="s">
        <v>32</v>
      </c>
      <c r="H113" s="2080" t="s">
        <v>33</v>
      </c>
      <c r="I113" s="2061"/>
      <c r="J113" s="2061"/>
      <c r="K113" s="2061" t="s">
        <v>7624</v>
      </c>
      <c r="L113" s="2061">
        <v>59713.99</v>
      </c>
      <c r="M113" s="2061">
        <v>35828.394</v>
      </c>
      <c r="N113" s="2080">
        <v>2022.1</v>
      </c>
      <c r="O113" s="2095" t="s">
        <v>7625</v>
      </c>
      <c r="P113" s="2095" t="s">
        <v>7626</v>
      </c>
      <c r="Q113" s="2096">
        <v>18600741779</v>
      </c>
      <c r="R113" s="2080" t="s">
        <v>7627</v>
      </c>
      <c r="S113" s="2045" t="s">
        <v>7562</v>
      </c>
      <c r="T113" s="1458"/>
    </row>
    <row r="114" spans="1:20" s="1030" customFormat="1" ht="36">
      <c r="A114" s="1530"/>
      <c r="B114" s="2061" t="s">
        <v>890</v>
      </c>
      <c r="C114" s="2061" t="s">
        <v>4432</v>
      </c>
      <c r="D114" s="2061" t="s">
        <v>62</v>
      </c>
      <c r="E114" s="2061">
        <v>20.43</v>
      </c>
      <c r="F114" s="2061"/>
      <c r="G114" s="2095" t="s">
        <v>32</v>
      </c>
      <c r="H114" s="2080" t="s">
        <v>33</v>
      </c>
      <c r="I114" s="2061"/>
      <c r="J114" s="2061"/>
      <c r="K114" s="2061" t="s">
        <v>7624</v>
      </c>
      <c r="L114" s="2061">
        <v>74996.52</v>
      </c>
      <c r="M114" s="2061">
        <v>44997.911999999997</v>
      </c>
      <c r="N114" s="2080">
        <v>2022.1</v>
      </c>
      <c r="O114" s="2097" t="s">
        <v>7628</v>
      </c>
      <c r="P114" s="2097" t="s">
        <v>7626</v>
      </c>
      <c r="Q114" s="2098">
        <v>18600741779</v>
      </c>
      <c r="R114" s="2099" t="s">
        <v>7627</v>
      </c>
      <c r="S114" s="2045" t="s">
        <v>7562</v>
      </c>
      <c r="T114" s="1458"/>
    </row>
    <row r="115" spans="1:20" s="1030" customFormat="1" ht="36">
      <c r="A115" s="1530"/>
      <c r="B115" s="2061" t="s">
        <v>890</v>
      </c>
      <c r="C115" s="2061" t="s">
        <v>4432</v>
      </c>
      <c r="D115" s="2061" t="s">
        <v>62</v>
      </c>
      <c r="E115" s="2061">
        <v>5.38</v>
      </c>
      <c r="F115" s="2061"/>
      <c r="G115" s="2095" t="s">
        <v>32</v>
      </c>
      <c r="H115" s="2080" t="s">
        <v>33</v>
      </c>
      <c r="I115" s="2061"/>
      <c r="J115" s="2061"/>
      <c r="K115" s="2061" t="s">
        <v>7624</v>
      </c>
      <c r="L115" s="2061">
        <v>9867.9629999999997</v>
      </c>
      <c r="M115" s="2061">
        <v>5920.7777999999998</v>
      </c>
      <c r="N115" s="2080">
        <v>2022.1</v>
      </c>
      <c r="O115" s="2097" t="s">
        <v>7628</v>
      </c>
      <c r="P115" s="2097" t="s">
        <v>7626</v>
      </c>
      <c r="Q115" s="2098">
        <v>18600741779</v>
      </c>
      <c r="R115" s="2099" t="s">
        <v>7627</v>
      </c>
      <c r="S115" s="2045" t="s">
        <v>7562</v>
      </c>
      <c r="T115" s="1458"/>
    </row>
    <row r="116" spans="1:20" s="1030" customFormat="1" ht="36">
      <c r="A116" s="1530"/>
      <c r="B116" s="2061" t="s">
        <v>890</v>
      </c>
      <c r="C116" s="2061" t="s">
        <v>4432</v>
      </c>
      <c r="D116" s="2061" t="s">
        <v>62</v>
      </c>
      <c r="E116" s="2061">
        <v>31.18</v>
      </c>
      <c r="F116" s="2061"/>
      <c r="G116" s="2095" t="s">
        <v>32</v>
      </c>
      <c r="H116" s="2080" t="s">
        <v>33</v>
      </c>
      <c r="I116" s="2061"/>
      <c r="J116" s="2061"/>
      <c r="K116" s="2061" t="s">
        <v>7624</v>
      </c>
      <c r="L116" s="2061">
        <v>117815</v>
      </c>
      <c r="M116" s="2061">
        <v>70689</v>
      </c>
      <c r="N116" s="2080">
        <v>2022.1</v>
      </c>
      <c r="O116" s="2097" t="s">
        <v>7628</v>
      </c>
      <c r="P116" s="2097" t="s">
        <v>7626</v>
      </c>
      <c r="Q116" s="2098">
        <v>18600741779</v>
      </c>
      <c r="R116" s="2099" t="s">
        <v>7627</v>
      </c>
      <c r="S116" s="2045" t="s">
        <v>7562</v>
      </c>
      <c r="T116" s="1458"/>
    </row>
    <row r="117" spans="1:20" s="1030" customFormat="1" ht="36">
      <c r="A117" s="1530"/>
      <c r="B117" s="2061" t="s">
        <v>890</v>
      </c>
      <c r="C117" s="2061" t="s">
        <v>4432</v>
      </c>
      <c r="D117" s="2061" t="s">
        <v>62</v>
      </c>
      <c r="E117" s="2061">
        <v>10.75</v>
      </c>
      <c r="F117" s="2061"/>
      <c r="G117" s="2095" t="s">
        <v>32</v>
      </c>
      <c r="H117" s="2080" t="s">
        <v>33</v>
      </c>
      <c r="I117" s="2061"/>
      <c r="J117" s="2061"/>
      <c r="K117" s="2061" t="s">
        <v>7624</v>
      </c>
      <c r="L117" s="2061">
        <v>41445.440000000002</v>
      </c>
      <c r="M117" s="2061">
        <v>24867.263999999999</v>
      </c>
      <c r="N117" s="2080">
        <v>2022.1</v>
      </c>
      <c r="O117" s="2097" t="s">
        <v>7628</v>
      </c>
      <c r="P117" s="2097" t="s">
        <v>7626</v>
      </c>
      <c r="Q117" s="2098">
        <v>18600741779</v>
      </c>
      <c r="R117" s="2099" t="s">
        <v>7627</v>
      </c>
      <c r="S117" s="2045" t="s">
        <v>7562</v>
      </c>
      <c r="T117" s="1458"/>
    </row>
    <row r="118" spans="1:20" s="1030" customFormat="1" ht="20.100000000000001" customHeight="1">
      <c r="A118" s="1530"/>
      <c r="B118" s="2061" t="s">
        <v>890</v>
      </c>
      <c r="C118" s="2061" t="s">
        <v>4432</v>
      </c>
      <c r="D118" s="2061" t="s">
        <v>62</v>
      </c>
      <c r="E118" s="2061">
        <v>14.51</v>
      </c>
      <c r="F118" s="2061"/>
      <c r="G118" s="2095" t="s">
        <v>32</v>
      </c>
      <c r="H118" s="2080" t="s">
        <v>33</v>
      </c>
      <c r="I118" s="2061"/>
      <c r="J118" s="2061"/>
      <c r="K118" s="2061" t="s">
        <v>7624</v>
      </c>
      <c r="L118" s="2061">
        <v>66253.77</v>
      </c>
      <c r="M118" s="2061">
        <v>39752.262000000002</v>
      </c>
      <c r="N118" s="2080">
        <v>2022.1</v>
      </c>
      <c r="O118" s="2097" t="s">
        <v>7628</v>
      </c>
      <c r="P118" s="2097" t="s">
        <v>7626</v>
      </c>
      <c r="Q118" s="2098">
        <v>18600741779</v>
      </c>
      <c r="R118" s="2099" t="s">
        <v>7627</v>
      </c>
      <c r="S118" s="2045" t="s">
        <v>7562</v>
      </c>
      <c r="T118" s="1458"/>
    </row>
    <row r="119" spans="1:20" s="1030" customFormat="1" ht="20.100000000000001" customHeight="1">
      <c r="A119" s="1530"/>
      <c r="B119" s="2061" t="s">
        <v>890</v>
      </c>
      <c r="C119" s="2061" t="s">
        <v>4432</v>
      </c>
      <c r="D119" s="2061" t="s">
        <v>62</v>
      </c>
      <c r="E119" s="2061">
        <v>12.725</v>
      </c>
      <c r="F119" s="2061"/>
      <c r="G119" s="2095" t="s">
        <v>32</v>
      </c>
      <c r="H119" s="2080" t="s">
        <v>33</v>
      </c>
      <c r="I119" s="2061"/>
      <c r="J119" s="2061"/>
      <c r="K119" s="2061" t="s">
        <v>7624</v>
      </c>
      <c r="L119" s="2061">
        <v>39471.85</v>
      </c>
      <c r="M119" s="2061">
        <v>23683.11</v>
      </c>
      <c r="N119" s="2080">
        <v>2022.1</v>
      </c>
      <c r="O119" s="2097" t="s">
        <v>7628</v>
      </c>
      <c r="P119" s="2097" t="s">
        <v>7626</v>
      </c>
      <c r="Q119" s="2098">
        <v>18600741779</v>
      </c>
      <c r="R119" s="2099" t="s">
        <v>7627</v>
      </c>
      <c r="S119" s="2045" t="s">
        <v>7562</v>
      </c>
      <c r="T119" s="1458"/>
    </row>
    <row r="120" spans="1:20" s="1030" customFormat="1" ht="20.100000000000001" customHeight="1">
      <c r="A120" s="1530"/>
      <c r="B120" s="2061" t="s">
        <v>890</v>
      </c>
      <c r="C120" s="2061" t="s">
        <v>4432</v>
      </c>
      <c r="D120" s="2061" t="s">
        <v>62</v>
      </c>
      <c r="E120" s="2061">
        <v>55.91</v>
      </c>
      <c r="F120" s="2061"/>
      <c r="G120" s="2095" t="s">
        <v>32</v>
      </c>
      <c r="H120" s="2080" t="s">
        <v>33</v>
      </c>
      <c r="I120" s="2061"/>
      <c r="J120" s="2061"/>
      <c r="K120" s="2061" t="s">
        <v>7624</v>
      </c>
      <c r="L120" s="2061">
        <v>236831.1</v>
      </c>
      <c r="M120" s="2061">
        <v>142098.66</v>
      </c>
      <c r="N120" s="2080">
        <v>2022.1</v>
      </c>
      <c r="O120" s="2097" t="s">
        <v>7628</v>
      </c>
      <c r="P120" s="2097" t="s">
        <v>7626</v>
      </c>
      <c r="Q120" s="2098">
        <v>18600741779</v>
      </c>
      <c r="R120" s="2099" t="s">
        <v>7627</v>
      </c>
      <c r="S120" s="2045" t="s">
        <v>7562</v>
      </c>
      <c r="T120" s="1458"/>
    </row>
    <row r="121" spans="1:20" s="1030" customFormat="1" ht="20.100000000000001" customHeight="1">
      <c r="A121" s="1530"/>
      <c r="B121" s="2041"/>
      <c r="C121" s="2041"/>
      <c r="D121" s="2038"/>
      <c r="E121" s="2048"/>
      <c r="F121" s="2053"/>
      <c r="G121" s="2053"/>
      <c r="H121" s="2053"/>
      <c r="I121" s="2053"/>
      <c r="J121" s="2053"/>
      <c r="K121" s="2053"/>
      <c r="L121" s="2056"/>
      <c r="M121" s="2100"/>
      <c r="N121" s="2053"/>
      <c r="O121" s="2053"/>
      <c r="P121" s="2053"/>
      <c r="Q121" s="2053"/>
      <c r="R121" s="2053"/>
      <c r="S121" s="2045" t="s">
        <v>7562</v>
      </c>
      <c r="T121" s="1458"/>
    </row>
    <row r="122" spans="1:20" s="1030" customFormat="1" ht="20.100000000000001" customHeight="1">
      <c r="A122" s="1530"/>
      <c r="B122" s="2053"/>
      <c r="C122" s="2053"/>
      <c r="D122" s="2053"/>
      <c r="E122" s="2053"/>
      <c r="F122" s="2053"/>
      <c r="G122" s="2053"/>
      <c r="H122" s="2053"/>
      <c r="I122" s="2053"/>
      <c r="J122" s="2053"/>
      <c r="K122" s="2053"/>
      <c r="L122" s="2053"/>
      <c r="M122" s="2053"/>
      <c r="N122" s="2053"/>
      <c r="O122" s="2053"/>
      <c r="P122" s="2053"/>
      <c r="Q122" s="2053"/>
      <c r="R122" s="2053"/>
      <c r="S122" s="2045" t="s">
        <v>7562</v>
      </c>
      <c r="T122" s="1458"/>
    </row>
    <row r="123" spans="1:20" s="1030" customFormat="1" ht="20.100000000000001" customHeight="1">
      <c r="A123" s="1530"/>
      <c r="B123" s="2053"/>
      <c r="C123" s="2053"/>
      <c r="D123" s="2053"/>
      <c r="E123" s="2053"/>
      <c r="F123" s="2053"/>
      <c r="G123" s="2053"/>
      <c r="H123" s="2053"/>
      <c r="I123" s="2053"/>
      <c r="J123" s="2053"/>
      <c r="K123" s="2053"/>
      <c r="L123" s="2053"/>
      <c r="M123" s="2053"/>
      <c r="N123" s="2053"/>
      <c r="O123" s="2053"/>
      <c r="P123" s="2053"/>
      <c r="Q123" s="2053"/>
      <c r="R123" s="2053"/>
      <c r="S123" s="2045" t="s">
        <v>7562</v>
      </c>
      <c r="T123" s="1458"/>
    </row>
    <row r="124" spans="1:20" s="1030" customFormat="1" ht="20.100000000000001" customHeight="1">
      <c r="A124" s="1530"/>
      <c r="B124" s="2053"/>
      <c r="C124" s="2053"/>
      <c r="D124" s="2053"/>
      <c r="E124" s="2053"/>
      <c r="F124" s="2053"/>
      <c r="G124" s="2053"/>
      <c r="H124" s="2053"/>
      <c r="I124" s="2053"/>
      <c r="J124" s="2053"/>
      <c r="K124" s="2053"/>
      <c r="L124" s="2053"/>
      <c r="M124" s="2053"/>
      <c r="N124" s="2053"/>
      <c r="O124" s="2053"/>
      <c r="P124" s="2053"/>
      <c r="Q124" s="2053"/>
      <c r="R124" s="2053"/>
      <c r="S124" s="2045" t="s">
        <v>7562</v>
      </c>
      <c r="T124" s="1458"/>
    </row>
    <row r="125" spans="1:20" s="1030" customFormat="1" ht="20.100000000000001" customHeight="1">
      <c r="A125" s="1530"/>
      <c r="B125" s="2053"/>
      <c r="C125" s="2053"/>
      <c r="D125" s="2053"/>
      <c r="E125" s="2053"/>
      <c r="F125" s="2053"/>
      <c r="G125" s="2053"/>
      <c r="H125" s="2053"/>
      <c r="I125" s="2053"/>
      <c r="J125" s="2053"/>
      <c r="K125" s="2053"/>
      <c r="L125" s="2053"/>
      <c r="M125" s="2053"/>
      <c r="N125" s="2053"/>
      <c r="O125" s="2053"/>
      <c r="P125" s="2053"/>
      <c r="Q125" s="2053"/>
      <c r="R125" s="2053"/>
      <c r="S125" s="2045" t="s">
        <v>7562</v>
      </c>
      <c r="T125" s="1458"/>
    </row>
    <row r="126" spans="1:20" s="1030" customFormat="1" ht="20.100000000000001" customHeight="1">
      <c r="A126" s="1530"/>
      <c r="B126" s="2053"/>
      <c r="C126" s="2053"/>
      <c r="D126" s="2053"/>
      <c r="E126" s="2053"/>
      <c r="F126" s="2053"/>
      <c r="G126" s="2053"/>
      <c r="H126" s="2053"/>
      <c r="I126" s="2053"/>
      <c r="J126" s="2053"/>
      <c r="K126" s="2053"/>
      <c r="L126" s="2053"/>
      <c r="M126" s="2053"/>
      <c r="N126" s="2053"/>
      <c r="O126" s="2053"/>
      <c r="P126" s="2053"/>
      <c r="Q126" s="2053"/>
      <c r="R126" s="2053"/>
      <c r="S126" s="2045" t="s">
        <v>7562</v>
      </c>
      <c r="T126" s="1458"/>
    </row>
    <row r="127" spans="1:20" s="1030" customFormat="1" ht="20.100000000000001" customHeight="1">
      <c r="A127" s="1530"/>
      <c r="B127" s="2053"/>
      <c r="C127" s="2053"/>
      <c r="D127" s="2053"/>
      <c r="E127" s="2053"/>
      <c r="F127" s="2053"/>
      <c r="G127" s="2053"/>
      <c r="H127" s="2053"/>
      <c r="I127" s="2053"/>
      <c r="J127" s="2053"/>
      <c r="K127" s="2053"/>
      <c r="L127" s="2053"/>
      <c r="M127" s="2053"/>
      <c r="N127" s="2053"/>
      <c r="O127" s="2053"/>
      <c r="P127" s="2053"/>
      <c r="Q127" s="2053"/>
      <c r="R127" s="2053"/>
      <c r="S127" s="2045" t="s">
        <v>7562</v>
      </c>
      <c r="T127" s="1458"/>
    </row>
    <row r="128" spans="1:20" s="1030" customFormat="1" ht="20.100000000000001" customHeight="1">
      <c r="A128" s="1530"/>
      <c r="B128" s="2053"/>
      <c r="C128" s="2053"/>
      <c r="D128" s="2053"/>
      <c r="E128" s="2053"/>
      <c r="F128" s="2053"/>
      <c r="G128" s="2053"/>
      <c r="H128" s="2053"/>
      <c r="I128" s="2053"/>
      <c r="J128" s="2053"/>
      <c r="K128" s="2053"/>
      <c r="L128" s="2053"/>
      <c r="M128" s="2053"/>
      <c r="N128" s="2053"/>
      <c r="O128" s="2053"/>
      <c r="P128" s="2053"/>
      <c r="Q128" s="2053"/>
      <c r="R128" s="2053"/>
      <c r="S128" s="2045" t="s">
        <v>7562</v>
      </c>
      <c r="T128" s="1458"/>
    </row>
    <row r="129" spans="1:20" s="1030" customFormat="1" ht="20.100000000000001" customHeight="1">
      <c r="A129" s="1530"/>
      <c r="B129" s="2053"/>
      <c r="C129" s="2053"/>
      <c r="D129" s="2053"/>
      <c r="E129" s="2053"/>
      <c r="F129" s="2053"/>
      <c r="G129" s="2053"/>
      <c r="H129" s="2053"/>
      <c r="I129" s="2053"/>
      <c r="J129" s="2053"/>
      <c r="K129" s="2053"/>
      <c r="L129" s="2053"/>
      <c r="M129" s="2053"/>
      <c r="N129" s="2053"/>
      <c r="O129" s="2053"/>
      <c r="P129" s="2053"/>
      <c r="Q129" s="2053"/>
      <c r="R129" s="2053"/>
      <c r="S129" s="2045" t="s">
        <v>7562</v>
      </c>
      <c r="T129" s="1458"/>
    </row>
    <row r="130" spans="1:20" s="1030" customFormat="1" ht="20.100000000000001" customHeight="1">
      <c r="A130" s="1530"/>
      <c r="B130" s="2053"/>
      <c r="C130" s="2053"/>
      <c r="D130" s="2053"/>
      <c r="E130" s="2053"/>
      <c r="F130" s="2053"/>
      <c r="G130" s="2053"/>
      <c r="H130" s="2053"/>
      <c r="I130" s="2053"/>
      <c r="J130" s="2053"/>
      <c r="K130" s="2053"/>
      <c r="L130" s="2053"/>
      <c r="M130" s="2053"/>
      <c r="N130" s="2053"/>
      <c r="O130" s="2053"/>
      <c r="P130" s="2053"/>
      <c r="Q130" s="2053"/>
      <c r="R130" s="2053"/>
      <c r="S130" s="2045" t="s">
        <v>7562</v>
      </c>
      <c r="T130" s="1458"/>
    </row>
    <row r="131" spans="1:20" s="1030" customFormat="1" ht="20.100000000000001" customHeight="1">
      <c r="A131" s="1530"/>
      <c r="B131" s="2072"/>
      <c r="C131" s="2072"/>
      <c r="D131" s="2072"/>
      <c r="E131" s="2072"/>
      <c r="F131" s="2072"/>
      <c r="G131" s="2069"/>
      <c r="H131" s="2069"/>
      <c r="I131" s="2053"/>
      <c r="J131" s="2053"/>
      <c r="K131" s="2072"/>
      <c r="L131" s="2101"/>
      <c r="M131" s="2045"/>
      <c r="N131" s="2045"/>
      <c r="O131" s="2055"/>
      <c r="P131" s="2053"/>
      <c r="Q131" s="2073"/>
      <c r="R131" s="2074"/>
      <c r="S131" s="2045" t="s">
        <v>7562</v>
      </c>
      <c r="T131" s="1458"/>
    </row>
    <row r="132" spans="1:20" s="1030" customFormat="1" ht="20.100000000000001" customHeight="1">
      <c r="A132" s="1530"/>
      <c r="B132" s="2038"/>
      <c r="C132" s="2038"/>
      <c r="D132" s="2038"/>
      <c r="E132" s="2038"/>
      <c r="F132" s="2038"/>
      <c r="G132" s="2038"/>
      <c r="H132" s="2038"/>
      <c r="I132" s="2038"/>
      <c r="J132" s="2038"/>
      <c r="K132" s="2038"/>
      <c r="L132" s="2038"/>
      <c r="M132" s="2102"/>
      <c r="N132" s="2038"/>
      <c r="O132" s="2103"/>
      <c r="P132" s="2038"/>
      <c r="Q132" s="2038"/>
      <c r="R132" s="2038"/>
      <c r="S132" s="2045" t="s">
        <v>7562</v>
      </c>
      <c r="T132" s="1458"/>
    </row>
    <row r="133" spans="1:20" s="1030" customFormat="1" ht="20.100000000000001" customHeight="1">
      <c r="A133" s="1530"/>
      <c r="B133" s="2045"/>
      <c r="C133" s="2038"/>
      <c r="D133" s="2038"/>
      <c r="E133" s="2038"/>
      <c r="F133" s="2038"/>
      <c r="G133" s="2038"/>
      <c r="H133" s="2038"/>
      <c r="I133" s="2038"/>
      <c r="J133" s="2038"/>
      <c r="K133" s="2038"/>
      <c r="L133" s="2038"/>
      <c r="M133" s="2038"/>
      <c r="N133" s="2038"/>
      <c r="O133" s="2038"/>
      <c r="P133" s="2038"/>
      <c r="Q133" s="2038"/>
      <c r="R133" s="2038"/>
      <c r="S133" s="2045" t="s">
        <v>7562</v>
      </c>
      <c r="T133" s="1458"/>
    </row>
    <row r="134" spans="1:20" s="1030" customFormat="1" ht="20.100000000000001" customHeight="1">
      <c r="A134" s="1530"/>
      <c r="B134" s="2041"/>
      <c r="C134" s="2041"/>
      <c r="D134" s="2038"/>
      <c r="E134" s="2038"/>
      <c r="F134" s="2038"/>
      <c r="G134" s="2038"/>
      <c r="H134" s="2038"/>
      <c r="I134" s="2038"/>
      <c r="J134" s="2038"/>
      <c r="K134" s="2038"/>
      <c r="L134" s="2038"/>
      <c r="M134" s="2038"/>
      <c r="N134" s="2038"/>
      <c r="O134" s="2038"/>
      <c r="P134" s="2038"/>
      <c r="Q134" s="2038"/>
      <c r="R134" s="2038"/>
      <c r="S134" s="2045" t="s">
        <v>7562</v>
      </c>
      <c r="T134" s="1458"/>
    </row>
    <row r="135" spans="1:20" s="1030" customFormat="1" ht="20.100000000000001" customHeight="1">
      <c r="A135" s="1530"/>
      <c r="B135" s="2041"/>
      <c r="C135" s="2041"/>
      <c r="D135" s="2038"/>
      <c r="E135" s="2038"/>
      <c r="F135" s="2038"/>
      <c r="G135" s="2038"/>
      <c r="H135" s="2038"/>
      <c r="I135" s="2038"/>
      <c r="J135" s="2038"/>
      <c r="K135" s="2038"/>
      <c r="L135" s="2038"/>
      <c r="M135" s="2038"/>
      <c r="N135" s="2038"/>
      <c r="O135" s="2038"/>
      <c r="P135" s="2038"/>
      <c r="Q135" s="2038"/>
      <c r="R135" s="2038"/>
      <c r="S135" s="2045" t="s">
        <v>7562</v>
      </c>
      <c r="T135" s="1458"/>
    </row>
    <row r="136" spans="1:20" s="1030" customFormat="1" ht="20.100000000000001" customHeight="1">
      <c r="A136" s="1530"/>
      <c r="B136" s="2045"/>
      <c r="C136" s="2045"/>
      <c r="D136" s="2045"/>
      <c r="E136" s="2045"/>
      <c r="F136" s="2045"/>
      <c r="G136" s="2045"/>
      <c r="H136" s="2045"/>
      <c r="I136" s="2045"/>
      <c r="J136" s="2073"/>
      <c r="K136" s="2072"/>
      <c r="L136" s="2072"/>
      <c r="M136" s="2072"/>
      <c r="N136" s="2072"/>
      <c r="O136" s="2043"/>
      <c r="P136" s="2104"/>
      <c r="Q136" s="2105"/>
      <c r="R136" s="2043"/>
      <c r="S136" s="2045" t="s">
        <v>7562</v>
      </c>
      <c r="T136" s="1458"/>
    </row>
    <row r="137" spans="1:20" s="1030" customFormat="1" ht="20.100000000000001" customHeight="1">
      <c r="A137" s="1530"/>
      <c r="B137" s="2045"/>
      <c r="C137" s="2045"/>
      <c r="D137" s="2045"/>
      <c r="E137" s="2045"/>
      <c r="F137" s="2045"/>
      <c r="G137" s="2045"/>
      <c r="H137" s="2045"/>
      <c r="I137" s="2045"/>
      <c r="J137" s="2045"/>
      <c r="K137" s="2045"/>
      <c r="L137" s="2045"/>
      <c r="M137" s="2045"/>
      <c r="N137" s="2045"/>
      <c r="O137" s="2045"/>
      <c r="P137" s="2045"/>
      <c r="Q137" s="2045"/>
      <c r="R137" s="2045"/>
      <c r="S137" s="2045" t="s">
        <v>7562</v>
      </c>
      <c r="T137" s="1458"/>
    </row>
    <row r="138" spans="1:20" s="1030" customFormat="1" ht="20.100000000000001" customHeight="1">
      <c r="A138" s="1530"/>
      <c r="B138" s="2045"/>
      <c r="C138" s="2045"/>
      <c r="D138" s="2045"/>
      <c r="E138" s="2045"/>
      <c r="F138" s="2045"/>
      <c r="G138" s="2045"/>
      <c r="H138" s="2045"/>
      <c r="I138" s="2045"/>
      <c r="J138" s="2045"/>
      <c r="K138" s="2045"/>
      <c r="L138" s="2045"/>
      <c r="M138" s="2045"/>
      <c r="N138" s="2045"/>
      <c r="O138" s="2045"/>
      <c r="P138" s="2045"/>
      <c r="Q138" s="2045"/>
      <c r="R138" s="2045"/>
      <c r="S138" s="2045" t="s">
        <v>7562</v>
      </c>
      <c r="T138" s="1458"/>
    </row>
    <row r="139" spans="1:20" s="1030" customFormat="1" ht="20.100000000000001" customHeight="1">
      <c r="A139" s="1530"/>
      <c r="B139" s="2045"/>
      <c r="C139" s="2045"/>
      <c r="D139" s="2045"/>
      <c r="E139" s="2045"/>
      <c r="F139" s="2045"/>
      <c r="G139" s="2045"/>
      <c r="H139" s="2045"/>
      <c r="I139" s="2045"/>
      <c r="J139" s="2045"/>
      <c r="K139" s="2045"/>
      <c r="L139" s="2045"/>
      <c r="M139" s="2045"/>
      <c r="N139" s="2045"/>
      <c r="O139" s="2045"/>
      <c r="P139" s="2045"/>
      <c r="Q139" s="2045"/>
      <c r="R139" s="2045"/>
      <c r="S139" s="2045" t="s">
        <v>7562</v>
      </c>
      <c r="T139" s="1458"/>
    </row>
    <row r="140" spans="1:20" s="1030" customFormat="1" ht="20.100000000000001" customHeight="1">
      <c r="A140" s="1530"/>
      <c r="B140" s="2045"/>
      <c r="C140" s="2045"/>
      <c r="D140" s="2045"/>
      <c r="E140" s="2045"/>
      <c r="F140" s="2045"/>
      <c r="G140" s="2045"/>
      <c r="H140" s="2045"/>
      <c r="I140" s="2045"/>
      <c r="J140" s="2045"/>
      <c r="K140" s="2045"/>
      <c r="L140" s="2045"/>
      <c r="M140" s="2045"/>
      <c r="N140" s="2045"/>
      <c r="O140" s="2045"/>
      <c r="P140" s="2045"/>
      <c r="Q140" s="2045"/>
      <c r="R140" s="2045"/>
      <c r="S140" s="2045" t="s">
        <v>7562</v>
      </c>
      <c r="T140" s="1458"/>
    </row>
    <row r="141" spans="1:20" s="1030" customFormat="1" ht="20.100000000000001" customHeight="1">
      <c r="A141" s="1530"/>
      <c r="B141" s="2045"/>
      <c r="C141" s="2045"/>
      <c r="D141" s="2045"/>
      <c r="E141" s="2045"/>
      <c r="F141" s="2045"/>
      <c r="G141" s="2045"/>
      <c r="H141" s="2045"/>
      <c r="I141" s="2045"/>
      <c r="J141" s="2045"/>
      <c r="K141" s="2045"/>
      <c r="L141" s="2045"/>
      <c r="M141" s="2045"/>
      <c r="N141" s="2045"/>
      <c r="O141" s="2045"/>
      <c r="P141" s="2045"/>
      <c r="Q141" s="2045"/>
      <c r="R141" s="2045"/>
      <c r="S141" s="2045" t="s">
        <v>7562</v>
      </c>
      <c r="T141" s="1458"/>
    </row>
    <row r="142" spans="1:20" s="1030" customFormat="1" ht="20.100000000000001" customHeight="1">
      <c r="A142" s="1530"/>
      <c r="B142" s="2045"/>
      <c r="C142" s="2045"/>
      <c r="D142" s="2045"/>
      <c r="E142" s="2045"/>
      <c r="F142" s="2045"/>
      <c r="G142" s="2045"/>
      <c r="H142" s="2045"/>
      <c r="I142" s="2045"/>
      <c r="J142" s="2045"/>
      <c r="K142" s="2045"/>
      <c r="L142" s="2045"/>
      <c r="M142" s="2045"/>
      <c r="N142" s="2045"/>
      <c r="O142" s="2045"/>
      <c r="P142" s="2045"/>
      <c r="Q142" s="2045"/>
      <c r="R142" s="2045"/>
      <c r="S142" s="2045" t="s">
        <v>7562</v>
      </c>
      <c r="T142" s="1458"/>
    </row>
    <row r="143" spans="1:20" s="1030" customFormat="1" ht="20.100000000000001" customHeight="1">
      <c r="A143" s="1530"/>
      <c r="B143" s="2045"/>
      <c r="C143" s="2045"/>
      <c r="D143" s="2045"/>
      <c r="E143" s="2045"/>
      <c r="F143" s="2045"/>
      <c r="G143" s="2045"/>
      <c r="H143" s="2045"/>
      <c r="I143" s="2045"/>
      <c r="J143" s="2045"/>
      <c r="K143" s="2045"/>
      <c r="L143" s="2045"/>
      <c r="M143" s="2045"/>
      <c r="N143" s="2045"/>
      <c r="O143" s="2045"/>
      <c r="P143" s="2045"/>
      <c r="Q143" s="2045"/>
      <c r="R143" s="2045"/>
      <c r="S143" s="2045" t="s">
        <v>7562</v>
      </c>
      <c r="T143" s="1458"/>
    </row>
    <row r="144" spans="1:20" s="1030" customFormat="1" ht="20.100000000000001" customHeight="1">
      <c r="A144" s="1530"/>
      <c r="B144" s="2080"/>
      <c r="C144" s="2066"/>
      <c r="D144" s="2066"/>
      <c r="E144" s="2083"/>
      <c r="F144" s="2083"/>
      <c r="G144" s="2045"/>
      <c r="H144" s="2068"/>
      <c r="I144" s="2045"/>
      <c r="J144" s="2072"/>
      <c r="K144" s="2045"/>
      <c r="L144" s="2045"/>
      <c r="M144" s="2045"/>
      <c r="N144" s="2084"/>
      <c r="O144" s="2081"/>
      <c r="P144" s="2045"/>
      <c r="Q144" s="2085"/>
      <c r="R144" s="2045"/>
      <c r="S144" s="2045" t="s">
        <v>7562</v>
      </c>
      <c r="T144" s="1458"/>
    </row>
    <row r="145" spans="1:20" s="1030" customFormat="1" ht="20.100000000000001" customHeight="1">
      <c r="A145" s="1530"/>
      <c r="B145" s="2080"/>
      <c r="C145" s="2066"/>
      <c r="D145" s="2045"/>
      <c r="E145" s="2045"/>
      <c r="F145" s="2045"/>
      <c r="G145" s="2045"/>
      <c r="H145" s="2068"/>
      <c r="I145" s="2045"/>
      <c r="J145" s="2072"/>
      <c r="K145" s="2045"/>
      <c r="L145" s="2045"/>
      <c r="M145" s="2045"/>
      <c r="N145" s="2084"/>
      <c r="O145" s="2081"/>
      <c r="P145" s="2045"/>
      <c r="Q145" s="2085"/>
      <c r="R145" s="2045"/>
      <c r="S145" s="2045" t="s">
        <v>7562</v>
      </c>
      <c r="T145" s="1458"/>
    </row>
    <row r="146" spans="1:20" s="1030" customFormat="1" ht="20.100000000000001" customHeight="1">
      <c r="A146" s="1530"/>
      <c r="B146" s="2080"/>
      <c r="C146" s="2066"/>
      <c r="D146" s="2045"/>
      <c r="E146" s="2045"/>
      <c r="F146" s="2045"/>
      <c r="G146" s="2045"/>
      <c r="H146" s="2068"/>
      <c r="I146" s="2045"/>
      <c r="J146" s="2072"/>
      <c r="K146" s="2045"/>
      <c r="L146" s="2045"/>
      <c r="M146" s="2045"/>
      <c r="N146" s="2084"/>
      <c r="O146" s="2081"/>
      <c r="P146" s="2045"/>
      <c r="Q146" s="2085"/>
      <c r="R146" s="2045"/>
      <c r="S146" s="2045" t="s">
        <v>7562</v>
      </c>
      <c r="T146" s="1458"/>
    </row>
    <row r="147" spans="1:20" s="1030" customFormat="1" ht="20.100000000000001" customHeight="1">
      <c r="A147" s="1530"/>
      <c r="B147" s="2080"/>
      <c r="C147" s="2066"/>
      <c r="D147" s="2045"/>
      <c r="E147" s="2045"/>
      <c r="F147" s="2045"/>
      <c r="G147" s="2045"/>
      <c r="H147" s="2068"/>
      <c r="I147" s="2045"/>
      <c r="J147" s="2072"/>
      <c r="K147" s="2045"/>
      <c r="L147" s="2045"/>
      <c r="M147" s="2045"/>
      <c r="N147" s="2084"/>
      <c r="O147" s="2081"/>
      <c r="P147" s="2045"/>
      <c r="Q147" s="2085"/>
      <c r="R147" s="2045"/>
      <c r="S147" s="2045" t="s">
        <v>7562</v>
      </c>
      <c r="T147" s="1458"/>
    </row>
    <row r="148" spans="1:20" s="1030" customFormat="1" ht="20.100000000000001" customHeight="1">
      <c r="A148" s="1530"/>
      <c r="B148" s="2080"/>
      <c r="C148" s="2066"/>
      <c r="D148" s="2066"/>
      <c r="E148" s="2083"/>
      <c r="F148" s="2045"/>
      <c r="G148" s="2045"/>
      <c r="H148" s="2068"/>
      <c r="I148" s="2045"/>
      <c r="J148" s="2072"/>
      <c r="K148" s="2045"/>
      <c r="L148" s="2045"/>
      <c r="M148" s="2045"/>
      <c r="N148" s="2084"/>
      <c r="O148" s="2081"/>
      <c r="P148" s="2045"/>
      <c r="Q148" s="2085"/>
      <c r="R148" s="2045"/>
      <c r="S148" s="2045" t="s">
        <v>7562</v>
      </c>
      <c r="T148" s="1458"/>
    </row>
    <row r="149" spans="1:20" s="1030" customFormat="1" ht="20.100000000000001" customHeight="1">
      <c r="A149" s="1530"/>
      <c r="B149" s="2080"/>
      <c r="C149" s="2066"/>
      <c r="D149" s="2066"/>
      <c r="E149" s="2083"/>
      <c r="F149" s="2045"/>
      <c r="G149" s="2045"/>
      <c r="H149" s="2068"/>
      <c r="I149" s="2045"/>
      <c r="J149" s="2072"/>
      <c r="K149" s="2045"/>
      <c r="L149" s="2045"/>
      <c r="M149" s="2045"/>
      <c r="N149" s="2084"/>
      <c r="O149" s="2081"/>
      <c r="P149" s="2045"/>
      <c r="Q149" s="2085"/>
      <c r="R149" s="2045"/>
      <c r="S149" s="2045" t="s">
        <v>7562</v>
      </c>
      <c r="T149" s="1458"/>
    </row>
    <row r="150" spans="1:20" s="1030" customFormat="1" ht="20.100000000000001" customHeight="1">
      <c r="A150" s="1530"/>
      <c r="B150" s="2080"/>
      <c r="C150" s="2066"/>
      <c r="D150" s="2066"/>
      <c r="E150" s="2083"/>
      <c r="F150" s="2045"/>
      <c r="G150" s="2045"/>
      <c r="H150" s="2068"/>
      <c r="I150" s="2045"/>
      <c r="J150" s="2072"/>
      <c r="K150" s="2045"/>
      <c r="L150" s="2045"/>
      <c r="M150" s="2045"/>
      <c r="N150" s="2084"/>
      <c r="O150" s="2081"/>
      <c r="P150" s="2045"/>
      <c r="Q150" s="2085"/>
      <c r="R150" s="2045"/>
      <c r="S150" s="2045" t="s">
        <v>7562</v>
      </c>
      <c r="T150" s="1458"/>
    </row>
    <row r="151" spans="1:20" s="1030" customFormat="1" ht="20.100000000000001" customHeight="1">
      <c r="A151" s="1530"/>
      <c r="B151" s="2041"/>
      <c r="C151" s="2041"/>
      <c r="D151" s="2038"/>
      <c r="E151" s="2047"/>
      <c r="F151" s="2045"/>
      <c r="G151" s="2045"/>
      <c r="H151" s="2045"/>
      <c r="I151" s="2045"/>
      <c r="J151" s="2045"/>
      <c r="K151" s="2045"/>
      <c r="L151" s="2101"/>
      <c r="M151" s="2106"/>
      <c r="N151" s="2045"/>
      <c r="O151" s="2045"/>
      <c r="P151" s="2045"/>
      <c r="Q151" s="2045"/>
      <c r="R151" s="2045"/>
      <c r="S151" s="2045" t="s">
        <v>7562</v>
      </c>
      <c r="T151" s="1458"/>
    </row>
    <row r="152" spans="1:20" s="1030" customFormat="1" ht="20.100000000000001" customHeight="1">
      <c r="A152" s="1530"/>
      <c r="B152" s="2041"/>
      <c r="C152" s="2041"/>
      <c r="D152" s="2038"/>
      <c r="E152" s="2047"/>
      <c r="F152" s="2045"/>
      <c r="G152" s="2045"/>
      <c r="H152" s="2045"/>
      <c r="I152" s="2045"/>
      <c r="J152" s="2045"/>
      <c r="K152" s="2045"/>
      <c r="L152" s="2045"/>
      <c r="M152" s="2037"/>
      <c r="N152" s="2045"/>
      <c r="O152" s="2045"/>
      <c r="P152" s="2045"/>
      <c r="Q152" s="2045"/>
      <c r="R152" s="2045"/>
      <c r="S152" s="2045" t="s">
        <v>7562</v>
      </c>
      <c r="T152" s="1458"/>
    </row>
    <row r="153" spans="1:20" s="1030" customFormat="1" ht="20.100000000000001" customHeight="1">
      <c r="A153" s="1530">
        <v>3</v>
      </c>
      <c r="B153" s="2045"/>
      <c r="C153" s="2045"/>
      <c r="D153" s="2045"/>
      <c r="E153" s="2045"/>
      <c r="F153" s="2045"/>
      <c r="G153" s="2045"/>
      <c r="H153" s="2045"/>
      <c r="I153" s="2045"/>
      <c r="J153" s="2045"/>
      <c r="K153" s="2045"/>
      <c r="L153" s="2045"/>
      <c r="M153" s="2045"/>
      <c r="N153" s="2045"/>
      <c r="O153" s="2045"/>
      <c r="P153" s="2045"/>
      <c r="Q153" s="2045"/>
      <c r="R153" s="2045"/>
      <c r="S153" s="2045"/>
      <c r="T153" s="1458"/>
    </row>
    <row r="154" spans="1:20" s="1030" customFormat="1" ht="20.100000000000001" customHeight="1">
      <c r="A154" s="1530"/>
      <c r="B154" s="2045"/>
      <c r="C154" s="2045"/>
      <c r="D154" s="2045"/>
      <c r="E154" s="2045"/>
      <c r="F154" s="2045"/>
      <c r="G154" s="2045"/>
      <c r="H154" s="2045"/>
      <c r="I154" s="2045"/>
      <c r="J154" s="2045"/>
      <c r="K154" s="2045"/>
      <c r="L154" s="2045"/>
      <c r="M154" s="2045"/>
      <c r="N154" s="2045"/>
      <c r="O154" s="2045"/>
      <c r="P154" s="2045"/>
      <c r="Q154" s="2045"/>
      <c r="R154" s="2045"/>
      <c r="S154" s="2045"/>
      <c r="T154" s="1458"/>
    </row>
    <row r="155" spans="1:20" s="1030" customFormat="1" ht="20.100000000000001" customHeight="1">
      <c r="A155" s="1530">
        <v>4</v>
      </c>
      <c r="B155" s="2045"/>
      <c r="C155" s="2045"/>
      <c r="D155" s="2045"/>
      <c r="E155" s="2045"/>
      <c r="F155" s="2045"/>
      <c r="G155" s="2045"/>
      <c r="H155" s="2045"/>
      <c r="I155" s="2045"/>
      <c r="J155" s="2045"/>
      <c r="K155" s="2045"/>
      <c r="L155" s="2045"/>
      <c r="M155" s="2045"/>
      <c r="N155" s="2045"/>
      <c r="O155" s="2045"/>
      <c r="P155" s="2045"/>
      <c r="Q155" s="2045"/>
      <c r="R155" s="2045"/>
      <c r="S155" s="2045"/>
      <c r="T155" s="1458"/>
    </row>
    <row r="156" spans="1:20" s="1030" customFormat="1" ht="20.100000000000001" customHeight="1">
      <c r="A156" s="1530"/>
      <c r="B156" s="2045"/>
      <c r="C156" s="2045"/>
      <c r="D156" s="2045"/>
      <c r="E156" s="2045"/>
      <c r="F156" s="2045"/>
      <c r="G156" s="2045"/>
      <c r="H156" s="2045"/>
      <c r="I156" s="2045"/>
      <c r="J156" s="2045"/>
      <c r="K156" s="2045"/>
      <c r="L156" s="2045"/>
      <c r="M156" s="2045"/>
      <c r="N156" s="2045"/>
      <c r="O156" s="2045"/>
      <c r="P156" s="2045"/>
      <c r="Q156" s="2045"/>
      <c r="R156" s="2045"/>
      <c r="S156" s="2045"/>
      <c r="T156" s="1458"/>
    </row>
    <row r="157" spans="1:20" s="1030" customFormat="1" ht="20.100000000000001" customHeight="1">
      <c r="A157" s="1537" t="s">
        <v>6538</v>
      </c>
      <c r="B157" s="2045"/>
      <c r="C157" s="2045"/>
      <c r="D157" s="2045"/>
      <c r="E157" s="2045"/>
      <c r="F157" s="2045"/>
      <c r="G157" s="2045"/>
      <c r="H157" s="2045"/>
      <c r="I157" s="2045"/>
      <c r="J157" s="2045"/>
      <c r="K157" s="2045"/>
      <c r="L157" s="2045"/>
      <c r="M157" s="2045"/>
      <c r="N157" s="2045"/>
      <c r="O157" s="2045"/>
      <c r="P157" s="2045"/>
      <c r="Q157" s="2045"/>
      <c r="R157" s="2045"/>
      <c r="S157" s="2045"/>
      <c r="T157" s="1458"/>
    </row>
    <row r="158" spans="1:20" s="1030" customFormat="1" ht="20.100000000000001" customHeight="1">
      <c r="A158" s="1530">
        <v>1</v>
      </c>
      <c r="B158" s="2045"/>
      <c r="C158" s="2045"/>
      <c r="D158" s="2045"/>
      <c r="E158" s="2045"/>
      <c r="F158" s="2045"/>
      <c r="G158" s="2045"/>
      <c r="H158" s="2045"/>
      <c r="I158" s="2045"/>
      <c r="J158" s="2045"/>
      <c r="K158" s="2045"/>
      <c r="L158" s="2045"/>
      <c r="M158" s="2045"/>
      <c r="N158" s="2045"/>
      <c r="O158" s="2045"/>
      <c r="P158" s="2045"/>
      <c r="Q158" s="2045"/>
      <c r="R158" s="2045"/>
      <c r="S158" s="2045"/>
      <c r="T158" s="1458"/>
    </row>
    <row r="159" spans="1:20" s="1030" customFormat="1" ht="20.100000000000001" customHeight="1">
      <c r="A159" s="1530"/>
      <c r="B159" s="2045" t="s">
        <v>6537</v>
      </c>
      <c r="C159" s="2107"/>
      <c r="D159" s="2107"/>
      <c r="E159" s="2107"/>
      <c r="F159" s="2107"/>
      <c r="G159" s="2107"/>
      <c r="H159" s="2107"/>
      <c r="I159" s="2045"/>
      <c r="J159" s="2107"/>
      <c r="K159" s="2107"/>
      <c r="L159" s="2107"/>
      <c r="M159" s="2041"/>
      <c r="N159" s="2107"/>
      <c r="O159" s="2107"/>
      <c r="P159" s="2107"/>
      <c r="Q159" s="2107"/>
      <c r="R159" s="2107"/>
      <c r="S159" s="2045"/>
      <c r="T159" s="1458"/>
    </row>
    <row r="160" spans="1:20" s="1030" customFormat="1" ht="20.100000000000001" customHeight="1">
      <c r="A160" s="1530">
        <v>2</v>
      </c>
      <c r="B160" s="2045" t="s">
        <v>6541</v>
      </c>
      <c r="C160" s="2045"/>
      <c r="D160" s="2045"/>
      <c r="E160" s="2045"/>
      <c r="F160" s="2045"/>
      <c r="G160" s="2045"/>
      <c r="H160" s="2045"/>
      <c r="I160" s="2045"/>
      <c r="J160" s="2045"/>
      <c r="K160" s="2045"/>
      <c r="L160" s="2045"/>
      <c r="M160" s="2045"/>
      <c r="N160" s="2045"/>
      <c r="O160" s="2045"/>
      <c r="P160" s="2045"/>
      <c r="Q160" s="2045"/>
      <c r="R160" s="2045"/>
      <c r="S160" s="2045"/>
      <c r="T160" s="1458"/>
    </row>
    <row r="161" spans="1:20" s="1030" customFormat="1" ht="20.100000000000001" customHeight="1">
      <c r="A161" s="1530"/>
      <c r="B161" s="2045" t="s">
        <v>6537</v>
      </c>
      <c r="C161" s="2045"/>
      <c r="D161" s="2045"/>
      <c r="E161" s="2045"/>
      <c r="F161" s="2045"/>
      <c r="G161" s="2045"/>
      <c r="H161" s="2045"/>
      <c r="I161" s="2045"/>
      <c r="J161" s="2045"/>
      <c r="K161" s="2045"/>
      <c r="L161" s="2045"/>
      <c r="M161" s="2045"/>
      <c r="N161" s="2045"/>
      <c r="O161" s="2045"/>
      <c r="P161" s="2045"/>
      <c r="Q161" s="2045"/>
      <c r="R161" s="2045"/>
      <c r="S161" s="2045"/>
      <c r="T161" s="1458"/>
    </row>
    <row r="162" spans="1:20" s="1030" customFormat="1" ht="20.100000000000001" customHeight="1">
      <c r="A162" s="1530">
        <v>3</v>
      </c>
      <c r="B162" s="2045" t="s">
        <v>6542</v>
      </c>
      <c r="C162" s="2045"/>
      <c r="D162" s="2045"/>
      <c r="E162" s="2045"/>
      <c r="F162" s="2045"/>
      <c r="G162" s="2045"/>
      <c r="H162" s="2045"/>
      <c r="I162" s="2045"/>
      <c r="J162" s="2045"/>
      <c r="K162" s="2045"/>
      <c r="L162" s="2045"/>
      <c r="M162" s="2045"/>
      <c r="N162" s="2045"/>
      <c r="O162" s="2045"/>
      <c r="P162" s="2045"/>
      <c r="Q162" s="2045"/>
      <c r="R162" s="2045"/>
      <c r="S162" s="2045"/>
      <c r="T162" s="1458"/>
    </row>
    <row r="163" spans="1:20" s="1030" customFormat="1" ht="20.100000000000001" customHeight="1">
      <c r="A163" s="1530"/>
      <c r="B163" s="2045" t="s">
        <v>6537</v>
      </c>
      <c r="C163" s="2045"/>
      <c r="D163" s="2045"/>
      <c r="E163" s="2045"/>
      <c r="F163" s="2045"/>
      <c r="G163" s="2045"/>
      <c r="H163" s="2045"/>
      <c r="I163" s="2045"/>
      <c r="J163" s="2045"/>
      <c r="K163" s="2045"/>
      <c r="L163" s="2045"/>
      <c r="M163" s="2045"/>
      <c r="N163" s="2045"/>
      <c r="O163" s="2045"/>
      <c r="P163" s="2045"/>
      <c r="Q163" s="2045"/>
      <c r="R163" s="2045"/>
      <c r="S163" s="2045"/>
      <c r="T163" s="1458"/>
    </row>
    <row r="164" spans="1:20" s="1030" customFormat="1" ht="20.100000000000001" customHeight="1">
      <c r="A164" s="1530">
        <v>4</v>
      </c>
      <c r="B164" s="2038" t="s">
        <v>1044</v>
      </c>
      <c r="C164" s="2038"/>
      <c r="D164" s="2038"/>
      <c r="E164" s="2038"/>
      <c r="F164" s="2053"/>
      <c r="G164" s="2053"/>
      <c r="H164" s="2053"/>
      <c r="I164" s="2053"/>
      <c r="J164" s="2053"/>
      <c r="K164" s="2053"/>
      <c r="L164" s="2053"/>
      <c r="M164" s="2053"/>
      <c r="N164" s="2053"/>
      <c r="O164" s="2055"/>
      <c r="P164" s="2053"/>
      <c r="Q164" s="2053"/>
      <c r="R164" s="2043"/>
      <c r="S164" s="2045"/>
      <c r="T164" s="1458"/>
    </row>
    <row r="165" spans="1:20" s="1030" customFormat="1" ht="20.100000000000001" customHeight="1">
      <c r="A165" s="1530"/>
      <c r="B165" s="2038"/>
      <c r="C165" s="2038"/>
      <c r="D165" s="2038"/>
      <c r="E165" s="2038"/>
      <c r="F165" s="2053"/>
      <c r="G165" s="2053"/>
      <c r="H165" s="2053"/>
      <c r="I165" s="2053"/>
      <c r="J165" s="2053"/>
      <c r="K165" s="2053"/>
      <c r="L165" s="2053"/>
      <c r="M165" s="2053"/>
      <c r="N165" s="2053"/>
      <c r="O165" s="2055"/>
      <c r="P165" s="2053"/>
      <c r="Q165" s="2053"/>
      <c r="R165" s="2043"/>
      <c r="S165" s="2108" t="s">
        <v>7621</v>
      </c>
      <c r="T165" s="1458"/>
    </row>
    <row r="166" spans="1:20" s="1030" customFormat="1" ht="20.100000000000001" customHeight="1">
      <c r="A166" s="1530"/>
      <c r="B166" s="2053"/>
      <c r="C166" s="2038"/>
      <c r="D166" s="2038"/>
      <c r="E166" s="2038"/>
      <c r="F166" s="2053"/>
      <c r="G166" s="2053"/>
      <c r="H166" s="2053"/>
      <c r="I166" s="2053"/>
      <c r="J166" s="2053"/>
      <c r="K166" s="2053"/>
      <c r="L166" s="2053"/>
      <c r="M166" s="2053"/>
      <c r="N166" s="2053"/>
      <c r="O166" s="2055"/>
      <c r="P166" s="2053"/>
      <c r="Q166" s="2053"/>
      <c r="R166" s="2043"/>
      <c r="S166" s="2108" t="s">
        <v>7621</v>
      </c>
      <c r="T166" s="1458"/>
    </row>
    <row r="167" spans="1:20" s="1030" customFormat="1" ht="20.100000000000001" customHeight="1">
      <c r="A167" s="1530"/>
      <c r="B167" s="2053"/>
      <c r="C167" s="2109"/>
      <c r="D167" s="2110"/>
      <c r="E167" s="2053"/>
      <c r="F167" s="1313"/>
      <c r="G167" s="2061"/>
      <c r="H167" s="2053"/>
      <c r="I167" s="2061"/>
      <c r="J167" s="2053"/>
      <c r="K167" s="2053"/>
      <c r="L167" s="1313"/>
      <c r="M167" s="2049"/>
      <c r="N167" s="2111"/>
      <c r="O167" s="1313"/>
      <c r="P167" s="2065"/>
      <c r="Q167" s="1313"/>
      <c r="R167" s="1313"/>
      <c r="S167" s="2045"/>
      <c r="T167" s="1458"/>
    </row>
    <row r="168" spans="1:20" s="1030" customFormat="1">
      <c r="A168" s="1530"/>
      <c r="B168" s="2045"/>
      <c r="C168" s="2041"/>
      <c r="D168" s="2045"/>
      <c r="E168" s="2045"/>
      <c r="F168" s="2045"/>
      <c r="G168" s="2045"/>
      <c r="H168" s="2045"/>
      <c r="I168" s="2045"/>
      <c r="J168" s="2045"/>
      <c r="K168" s="2045"/>
      <c r="L168" s="2038"/>
      <c r="M168" s="2112"/>
      <c r="N168" s="2045"/>
      <c r="O168" s="2113"/>
      <c r="P168" s="2045"/>
      <c r="Q168" s="2085"/>
      <c r="R168" s="2045"/>
      <c r="S168" s="2045" t="s">
        <v>7562</v>
      </c>
      <c r="T168" s="1458"/>
    </row>
    <row r="169" spans="1:20" s="1030" customFormat="1" ht="20.100000000000001" customHeight="1">
      <c r="A169" s="1530">
        <v>5</v>
      </c>
      <c r="B169" s="2045" t="s">
        <v>6544</v>
      </c>
      <c r="C169" s="2045"/>
      <c r="D169" s="2045"/>
      <c r="E169" s="2045"/>
      <c r="F169" s="2045"/>
      <c r="G169" s="2045"/>
      <c r="H169" s="2045"/>
      <c r="I169" s="2045"/>
      <c r="J169" s="2045"/>
      <c r="K169" s="2045"/>
      <c r="L169" s="2045"/>
      <c r="M169" s="2045"/>
      <c r="N169" s="2045"/>
      <c r="O169" s="2045"/>
      <c r="P169" s="2045"/>
      <c r="Q169" s="2045"/>
      <c r="R169" s="2045"/>
      <c r="S169" s="2045"/>
      <c r="T169" s="1458"/>
    </row>
    <row r="170" spans="1:20" s="1030" customFormat="1" ht="20.100000000000001" customHeight="1">
      <c r="A170" s="1530"/>
      <c r="B170" s="2045" t="s">
        <v>6537</v>
      </c>
      <c r="C170" s="2045"/>
      <c r="D170" s="2045"/>
      <c r="E170" s="2045"/>
      <c r="F170" s="2045"/>
      <c r="G170" s="2045"/>
      <c r="H170" s="2045"/>
      <c r="I170" s="2045"/>
      <c r="J170" s="2045"/>
      <c r="K170" s="2045"/>
      <c r="L170" s="2045"/>
      <c r="M170" s="2045"/>
      <c r="N170" s="2045"/>
      <c r="O170" s="2045"/>
      <c r="P170" s="2045"/>
      <c r="Q170" s="2045"/>
      <c r="R170" s="2045"/>
      <c r="S170" s="2045"/>
      <c r="T170" s="1458"/>
    </row>
    <row r="171" spans="1:20" s="1030" customFormat="1" ht="20.100000000000001" customHeight="1">
      <c r="A171" s="1530"/>
      <c r="B171" s="2045"/>
      <c r="C171" s="2045"/>
      <c r="D171" s="2045"/>
      <c r="E171" s="2045"/>
      <c r="F171" s="2045"/>
      <c r="G171" s="2045"/>
      <c r="H171" s="2045"/>
      <c r="I171" s="2045"/>
      <c r="J171" s="2045"/>
      <c r="K171" s="2045"/>
      <c r="L171" s="2045"/>
      <c r="M171" s="2045"/>
      <c r="N171" s="2045"/>
      <c r="O171" s="2045"/>
      <c r="P171" s="2045"/>
      <c r="Q171" s="2045"/>
      <c r="R171" s="2045"/>
      <c r="S171" s="2045"/>
      <c r="T171" s="1458"/>
    </row>
    <row r="172" spans="1:20" s="1030" customFormat="1" ht="20.100000000000001" customHeight="1">
      <c r="A172" s="1530"/>
      <c r="B172" s="2045"/>
      <c r="C172" s="2045"/>
      <c r="D172" s="2045"/>
      <c r="E172" s="2045"/>
      <c r="F172" s="2045"/>
      <c r="G172" s="2045"/>
      <c r="H172" s="2045"/>
      <c r="I172" s="2045"/>
      <c r="J172" s="2045"/>
      <c r="K172" s="2045"/>
      <c r="L172" s="2045"/>
      <c r="M172" s="2045"/>
      <c r="N172" s="2045"/>
      <c r="O172" s="2045"/>
      <c r="P172" s="2045"/>
      <c r="Q172" s="2045"/>
      <c r="R172" s="2045"/>
      <c r="S172" s="2045"/>
      <c r="T172" s="1458"/>
    </row>
    <row r="173" spans="1:20" s="1030" customFormat="1" ht="20.100000000000001" customHeight="1">
      <c r="A173" s="1530"/>
      <c r="B173" s="2045"/>
      <c r="C173" s="2045"/>
      <c r="D173" s="2045"/>
      <c r="E173" s="2045"/>
      <c r="F173" s="2045"/>
      <c r="G173" s="2045"/>
      <c r="H173" s="2045"/>
      <c r="I173" s="2045"/>
      <c r="J173" s="2045"/>
      <c r="K173" s="2045"/>
      <c r="L173" s="2045"/>
      <c r="M173" s="2045"/>
      <c r="N173" s="2045"/>
      <c r="O173" s="2045"/>
      <c r="P173" s="2045"/>
      <c r="Q173" s="2045"/>
      <c r="R173" s="2045"/>
      <c r="S173" s="2045"/>
      <c r="T173" s="1458"/>
    </row>
    <row r="174" spans="1:20" s="1030" customFormat="1" ht="20.100000000000001" customHeight="1">
      <c r="A174" s="1530"/>
      <c r="B174" s="2045"/>
      <c r="C174" s="2045"/>
      <c r="D174" s="2045"/>
      <c r="E174" s="2045"/>
      <c r="F174" s="2045"/>
      <c r="G174" s="2045"/>
      <c r="H174" s="2045"/>
      <c r="I174" s="2045"/>
      <c r="J174" s="2045"/>
      <c r="K174" s="2045"/>
      <c r="L174" s="2045"/>
      <c r="M174" s="2045"/>
      <c r="N174" s="2045"/>
      <c r="O174" s="2045"/>
      <c r="P174" s="2045"/>
      <c r="Q174" s="2045"/>
      <c r="R174" s="2045"/>
      <c r="S174" s="2045"/>
      <c r="T174" s="1458"/>
    </row>
    <row r="175" spans="1:20" s="1030" customFormat="1" ht="20.100000000000001" customHeight="1">
      <c r="A175" s="1530"/>
      <c r="B175" s="2045"/>
      <c r="C175" s="2045"/>
      <c r="D175" s="2045"/>
      <c r="E175" s="2045"/>
      <c r="F175" s="2045"/>
      <c r="G175" s="2045"/>
      <c r="H175" s="2045"/>
      <c r="I175" s="2045"/>
      <c r="J175" s="2045"/>
      <c r="K175" s="2045"/>
      <c r="L175" s="2045"/>
      <c r="M175" s="2045"/>
      <c r="N175" s="2045"/>
      <c r="O175" s="2045"/>
      <c r="P175" s="2045"/>
      <c r="Q175" s="2045"/>
      <c r="R175" s="2045"/>
      <c r="S175" s="2045"/>
      <c r="T175" s="1458"/>
    </row>
    <row r="176" spans="1:20" s="1030" customFormat="1" ht="20.100000000000001" customHeight="1">
      <c r="A176" s="1530">
        <v>6</v>
      </c>
      <c r="B176" s="2045" t="s">
        <v>6545</v>
      </c>
      <c r="C176" s="2045"/>
      <c r="D176" s="2045"/>
      <c r="E176" s="2045"/>
      <c r="F176" s="2045"/>
      <c r="G176" s="2045"/>
      <c r="H176" s="2045"/>
      <c r="I176" s="2045"/>
      <c r="J176" s="2045"/>
      <c r="K176" s="2045"/>
      <c r="L176" s="2045"/>
      <c r="M176" s="2045"/>
      <c r="N176" s="2045"/>
      <c r="O176" s="2045"/>
      <c r="P176" s="2045"/>
      <c r="Q176" s="2045"/>
      <c r="R176" s="2045"/>
      <c r="S176" s="2045"/>
      <c r="T176" s="1458"/>
    </row>
    <row r="177" spans="1:20" s="1030" customFormat="1">
      <c r="A177" s="1530"/>
      <c r="B177" s="2080"/>
      <c r="C177" s="2080"/>
      <c r="D177" s="2080"/>
      <c r="E177" s="2080"/>
      <c r="F177" s="2080"/>
      <c r="G177" s="2080"/>
      <c r="H177" s="2080"/>
      <c r="I177" s="2080"/>
      <c r="J177" s="2080"/>
      <c r="K177" s="2096"/>
      <c r="L177" s="2080"/>
      <c r="M177" s="2080"/>
      <c r="N177" s="2080"/>
      <c r="O177" s="2096"/>
      <c r="P177" s="2080"/>
      <c r="Q177" s="2080"/>
      <c r="R177" s="2080"/>
      <c r="S177" s="2045" t="s">
        <v>7562</v>
      </c>
      <c r="T177" s="1458"/>
    </row>
    <row r="178" spans="1:20" s="1030" customFormat="1">
      <c r="A178" s="1530"/>
      <c r="B178" s="2080"/>
      <c r="C178" s="2080"/>
      <c r="D178" s="2080"/>
      <c r="E178" s="2080"/>
      <c r="F178" s="2080"/>
      <c r="G178" s="2080"/>
      <c r="H178" s="2080"/>
      <c r="I178" s="2080"/>
      <c r="J178" s="2080"/>
      <c r="K178" s="2096"/>
      <c r="L178" s="2080"/>
      <c r="M178" s="2080"/>
      <c r="N178" s="2080"/>
      <c r="O178" s="2096"/>
      <c r="P178" s="2080"/>
      <c r="Q178" s="2080"/>
      <c r="R178" s="2080"/>
      <c r="S178" s="2045" t="s">
        <v>7562</v>
      </c>
      <c r="T178" s="1458"/>
    </row>
    <row r="179" spans="1:20" s="1030" customFormat="1">
      <c r="A179" s="1530"/>
      <c r="B179" s="2080"/>
      <c r="C179" s="2080"/>
      <c r="D179" s="2080"/>
      <c r="E179" s="2080"/>
      <c r="F179" s="2080"/>
      <c r="G179" s="2080"/>
      <c r="H179" s="2080"/>
      <c r="I179" s="2080"/>
      <c r="J179" s="2080"/>
      <c r="K179" s="2096"/>
      <c r="L179" s="2080"/>
      <c r="M179" s="2080"/>
      <c r="N179" s="2080"/>
      <c r="O179" s="2096"/>
      <c r="P179" s="2080"/>
      <c r="Q179" s="2080"/>
      <c r="R179" s="2080"/>
      <c r="S179" s="2045" t="s">
        <v>7562</v>
      </c>
      <c r="T179" s="1458"/>
    </row>
    <row r="180" spans="1:20" s="1030" customFormat="1">
      <c r="A180" s="1530"/>
      <c r="B180" s="2045"/>
      <c r="C180" s="2045"/>
      <c r="D180" s="2045"/>
      <c r="E180" s="2045"/>
      <c r="F180" s="2045"/>
      <c r="G180" s="2045"/>
      <c r="H180" s="2045"/>
      <c r="I180" s="2045"/>
      <c r="J180" s="2045"/>
      <c r="K180" s="2072"/>
      <c r="L180" s="2038"/>
      <c r="M180" s="2102"/>
      <c r="N180" s="2045"/>
      <c r="O180" s="2072"/>
      <c r="P180" s="2045"/>
      <c r="Q180" s="2045"/>
      <c r="R180" s="2045"/>
      <c r="S180" s="2045" t="s">
        <v>7562</v>
      </c>
      <c r="T180" s="1458"/>
    </row>
    <row r="181" spans="1:20" s="1030" customFormat="1">
      <c r="A181" s="1530"/>
      <c r="B181" s="2045"/>
      <c r="C181" s="2045"/>
      <c r="D181" s="2045"/>
      <c r="E181" s="2045"/>
      <c r="F181" s="2045"/>
      <c r="G181" s="2072"/>
      <c r="H181" s="2045"/>
      <c r="I181" s="2045"/>
      <c r="J181" s="2045"/>
      <c r="K181" s="2045"/>
      <c r="L181" s="2114"/>
      <c r="M181" s="2114"/>
      <c r="N181" s="2045"/>
      <c r="O181" s="2072"/>
      <c r="P181" s="2045"/>
      <c r="Q181" s="2085"/>
      <c r="R181" s="2045"/>
      <c r="S181" s="2045" t="s">
        <v>7562</v>
      </c>
      <c r="T181" s="1458"/>
    </row>
    <row r="182" spans="1:20" s="1030" customFormat="1">
      <c r="A182" s="1530"/>
      <c r="B182" s="2045"/>
      <c r="C182" s="2045"/>
      <c r="D182" s="2045"/>
      <c r="E182" s="2045"/>
      <c r="F182" s="2045"/>
      <c r="G182" s="2072"/>
      <c r="H182" s="2045"/>
      <c r="I182" s="2045"/>
      <c r="J182" s="2045"/>
      <c r="K182" s="2045"/>
      <c r="L182" s="2114"/>
      <c r="M182" s="2114"/>
      <c r="N182" s="2045"/>
      <c r="O182" s="2072"/>
      <c r="P182" s="2045"/>
      <c r="Q182" s="2085"/>
      <c r="R182" s="2045"/>
      <c r="S182" s="2045" t="s">
        <v>7562</v>
      </c>
      <c r="T182" s="1458"/>
    </row>
    <row r="183" spans="1:20" s="1030" customFormat="1">
      <c r="A183" s="1530"/>
      <c r="B183" s="2045"/>
      <c r="C183" s="2045"/>
      <c r="D183" s="2045"/>
      <c r="E183" s="2045"/>
      <c r="F183" s="2045"/>
      <c r="G183" s="2072"/>
      <c r="H183" s="2045"/>
      <c r="I183" s="2045"/>
      <c r="J183" s="2045"/>
      <c r="K183" s="2045"/>
      <c r="L183" s="2114"/>
      <c r="M183" s="2114"/>
      <c r="N183" s="2045"/>
      <c r="O183" s="2072"/>
      <c r="P183" s="2045"/>
      <c r="Q183" s="2085"/>
      <c r="R183" s="2045"/>
      <c r="S183" s="2045" t="s">
        <v>7562</v>
      </c>
      <c r="T183" s="1458"/>
    </row>
    <row r="184" spans="1:20" s="1030" customFormat="1">
      <c r="A184" s="1530"/>
      <c r="B184" s="2045"/>
      <c r="C184" s="2045"/>
      <c r="D184" s="2045"/>
      <c r="E184" s="2045"/>
      <c r="F184" s="2045"/>
      <c r="G184" s="2072"/>
      <c r="H184" s="2045"/>
      <c r="I184" s="2045"/>
      <c r="J184" s="2045"/>
      <c r="K184" s="2045"/>
      <c r="L184" s="2114"/>
      <c r="M184" s="2114"/>
      <c r="N184" s="2045"/>
      <c r="O184" s="2072"/>
      <c r="P184" s="2045"/>
      <c r="Q184" s="2085"/>
      <c r="R184" s="2045"/>
      <c r="S184" s="2045" t="s">
        <v>7562</v>
      </c>
      <c r="T184" s="1458"/>
    </row>
    <row r="185" spans="1:20" s="1030" customFormat="1">
      <c r="A185" s="1530"/>
      <c r="B185" s="2041"/>
      <c r="C185" s="2041"/>
      <c r="D185" s="2038"/>
      <c r="E185" s="2038"/>
      <c r="F185" s="2038"/>
      <c r="G185" s="2038"/>
      <c r="H185" s="2038"/>
      <c r="I185" s="2038"/>
      <c r="J185" s="2038"/>
      <c r="K185" s="2038"/>
      <c r="L185" s="2038"/>
      <c r="M185" s="2038"/>
      <c r="N185" s="2038"/>
      <c r="O185" s="2072"/>
      <c r="P185" s="2038"/>
      <c r="Q185" s="2038"/>
      <c r="R185" s="2038"/>
      <c r="S185" s="2045" t="s">
        <v>7562</v>
      </c>
      <c r="T185" s="1458"/>
    </row>
    <row r="186" spans="1:20" s="1030" customFormat="1">
      <c r="A186" s="1530"/>
      <c r="B186" s="2041"/>
      <c r="C186" s="2041"/>
      <c r="D186" s="2038"/>
      <c r="E186" s="2038"/>
      <c r="F186" s="2038"/>
      <c r="G186" s="2038"/>
      <c r="H186" s="2038"/>
      <c r="I186" s="2038"/>
      <c r="J186" s="2038"/>
      <c r="K186" s="2038"/>
      <c r="L186" s="2038"/>
      <c r="M186" s="2038"/>
      <c r="N186" s="2038"/>
      <c r="O186" s="2072"/>
      <c r="P186" s="2038"/>
      <c r="Q186" s="2038"/>
      <c r="R186" s="2038"/>
      <c r="S186" s="2045" t="s">
        <v>7562</v>
      </c>
      <c r="T186" s="1458"/>
    </row>
    <row r="187" spans="1:20" s="1030" customFormat="1">
      <c r="A187" s="1530"/>
      <c r="B187" s="2041"/>
      <c r="C187" s="2038"/>
      <c r="D187" s="2038"/>
      <c r="E187" s="2038"/>
      <c r="F187" s="2038"/>
      <c r="G187" s="2108"/>
      <c r="H187" s="2045"/>
      <c r="I187" s="2045"/>
      <c r="J187" s="2045"/>
      <c r="K187" s="2041"/>
      <c r="L187" s="2048"/>
      <c r="M187" s="2048"/>
      <c r="N187" s="2038"/>
      <c r="O187" s="2108"/>
      <c r="P187" s="2108"/>
      <c r="Q187" s="2041"/>
      <c r="R187" s="2045"/>
      <c r="S187" s="2045" t="s">
        <v>7562</v>
      </c>
      <c r="T187" s="1458"/>
    </row>
    <row r="188" spans="1:20" s="1030" customFormat="1">
      <c r="A188" s="1530"/>
      <c r="B188" s="2115"/>
      <c r="C188" s="2115"/>
      <c r="D188" s="2115"/>
      <c r="E188" s="2115"/>
      <c r="F188" s="2115"/>
      <c r="G188" s="2108"/>
      <c r="H188" s="2045"/>
      <c r="I188" s="2045"/>
      <c r="J188" s="2045"/>
      <c r="K188" s="2041"/>
      <c r="L188" s="2048"/>
      <c r="M188" s="2048"/>
      <c r="N188" s="2038"/>
      <c r="O188" s="2108"/>
      <c r="P188" s="2108"/>
      <c r="Q188" s="2041"/>
      <c r="R188" s="2045"/>
      <c r="S188" s="2045" t="s">
        <v>7562</v>
      </c>
      <c r="T188" s="1458"/>
    </row>
    <row r="189" spans="1:20" s="1030" customFormat="1">
      <c r="A189" s="1530"/>
      <c r="B189" s="2115"/>
      <c r="C189" s="2115"/>
      <c r="D189" s="2115"/>
      <c r="E189" s="2115"/>
      <c r="F189" s="2115"/>
      <c r="G189" s="2108"/>
      <c r="H189" s="2045"/>
      <c r="I189" s="2045"/>
      <c r="J189" s="2045"/>
      <c r="K189" s="2041"/>
      <c r="L189" s="2048"/>
      <c r="M189" s="2048"/>
      <c r="N189" s="2038"/>
      <c r="O189" s="2108"/>
      <c r="P189" s="2108"/>
      <c r="Q189" s="2041"/>
      <c r="R189" s="2045"/>
      <c r="S189" s="2045" t="s">
        <v>7562</v>
      </c>
      <c r="T189" s="1458"/>
    </row>
    <row r="190" spans="1:20" s="1030" customFormat="1" ht="20.100000000000001" customHeight="1">
      <c r="A190" s="1537" t="s">
        <v>6546</v>
      </c>
      <c r="B190" s="2116" t="s">
        <v>6547</v>
      </c>
      <c r="C190" s="2045"/>
      <c r="D190" s="2045"/>
      <c r="E190" s="2045"/>
      <c r="F190" s="2045"/>
      <c r="G190" s="2045"/>
      <c r="H190" s="2045"/>
      <c r="I190" s="2045"/>
      <c r="J190" s="2045"/>
      <c r="K190" s="2045"/>
      <c r="L190" s="2045"/>
      <c r="M190" s="2045"/>
      <c r="N190" s="2045"/>
      <c r="O190" s="2045"/>
      <c r="P190" s="2045"/>
      <c r="Q190" s="2045"/>
      <c r="R190" s="2045"/>
      <c r="S190" s="2045"/>
      <c r="T190" s="1458"/>
    </row>
    <row r="191" spans="1:20" s="1030" customFormat="1">
      <c r="A191" s="1530">
        <v>1</v>
      </c>
      <c r="B191" s="2117"/>
      <c r="C191" s="2118"/>
      <c r="D191" s="2119"/>
      <c r="E191" s="2119"/>
      <c r="F191" s="2118"/>
      <c r="G191" s="2118"/>
      <c r="H191" s="2118"/>
      <c r="I191" s="2118"/>
      <c r="J191" s="2118"/>
      <c r="K191" s="2118"/>
      <c r="L191" s="2120"/>
      <c r="M191" s="2120"/>
      <c r="N191" s="2120"/>
      <c r="O191" s="2120"/>
      <c r="P191" s="2120"/>
      <c r="Q191" s="2120"/>
      <c r="R191" s="2120"/>
      <c r="S191" s="2121" t="s">
        <v>7562</v>
      </c>
      <c r="T191" s="906"/>
    </row>
    <row r="192" spans="1:20" s="1030" customFormat="1" ht="20.100000000000001" customHeight="1">
      <c r="A192" s="1576"/>
      <c r="B192" s="2122"/>
      <c r="C192" s="2118"/>
      <c r="D192" s="2122"/>
      <c r="E192" s="2122"/>
      <c r="F192" s="2118"/>
      <c r="G192" s="2118"/>
      <c r="H192" s="2118"/>
      <c r="I192" s="2118"/>
      <c r="J192" s="2118"/>
      <c r="K192" s="2118"/>
      <c r="L192" s="2120"/>
      <c r="M192" s="2120"/>
      <c r="N192" s="2120"/>
      <c r="O192" s="2120"/>
      <c r="P192" s="2120"/>
      <c r="Q192" s="2120"/>
      <c r="R192" s="2120"/>
      <c r="S192" s="2121" t="s">
        <v>7562</v>
      </c>
      <c r="T192" s="906"/>
    </row>
    <row r="193" spans="1:20" s="1030" customFormat="1" ht="20.100000000000001" customHeight="1">
      <c r="A193" s="1576"/>
      <c r="B193" s="2123"/>
      <c r="C193" s="2123"/>
      <c r="D193" s="2123"/>
      <c r="E193" s="2124"/>
      <c r="F193" s="2118"/>
      <c r="G193" s="2118"/>
      <c r="H193" s="2118"/>
      <c r="I193" s="2118"/>
      <c r="J193" s="2118"/>
      <c r="K193" s="2125"/>
      <c r="L193" s="2126"/>
      <c r="M193" s="2127"/>
      <c r="N193" s="2118"/>
      <c r="O193" s="2118"/>
      <c r="P193" s="2118"/>
      <c r="Q193" s="2118"/>
      <c r="R193" s="2118"/>
      <c r="S193" s="2121"/>
      <c r="T193" s="906"/>
    </row>
    <row r="194" spans="1:20" s="1030" customFormat="1" ht="20.100000000000001" customHeight="1">
      <c r="A194" s="1576"/>
      <c r="B194" s="2123"/>
      <c r="C194" s="2123"/>
      <c r="D194" s="2123"/>
      <c r="E194" s="2124"/>
      <c r="F194" s="2118"/>
      <c r="G194" s="2118"/>
      <c r="H194" s="2118"/>
      <c r="I194" s="2118"/>
      <c r="J194" s="2118"/>
      <c r="K194" s="2125"/>
      <c r="L194" s="2128"/>
      <c r="M194" s="2129"/>
      <c r="N194" s="2118"/>
      <c r="O194" s="2118"/>
      <c r="P194" s="2118"/>
      <c r="Q194" s="2118"/>
      <c r="R194" s="2118"/>
      <c r="S194" s="2121"/>
      <c r="T194" s="906"/>
    </row>
    <row r="195" spans="1:20" s="1030" customFormat="1" ht="20.100000000000001" customHeight="1">
      <c r="A195" s="1576"/>
      <c r="B195" s="2130"/>
      <c r="C195" s="2130"/>
      <c r="D195" s="2130"/>
      <c r="E195" s="2131"/>
      <c r="F195" s="2132"/>
      <c r="G195" s="2132"/>
      <c r="H195" s="2132"/>
      <c r="I195" s="2132"/>
      <c r="J195" s="2132"/>
      <c r="K195" s="2132"/>
      <c r="L195" s="2131"/>
      <c r="M195" s="2131"/>
      <c r="N195" s="2130"/>
      <c r="O195" s="2132"/>
      <c r="P195" s="2132"/>
      <c r="Q195" s="2132"/>
      <c r="R195" s="2132"/>
      <c r="S195" s="2121" t="s">
        <v>7562</v>
      </c>
      <c r="T195" s="906"/>
    </row>
    <row r="196" spans="1:20" s="1030" customFormat="1" ht="20.100000000000001" customHeight="1">
      <c r="A196" s="1576">
        <v>2</v>
      </c>
      <c r="B196" s="2130"/>
      <c r="C196" s="2130"/>
      <c r="D196" s="2130"/>
      <c r="E196" s="2131"/>
      <c r="F196" s="2132"/>
      <c r="G196" s="2132"/>
      <c r="H196" s="2132"/>
      <c r="I196" s="2132"/>
      <c r="J196" s="2132"/>
      <c r="K196" s="2132"/>
      <c r="L196" s="2131"/>
      <c r="M196" s="2131"/>
      <c r="N196" s="2130"/>
      <c r="O196" s="2130"/>
      <c r="P196" s="2132"/>
      <c r="Q196" s="2132"/>
      <c r="R196" s="2132"/>
      <c r="S196" s="2121" t="s">
        <v>7562</v>
      </c>
      <c r="T196" s="906"/>
    </row>
    <row r="197" spans="1:20" s="1030" customFormat="1" ht="20.100000000000001" customHeight="1">
      <c r="A197" s="1576"/>
      <c r="B197" s="2130"/>
      <c r="C197" s="2130"/>
      <c r="D197" s="2130"/>
      <c r="E197" s="2131"/>
      <c r="F197" s="2132"/>
      <c r="G197" s="2132"/>
      <c r="H197" s="2132"/>
      <c r="I197" s="2132"/>
      <c r="J197" s="2132"/>
      <c r="K197" s="2132"/>
      <c r="L197" s="2131"/>
      <c r="M197" s="2131"/>
      <c r="N197" s="2130"/>
      <c r="O197" s="2130"/>
      <c r="P197" s="2132"/>
      <c r="Q197" s="2132"/>
      <c r="R197" s="2132"/>
      <c r="S197" s="2121" t="s">
        <v>7562</v>
      </c>
      <c r="T197" s="906"/>
    </row>
    <row r="198" spans="1:20" s="1030" customFormat="1" ht="20.100000000000001" customHeight="1">
      <c r="A198" s="1576">
        <v>3</v>
      </c>
      <c r="B198" s="2121"/>
      <c r="C198" s="2121"/>
      <c r="D198" s="2121"/>
      <c r="E198" s="2121"/>
      <c r="F198" s="2121"/>
      <c r="G198" s="2121"/>
      <c r="H198" s="2121"/>
      <c r="I198" s="2121"/>
      <c r="J198" s="2121"/>
      <c r="K198" s="2121"/>
      <c r="L198" s="2121"/>
      <c r="M198" s="2121"/>
      <c r="N198" s="2121"/>
      <c r="O198" s="2121"/>
      <c r="P198" s="2121"/>
      <c r="Q198" s="2121"/>
      <c r="R198" s="2121"/>
      <c r="S198" s="2121"/>
      <c r="T198" s="906"/>
    </row>
    <row r="199" spans="1:20" s="1030" customFormat="1" ht="20.100000000000001" customHeight="1">
      <c r="A199" s="1576"/>
      <c r="B199" s="2117"/>
      <c r="C199" s="2133"/>
      <c r="D199" s="2119"/>
      <c r="E199" s="2119"/>
      <c r="F199" s="2133"/>
      <c r="G199" s="2133"/>
      <c r="H199" s="2133"/>
      <c r="I199" s="2133"/>
      <c r="J199" s="2133"/>
      <c r="K199" s="2133"/>
      <c r="L199" s="2120"/>
      <c r="M199" s="2120"/>
      <c r="N199" s="2120"/>
      <c r="O199" s="2120"/>
      <c r="P199" s="2120"/>
      <c r="Q199" s="2120"/>
      <c r="R199" s="2120"/>
      <c r="S199" s="2121"/>
      <c r="T199" s="906"/>
    </row>
    <row r="200" spans="1:20" s="1030" customFormat="1" ht="20.100000000000001" customHeight="1">
      <c r="A200" s="1576"/>
      <c r="B200" s="2122"/>
      <c r="C200" s="2133"/>
      <c r="D200" s="2122"/>
      <c r="E200" s="2122"/>
      <c r="F200" s="2133"/>
      <c r="G200" s="2133"/>
      <c r="H200" s="2133"/>
      <c r="I200" s="2133"/>
      <c r="J200" s="2133"/>
      <c r="K200" s="2133"/>
      <c r="L200" s="2120"/>
      <c r="M200" s="2120"/>
      <c r="N200" s="2120"/>
      <c r="O200" s="2120"/>
      <c r="P200" s="2120"/>
      <c r="Q200" s="2120"/>
      <c r="R200" s="2120"/>
      <c r="S200" s="2121"/>
      <c r="T200" s="906"/>
    </row>
    <row r="201" spans="1:20" s="1030" customFormat="1" ht="20.100000000000001" customHeight="1">
      <c r="A201" s="2134" t="s">
        <v>6586</v>
      </c>
      <c r="B201" s="2135" t="s">
        <v>6587</v>
      </c>
      <c r="C201" s="2121"/>
      <c r="D201" s="2121"/>
      <c r="E201" s="2121"/>
      <c r="F201" s="2121"/>
      <c r="G201" s="2121"/>
      <c r="H201" s="2121"/>
      <c r="I201" s="2121"/>
      <c r="J201" s="2121"/>
      <c r="K201" s="2121"/>
      <c r="L201" s="2121"/>
      <c r="M201" s="2121"/>
      <c r="N201" s="2121"/>
      <c r="O201" s="2121"/>
      <c r="P201" s="2121"/>
      <c r="Q201" s="2121"/>
      <c r="R201" s="2121"/>
      <c r="S201" s="2121"/>
      <c r="T201" s="906"/>
    </row>
    <row r="202" spans="1:20" s="1030" customFormat="1">
      <c r="A202" s="1576">
        <v>1</v>
      </c>
      <c r="B202" s="2121"/>
      <c r="C202" s="2121"/>
      <c r="D202" s="2121"/>
      <c r="E202" s="2121"/>
      <c r="F202" s="2121"/>
      <c r="G202" s="2121"/>
      <c r="H202" s="2121"/>
      <c r="I202" s="2121"/>
      <c r="J202" s="2136"/>
      <c r="K202" s="2136"/>
      <c r="L202" s="2121"/>
      <c r="M202" s="2121"/>
      <c r="N202" s="2121"/>
      <c r="O202" s="2136"/>
      <c r="P202" s="2121"/>
      <c r="Q202" s="2121"/>
      <c r="R202" s="2121"/>
      <c r="S202" s="2121" t="s">
        <v>7562</v>
      </c>
      <c r="T202" s="906"/>
    </row>
    <row r="203" spans="1:20" s="1030" customFormat="1" ht="20.100000000000001" customHeight="1">
      <c r="A203" s="1576"/>
      <c r="B203" s="2121" t="s">
        <v>6537</v>
      </c>
      <c r="C203" s="2121"/>
      <c r="D203" s="2121"/>
      <c r="E203" s="2121"/>
      <c r="F203" s="2121"/>
      <c r="G203" s="2121"/>
      <c r="H203" s="2121"/>
      <c r="I203" s="2121"/>
      <c r="J203" s="2121"/>
      <c r="K203" s="2121"/>
      <c r="L203" s="2121"/>
      <c r="M203" s="2121"/>
      <c r="N203" s="2121"/>
      <c r="O203" s="2121"/>
      <c r="P203" s="2121"/>
      <c r="Q203" s="2121"/>
      <c r="R203" s="2121"/>
      <c r="S203" s="2121"/>
      <c r="T203" s="906"/>
    </row>
    <row r="204" spans="1:20" s="1030" customFormat="1" ht="20.100000000000001" customHeight="1">
      <c r="A204" s="1576">
        <v>2</v>
      </c>
      <c r="B204" s="2121" t="s">
        <v>6596</v>
      </c>
      <c r="C204" s="2121"/>
      <c r="D204" s="2121"/>
      <c r="E204" s="2121"/>
      <c r="F204" s="2121"/>
      <c r="G204" s="2121"/>
      <c r="H204" s="2121"/>
      <c r="I204" s="2121"/>
      <c r="J204" s="2121"/>
      <c r="K204" s="2121"/>
      <c r="L204" s="2121"/>
      <c r="M204" s="2121"/>
      <c r="N204" s="2121"/>
      <c r="O204" s="2121"/>
      <c r="P204" s="2121"/>
      <c r="Q204" s="2121"/>
      <c r="R204" s="2121"/>
      <c r="S204" s="2121"/>
      <c r="T204" s="906"/>
    </row>
    <row r="205" spans="1:20" s="1030" customFormat="1" ht="20.100000000000001" customHeight="1">
      <c r="A205" s="1576"/>
      <c r="B205" s="2121" t="s">
        <v>6537</v>
      </c>
      <c r="C205" s="2121"/>
      <c r="D205" s="2121"/>
      <c r="E205" s="2121"/>
      <c r="F205" s="2121"/>
      <c r="G205" s="2121"/>
      <c r="H205" s="2121"/>
      <c r="I205" s="2121"/>
      <c r="J205" s="2121"/>
      <c r="K205" s="2121"/>
      <c r="L205" s="2121"/>
      <c r="M205" s="2121"/>
      <c r="N205" s="2121"/>
      <c r="O205" s="2121"/>
      <c r="P205" s="2121"/>
      <c r="Q205" s="2121"/>
      <c r="R205" s="2121"/>
      <c r="S205" s="2121"/>
      <c r="T205" s="906"/>
    </row>
    <row r="206" spans="1:20" s="1030" customFormat="1" ht="20.100000000000001" customHeight="1">
      <c r="A206" s="2134" t="s">
        <v>6597</v>
      </c>
      <c r="B206" s="2135" t="s">
        <v>6598</v>
      </c>
      <c r="C206" s="2121"/>
      <c r="D206" s="2121"/>
      <c r="E206" s="2121"/>
      <c r="F206" s="2121"/>
      <c r="G206" s="2121"/>
      <c r="H206" s="2121"/>
      <c r="I206" s="2121"/>
      <c r="J206" s="2121"/>
      <c r="K206" s="2121"/>
      <c r="L206" s="2121"/>
      <c r="M206" s="2121"/>
      <c r="N206" s="2121"/>
      <c r="O206" s="2121"/>
      <c r="P206" s="2121"/>
      <c r="Q206" s="2121"/>
      <c r="R206" s="2121"/>
      <c r="S206" s="2121"/>
      <c r="T206" s="906"/>
    </row>
    <row r="207" spans="1:20" s="1030" customFormat="1" ht="20.100000000000001" customHeight="1">
      <c r="A207" s="1576">
        <v>1</v>
      </c>
      <c r="B207" s="2121" t="s">
        <v>6599</v>
      </c>
      <c r="C207" s="2121"/>
      <c r="D207" s="2121"/>
      <c r="E207" s="2121"/>
      <c r="F207" s="2121"/>
      <c r="G207" s="2121"/>
      <c r="H207" s="2121"/>
      <c r="I207" s="2121"/>
      <c r="J207" s="2121"/>
      <c r="K207" s="2121"/>
      <c r="L207" s="2121"/>
      <c r="M207" s="2121"/>
      <c r="N207" s="2121"/>
      <c r="O207" s="2121"/>
      <c r="P207" s="2121"/>
      <c r="Q207" s="2121"/>
      <c r="R207" s="2121"/>
      <c r="S207" s="2121"/>
      <c r="T207" s="906"/>
    </row>
    <row r="208" spans="1:20" s="1030" customFormat="1" ht="20.100000000000001" customHeight="1">
      <c r="A208" s="1576"/>
      <c r="B208" s="2121" t="s">
        <v>6537</v>
      </c>
      <c r="C208" s="2121"/>
      <c r="D208" s="2121"/>
      <c r="E208" s="2121"/>
      <c r="F208" s="2121"/>
      <c r="G208" s="2121"/>
      <c r="H208" s="2121"/>
      <c r="I208" s="2121"/>
      <c r="J208" s="2121"/>
      <c r="K208" s="2121"/>
      <c r="L208" s="2121"/>
      <c r="M208" s="2121"/>
      <c r="N208" s="2121"/>
      <c r="O208" s="2121"/>
      <c r="P208" s="2121"/>
      <c r="Q208" s="2121"/>
      <c r="R208" s="2121"/>
      <c r="S208" s="2121"/>
      <c r="T208" s="906"/>
    </row>
    <row r="209" spans="1:20" s="1030" customFormat="1" ht="24">
      <c r="A209" s="1576">
        <v>2</v>
      </c>
      <c r="B209" s="2124" t="s">
        <v>1173</v>
      </c>
      <c r="C209" s="2124" t="s">
        <v>7629</v>
      </c>
      <c r="D209" s="2124" t="s">
        <v>131</v>
      </c>
      <c r="E209" s="2124">
        <v>2</v>
      </c>
      <c r="F209" s="2130"/>
      <c r="G209" s="2137" t="s">
        <v>7572</v>
      </c>
      <c r="H209" s="2137" t="s">
        <v>33</v>
      </c>
      <c r="I209" s="2130"/>
      <c r="J209" s="2123"/>
      <c r="K209" s="2123" t="s">
        <v>7630</v>
      </c>
      <c r="L209" s="2123">
        <v>32743.360000000001</v>
      </c>
      <c r="M209" s="2126">
        <v>0</v>
      </c>
      <c r="N209" s="2138">
        <v>2019.7</v>
      </c>
      <c r="O209" s="2139" t="s">
        <v>7567</v>
      </c>
      <c r="P209" s="2137" t="s">
        <v>7568</v>
      </c>
      <c r="Q209" s="2137">
        <v>17601040821</v>
      </c>
      <c r="R209" s="2140" t="s">
        <v>7569</v>
      </c>
      <c r="S209" s="2121" t="s">
        <v>7562</v>
      </c>
      <c r="T209" s="906"/>
    </row>
    <row r="210" spans="1:20" s="1030" customFormat="1" ht="24">
      <c r="A210" s="1576"/>
      <c r="B210" s="2124" t="s">
        <v>1173</v>
      </c>
      <c r="C210" s="2124" t="s">
        <v>7629</v>
      </c>
      <c r="D210" s="2124" t="s">
        <v>131</v>
      </c>
      <c r="E210" s="2124">
        <v>1</v>
      </c>
      <c r="F210" s="2130"/>
      <c r="G210" s="2137" t="s">
        <v>7572</v>
      </c>
      <c r="H210" s="2137" t="s">
        <v>33</v>
      </c>
      <c r="I210" s="2130"/>
      <c r="J210" s="2123"/>
      <c r="K210" s="2123" t="s">
        <v>7631</v>
      </c>
      <c r="L210" s="2123">
        <v>16371.68</v>
      </c>
      <c r="M210" s="2126">
        <v>0</v>
      </c>
      <c r="N210" s="2138">
        <v>2019.7</v>
      </c>
      <c r="O210" s="2139" t="s">
        <v>7567</v>
      </c>
      <c r="P210" s="2137" t="s">
        <v>7568</v>
      </c>
      <c r="Q210" s="2137">
        <v>17601040821</v>
      </c>
      <c r="R210" s="2140" t="s">
        <v>7569</v>
      </c>
      <c r="S210" s="2121" t="s">
        <v>7562</v>
      </c>
      <c r="T210" s="906"/>
    </row>
    <row r="211" spans="1:20" s="1030" customFormat="1" ht="24">
      <c r="A211" s="1576"/>
      <c r="B211" s="2124" t="s">
        <v>1173</v>
      </c>
      <c r="C211" s="2131" t="s">
        <v>7632</v>
      </c>
      <c r="D211" s="2124" t="s">
        <v>1165</v>
      </c>
      <c r="E211" s="2124">
        <v>1</v>
      </c>
      <c r="F211" s="2130"/>
      <c r="G211" s="2137" t="s">
        <v>7572</v>
      </c>
      <c r="H211" s="2137" t="s">
        <v>33</v>
      </c>
      <c r="I211" s="2130"/>
      <c r="J211" s="2130"/>
      <c r="K211" s="2123" t="s">
        <v>7633</v>
      </c>
      <c r="L211" s="2123">
        <v>11194.69</v>
      </c>
      <c r="M211" s="2126">
        <v>6297.0111250000009</v>
      </c>
      <c r="N211" s="2138">
        <v>2021.4</v>
      </c>
      <c r="O211" s="2139" t="s">
        <v>7567</v>
      </c>
      <c r="P211" s="2137" t="s">
        <v>7568</v>
      </c>
      <c r="Q211" s="2137">
        <v>17601040821</v>
      </c>
      <c r="R211" s="2140" t="s">
        <v>7569</v>
      </c>
      <c r="S211" s="2121" t="s">
        <v>7562</v>
      </c>
      <c r="T211" s="906"/>
    </row>
    <row r="212" spans="1:20" s="1030" customFormat="1" ht="24">
      <c r="A212" s="1576"/>
      <c r="B212" s="2124" t="s">
        <v>1173</v>
      </c>
      <c r="C212" s="2131" t="s">
        <v>7634</v>
      </c>
      <c r="D212" s="2124" t="s">
        <v>1165</v>
      </c>
      <c r="E212" s="2124">
        <v>1</v>
      </c>
      <c r="F212" s="2130"/>
      <c r="G212" s="2137" t="s">
        <v>7572</v>
      </c>
      <c r="H212" s="2137" t="s">
        <v>33</v>
      </c>
      <c r="I212" s="2130"/>
      <c r="J212" s="2130"/>
      <c r="K212" s="2123" t="s">
        <v>7633</v>
      </c>
      <c r="L212" s="2123">
        <v>26769.91</v>
      </c>
      <c r="M212" s="2126">
        <v>15058.076375000001</v>
      </c>
      <c r="N212" s="2138">
        <v>2021.4</v>
      </c>
      <c r="O212" s="2139" t="s">
        <v>7567</v>
      </c>
      <c r="P212" s="2137" t="s">
        <v>7568</v>
      </c>
      <c r="Q212" s="2137">
        <v>17601040821</v>
      </c>
      <c r="R212" s="2140" t="s">
        <v>7569</v>
      </c>
      <c r="S212" s="2121" t="s">
        <v>7562</v>
      </c>
      <c r="T212" s="906"/>
    </row>
    <row r="213" spans="1:20" s="1030" customFormat="1" ht="24">
      <c r="A213" s="1576"/>
      <c r="B213" s="2124" t="s">
        <v>1173</v>
      </c>
      <c r="C213" s="2131" t="s">
        <v>7635</v>
      </c>
      <c r="D213" s="2124" t="s">
        <v>1165</v>
      </c>
      <c r="E213" s="2124">
        <v>6</v>
      </c>
      <c r="F213" s="2130"/>
      <c r="G213" s="2137" t="s">
        <v>7572</v>
      </c>
      <c r="H213" s="2137" t="s">
        <v>33</v>
      </c>
      <c r="I213" s="2130"/>
      <c r="J213" s="2130"/>
      <c r="K213" s="2123" t="s">
        <v>7633</v>
      </c>
      <c r="L213" s="2123">
        <v>67168.14</v>
      </c>
      <c r="M213" s="2126">
        <v>37782.081250000003</v>
      </c>
      <c r="N213" s="2138">
        <v>2021.4</v>
      </c>
      <c r="O213" s="2139" t="s">
        <v>7567</v>
      </c>
      <c r="P213" s="2137" t="s">
        <v>7568</v>
      </c>
      <c r="Q213" s="2137">
        <v>17601040821</v>
      </c>
      <c r="R213" s="2140" t="s">
        <v>7569</v>
      </c>
      <c r="S213" s="2121" t="s">
        <v>7562</v>
      </c>
      <c r="T213" s="906"/>
    </row>
    <row r="214" spans="1:20" s="1030" customFormat="1" ht="24">
      <c r="A214" s="1576"/>
      <c r="B214" s="2124" t="s">
        <v>1173</v>
      </c>
      <c r="C214" s="2131" t="s">
        <v>7635</v>
      </c>
      <c r="D214" s="2124" t="s">
        <v>1165</v>
      </c>
      <c r="E214" s="2124">
        <v>7</v>
      </c>
      <c r="F214" s="2130"/>
      <c r="G214" s="2137" t="s">
        <v>7572</v>
      </c>
      <c r="H214" s="2137" t="s">
        <v>33</v>
      </c>
      <c r="I214" s="2130"/>
      <c r="J214" s="2130"/>
      <c r="K214" s="2123" t="s">
        <v>7633</v>
      </c>
      <c r="L214" s="2123">
        <v>78362.83</v>
      </c>
      <c r="M214" s="2126">
        <v>44079.089791666702</v>
      </c>
      <c r="N214" s="2138">
        <v>2021.4</v>
      </c>
      <c r="O214" s="2139" t="s">
        <v>7567</v>
      </c>
      <c r="P214" s="2137" t="s">
        <v>7568</v>
      </c>
      <c r="Q214" s="2137">
        <v>17601040821</v>
      </c>
      <c r="R214" s="2140" t="s">
        <v>7569</v>
      </c>
      <c r="S214" s="2121" t="s">
        <v>7562</v>
      </c>
      <c r="T214" s="906"/>
    </row>
    <row r="215" spans="1:20" s="1030" customFormat="1" ht="24">
      <c r="A215" s="1576"/>
      <c r="B215" s="2124" t="s">
        <v>1173</v>
      </c>
      <c r="C215" s="2131" t="s">
        <v>7636</v>
      </c>
      <c r="D215" s="2124" t="s">
        <v>1165</v>
      </c>
      <c r="E215" s="2124">
        <v>2</v>
      </c>
      <c r="F215" s="2130"/>
      <c r="G215" s="2137" t="s">
        <v>7572</v>
      </c>
      <c r="H215" s="2137" t="s">
        <v>33</v>
      </c>
      <c r="I215" s="2130"/>
      <c r="J215" s="2130"/>
      <c r="K215" s="2123" t="s">
        <v>7633</v>
      </c>
      <c r="L215" s="2123">
        <v>19911.5</v>
      </c>
      <c r="M215" s="2126">
        <v>11200.21458333334</v>
      </c>
      <c r="N215" s="2138">
        <v>2021.4</v>
      </c>
      <c r="O215" s="2139" t="s">
        <v>7567</v>
      </c>
      <c r="P215" s="2137" t="s">
        <v>7568</v>
      </c>
      <c r="Q215" s="2137">
        <v>17601040821</v>
      </c>
      <c r="R215" s="2140" t="s">
        <v>7569</v>
      </c>
      <c r="S215" s="2121" t="s">
        <v>7562</v>
      </c>
      <c r="T215" s="906"/>
    </row>
    <row r="216" spans="1:20" s="1030" customFormat="1" ht="24">
      <c r="A216" s="1576"/>
      <c r="B216" s="2124" t="s">
        <v>1173</v>
      </c>
      <c r="C216" s="2124" t="s">
        <v>7636</v>
      </c>
      <c r="D216" s="2124" t="s">
        <v>1165</v>
      </c>
      <c r="E216" s="2124">
        <v>7</v>
      </c>
      <c r="F216" s="2130"/>
      <c r="G216" s="2137" t="s">
        <v>7572</v>
      </c>
      <c r="H216" s="2137" t="s">
        <v>33</v>
      </c>
      <c r="I216" s="2130"/>
      <c r="J216" s="2130"/>
      <c r="K216" s="2123" t="s">
        <v>7633</v>
      </c>
      <c r="L216" s="2123">
        <v>69690.27</v>
      </c>
      <c r="M216" s="2126">
        <v>39200.778125000004</v>
      </c>
      <c r="N216" s="2138">
        <v>2021.4</v>
      </c>
      <c r="O216" s="2139" t="s">
        <v>7567</v>
      </c>
      <c r="P216" s="2137" t="s">
        <v>7568</v>
      </c>
      <c r="Q216" s="2137">
        <v>17601040821</v>
      </c>
      <c r="R216" s="2140" t="s">
        <v>7569</v>
      </c>
      <c r="S216" s="2121" t="s">
        <v>7562</v>
      </c>
      <c r="T216" s="906"/>
    </row>
    <row r="217" spans="1:20" s="1030" customFormat="1" ht="24">
      <c r="A217" s="1576"/>
      <c r="B217" s="2124" t="s">
        <v>1173</v>
      </c>
      <c r="C217" s="2124" t="s">
        <v>7637</v>
      </c>
      <c r="D217" s="2124" t="s">
        <v>1165</v>
      </c>
      <c r="E217" s="2124">
        <v>2</v>
      </c>
      <c r="F217" s="2130"/>
      <c r="G217" s="2137" t="s">
        <v>7572</v>
      </c>
      <c r="H217" s="2137" t="s">
        <v>33</v>
      </c>
      <c r="I217" s="2130"/>
      <c r="J217" s="2130"/>
      <c r="K217" s="2123" t="s">
        <v>7633</v>
      </c>
      <c r="L217" s="2123">
        <v>28761.06</v>
      </c>
      <c r="M217" s="2126">
        <v>16178.093750000002</v>
      </c>
      <c r="N217" s="2138">
        <v>2021.4</v>
      </c>
      <c r="O217" s="2139" t="s">
        <v>7567</v>
      </c>
      <c r="P217" s="2137" t="s">
        <v>7568</v>
      </c>
      <c r="Q217" s="2137">
        <v>17601040821</v>
      </c>
      <c r="R217" s="2140" t="s">
        <v>7569</v>
      </c>
      <c r="S217" s="2121" t="s">
        <v>7562</v>
      </c>
      <c r="T217" s="906"/>
    </row>
    <row r="218" spans="1:20" s="1030" customFormat="1" ht="24">
      <c r="A218" s="1576"/>
      <c r="B218" s="2124" t="s">
        <v>1173</v>
      </c>
      <c r="C218" s="2124" t="s">
        <v>7637</v>
      </c>
      <c r="D218" s="2124" t="s">
        <v>1165</v>
      </c>
      <c r="E218" s="2124">
        <v>4</v>
      </c>
      <c r="F218" s="2130"/>
      <c r="G218" s="2137" t="s">
        <v>7572</v>
      </c>
      <c r="H218" s="2137" t="s">
        <v>33</v>
      </c>
      <c r="I218" s="2130"/>
      <c r="J218" s="2130"/>
      <c r="K218" s="2123" t="s">
        <v>7633</v>
      </c>
      <c r="L218" s="2123">
        <v>57522.12</v>
      </c>
      <c r="M218" s="2126">
        <v>32356.187500000004</v>
      </c>
      <c r="N218" s="2138">
        <v>2021.4</v>
      </c>
      <c r="O218" s="2139" t="s">
        <v>7567</v>
      </c>
      <c r="P218" s="2137" t="s">
        <v>7568</v>
      </c>
      <c r="Q218" s="2137">
        <v>17601040821</v>
      </c>
      <c r="R218" s="2140" t="s">
        <v>7569</v>
      </c>
      <c r="S218" s="2121" t="s">
        <v>7562</v>
      </c>
      <c r="T218" s="906"/>
    </row>
    <row r="219" spans="1:20" s="1030" customFormat="1" ht="24">
      <c r="A219" s="1576"/>
      <c r="B219" s="2124" t="s">
        <v>1173</v>
      </c>
      <c r="C219" s="2124" t="s">
        <v>7638</v>
      </c>
      <c r="D219" s="2124" t="s">
        <v>79</v>
      </c>
      <c r="E219" s="2124">
        <v>1</v>
      </c>
      <c r="F219" s="2130"/>
      <c r="G219" s="2137" t="s">
        <v>7572</v>
      </c>
      <c r="H219" s="2137" t="s">
        <v>33</v>
      </c>
      <c r="I219" s="2130"/>
      <c r="J219" s="2130"/>
      <c r="K219" s="2123" t="s">
        <v>7633</v>
      </c>
      <c r="L219" s="2123">
        <v>20353.98</v>
      </c>
      <c r="M219" s="2126">
        <v>11449.116249999999</v>
      </c>
      <c r="N219" s="2138">
        <v>2021.4</v>
      </c>
      <c r="O219" s="2139" t="s">
        <v>7567</v>
      </c>
      <c r="P219" s="2137" t="s">
        <v>7568</v>
      </c>
      <c r="Q219" s="2137">
        <v>17601040821</v>
      </c>
      <c r="R219" s="2140" t="s">
        <v>7569</v>
      </c>
      <c r="S219" s="2121"/>
      <c r="T219" s="906"/>
    </row>
    <row r="220" spans="1:20" s="1030" customFormat="1" ht="20.100000000000001" customHeight="1">
      <c r="A220" s="1576"/>
      <c r="B220" s="2124" t="s">
        <v>1173</v>
      </c>
      <c r="C220" s="2124" t="s">
        <v>7639</v>
      </c>
      <c r="D220" s="2124" t="s">
        <v>79</v>
      </c>
      <c r="E220" s="2124">
        <v>1</v>
      </c>
      <c r="F220" s="2130"/>
      <c r="G220" s="2137" t="s">
        <v>7572</v>
      </c>
      <c r="H220" s="2137" t="s">
        <v>33</v>
      </c>
      <c r="I220" s="2130"/>
      <c r="J220" s="2130"/>
      <c r="K220" s="2123" t="s">
        <v>7633</v>
      </c>
      <c r="L220" s="2123">
        <v>16858.41</v>
      </c>
      <c r="M220" s="2126">
        <v>9482.859375</v>
      </c>
      <c r="N220" s="2138">
        <v>2021.4</v>
      </c>
      <c r="O220" s="2139" t="s">
        <v>7567</v>
      </c>
      <c r="P220" s="2137" t="s">
        <v>7568</v>
      </c>
      <c r="Q220" s="2137">
        <v>17601040821</v>
      </c>
      <c r="R220" s="2140" t="s">
        <v>7569</v>
      </c>
      <c r="S220" s="2121"/>
      <c r="T220" s="906"/>
    </row>
    <row r="221" spans="1:20" s="1030" customFormat="1" ht="20.100000000000001" customHeight="1">
      <c r="A221" s="1576"/>
      <c r="B221" s="2124" t="s">
        <v>1173</v>
      </c>
      <c r="C221" s="2124" t="s">
        <v>7640</v>
      </c>
      <c r="D221" s="2124" t="s">
        <v>1165</v>
      </c>
      <c r="E221" s="2124">
        <v>3</v>
      </c>
      <c r="F221" s="2130"/>
      <c r="G221" s="2137" t="s">
        <v>7572</v>
      </c>
      <c r="H221" s="2137" t="s">
        <v>33</v>
      </c>
      <c r="I221" s="2130"/>
      <c r="J221" s="2130"/>
      <c r="K221" s="2123" t="s">
        <v>7633</v>
      </c>
      <c r="L221" s="2123">
        <v>43141.59</v>
      </c>
      <c r="M221" s="2126">
        <v>24267.140625</v>
      </c>
      <c r="N221" s="2138">
        <v>2021.4</v>
      </c>
      <c r="O221" s="2139" t="s">
        <v>7567</v>
      </c>
      <c r="P221" s="2137" t="s">
        <v>7568</v>
      </c>
      <c r="Q221" s="2137">
        <v>17601040821</v>
      </c>
      <c r="R221" s="2140" t="s">
        <v>7569</v>
      </c>
      <c r="S221" s="2121"/>
      <c r="T221" s="906"/>
    </row>
    <row r="222" spans="1:20" s="1030" customFormat="1" ht="20.100000000000001" customHeight="1">
      <c r="A222" s="1576"/>
      <c r="B222" s="2124" t="s">
        <v>1173</v>
      </c>
      <c r="C222" s="2131" t="s">
        <v>7641</v>
      </c>
      <c r="D222" s="2124" t="s">
        <v>1165</v>
      </c>
      <c r="E222" s="2124">
        <v>1</v>
      </c>
      <c r="F222" s="2130"/>
      <c r="G222" s="2137" t="s">
        <v>7572</v>
      </c>
      <c r="H222" s="2137" t="s">
        <v>33</v>
      </c>
      <c r="I222" s="2130"/>
      <c r="J222" s="2130"/>
      <c r="K222" s="2123" t="s">
        <v>7633</v>
      </c>
      <c r="L222" s="2123">
        <v>22345.13</v>
      </c>
      <c r="M222" s="2126">
        <v>12569.132708333331</v>
      </c>
      <c r="N222" s="2138">
        <v>2021.4</v>
      </c>
      <c r="O222" s="2139" t="s">
        <v>7567</v>
      </c>
      <c r="P222" s="2137" t="s">
        <v>7568</v>
      </c>
      <c r="Q222" s="2137">
        <v>17601040821</v>
      </c>
      <c r="R222" s="2140" t="s">
        <v>7569</v>
      </c>
      <c r="S222" s="2121"/>
      <c r="T222" s="906"/>
    </row>
    <row r="223" spans="1:20" s="1030" customFormat="1" ht="20.100000000000001" customHeight="1">
      <c r="A223" s="1576"/>
      <c r="B223" s="2124" t="s">
        <v>1173</v>
      </c>
      <c r="C223" s="2131" t="s">
        <v>7642</v>
      </c>
      <c r="D223" s="2124" t="s">
        <v>1165</v>
      </c>
      <c r="E223" s="2124">
        <v>1</v>
      </c>
      <c r="F223" s="2130"/>
      <c r="G223" s="2137" t="s">
        <v>7572</v>
      </c>
      <c r="H223" s="2137" t="s">
        <v>33</v>
      </c>
      <c r="I223" s="2130"/>
      <c r="J223" s="2130"/>
      <c r="K223" s="2123" t="s">
        <v>7633</v>
      </c>
      <c r="L223" s="2123">
        <v>23938.05</v>
      </c>
      <c r="M223" s="2126">
        <v>14047.194874999999</v>
      </c>
      <c r="N223" s="2138">
        <v>2021.4</v>
      </c>
      <c r="O223" s="2139" t="s">
        <v>7567</v>
      </c>
      <c r="P223" s="2137" t="s">
        <v>7568</v>
      </c>
      <c r="Q223" s="2137">
        <v>17601040821</v>
      </c>
      <c r="R223" s="2140" t="s">
        <v>7569</v>
      </c>
      <c r="S223" s="2121"/>
      <c r="T223" s="906"/>
    </row>
    <row r="224" spans="1:20" s="1030" customFormat="1" ht="20.100000000000001" customHeight="1">
      <c r="A224" s="1576"/>
      <c r="B224" s="2124" t="s">
        <v>1173</v>
      </c>
      <c r="C224" s="2124" t="s">
        <v>7643</v>
      </c>
      <c r="D224" s="2124" t="s">
        <v>1165</v>
      </c>
      <c r="E224" s="2124">
        <v>1</v>
      </c>
      <c r="F224" s="2130"/>
      <c r="G224" s="2137" t="s">
        <v>7572</v>
      </c>
      <c r="H224" s="2137" t="s">
        <v>33</v>
      </c>
      <c r="I224" s="2130"/>
      <c r="J224" s="2130"/>
      <c r="K224" s="2123" t="s">
        <v>7633</v>
      </c>
      <c r="L224" s="2123">
        <v>20309.73</v>
      </c>
      <c r="M224" s="2126">
        <v>11424.221874999999</v>
      </c>
      <c r="N224" s="2138">
        <v>2021.4</v>
      </c>
      <c r="O224" s="2139" t="s">
        <v>7567</v>
      </c>
      <c r="P224" s="2137" t="s">
        <v>7568</v>
      </c>
      <c r="Q224" s="2137">
        <v>17601040821</v>
      </c>
      <c r="R224" s="2140" t="s">
        <v>7569</v>
      </c>
      <c r="S224" s="2121"/>
      <c r="T224" s="906"/>
    </row>
    <row r="225" spans="1:20" s="1030" customFormat="1" ht="20.100000000000001" customHeight="1">
      <c r="A225" s="1576"/>
      <c r="B225" s="2124" t="s">
        <v>1173</v>
      </c>
      <c r="C225" s="2124" t="s">
        <v>7644</v>
      </c>
      <c r="D225" s="2124" t="s">
        <v>1165</v>
      </c>
      <c r="E225" s="2124">
        <v>1</v>
      </c>
      <c r="F225" s="2130"/>
      <c r="G225" s="2137" t="s">
        <v>7572</v>
      </c>
      <c r="H225" s="2137" t="s">
        <v>33</v>
      </c>
      <c r="I225" s="2130"/>
      <c r="J225" s="2130"/>
      <c r="K225" s="2123" t="s">
        <v>7633</v>
      </c>
      <c r="L225" s="2123">
        <v>26902.65</v>
      </c>
      <c r="M225" s="2126">
        <v>15132.744375000002</v>
      </c>
      <c r="N225" s="2138">
        <v>2021.4</v>
      </c>
      <c r="O225" s="2139" t="s">
        <v>7567</v>
      </c>
      <c r="P225" s="2137" t="s">
        <v>7568</v>
      </c>
      <c r="Q225" s="2137">
        <v>17601040821</v>
      </c>
      <c r="R225" s="2140" t="s">
        <v>7569</v>
      </c>
      <c r="S225" s="2121"/>
      <c r="T225" s="906"/>
    </row>
    <row r="226" spans="1:20" s="1030" customFormat="1" ht="20.100000000000001" customHeight="1">
      <c r="A226" s="1576"/>
      <c r="B226" s="2124" t="s">
        <v>1173</v>
      </c>
      <c r="C226" s="2124" t="s">
        <v>7645</v>
      </c>
      <c r="D226" s="2124" t="s">
        <v>1165</v>
      </c>
      <c r="E226" s="2124">
        <v>1</v>
      </c>
      <c r="F226" s="2130"/>
      <c r="G226" s="2137" t="s">
        <v>7572</v>
      </c>
      <c r="H226" s="2137" t="s">
        <v>33</v>
      </c>
      <c r="I226" s="2130"/>
      <c r="J226" s="2130"/>
      <c r="K226" s="2123" t="s">
        <v>7633</v>
      </c>
      <c r="L226" s="2123">
        <v>25398.23</v>
      </c>
      <c r="M226" s="2126">
        <v>14286.50395833332</v>
      </c>
      <c r="N226" s="2138">
        <v>2021.4</v>
      </c>
      <c r="O226" s="2139" t="s">
        <v>7567</v>
      </c>
      <c r="P226" s="2137" t="s">
        <v>7568</v>
      </c>
      <c r="Q226" s="2137">
        <v>17601040821</v>
      </c>
      <c r="R226" s="2140" t="s">
        <v>7569</v>
      </c>
      <c r="S226" s="2121"/>
      <c r="T226" s="906"/>
    </row>
    <row r="227" spans="1:20" s="1030" customFormat="1" ht="20.100000000000001" customHeight="1">
      <c r="A227" s="1576"/>
      <c r="B227" s="2124" t="s">
        <v>1173</v>
      </c>
      <c r="C227" s="2124" t="s">
        <v>7642</v>
      </c>
      <c r="D227" s="2124" t="s">
        <v>1165</v>
      </c>
      <c r="E227" s="2124">
        <v>1</v>
      </c>
      <c r="F227" s="2130"/>
      <c r="G227" s="2137" t="s">
        <v>7572</v>
      </c>
      <c r="H227" s="2137" t="s">
        <v>33</v>
      </c>
      <c r="I227" s="2130"/>
      <c r="J227" s="2130"/>
      <c r="K227" s="2123" t="s">
        <v>7633</v>
      </c>
      <c r="L227" s="2123">
        <v>24070.799999999999</v>
      </c>
      <c r="M227" s="2126">
        <v>13539.825000000001</v>
      </c>
      <c r="N227" s="2138">
        <v>2021.4</v>
      </c>
      <c r="O227" s="2139" t="s">
        <v>7567</v>
      </c>
      <c r="P227" s="2137" t="s">
        <v>7568</v>
      </c>
      <c r="Q227" s="2137">
        <v>17601040821</v>
      </c>
      <c r="R227" s="2140" t="s">
        <v>7569</v>
      </c>
      <c r="S227" s="2121"/>
      <c r="T227" s="906"/>
    </row>
    <row r="228" spans="1:20" s="1030" customFormat="1" ht="20.100000000000001" customHeight="1">
      <c r="A228" s="1576"/>
      <c r="B228" s="2124" t="s">
        <v>1173</v>
      </c>
      <c r="C228" s="2124" t="s">
        <v>7646</v>
      </c>
      <c r="D228" s="2124" t="s">
        <v>1165</v>
      </c>
      <c r="E228" s="2124">
        <v>10</v>
      </c>
      <c r="F228" s="2130"/>
      <c r="G228" s="2137" t="s">
        <v>7572</v>
      </c>
      <c r="H228" s="2137" t="s">
        <v>33</v>
      </c>
      <c r="I228" s="2130"/>
      <c r="J228" s="2130"/>
      <c r="K228" s="2123" t="s">
        <v>7633</v>
      </c>
      <c r="L228" s="2123">
        <v>148514.85999999999</v>
      </c>
      <c r="M228" s="2126">
        <v>101485.16075</v>
      </c>
      <c r="N228" s="2138">
        <v>2022.9</v>
      </c>
      <c r="O228" s="2139" t="s">
        <v>7569</v>
      </c>
      <c r="P228" s="2137" t="s">
        <v>7568</v>
      </c>
      <c r="Q228" s="2137">
        <v>17601040821</v>
      </c>
      <c r="R228" s="2140" t="s">
        <v>7569</v>
      </c>
      <c r="S228" s="2121"/>
      <c r="T228" s="906"/>
    </row>
    <row r="229" spans="1:20" s="1030" customFormat="1" ht="20.100000000000001" customHeight="1">
      <c r="A229" s="1576"/>
      <c r="B229" s="2124" t="s">
        <v>1173</v>
      </c>
      <c r="C229" s="2124" t="s">
        <v>7647</v>
      </c>
      <c r="D229" s="2124" t="s">
        <v>1165</v>
      </c>
      <c r="E229" s="2124">
        <v>1</v>
      </c>
      <c r="F229" s="2130"/>
      <c r="G229" s="2137" t="s">
        <v>7572</v>
      </c>
      <c r="H229" s="2137" t="s">
        <v>33</v>
      </c>
      <c r="I229" s="2130"/>
      <c r="J229" s="2130"/>
      <c r="K229" s="2123" t="s">
        <v>7633</v>
      </c>
      <c r="L229" s="2123">
        <v>28217.822</v>
      </c>
      <c r="M229" s="2126">
        <v>19282.179275000002</v>
      </c>
      <c r="N229" s="2138">
        <v>2022.9</v>
      </c>
      <c r="O229" s="2139" t="s">
        <v>7569</v>
      </c>
      <c r="P229" s="2137" t="s">
        <v>7568</v>
      </c>
      <c r="Q229" s="2137">
        <v>17601040821</v>
      </c>
      <c r="R229" s="2140" t="s">
        <v>7569</v>
      </c>
      <c r="S229" s="2121"/>
      <c r="T229" s="906"/>
    </row>
    <row r="230" spans="1:20" s="1030" customFormat="1" ht="20.100000000000001" customHeight="1">
      <c r="A230" s="1576"/>
      <c r="B230" s="2124" t="s">
        <v>1173</v>
      </c>
      <c r="C230" s="2124" t="s">
        <v>7648</v>
      </c>
      <c r="D230" s="2124" t="s">
        <v>1165</v>
      </c>
      <c r="E230" s="2124">
        <v>1</v>
      </c>
      <c r="F230" s="2130"/>
      <c r="G230" s="2137" t="s">
        <v>7572</v>
      </c>
      <c r="H230" s="2137" t="s">
        <v>33</v>
      </c>
      <c r="I230" s="2130"/>
      <c r="J230" s="2130"/>
      <c r="K230" s="2123" t="s">
        <v>7633</v>
      </c>
      <c r="L230" s="2123">
        <v>24455.446</v>
      </c>
      <c r="M230" s="2126">
        <v>16711.217575000002</v>
      </c>
      <c r="N230" s="2138">
        <v>2022.9</v>
      </c>
      <c r="O230" s="2139" t="s">
        <v>7569</v>
      </c>
      <c r="P230" s="2137" t="s">
        <v>7568</v>
      </c>
      <c r="Q230" s="2137">
        <v>17601040821</v>
      </c>
      <c r="R230" s="2140" t="s">
        <v>7569</v>
      </c>
      <c r="S230" s="2121"/>
      <c r="T230" s="906"/>
    </row>
    <row r="231" spans="1:20" s="1030" customFormat="1" ht="20.100000000000001" customHeight="1">
      <c r="A231" s="1576"/>
      <c r="B231" s="2124" t="s">
        <v>1173</v>
      </c>
      <c r="C231" s="2124" t="s">
        <v>7649</v>
      </c>
      <c r="D231" s="2124" t="s">
        <v>1165</v>
      </c>
      <c r="E231" s="2124">
        <v>1</v>
      </c>
      <c r="F231" s="2130"/>
      <c r="G231" s="2137" t="s">
        <v>7572</v>
      </c>
      <c r="H231" s="2137" t="s">
        <v>33</v>
      </c>
      <c r="I231" s="2130"/>
      <c r="J231" s="2130"/>
      <c r="K231" s="2123" t="s">
        <v>7633</v>
      </c>
      <c r="L231" s="2123">
        <v>14851.49</v>
      </c>
      <c r="M231" s="2126">
        <v>10148.521124999999</v>
      </c>
      <c r="N231" s="2138">
        <v>2022.9</v>
      </c>
      <c r="O231" s="2139" t="s">
        <v>7569</v>
      </c>
      <c r="P231" s="2137" t="s">
        <v>7568</v>
      </c>
      <c r="Q231" s="2137">
        <v>17601040821</v>
      </c>
      <c r="R231" s="2140" t="s">
        <v>7569</v>
      </c>
      <c r="S231" s="2121"/>
      <c r="T231" s="906"/>
    </row>
    <row r="232" spans="1:20" s="1030" customFormat="1" ht="20.100000000000001" customHeight="1">
      <c r="A232" s="1576"/>
      <c r="B232" s="2124" t="s">
        <v>1173</v>
      </c>
      <c r="C232" s="2124" t="s">
        <v>7650</v>
      </c>
      <c r="D232" s="2124" t="s">
        <v>1165</v>
      </c>
      <c r="E232" s="2124">
        <v>2</v>
      </c>
      <c r="F232" s="2130"/>
      <c r="G232" s="2137" t="s">
        <v>7572</v>
      </c>
      <c r="H232" s="2137" t="s">
        <v>33</v>
      </c>
      <c r="I232" s="2130"/>
      <c r="J232" s="2130"/>
      <c r="K232" s="2123" t="s">
        <v>7633</v>
      </c>
      <c r="L232" s="2123">
        <v>41584.160000000003</v>
      </c>
      <c r="M232" s="2126">
        <v>28415.842000000004</v>
      </c>
      <c r="N232" s="2138">
        <v>2022.9</v>
      </c>
      <c r="O232" s="2139" t="s">
        <v>7569</v>
      </c>
      <c r="P232" s="2137" t="s">
        <v>7568</v>
      </c>
      <c r="Q232" s="2137">
        <v>17601040821</v>
      </c>
      <c r="R232" s="2140" t="s">
        <v>7569</v>
      </c>
      <c r="S232" s="2121"/>
      <c r="T232" s="906"/>
    </row>
    <row r="233" spans="1:20" s="1030" customFormat="1" ht="20.100000000000001" customHeight="1">
      <c r="A233" s="1576"/>
      <c r="B233" s="2124"/>
      <c r="C233" s="2124"/>
      <c r="D233" s="2124"/>
      <c r="E233" s="2124"/>
      <c r="F233" s="2130"/>
      <c r="G233" s="2137"/>
      <c r="H233" s="2137"/>
      <c r="I233" s="2130"/>
      <c r="J233" s="2130"/>
      <c r="K233" s="2123"/>
      <c r="L233" s="2123"/>
      <c r="M233" s="2126"/>
      <c r="N233" s="2138"/>
      <c r="O233" s="2139"/>
      <c r="P233" s="2137"/>
      <c r="Q233" s="2137"/>
      <c r="R233" s="2140"/>
      <c r="S233" s="2121"/>
      <c r="T233" s="906"/>
    </row>
    <row r="234" spans="1:20" s="1030" customFormat="1" ht="20.100000000000001" customHeight="1">
      <c r="A234" s="1576"/>
      <c r="B234" s="2124"/>
      <c r="C234" s="2124"/>
      <c r="D234" s="2124"/>
      <c r="E234" s="2124"/>
      <c r="F234" s="2130"/>
      <c r="G234" s="2137"/>
      <c r="H234" s="2137"/>
      <c r="I234" s="2130"/>
      <c r="J234" s="2130"/>
      <c r="K234" s="2123"/>
      <c r="L234" s="2123"/>
      <c r="M234" s="2126"/>
      <c r="N234" s="2138"/>
      <c r="O234" s="2139"/>
      <c r="P234" s="2137"/>
      <c r="Q234" s="2137"/>
      <c r="R234" s="2140"/>
      <c r="S234" s="2121"/>
      <c r="T234" s="906"/>
    </row>
    <row r="235" spans="1:20" s="1030" customFormat="1" ht="20.100000000000001" customHeight="1">
      <c r="A235" s="1576"/>
      <c r="B235" s="2124"/>
      <c r="C235" s="2124"/>
      <c r="D235" s="2124"/>
      <c r="E235" s="2124"/>
      <c r="F235" s="2130"/>
      <c r="G235" s="2137"/>
      <c r="H235" s="2137"/>
      <c r="I235" s="2130"/>
      <c r="J235" s="2130"/>
      <c r="K235" s="2123"/>
      <c r="L235" s="2123"/>
      <c r="M235" s="2126"/>
      <c r="N235" s="2138"/>
      <c r="O235" s="2139"/>
      <c r="P235" s="2137"/>
      <c r="Q235" s="2137"/>
      <c r="R235" s="2140"/>
      <c r="S235" s="2121"/>
      <c r="T235" s="906"/>
    </row>
    <row r="236" spans="1:20" s="1030" customFormat="1" ht="20.100000000000001" customHeight="1">
      <c r="A236" s="1576"/>
      <c r="B236" s="2124"/>
      <c r="C236" s="2124"/>
      <c r="D236" s="2124"/>
      <c r="E236" s="2124"/>
      <c r="F236" s="2130"/>
      <c r="G236" s="2137"/>
      <c r="H236" s="2137"/>
      <c r="I236" s="2130"/>
      <c r="J236" s="2130"/>
      <c r="K236" s="2123"/>
      <c r="L236" s="2123"/>
      <c r="M236" s="2126"/>
      <c r="N236" s="2138"/>
      <c r="O236" s="2139"/>
      <c r="P236" s="2137"/>
      <c r="Q236" s="2137"/>
      <c r="R236" s="2140"/>
      <c r="S236" s="2121"/>
      <c r="T236" s="906"/>
    </row>
    <row r="237" spans="1:20" s="1030" customFormat="1" ht="20.100000000000001" customHeight="1">
      <c r="A237" s="1576"/>
      <c r="B237" s="2141"/>
      <c r="C237" s="2142"/>
      <c r="D237" s="2142"/>
      <c r="E237" s="2142"/>
      <c r="F237" s="2133"/>
      <c r="G237" s="2133"/>
      <c r="H237" s="2133"/>
      <c r="I237" s="2133"/>
      <c r="J237" s="2118"/>
      <c r="K237" s="2133"/>
      <c r="L237" s="2130"/>
      <c r="M237" s="2143"/>
      <c r="N237" s="2144"/>
      <c r="O237" s="2145"/>
      <c r="P237" s="2133"/>
      <c r="Q237" s="2146"/>
      <c r="R237" s="2133"/>
      <c r="S237" s="2121"/>
      <c r="T237" s="906"/>
    </row>
    <row r="238" spans="1:20" s="1030" customFormat="1" ht="20.100000000000001" customHeight="1">
      <c r="A238" s="1576"/>
      <c r="B238" s="2141"/>
      <c r="C238" s="2142"/>
      <c r="D238" s="2142"/>
      <c r="E238" s="2142"/>
      <c r="F238" s="2133"/>
      <c r="G238" s="2133"/>
      <c r="H238" s="2133"/>
      <c r="I238" s="2133"/>
      <c r="J238" s="2118"/>
      <c r="K238" s="2133"/>
      <c r="L238" s="2143"/>
      <c r="M238" s="2143"/>
      <c r="N238" s="2144"/>
      <c r="O238" s="2145"/>
      <c r="P238" s="2133"/>
      <c r="Q238" s="2146"/>
      <c r="R238" s="2133"/>
      <c r="S238" s="2121"/>
      <c r="T238" s="906"/>
    </row>
    <row r="239" spans="1:20" s="1030" customFormat="1" ht="20.100000000000001" customHeight="1">
      <c r="A239" s="1576"/>
      <c r="B239" s="2141"/>
      <c r="C239" s="2142"/>
      <c r="D239" s="2142"/>
      <c r="E239" s="2142"/>
      <c r="F239" s="2133"/>
      <c r="G239" s="2133"/>
      <c r="H239" s="2133"/>
      <c r="I239" s="2133"/>
      <c r="J239" s="2118"/>
      <c r="K239" s="2133"/>
      <c r="L239" s="2143"/>
      <c r="M239" s="2143"/>
      <c r="N239" s="2144"/>
      <c r="O239" s="2145"/>
      <c r="P239" s="2133"/>
      <c r="Q239" s="2146"/>
      <c r="R239" s="2133"/>
      <c r="S239" s="2121"/>
      <c r="T239" s="906"/>
    </row>
    <row r="240" spans="1:20" s="1030" customFormat="1" ht="20.100000000000001" customHeight="1">
      <c r="A240" s="1576"/>
      <c r="B240" s="2124"/>
      <c r="C240" s="2124"/>
      <c r="D240" s="2124"/>
      <c r="E240" s="2124"/>
      <c r="F240" s="2123"/>
      <c r="G240" s="2147"/>
      <c r="H240" s="2147"/>
      <c r="I240" s="2123"/>
      <c r="J240" s="2123"/>
      <c r="K240" s="2123"/>
      <c r="L240" s="2124"/>
      <c r="M240" s="2126"/>
      <c r="N240" s="2148"/>
      <c r="O240" s="2139"/>
      <c r="P240" s="2147"/>
      <c r="Q240" s="2147"/>
      <c r="R240" s="2140"/>
      <c r="S240" s="2121"/>
      <c r="T240" s="906"/>
    </row>
    <row r="241" spans="1:20" s="1030" customFormat="1" ht="20.100000000000001" customHeight="1">
      <c r="A241" s="1576"/>
      <c r="B241" s="2124"/>
      <c r="C241" s="2124"/>
      <c r="D241" s="2124"/>
      <c r="E241" s="2124"/>
      <c r="F241" s="2123"/>
      <c r="G241" s="2147"/>
      <c r="H241" s="2147"/>
      <c r="I241" s="2123"/>
      <c r="J241" s="2123"/>
      <c r="K241" s="2123"/>
      <c r="L241" s="2124"/>
      <c r="M241" s="2126"/>
      <c r="N241" s="2148"/>
      <c r="O241" s="2139"/>
      <c r="P241" s="2147"/>
      <c r="Q241" s="2147"/>
      <c r="R241" s="2140"/>
      <c r="S241" s="2121"/>
      <c r="T241" s="906"/>
    </row>
    <row r="242" spans="1:20" s="1030" customFormat="1" ht="20.100000000000001" customHeight="1">
      <c r="A242" s="1576"/>
      <c r="B242" s="2124"/>
      <c r="C242" s="2124"/>
      <c r="D242" s="2124"/>
      <c r="E242" s="2124"/>
      <c r="F242" s="2123"/>
      <c r="G242" s="2147"/>
      <c r="H242" s="2147"/>
      <c r="I242" s="2123"/>
      <c r="J242" s="2123"/>
      <c r="K242" s="2123"/>
      <c r="L242" s="2124"/>
      <c r="M242" s="2126"/>
      <c r="N242" s="2148"/>
      <c r="O242" s="2139"/>
      <c r="P242" s="2147"/>
      <c r="Q242" s="2147"/>
      <c r="R242" s="2140"/>
      <c r="S242" s="2121"/>
      <c r="T242" s="906"/>
    </row>
    <row r="243" spans="1:20" s="1030" customFormat="1" ht="20.100000000000001" customHeight="1">
      <c r="A243" s="1576"/>
      <c r="B243" s="2124"/>
      <c r="C243" s="2124"/>
      <c r="D243" s="2124"/>
      <c r="E243" s="2124"/>
      <c r="F243" s="2123"/>
      <c r="G243" s="2147"/>
      <c r="H243" s="2147"/>
      <c r="I243" s="2123"/>
      <c r="J243" s="2123"/>
      <c r="K243" s="2123"/>
      <c r="L243" s="2124"/>
      <c r="M243" s="2126"/>
      <c r="N243" s="2148"/>
      <c r="O243" s="2139"/>
      <c r="P243" s="2147"/>
      <c r="Q243" s="2147"/>
      <c r="R243" s="2140"/>
      <c r="S243" s="2121"/>
      <c r="T243" s="906"/>
    </row>
    <row r="244" spans="1:20" s="1030" customFormat="1" ht="20.100000000000001" customHeight="1">
      <c r="A244" s="1576"/>
      <c r="B244" s="2124"/>
      <c r="C244" s="2124"/>
      <c r="D244" s="2124"/>
      <c r="E244" s="2124"/>
      <c r="F244" s="2123"/>
      <c r="G244" s="2147"/>
      <c r="H244" s="2147"/>
      <c r="I244" s="2123"/>
      <c r="J244" s="2123"/>
      <c r="K244" s="2123"/>
      <c r="L244" s="2124"/>
      <c r="M244" s="2126"/>
      <c r="N244" s="2148"/>
      <c r="O244" s="2139"/>
      <c r="P244" s="2147"/>
      <c r="Q244" s="2147"/>
      <c r="R244" s="2140"/>
      <c r="S244" s="2121"/>
      <c r="T244" s="906"/>
    </row>
    <row r="245" spans="1:20" s="1030" customFormat="1" ht="20.100000000000001" customHeight="1">
      <c r="A245" s="1576"/>
      <c r="B245" s="2124"/>
      <c r="C245" s="2124"/>
      <c r="D245" s="2124"/>
      <c r="E245" s="2124"/>
      <c r="F245" s="2123"/>
      <c r="G245" s="2147"/>
      <c r="H245" s="2147"/>
      <c r="I245" s="2123"/>
      <c r="J245" s="2123"/>
      <c r="K245" s="2123"/>
      <c r="L245" s="2124"/>
      <c r="M245" s="2126"/>
      <c r="N245" s="2148"/>
      <c r="O245" s="2139"/>
      <c r="P245" s="2147"/>
      <c r="Q245" s="2147"/>
      <c r="R245" s="2140"/>
      <c r="S245" s="2121"/>
      <c r="T245" s="906"/>
    </row>
    <row r="246" spans="1:20" s="1030" customFormat="1" ht="20.100000000000001" customHeight="1">
      <c r="A246" s="1576"/>
      <c r="B246" s="2124"/>
      <c r="C246" s="2124"/>
      <c r="D246" s="2124"/>
      <c r="E246" s="2124"/>
      <c r="F246" s="2123"/>
      <c r="G246" s="2147"/>
      <c r="H246" s="2147"/>
      <c r="I246" s="2123"/>
      <c r="J246" s="2123"/>
      <c r="K246" s="2123"/>
      <c r="L246" s="2124"/>
      <c r="M246" s="2126"/>
      <c r="N246" s="2148"/>
      <c r="O246" s="2139"/>
      <c r="P246" s="2147"/>
      <c r="Q246" s="2147"/>
      <c r="R246" s="2140"/>
      <c r="S246" s="2121"/>
      <c r="T246" s="906"/>
    </row>
    <row r="247" spans="1:20" s="1030" customFormat="1" ht="20.100000000000001" customHeight="1">
      <c r="A247" s="1576"/>
      <c r="B247" s="2124"/>
      <c r="C247" s="2124"/>
      <c r="D247" s="2124"/>
      <c r="E247" s="2124"/>
      <c r="F247" s="2123"/>
      <c r="G247" s="2147"/>
      <c r="H247" s="2147"/>
      <c r="I247" s="2123"/>
      <c r="J247" s="2123"/>
      <c r="K247" s="2123"/>
      <c r="L247" s="2124"/>
      <c r="M247" s="2126"/>
      <c r="N247" s="2148"/>
      <c r="O247" s="2139"/>
      <c r="P247" s="2147"/>
      <c r="Q247" s="2147"/>
      <c r="R247" s="2140"/>
      <c r="S247" s="2121"/>
      <c r="T247" s="906"/>
    </row>
    <row r="248" spans="1:20" s="1030" customFormat="1" ht="20.100000000000001" customHeight="1">
      <c r="A248" s="1576"/>
      <c r="B248" s="2124"/>
      <c r="C248" s="2124"/>
      <c r="D248" s="2124"/>
      <c r="E248" s="2124"/>
      <c r="F248" s="2123"/>
      <c r="G248" s="2147"/>
      <c r="H248" s="2147"/>
      <c r="I248" s="2123"/>
      <c r="J248" s="2123"/>
      <c r="K248" s="2123"/>
      <c r="L248" s="2124"/>
      <c r="M248" s="2126"/>
      <c r="N248" s="2148"/>
      <c r="O248" s="2139"/>
      <c r="P248" s="2147"/>
      <c r="Q248" s="2147"/>
      <c r="R248" s="2140"/>
      <c r="S248" s="2121"/>
      <c r="T248" s="906"/>
    </row>
    <row r="249" spans="1:20" s="1030" customFormat="1" ht="20.100000000000001" customHeight="1">
      <c r="A249" s="1576"/>
      <c r="B249" s="2124"/>
      <c r="C249" s="2124"/>
      <c r="D249" s="2124"/>
      <c r="E249" s="2124"/>
      <c r="F249" s="2123"/>
      <c r="G249" s="2147"/>
      <c r="H249" s="2147"/>
      <c r="I249" s="2123"/>
      <c r="J249" s="2123"/>
      <c r="K249" s="2123"/>
      <c r="L249" s="2124"/>
      <c r="M249" s="2126"/>
      <c r="N249" s="2148"/>
      <c r="O249" s="2139"/>
      <c r="P249" s="2147"/>
      <c r="Q249" s="2147"/>
      <c r="R249" s="2140"/>
      <c r="S249" s="2121"/>
      <c r="T249" s="906"/>
    </row>
    <row r="250" spans="1:20" s="1030" customFormat="1" ht="20.100000000000001" customHeight="1">
      <c r="A250" s="1576"/>
      <c r="B250" s="2124"/>
      <c r="C250" s="2124"/>
      <c r="D250" s="2124"/>
      <c r="E250" s="2124"/>
      <c r="F250" s="2123"/>
      <c r="G250" s="2147"/>
      <c r="H250" s="2147"/>
      <c r="I250" s="2123"/>
      <c r="J250" s="2123"/>
      <c r="K250" s="2123"/>
      <c r="L250" s="2124"/>
      <c r="M250" s="2126"/>
      <c r="N250" s="2148"/>
      <c r="O250" s="2139"/>
      <c r="P250" s="2147"/>
      <c r="Q250" s="2147"/>
      <c r="R250" s="2140"/>
      <c r="S250" s="2121"/>
      <c r="T250" s="906"/>
    </row>
    <row r="251" spans="1:20" s="1030" customFormat="1" ht="20.100000000000001" customHeight="1">
      <c r="A251" s="1576"/>
      <c r="B251" s="2124"/>
      <c r="C251" s="2124"/>
      <c r="D251" s="2124"/>
      <c r="E251" s="2124"/>
      <c r="F251" s="2123"/>
      <c r="G251" s="2147"/>
      <c r="H251" s="2147"/>
      <c r="I251" s="2123"/>
      <c r="J251" s="2123"/>
      <c r="K251" s="2123"/>
      <c r="L251" s="2124"/>
      <c r="M251" s="2126"/>
      <c r="N251" s="2148"/>
      <c r="O251" s="2139"/>
      <c r="P251" s="2147"/>
      <c r="Q251" s="2147"/>
      <c r="R251" s="2140"/>
      <c r="S251" s="2121"/>
      <c r="T251" s="906"/>
    </row>
    <row r="252" spans="1:20" s="1030" customFormat="1" ht="20.100000000000001" customHeight="1">
      <c r="A252" s="1576"/>
      <c r="B252" s="2149"/>
      <c r="C252" s="2149"/>
      <c r="D252" s="2149"/>
      <c r="E252" s="2149"/>
      <c r="F252" s="2149"/>
      <c r="G252" s="2149"/>
      <c r="H252" s="2149"/>
      <c r="I252" s="2149"/>
      <c r="J252" s="2149"/>
      <c r="K252" s="2149"/>
      <c r="L252" s="2149"/>
      <c r="M252" s="2150"/>
      <c r="N252" s="2149"/>
      <c r="O252" s="2149"/>
      <c r="P252" s="2149"/>
      <c r="Q252" s="2149"/>
      <c r="R252" s="2149"/>
      <c r="S252" s="2121"/>
      <c r="T252" s="906"/>
    </row>
    <row r="253" spans="1:20" s="1030" customFormat="1" ht="20.100000000000001" customHeight="1">
      <c r="A253" s="1576"/>
      <c r="B253" s="2118"/>
      <c r="C253" s="2123"/>
      <c r="D253" s="2123"/>
      <c r="E253" s="2118"/>
      <c r="F253" s="2118"/>
      <c r="G253" s="2118"/>
      <c r="H253" s="2118"/>
      <c r="I253" s="2118"/>
      <c r="J253" s="2118"/>
      <c r="K253" s="2123"/>
      <c r="L253" s="2118"/>
      <c r="M253" s="2118"/>
      <c r="N253" s="2118"/>
      <c r="O253" s="2123"/>
      <c r="P253" s="2123"/>
      <c r="Q253" s="2123"/>
      <c r="R253" s="2123"/>
      <c r="S253" s="2121"/>
      <c r="T253" s="906"/>
    </row>
    <row r="254" spans="1:20" s="1030" customFormat="1" ht="20.100000000000001" customHeight="1">
      <c r="A254" s="1576"/>
      <c r="B254" s="2118"/>
      <c r="C254" s="2118"/>
      <c r="D254" s="2118"/>
      <c r="E254" s="2118"/>
      <c r="F254" s="2118"/>
      <c r="G254" s="2118"/>
      <c r="H254" s="2118"/>
      <c r="I254" s="2118"/>
      <c r="J254" s="2118"/>
      <c r="K254" s="2151"/>
      <c r="L254" s="2128"/>
      <c r="M254" s="2127"/>
      <c r="N254" s="2118"/>
      <c r="O254" s="2118"/>
      <c r="P254" s="2118"/>
      <c r="Q254" s="2118"/>
      <c r="R254" s="2118"/>
      <c r="S254" s="2121"/>
      <c r="T254" s="906"/>
    </row>
    <row r="255" spans="1:20" s="1030" customFormat="1" ht="20.100000000000001" customHeight="1">
      <c r="A255" s="1576"/>
      <c r="B255" s="2133"/>
      <c r="C255" s="2133"/>
      <c r="D255" s="2133"/>
      <c r="E255" s="2133"/>
      <c r="F255" s="2133"/>
      <c r="G255" s="2133"/>
      <c r="H255" s="2133"/>
      <c r="I255" s="2133"/>
      <c r="J255" s="2133"/>
      <c r="K255" s="2133"/>
      <c r="L255" s="2133"/>
      <c r="M255" s="2133"/>
      <c r="N255" s="2133"/>
      <c r="O255" s="2133"/>
      <c r="P255" s="2133"/>
      <c r="Q255" s="2133"/>
      <c r="R255" s="2133"/>
      <c r="S255" s="2121"/>
      <c r="T255" s="906"/>
    </row>
    <row r="256" spans="1:20" s="1030" customFormat="1" ht="20.100000000000001" customHeight="1">
      <c r="A256" s="1576"/>
      <c r="B256" s="2133"/>
      <c r="C256" s="2133"/>
      <c r="D256" s="2133"/>
      <c r="E256" s="2133"/>
      <c r="F256" s="2133"/>
      <c r="G256" s="2133"/>
      <c r="H256" s="2133"/>
      <c r="I256" s="2133"/>
      <c r="J256" s="2133"/>
      <c r="K256" s="2133"/>
      <c r="L256" s="2133"/>
      <c r="M256" s="2133"/>
      <c r="N256" s="2133"/>
      <c r="O256" s="2133"/>
      <c r="P256" s="2133"/>
      <c r="Q256" s="2133"/>
      <c r="R256" s="2133"/>
      <c r="S256" s="2121"/>
      <c r="T256" s="906"/>
    </row>
    <row r="257" spans="1:20" s="1030" customFormat="1" ht="20.100000000000001" customHeight="1">
      <c r="A257" s="1576"/>
      <c r="B257" s="2133"/>
      <c r="C257" s="2133"/>
      <c r="D257" s="2133"/>
      <c r="E257" s="2133"/>
      <c r="F257" s="2133"/>
      <c r="G257" s="2133"/>
      <c r="H257" s="2133"/>
      <c r="I257" s="2133"/>
      <c r="J257" s="2133"/>
      <c r="K257" s="2133"/>
      <c r="L257" s="2133"/>
      <c r="M257" s="2133"/>
      <c r="N257" s="2133"/>
      <c r="O257" s="2133"/>
      <c r="P257" s="2133"/>
      <c r="Q257" s="2133"/>
      <c r="R257" s="2133"/>
      <c r="S257" s="2121"/>
      <c r="T257" s="906"/>
    </row>
    <row r="258" spans="1:20" s="1030" customFormat="1" ht="20.100000000000001" customHeight="1">
      <c r="A258" s="1576"/>
      <c r="B258" s="2133"/>
      <c r="C258" s="2133"/>
      <c r="D258" s="2133"/>
      <c r="E258" s="2133"/>
      <c r="F258" s="2133"/>
      <c r="G258" s="2133"/>
      <c r="H258" s="2133"/>
      <c r="I258" s="2133"/>
      <c r="J258" s="2133"/>
      <c r="K258" s="2133"/>
      <c r="L258" s="2133"/>
      <c r="M258" s="2133"/>
      <c r="N258" s="2133"/>
      <c r="O258" s="2133"/>
      <c r="P258" s="2133"/>
      <c r="Q258" s="2133"/>
      <c r="R258" s="2133"/>
      <c r="S258" s="2121"/>
      <c r="T258" s="906"/>
    </row>
    <row r="259" spans="1:20" s="1030" customFormat="1" ht="20.100000000000001" customHeight="1">
      <c r="A259" s="1576"/>
      <c r="B259" s="2133"/>
      <c r="C259" s="2133"/>
      <c r="D259" s="2133"/>
      <c r="E259" s="2133"/>
      <c r="F259" s="2133"/>
      <c r="G259" s="2133"/>
      <c r="H259" s="2133"/>
      <c r="I259" s="2133"/>
      <c r="J259" s="2133"/>
      <c r="K259" s="2133"/>
      <c r="L259" s="2133"/>
      <c r="M259" s="2133"/>
      <c r="N259" s="2133"/>
      <c r="O259" s="2133"/>
      <c r="P259" s="2133"/>
      <c r="Q259" s="2133"/>
      <c r="R259" s="2133"/>
      <c r="S259" s="2121"/>
      <c r="T259" s="906"/>
    </row>
    <row r="260" spans="1:20" s="1030" customFormat="1" ht="20.100000000000001" customHeight="1">
      <c r="A260" s="1576"/>
      <c r="B260" s="2133"/>
      <c r="C260" s="2133"/>
      <c r="D260" s="2133"/>
      <c r="E260" s="2133"/>
      <c r="F260" s="2133"/>
      <c r="G260" s="2133"/>
      <c r="H260" s="2133"/>
      <c r="I260" s="2133"/>
      <c r="J260" s="2133"/>
      <c r="K260" s="2133"/>
      <c r="L260" s="2133"/>
      <c r="M260" s="2133"/>
      <c r="N260" s="2133"/>
      <c r="O260" s="2133"/>
      <c r="P260" s="2133"/>
      <c r="Q260" s="2133"/>
      <c r="R260" s="2133"/>
      <c r="S260" s="2121"/>
      <c r="T260" s="906"/>
    </row>
    <row r="261" spans="1:20" s="1030" customFormat="1" ht="20.100000000000001" customHeight="1">
      <c r="A261" s="1576"/>
      <c r="B261" s="2133"/>
      <c r="C261" s="2133"/>
      <c r="D261" s="2133"/>
      <c r="E261" s="2133"/>
      <c r="F261" s="2133"/>
      <c r="G261" s="2133"/>
      <c r="H261" s="2133"/>
      <c r="I261" s="2133"/>
      <c r="J261" s="2133"/>
      <c r="K261" s="2133"/>
      <c r="L261" s="2133"/>
      <c r="M261" s="2133"/>
      <c r="N261" s="2133"/>
      <c r="O261" s="2133"/>
      <c r="P261" s="2133"/>
      <c r="Q261" s="2133"/>
      <c r="R261" s="2133"/>
      <c r="S261" s="2121"/>
      <c r="T261" s="906"/>
    </row>
    <row r="262" spans="1:20" s="1030" customFormat="1" ht="20.100000000000001" customHeight="1">
      <c r="A262" s="1576"/>
      <c r="B262" s="2133"/>
      <c r="C262" s="2133"/>
      <c r="D262" s="2133"/>
      <c r="E262" s="2133"/>
      <c r="F262" s="2133"/>
      <c r="G262" s="2133"/>
      <c r="H262" s="2133"/>
      <c r="I262" s="2133"/>
      <c r="J262" s="2133"/>
      <c r="K262" s="2133"/>
      <c r="L262" s="2133"/>
      <c r="M262" s="2133"/>
      <c r="N262" s="2133"/>
      <c r="O262" s="2133"/>
      <c r="P262" s="2133"/>
      <c r="Q262" s="2133"/>
      <c r="R262" s="2133"/>
      <c r="S262" s="2121"/>
      <c r="T262" s="906"/>
    </row>
    <row r="263" spans="1:20" s="1030" customFormat="1" ht="20.100000000000001" customHeight="1">
      <c r="A263" s="1576"/>
      <c r="B263" s="2133"/>
      <c r="C263" s="2133"/>
      <c r="D263" s="2133"/>
      <c r="E263" s="2133"/>
      <c r="F263" s="2133"/>
      <c r="G263" s="2133"/>
      <c r="H263" s="2133"/>
      <c r="I263" s="2133"/>
      <c r="J263" s="2133"/>
      <c r="K263" s="2133"/>
      <c r="L263" s="2133"/>
      <c r="M263" s="2133"/>
      <c r="N263" s="2133"/>
      <c r="O263" s="2133"/>
      <c r="P263" s="2133"/>
      <c r="Q263" s="2133"/>
      <c r="R263" s="2133"/>
      <c r="S263" s="2121"/>
      <c r="T263" s="906"/>
    </row>
    <row r="264" spans="1:20" s="1030" customFormat="1" ht="20.100000000000001" customHeight="1">
      <c r="A264" s="1576"/>
      <c r="B264" s="2133"/>
      <c r="C264" s="2133"/>
      <c r="D264" s="2133"/>
      <c r="E264" s="2133"/>
      <c r="F264" s="2133"/>
      <c r="G264" s="2133"/>
      <c r="H264" s="2133"/>
      <c r="I264" s="2133"/>
      <c r="J264" s="2133"/>
      <c r="K264" s="2133"/>
      <c r="L264" s="2133"/>
      <c r="M264" s="2133"/>
      <c r="N264" s="2133"/>
      <c r="O264" s="2133"/>
      <c r="P264" s="2133"/>
      <c r="Q264" s="2133"/>
      <c r="R264" s="2133"/>
      <c r="S264" s="2121"/>
      <c r="T264" s="906"/>
    </row>
    <row r="265" spans="1:20" s="1030" customFormat="1" ht="20.100000000000001" customHeight="1">
      <c r="A265" s="1576"/>
      <c r="B265" s="2133"/>
      <c r="C265" s="2133"/>
      <c r="D265" s="2133"/>
      <c r="E265" s="2133"/>
      <c r="F265" s="2133"/>
      <c r="G265" s="2133"/>
      <c r="H265" s="2133"/>
      <c r="I265" s="2133"/>
      <c r="J265" s="2133"/>
      <c r="K265" s="2133"/>
      <c r="L265" s="2133"/>
      <c r="M265" s="2133"/>
      <c r="N265" s="2133"/>
      <c r="O265" s="2133"/>
      <c r="P265" s="2133"/>
      <c r="Q265" s="2133"/>
      <c r="R265" s="2133"/>
      <c r="S265" s="2121"/>
      <c r="T265" s="906"/>
    </row>
    <row r="266" spans="1:20" s="1030" customFormat="1" ht="20.100000000000001" customHeight="1">
      <c r="A266" s="1576"/>
      <c r="B266" s="2133"/>
      <c r="C266" s="2133"/>
      <c r="D266" s="2133"/>
      <c r="E266" s="2133"/>
      <c r="F266" s="2133"/>
      <c r="G266" s="2133"/>
      <c r="H266" s="2133"/>
      <c r="I266" s="2133"/>
      <c r="J266" s="2133"/>
      <c r="K266" s="2133"/>
      <c r="L266" s="2133"/>
      <c r="M266" s="2133"/>
      <c r="N266" s="2133"/>
      <c r="O266" s="2133"/>
      <c r="P266" s="2133"/>
      <c r="Q266" s="2133"/>
      <c r="R266" s="2133"/>
      <c r="S266" s="2121"/>
      <c r="T266" s="906"/>
    </row>
    <row r="267" spans="1:20" s="1030" customFormat="1" ht="24">
      <c r="A267" s="1576">
        <v>3</v>
      </c>
      <c r="B267" s="2124" t="s">
        <v>1162</v>
      </c>
      <c r="C267" s="2124" t="s">
        <v>7651</v>
      </c>
      <c r="D267" s="2124" t="s">
        <v>131</v>
      </c>
      <c r="E267" s="2124">
        <v>2</v>
      </c>
      <c r="F267" s="2130"/>
      <c r="G267" s="2137" t="s">
        <v>7572</v>
      </c>
      <c r="H267" s="2137" t="s">
        <v>33</v>
      </c>
      <c r="I267" s="2130"/>
      <c r="J267" s="2123"/>
      <c r="K267" s="2123" t="s">
        <v>7631</v>
      </c>
      <c r="L267" s="2123">
        <v>62135.92</v>
      </c>
      <c r="M267" s="2126">
        <v>9.9999999947613105E-3</v>
      </c>
      <c r="N267" s="2138">
        <v>2019.7</v>
      </c>
      <c r="O267" s="2139" t="s">
        <v>7567</v>
      </c>
      <c r="P267" s="2137" t="s">
        <v>7568</v>
      </c>
      <c r="Q267" s="2137">
        <v>17601040821</v>
      </c>
      <c r="R267" s="2140" t="s">
        <v>7569</v>
      </c>
      <c r="S267" s="2121" t="s">
        <v>7562</v>
      </c>
      <c r="T267" s="906"/>
    </row>
    <row r="268" spans="1:20" s="1030" customFormat="1" ht="24">
      <c r="A268" s="1576"/>
      <c r="B268" s="2124" t="s">
        <v>1162</v>
      </c>
      <c r="C268" s="2124" t="s">
        <v>7651</v>
      </c>
      <c r="D268" s="2124" t="s">
        <v>131</v>
      </c>
      <c r="E268" s="2124">
        <v>1</v>
      </c>
      <c r="F268" s="2130"/>
      <c r="G268" s="2137" t="s">
        <v>7572</v>
      </c>
      <c r="H268" s="2137" t="s">
        <v>33</v>
      </c>
      <c r="I268" s="2130"/>
      <c r="J268" s="2123"/>
      <c r="K268" s="2123" t="s">
        <v>7631</v>
      </c>
      <c r="L268" s="2123">
        <v>28446.6</v>
      </c>
      <c r="M268" s="2126">
        <v>0</v>
      </c>
      <c r="N268" s="2138">
        <v>2019.7</v>
      </c>
      <c r="O268" s="2139" t="s">
        <v>7567</v>
      </c>
      <c r="P268" s="2137" t="s">
        <v>7568</v>
      </c>
      <c r="Q268" s="2137">
        <v>17601040821</v>
      </c>
      <c r="R268" s="2140" t="s">
        <v>7569</v>
      </c>
      <c r="S268" s="2121" t="s">
        <v>7562</v>
      </c>
      <c r="T268" s="906"/>
    </row>
    <row r="269" spans="1:20" s="1030" customFormat="1" ht="24">
      <c r="A269" s="1576"/>
      <c r="B269" s="2124" t="s">
        <v>1162</v>
      </c>
      <c r="C269" s="2124" t="s">
        <v>7651</v>
      </c>
      <c r="D269" s="2124" t="s">
        <v>131</v>
      </c>
      <c r="E269" s="2124">
        <v>38</v>
      </c>
      <c r="F269" s="2130"/>
      <c r="G269" s="2137" t="s">
        <v>7572</v>
      </c>
      <c r="H269" s="2137" t="s">
        <v>33</v>
      </c>
      <c r="I269" s="2130"/>
      <c r="J269" s="2123"/>
      <c r="K269" s="2123" t="s">
        <v>7631</v>
      </c>
      <c r="L269" s="2123">
        <v>638252.43000000005</v>
      </c>
      <c r="M269" s="2126">
        <v>1.5000000013969839E-2</v>
      </c>
      <c r="N269" s="2138">
        <v>2019.7</v>
      </c>
      <c r="O269" s="2139" t="s">
        <v>7567</v>
      </c>
      <c r="P269" s="2137" t="s">
        <v>7568</v>
      </c>
      <c r="Q269" s="2137">
        <v>17601040821</v>
      </c>
      <c r="R269" s="2140" t="s">
        <v>7569</v>
      </c>
      <c r="S269" s="2121" t="s">
        <v>7562</v>
      </c>
      <c r="T269" s="906"/>
    </row>
    <row r="270" spans="1:20" s="1030" customFormat="1" ht="24">
      <c r="A270" s="1576"/>
      <c r="B270" s="2124" t="s">
        <v>1162</v>
      </c>
      <c r="C270" s="2124" t="s">
        <v>7651</v>
      </c>
      <c r="D270" s="2124" t="s">
        <v>131</v>
      </c>
      <c r="E270" s="2124">
        <v>1</v>
      </c>
      <c r="F270" s="2130"/>
      <c r="G270" s="2137" t="s">
        <v>7572</v>
      </c>
      <c r="H270" s="2137" t="s">
        <v>33</v>
      </c>
      <c r="I270" s="2130"/>
      <c r="J270" s="2123"/>
      <c r="K270" s="2123" t="s">
        <v>7631</v>
      </c>
      <c r="L270" s="2123">
        <v>17572.82</v>
      </c>
      <c r="M270" s="2126">
        <v>4.9999999973806553E-3</v>
      </c>
      <c r="N270" s="2138">
        <v>2019.7</v>
      </c>
      <c r="O270" s="2139" t="s">
        <v>7567</v>
      </c>
      <c r="P270" s="2137" t="s">
        <v>7568</v>
      </c>
      <c r="Q270" s="2137">
        <v>17601040821</v>
      </c>
      <c r="R270" s="2140" t="s">
        <v>7569</v>
      </c>
      <c r="S270" s="2121" t="s">
        <v>7562</v>
      </c>
      <c r="T270" s="906"/>
    </row>
    <row r="271" spans="1:20" s="1030" customFormat="1" ht="24">
      <c r="A271" s="1576"/>
      <c r="B271" s="2118" t="s">
        <v>6602</v>
      </c>
      <c r="C271" s="2118" t="s">
        <v>7652</v>
      </c>
      <c r="D271" s="2133" t="s">
        <v>79</v>
      </c>
      <c r="E271" s="2133">
        <v>2</v>
      </c>
      <c r="F271" s="2133"/>
      <c r="G271" s="2133" t="s">
        <v>7572</v>
      </c>
      <c r="H271" s="2133" t="s">
        <v>33</v>
      </c>
      <c r="I271" s="2133" t="s">
        <v>34</v>
      </c>
      <c r="J271" s="2118" t="s">
        <v>7578</v>
      </c>
      <c r="K271" s="2152" t="s">
        <v>7653</v>
      </c>
      <c r="L271" s="2133">
        <v>291855.84000000003</v>
      </c>
      <c r="M271" s="2133">
        <f>L271*0.05</f>
        <v>14592.792000000001</v>
      </c>
      <c r="N271" s="2133">
        <v>2016.8</v>
      </c>
      <c r="O271" s="2153" t="s">
        <v>7579</v>
      </c>
      <c r="P271" s="2133" t="s">
        <v>7580</v>
      </c>
      <c r="Q271" s="2146" t="s">
        <v>7581</v>
      </c>
      <c r="R271" s="2133" t="s">
        <v>7582</v>
      </c>
      <c r="S271" s="2121" t="s">
        <v>7562</v>
      </c>
      <c r="T271" s="906"/>
    </row>
    <row r="272" spans="1:20" s="1030" customFormat="1" ht="24">
      <c r="A272" s="1576"/>
      <c r="B272" s="2118" t="s">
        <v>6602</v>
      </c>
      <c r="C272" s="2118" t="s">
        <v>7652</v>
      </c>
      <c r="D272" s="2133" t="s">
        <v>79</v>
      </c>
      <c r="E272" s="2133">
        <v>1</v>
      </c>
      <c r="F272" s="2133"/>
      <c r="G272" s="2133" t="s">
        <v>7572</v>
      </c>
      <c r="H272" s="2133" t="s">
        <v>33</v>
      </c>
      <c r="I272" s="2133" t="s">
        <v>34</v>
      </c>
      <c r="J272" s="2118" t="s">
        <v>7578</v>
      </c>
      <c r="K272" s="2152" t="s">
        <v>7653</v>
      </c>
      <c r="L272" s="2133">
        <v>379143.8</v>
      </c>
      <c r="M272" s="2133">
        <f>L272*0.05</f>
        <v>18957.189999999999</v>
      </c>
      <c r="N272" s="2133">
        <v>2017.5</v>
      </c>
      <c r="O272" s="2153" t="s">
        <v>7579</v>
      </c>
      <c r="P272" s="2133" t="s">
        <v>7580</v>
      </c>
      <c r="Q272" s="2146" t="s">
        <v>7581</v>
      </c>
      <c r="R272" s="2133" t="s">
        <v>7582</v>
      </c>
      <c r="S272" s="2121" t="s">
        <v>7562</v>
      </c>
      <c r="T272" s="906"/>
    </row>
    <row r="273" spans="1:20" s="1030" customFormat="1" ht="24">
      <c r="A273" s="1576"/>
      <c r="B273" s="2118" t="s">
        <v>6602</v>
      </c>
      <c r="C273" s="2118" t="s">
        <v>7652</v>
      </c>
      <c r="D273" s="2133" t="s">
        <v>79</v>
      </c>
      <c r="E273" s="2133">
        <v>1</v>
      </c>
      <c r="F273" s="2133"/>
      <c r="G273" s="2133" t="s">
        <v>7572</v>
      </c>
      <c r="H273" s="2133" t="s">
        <v>33</v>
      </c>
      <c r="I273" s="2133" t="s">
        <v>34</v>
      </c>
      <c r="J273" s="2118" t="s">
        <v>7578</v>
      </c>
      <c r="K273" s="2133" t="s">
        <v>7654</v>
      </c>
      <c r="L273" s="2154">
        <v>289424</v>
      </c>
      <c r="M273" s="2154">
        <v>48840.299999999988</v>
      </c>
      <c r="N273" s="2133" t="s">
        <v>7655</v>
      </c>
      <c r="O273" s="2153" t="s">
        <v>7579</v>
      </c>
      <c r="P273" s="2133" t="s">
        <v>7580</v>
      </c>
      <c r="Q273" s="2146" t="s">
        <v>7581</v>
      </c>
      <c r="R273" s="2133" t="s">
        <v>7607</v>
      </c>
      <c r="S273" s="2121" t="s">
        <v>7562</v>
      </c>
      <c r="T273" s="906"/>
    </row>
    <row r="274" spans="1:20" s="1030" customFormat="1" ht="48">
      <c r="A274" s="1576"/>
      <c r="B274" s="2133" t="s">
        <v>1162</v>
      </c>
      <c r="C274" s="2123" t="s">
        <v>7656</v>
      </c>
      <c r="D274" s="2123" t="s">
        <v>131</v>
      </c>
      <c r="E274" s="2133">
        <v>8</v>
      </c>
      <c r="F274" s="2133"/>
      <c r="G274" s="2133" t="s">
        <v>7657</v>
      </c>
      <c r="H274" s="2133" t="s">
        <v>33</v>
      </c>
      <c r="I274" s="2133"/>
      <c r="J274" s="2133"/>
      <c r="K274" s="2123" t="s">
        <v>7608</v>
      </c>
      <c r="L274" s="2133">
        <v>83425.240000000005</v>
      </c>
      <c r="M274" s="2133">
        <v>4171.2700000000004</v>
      </c>
      <c r="N274" s="2133">
        <v>2019.12</v>
      </c>
      <c r="O274" s="2123" t="s">
        <v>7609</v>
      </c>
      <c r="P274" s="2123" t="s">
        <v>7610</v>
      </c>
      <c r="Q274" s="2123">
        <v>18601341823</v>
      </c>
      <c r="R274" s="2123" t="s">
        <v>7608</v>
      </c>
      <c r="S274" s="2121" t="s">
        <v>7562</v>
      </c>
      <c r="T274" s="906"/>
    </row>
    <row r="275" spans="1:20" s="1030" customFormat="1">
      <c r="A275" s="1576"/>
      <c r="B275" s="2133"/>
      <c r="C275" s="2123"/>
      <c r="D275" s="2123"/>
      <c r="E275" s="2133"/>
      <c r="F275" s="2133"/>
      <c r="G275" s="2133"/>
      <c r="H275" s="2133"/>
      <c r="I275" s="2133"/>
      <c r="J275" s="2133"/>
      <c r="K275" s="2123"/>
      <c r="L275" s="2133"/>
      <c r="M275" s="2133"/>
      <c r="N275" s="2133"/>
      <c r="O275" s="2123"/>
      <c r="P275" s="2123"/>
      <c r="Q275" s="2123"/>
      <c r="R275" s="2123"/>
      <c r="S275" s="2121" t="s">
        <v>7562</v>
      </c>
      <c r="T275" s="906"/>
    </row>
    <row r="276" spans="1:20" s="1030" customFormat="1">
      <c r="A276" s="1576"/>
      <c r="B276" s="2133"/>
      <c r="C276" s="2133"/>
      <c r="D276" s="2133"/>
      <c r="E276" s="2154"/>
      <c r="F276" s="2133"/>
      <c r="G276" s="2133"/>
      <c r="H276" s="2133"/>
      <c r="I276" s="2133"/>
      <c r="J276" s="2133"/>
      <c r="K276" s="2155"/>
      <c r="L276" s="2154"/>
      <c r="M276" s="2127"/>
      <c r="N276" s="2133"/>
      <c r="O276" s="2133"/>
      <c r="P276" s="2133"/>
      <c r="Q276" s="2133"/>
      <c r="R276" s="2133"/>
      <c r="S276" s="2121" t="s">
        <v>7562</v>
      </c>
      <c r="T276" s="906"/>
    </row>
    <row r="277" spans="1:20" s="1030" customFormat="1">
      <c r="A277" s="1576"/>
      <c r="B277" s="2156"/>
      <c r="C277" s="2156"/>
      <c r="D277" s="2132"/>
      <c r="E277" s="2132"/>
      <c r="F277" s="2132"/>
      <c r="G277" s="2132"/>
      <c r="H277" s="2132"/>
      <c r="I277" s="2132"/>
      <c r="J277" s="2132"/>
      <c r="K277" s="2132"/>
      <c r="L277" s="2132"/>
      <c r="M277" s="2132"/>
      <c r="N277" s="2132"/>
      <c r="O277" s="2132"/>
      <c r="P277" s="2132"/>
      <c r="Q277" s="2132"/>
      <c r="R277" s="2132"/>
      <c r="S277" s="2121"/>
      <c r="T277" s="906"/>
    </row>
    <row r="278" spans="1:20" s="1030" customFormat="1">
      <c r="A278" s="1576"/>
      <c r="B278" s="2123"/>
      <c r="C278" s="2123"/>
      <c r="D278" s="2130"/>
      <c r="E278" s="2130"/>
      <c r="F278" s="2130"/>
      <c r="G278" s="2130"/>
      <c r="H278" s="2130"/>
      <c r="I278" s="2130"/>
      <c r="J278" s="2130"/>
      <c r="K278" s="2130"/>
      <c r="L278" s="2130"/>
      <c r="M278" s="2130"/>
      <c r="N278" s="2130"/>
      <c r="O278" s="2130"/>
      <c r="P278" s="2130"/>
      <c r="Q278" s="2130"/>
      <c r="R278" s="2130"/>
      <c r="S278" s="2121" t="s">
        <v>7562</v>
      </c>
      <c r="T278" s="906"/>
    </row>
    <row r="279" spans="1:20" s="1030" customFormat="1">
      <c r="A279" s="1576"/>
      <c r="B279" s="2123"/>
      <c r="C279" s="2123"/>
      <c r="D279" s="2130"/>
      <c r="E279" s="2130"/>
      <c r="F279" s="2130"/>
      <c r="G279" s="2130"/>
      <c r="H279" s="2130"/>
      <c r="I279" s="2130"/>
      <c r="J279" s="2130"/>
      <c r="K279" s="2130"/>
      <c r="L279" s="2130"/>
      <c r="M279" s="2130"/>
      <c r="N279" s="2130"/>
      <c r="O279" s="2130"/>
      <c r="P279" s="2130"/>
      <c r="Q279" s="2130"/>
      <c r="R279" s="2130"/>
      <c r="S279" s="2121"/>
      <c r="T279" s="906"/>
    </row>
    <row r="280" spans="1:20" s="1030" customFormat="1">
      <c r="A280" s="1576"/>
      <c r="B280" s="2123"/>
      <c r="C280" s="2123"/>
      <c r="D280" s="2130"/>
      <c r="E280" s="2130"/>
      <c r="F280" s="2130"/>
      <c r="G280" s="2130"/>
      <c r="H280" s="2130"/>
      <c r="I280" s="2130"/>
      <c r="J280" s="2130"/>
      <c r="K280" s="2130"/>
      <c r="L280" s="2130"/>
      <c r="M280" s="2130"/>
      <c r="N280" s="2130"/>
      <c r="O280" s="2130"/>
      <c r="P280" s="2130"/>
      <c r="Q280" s="2130"/>
      <c r="R280" s="2130"/>
      <c r="S280" s="2121"/>
      <c r="T280" s="906"/>
    </row>
    <row r="281" spans="1:20" ht="20.100000000000001" customHeight="1">
      <c r="A281" s="2157"/>
      <c r="B281" s="2121"/>
      <c r="C281" s="2123"/>
      <c r="D281" s="2130"/>
      <c r="E281" s="2130"/>
      <c r="F281" s="2121"/>
      <c r="G281" s="2121"/>
      <c r="H281" s="2121"/>
      <c r="I281" s="2121"/>
      <c r="J281" s="2136"/>
      <c r="K281" s="2139"/>
      <c r="L281" s="2147"/>
      <c r="M281" s="2126"/>
      <c r="N281" s="2147"/>
      <c r="O281" s="2147"/>
      <c r="P281" s="2147"/>
      <c r="Q281" s="2147"/>
      <c r="R281" s="2139"/>
      <c r="S281" s="2121" t="s">
        <v>7562</v>
      </c>
      <c r="T281" s="2158"/>
    </row>
    <row r="282" spans="1:20" ht="81" customHeight="1">
      <c r="A282" s="2001" t="s">
        <v>6839</v>
      </c>
      <c r="B282" s="2001"/>
      <c r="C282" s="2001"/>
      <c r="D282" s="2001"/>
      <c r="E282" s="2001"/>
      <c r="F282" s="2001"/>
      <c r="G282" s="2001"/>
      <c r="H282" s="2001"/>
      <c r="I282" s="2001"/>
      <c r="J282" s="2001"/>
      <c r="K282" s="2001"/>
      <c r="L282" s="2001"/>
      <c r="M282" s="2001"/>
      <c r="N282" s="2001"/>
      <c r="O282" s="2001"/>
      <c r="P282" s="2001"/>
      <c r="Q282" s="2001"/>
      <c r="R282" s="2001"/>
      <c r="S282" s="2001"/>
      <c r="T282" s="2001"/>
    </row>
  </sheetData>
  <mergeCells count="18">
    <mergeCell ref="T4:T5"/>
    <mergeCell ref="A282:T282"/>
    <mergeCell ref="N4:N5"/>
    <mergeCell ref="O4:O5"/>
    <mergeCell ref="P4:P5"/>
    <mergeCell ref="Q4:Q5"/>
    <mergeCell ref="R4:R5"/>
    <mergeCell ref="S4:S5"/>
    <mergeCell ref="A2:T2"/>
    <mergeCell ref="A3:T3"/>
    <mergeCell ref="A4:A5"/>
    <mergeCell ref="B4:B5"/>
    <mergeCell ref="C4:C5"/>
    <mergeCell ref="D4:D5"/>
    <mergeCell ref="E4:E5"/>
    <mergeCell ref="G4:G5"/>
    <mergeCell ref="H4:H5"/>
    <mergeCell ref="J4:J5"/>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T393"/>
  <sheetViews>
    <sheetView topLeftCell="A2" workbookViewId="0">
      <selection activeCell="R11" sqref="R11"/>
    </sheetView>
  </sheetViews>
  <sheetFormatPr defaultColWidth="9" defaultRowHeight="13.5"/>
  <cols>
    <col min="1" max="1" width="6" style="1040" customWidth="1"/>
    <col min="2" max="2" width="18.375" style="1040" customWidth="1"/>
    <col min="3" max="3" width="19.375" style="1040" customWidth="1"/>
    <col min="4" max="4" width="4.75" style="1040" customWidth="1"/>
    <col min="5" max="5" width="7.625" style="1040" customWidth="1"/>
    <col min="6" max="6" width="8.5" style="1040" customWidth="1"/>
    <col min="7" max="7" width="9.375" style="1040" customWidth="1"/>
    <col min="8" max="8" width="7.375" style="1040" customWidth="1"/>
    <col min="9" max="9" width="8.5" style="1040" customWidth="1"/>
    <col min="10" max="10" width="7.875" style="1040" customWidth="1"/>
    <col min="11" max="11" width="19.625" style="1777" customWidth="1"/>
    <col min="12" max="12" width="14.25" style="1040" customWidth="1"/>
    <col min="13" max="13" width="12.75" style="1040" customWidth="1"/>
    <col min="14" max="14" width="10.75" style="1040" customWidth="1"/>
    <col min="15" max="15" width="26.125" style="1040" customWidth="1"/>
    <col min="16" max="16" width="9" style="1040"/>
    <col min="17" max="17" width="13.125" style="1040" customWidth="1"/>
    <col min="18" max="18" width="20.5" style="1040" customWidth="1"/>
    <col min="19" max="19" width="9" style="1040"/>
    <col min="20" max="20" width="16.25" style="1040" customWidth="1"/>
    <col min="21" max="16384" width="9" style="1040"/>
  </cols>
  <sheetData>
    <row r="1" spans="1:20" s="1018" customFormat="1" ht="14.25" hidden="1" customHeight="1">
      <c r="A1" s="1765" t="s">
        <v>0</v>
      </c>
      <c r="B1" s="1766"/>
      <c r="C1" s="1766"/>
      <c r="D1" s="1766"/>
      <c r="E1" s="1766"/>
      <c r="F1" s="1766"/>
      <c r="G1" s="1766"/>
      <c r="H1" s="1766"/>
      <c r="I1" s="1766"/>
      <c r="J1" s="1766"/>
      <c r="K1" s="1767"/>
      <c r="L1" s="1766"/>
      <c r="M1" s="1015"/>
      <c r="N1" s="1766"/>
      <c r="O1" s="1767"/>
      <c r="P1" s="1766"/>
      <c r="Q1" s="1766"/>
      <c r="R1" s="1766"/>
      <c r="S1" s="1017"/>
    </row>
    <row r="2" spans="1:20" s="1019" customFormat="1" ht="27">
      <c r="A2" s="1799" t="s">
        <v>5777</v>
      </c>
      <c r="B2" s="1799"/>
      <c r="C2" s="1799"/>
      <c r="D2" s="1799"/>
      <c r="E2" s="1799"/>
      <c r="F2" s="1799"/>
      <c r="G2" s="1799"/>
      <c r="H2" s="1799"/>
      <c r="I2" s="1799"/>
      <c r="J2" s="1799"/>
      <c r="K2" s="1799"/>
      <c r="L2" s="1799"/>
      <c r="M2" s="1799"/>
      <c r="N2" s="1799"/>
      <c r="O2" s="1799"/>
      <c r="P2" s="1799"/>
      <c r="Q2" s="1799"/>
      <c r="R2" s="1799"/>
      <c r="S2" s="1799"/>
      <c r="T2" s="1799"/>
    </row>
    <row r="3" spans="1:20" s="1019" customFormat="1" ht="24.75" customHeight="1">
      <c r="A3" s="1934">
        <v>44540</v>
      </c>
      <c r="B3" s="1935"/>
      <c r="C3" s="1935"/>
      <c r="D3" s="1935"/>
      <c r="E3" s="1935"/>
      <c r="F3" s="1935"/>
      <c r="G3" s="1935"/>
      <c r="H3" s="1935"/>
      <c r="I3" s="1935"/>
      <c r="J3" s="1935"/>
      <c r="K3" s="1935"/>
      <c r="L3" s="1935"/>
      <c r="M3" s="1935"/>
      <c r="N3" s="1935"/>
      <c r="O3" s="1935"/>
      <c r="P3" s="1935"/>
      <c r="Q3" s="1935"/>
      <c r="R3" s="1935"/>
      <c r="S3" s="1935"/>
      <c r="T3" s="1935"/>
    </row>
    <row r="4" spans="1:20" s="1018" customFormat="1" ht="36" customHeight="1">
      <c r="A4" s="1991" t="s">
        <v>2</v>
      </c>
      <c r="B4" s="1989" t="s">
        <v>3</v>
      </c>
      <c r="C4" s="1989" t="s">
        <v>4</v>
      </c>
      <c r="D4" s="1991" t="s">
        <v>5</v>
      </c>
      <c r="E4" s="1989" t="s">
        <v>1729</v>
      </c>
      <c r="F4" s="1634" t="s">
        <v>1730</v>
      </c>
      <c r="G4" s="1989" t="s">
        <v>8</v>
      </c>
      <c r="H4" s="1989" t="s">
        <v>9</v>
      </c>
      <c r="I4" s="1632" t="s">
        <v>10</v>
      </c>
      <c r="J4" s="1989" t="s">
        <v>11</v>
      </c>
      <c r="K4" s="1634" t="s">
        <v>12</v>
      </c>
      <c r="L4" s="1634" t="s">
        <v>13</v>
      </c>
      <c r="M4" s="1194" t="s">
        <v>14</v>
      </c>
      <c r="N4" s="1989" t="s">
        <v>15</v>
      </c>
      <c r="O4" s="1989" t="s">
        <v>16</v>
      </c>
      <c r="P4" s="1991" t="s">
        <v>17</v>
      </c>
      <c r="Q4" s="1989" t="s">
        <v>18</v>
      </c>
      <c r="R4" s="1989" t="s">
        <v>19</v>
      </c>
      <c r="S4" s="1990" t="s">
        <v>20</v>
      </c>
      <c r="T4" s="1990" t="s">
        <v>21</v>
      </c>
    </row>
    <row r="5" spans="1:20" s="1018" customFormat="1" ht="18" customHeight="1">
      <c r="A5" s="1991"/>
      <c r="B5" s="1989"/>
      <c r="C5" s="1989"/>
      <c r="D5" s="1991"/>
      <c r="E5" s="1989"/>
      <c r="F5" s="1634" t="s">
        <v>22</v>
      </c>
      <c r="G5" s="1989"/>
      <c r="H5" s="1989"/>
      <c r="I5" s="1632" t="s">
        <v>23</v>
      </c>
      <c r="J5" s="1989"/>
      <c r="K5" s="1634" t="s">
        <v>24</v>
      </c>
      <c r="L5" s="1194" t="s">
        <v>25</v>
      </c>
      <c r="M5" s="1194" t="s">
        <v>25</v>
      </c>
      <c r="N5" s="1989"/>
      <c r="O5" s="1989"/>
      <c r="P5" s="1991"/>
      <c r="Q5" s="1989"/>
      <c r="R5" s="1989"/>
      <c r="S5" s="1990"/>
      <c r="T5" s="1990"/>
    </row>
    <row r="6" spans="1:20" s="1018" customFormat="1" ht="20.100000000000001" customHeight="1">
      <c r="A6" s="1768" t="s">
        <v>26</v>
      </c>
      <c r="B6" s="1769" t="s">
        <v>27</v>
      </c>
      <c r="C6" s="1634"/>
      <c r="D6" s="1632"/>
      <c r="E6" s="1634"/>
      <c r="F6" s="1634"/>
      <c r="G6" s="1634"/>
      <c r="H6" s="1634"/>
      <c r="I6" s="1632"/>
      <c r="J6" s="1634"/>
      <c r="K6" s="1634"/>
      <c r="L6" s="1634"/>
      <c r="M6" s="1194"/>
      <c r="N6" s="1634"/>
      <c r="O6" s="1634"/>
      <c r="P6" s="1632"/>
      <c r="Q6" s="1634"/>
      <c r="R6" s="1634"/>
      <c r="S6" s="1564"/>
      <c r="T6" s="1564"/>
    </row>
    <row r="7" spans="1:20" s="1198" customFormat="1" ht="20.100000000000001" customHeight="1">
      <c r="A7" s="1770">
        <v>1</v>
      </c>
      <c r="B7" s="1771" t="s">
        <v>28</v>
      </c>
      <c r="C7" s="1771"/>
      <c r="D7" s="1770"/>
      <c r="E7" s="1771"/>
      <c r="F7" s="1771"/>
      <c r="G7" s="1771"/>
      <c r="H7" s="1771"/>
      <c r="I7" s="1770"/>
      <c r="J7" s="1771"/>
      <c r="K7" s="1771"/>
      <c r="L7" s="1771"/>
      <c r="M7" s="1195"/>
      <c r="N7" s="1771"/>
      <c r="O7" s="1771"/>
      <c r="P7" s="1770"/>
      <c r="Q7" s="1771"/>
      <c r="R7" s="1771"/>
      <c r="S7" s="1196"/>
      <c r="T7" s="1197"/>
    </row>
    <row r="8" spans="1:20" s="1198" customFormat="1" ht="20.100000000000001" customHeight="1">
      <c r="A8" s="143"/>
      <c r="B8" s="1563" t="s">
        <v>2501</v>
      </c>
      <c r="C8" s="1563" t="s">
        <v>5778</v>
      </c>
      <c r="D8" s="1563" t="s">
        <v>31</v>
      </c>
      <c r="E8" s="1563">
        <v>4564</v>
      </c>
      <c r="F8" s="1563">
        <v>319.48</v>
      </c>
      <c r="G8" s="1563" t="s">
        <v>5779</v>
      </c>
      <c r="H8" s="1563" t="s">
        <v>33</v>
      </c>
      <c r="I8" s="1563" t="s">
        <v>34</v>
      </c>
      <c r="J8" s="1563" t="s">
        <v>34</v>
      </c>
      <c r="K8" s="1563" t="s">
        <v>34</v>
      </c>
      <c r="L8" s="1199">
        <v>5223078.8</v>
      </c>
      <c r="M8" s="1200">
        <v>522307.99</v>
      </c>
      <c r="N8" s="1563"/>
      <c r="O8" s="1563" t="s">
        <v>5780</v>
      </c>
      <c r="P8" s="1563" t="s">
        <v>5781</v>
      </c>
      <c r="Q8" s="1563">
        <v>15694713641</v>
      </c>
      <c r="R8" s="1563" t="s">
        <v>5782</v>
      </c>
      <c r="S8" s="1563" t="s">
        <v>5783</v>
      </c>
      <c r="T8" s="1197"/>
    </row>
    <row r="9" spans="1:20" s="1198" customFormat="1" ht="20.100000000000001" customHeight="1">
      <c r="A9" s="143"/>
      <c r="B9" s="1563" t="s">
        <v>2501</v>
      </c>
      <c r="C9" s="1563" t="s">
        <v>3559</v>
      </c>
      <c r="D9" s="1563" t="s">
        <v>31</v>
      </c>
      <c r="E9" s="1563">
        <v>12</v>
      </c>
      <c r="F9" s="1563"/>
      <c r="G9" s="1563" t="s">
        <v>3560</v>
      </c>
      <c r="H9" s="1563" t="s">
        <v>33</v>
      </c>
      <c r="I9" s="1563"/>
      <c r="J9" s="1563"/>
      <c r="K9" s="1563"/>
      <c r="L9" s="1563"/>
      <c r="M9" s="1563"/>
      <c r="N9" s="1563"/>
      <c r="O9" s="1563" t="s">
        <v>5780</v>
      </c>
      <c r="P9" s="1563" t="s">
        <v>5781</v>
      </c>
      <c r="Q9" s="1563">
        <v>15694713641</v>
      </c>
      <c r="R9" s="1563" t="s">
        <v>5782</v>
      </c>
      <c r="S9" s="1563" t="s">
        <v>5783</v>
      </c>
      <c r="T9" s="1197"/>
    </row>
    <row r="10" spans="1:20" s="1198" customFormat="1" ht="20.100000000000001" customHeight="1">
      <c r="A10" s="143"/>
      <c r="B10" s="1563" t="s">
        <v>2501</v>
      </c>
      <c r="C10" s="1563" t="s">
        <v>5784</v>
      </c>
      <c r="D10" s="1563" t="s">
        <v>31</v>
      </c>
      <c r="E10" s="1563">
        <v>18</v>
      </c>
      <c r="F10" s="1563"/>
      <c r="G10" s="1563" t="s">
        <v>3560</v>
      </c>
      <c r="H10" s="1563" t="s">
        <v>33</v>
      </c>
      <c r="I10" s="1563"/>
      <c r="J10" s="1563"/>
      <c r="K10" s="1563"/>
      <c r="L10" s="1563"/>
      <c r="M10" s="1563"/>
      <c r="N10" s="1563"/>
      <c r="O10" s="1563" t="s">
        <v>5780</v>
      </c>
      <c r="P10" s="1563" t="s">
        <v>5781</v>
      </c>
      <c r="Q10" s="1563">
        <v>15694713641</v>
      </c>
      <c r="R10" s="1563" t="s">
        <v>5782</v>
      </c>
      <c r="S10" s="1563" t="s">
        <v>5783</v>
      </c>
      <c r="T10" s="1197"/>
    </row>
    <row r="11" spans="1:20" s="1198" customFormat="1" ht="20.100000000000001" customHeight="1">
      <c r="A11" s="143"/>
      <c r="B11" s="1563" t="s">
        <v>2501</v>
      </c>
      <c r="C11" s="1563" t="s">
        <v>5785</v>
      </c>
      <c r="D11" s="1563" t="s">
        <v>31</v>
      </c>
      <c r="E11" s="1563">
        <v>122</v>
      </c>
      <c r="F11" s="1563" t="s">
        <v>5786</v>
      </c>
      <c r="G11" s="1563" t="s">
        <v>3560</v>
      </c>
      <c r="H11" s="1563" t="s">
        <v>33</v>
      </c>
      <c r="I11" s="1563"/>
      <c r="J11" s="1563"/>
      <c r="K11" s="1563"/>
      <c r="L11" s="1563"/>
      <c r="M11" s="1563"/>
      <c r="N11" s="1563"/>
      <c r="O11" s="1563" t="s">
        <v>5780</v>
      </c>
      <c r="P11" s="1563" t="s">
        <v>5781</v>
      </c>
      <c r="Q11" s="1563">
        <v>15694713641</v>
      </c>
      <c r="R11" s="1563" t="s">
        <v>5782</v>
      </c>
      <c r="S11" s="1563" t="s">
        <v>5783</v>
      </c>
      <c r="T11" s="1197"/>
    </row>
    <row r="12" spans="1:20" s="1198" customFormat="1" ht="20.100000000000001" customHeight="1">
      <c r="A12" s="143"/>
      <c r="B12" s="1563" t="s">
        <v>2501</v>
      </c>
      <c r="C12" s="1563" t="s">
        <v>5787</v>
      </c>
      <c r="D12" s="1563" t="s">
        <v>31</v>
      </c>
      <c r="E12" s="1563">
        <v>625</v>
      </c>
      <c r="F12" s="1563"/>
      <c r="G12" s="1563" t="s">
        <v>32</v>
      </c>
      <c r="H12" s="1563" t="s">
        <v>33</v>
      </c>
      <c r="I12" s="1563"/>
      <c r="J12" s="1563"/>
      <c r="K12" s="1563"/>
      <c r="L12" s="1563"/>
      <c r="M12" s="1563"/>
      <c r="N12" s="1563" t="s">
        <v>5788</v>
      </c>
      <c r="O12" s="1563" t="s">
        <v>5789</v>
      </c>
      <c r="P12" s="1563" t="s">
        <v>5790</v>
      </c>
      <c r="Q12" s="1563">
        <v>17684853888</v>
      </c>
      <c r="R12" s="1563" t="s">
        <v>5791</v>
      </c>
      <c r="S12" s="1563" t="s">
        <v>5792</v>
      </c>
      <c r="T12" s="1564"/>
    </row>
    <row r="13" spans="1:20" s="1198" customFormat="1" ht="20.100000000000001" customHeight="1">
      <c r="A13" s="143"/>
      <c r="B13" s="1563" t="s">
        <v>2501</v>
      </c>
      <c r="C13" s="1563" t="s">
        <v>5793</v>
      </c>
      <c r="D13" s="1563" t="s">
        <v>31</v>
      </c>
      <c r="E13" s="1563">
        <v>926</v>
      </c>
      <c r="F13" s="1563"/>
      <c r="G13" s="1563" t="s">
        <v>32</v>
      </c>
      <c r="H13" s="1563" t="s">
        <v>33</v>
      </c>
      <c r="I13" s="1563"/>
      <c r="J13" s="1563"/>
      <c r="K13" s="1563"/>
      <c r="L13" s="1563"/>
      <c r="M13" s="1563"/>
      <c r="N13" s="1563" t="s">
        <v>5788</v>
      </c>
      <c r="O13" s="1563" t="s">
        <v>5789</v>
      </c>
      <c r="P13" s="1563" t="s">
        <v>5790</v>
      </c>
      <c r="Q13" s="1563">
        <v>17684853888</v>
      </c>
      <c r="R13" s="1563" t="s">
        <v>5791</v>
      </c>
      <c r="S13" s="1563" t="s">
        <v>5792</v>
      </c>
      <c r="T13" s="1197"/>
    </row>
    <row r="14" spans="1:20" s="1198" customFormat="1" ht="20.100000000000001" customHeight="1">
      <c r="A14" s="143"/>
      <c r="B14" s="1563" t="s">
        <v>2501</v>
      </c>
      <c r="C14" s="1563" t="s">
        <v>5794</v>
      </c>
      <c r="D14" s="1563" t="s">
        <v>31</v>
      </c>
      <c r="E14" s="1563">
        <v>133</v>
      </c>
      <c r="F14" s="1563"/>
      <c r="G14" s="1563" t="s">
        <v>32</v>
      </c>
      <c r="H14" s="1563" t="s">
        <v>33</v>
      </c>
      <c r="I14" s="1563"/>
      <c r="J14" s="1563"/>
      <c r="K14" s="1563"/>
      <c r="L14" s="1563"/>
      <c r="M14" s="1563"/>
      <c r="N14" s="1563" t="s">
        <v>5788</v>
      </c>
      <c r="O14" s="1563" t="s">
        <v>5789</v>
      </c>
      <c r="P14" s="1563" t="s">
        <v>5790</v>
      </c>
      <c r="Q14" s="1563">
        <v>17684853888</v>
      </c>
      <c r="R14" s="1563" t="s">
        <v>5791</v>
      </c>
      <c r="S14" s="1563" t="s">
        <v>5792</v>
      </c>
      <c r="T14" s="1197"/>
    </row>
    <row r="15" spans="1:20" s="1198" customFormat="1" ht="25.5" customHeight="1">
      <c r="A15" s="143"/>
      <c r="B15" s="1563" t="s">
        <v>2501</v>
      </c>
      <c r="C15" s="1563" t="s">
        <v>5793</v>
      </c>
      <c r="D15" s="1563" t="s">
        <v>31</v>
      </c>
      <c r="E15" s="1563">
        <v>180</v>
      </c>
      <c r="F15" s="1563"/>
      <c r="G15" s="1563" t="s">
        <v>32</v>
      </c>
      <c r="H15" s="1563" t="s">
        <v>33</v>
      </c>
      <c r="I15" s="1563"/>
      <c r="J15" s="1563"/>
      <c r="K15" s="1563"/>
      <c r="L15" s="1563"/>
      <c r="M15" s="1563"/>
      <c r="N15" s="1563" t="s">
        <v>5788</v>
      </c>
      <c r="O15" s="1563" t="s">
        <v>5795</v>
      </c>
      <c r="P15" s="1563" t="s">
        <v>5790</v>
      </c>
      <c r="Q15" s="1563">
        <v>17684853888</v>
      </c>
      <c r="R15" s="1563" t="s">
        <v>5791</v>
      </c>
      <c r="S15" s="1563" t="s">
        <v>5792</v>
      </c>
      <c r="T15" s="1197"/>
    </row>
    <row r="16" spans="1:20" s="1198" customFormat="1" ht="25.5" customHeight="1">
      <c r="A16" s="143"/>
      <c r="B16" s="1563"/>
      <c r="C16" s="1563"/>
      <c r="D16" s="1563"/>
      <c r="E16" s="1563"/>
      <c r="F16" s="1563"/>
      <c r="G16" s="1563"/>
      <c r="H16" s="1563"/>
      <c r="I16" s="1563"/>
      <c r="J16" s="1563"/>
      <c r="K16" s="1563"/>
      <c r="L16" s="1563"/>
      <c r="M16" s="1563"/>
      <c r="N16" s="1563"/>
      <c r="O16" s="1563"/>
      <c r="P16" s="1563"/>
      <c r="Q16" s="1563"/>
      <c r="R16" s="1563"/>
      <c r="S16" s="1563"/>
      <c r="T16" s="1197"/>
    </row>
    <row r="17" spans="1:20" s="1198" customFormat="1" ht="25.5" customHeight="1">
      <c r="A17" s="143"/>
      <c r="B17" s="1563"/>
      <c r="C17" s="1563"/>
      <c r="D17" s="1563"/>
      <c r="E17" s="1563"/>
      <c r="F17" s="1563"/>
      <c r="G17" s="1563"/>
      <c r="H17" s="1563"/>
      <c r="I17" s="1563"/>
      <c r="J17" s="1563"/>
      <c r="K17" s="1563"/>
      <c r="L17" s="1563"/>
      <c r="M17" s="1563"/>
      <c r="N17" s="1563"/>
      <c r="O17" s="1563"/>
      <c r="P17" s="1563"/>
      <c r="Q17" s="1563"/>
      <c r="R17" s="1563"/>
      <c r="S17" s="1563"/>
      <c r="T17" s="1197"/>
    </row>
    <row r="18" spans="1:20" s="1198" customFormat="1" ht="25.5" customHeight="1">
      <c r="A18" s="143"/>
      <c r="B18" s="1563"/>
      <c r="C18" s="1563"/>
      <c r="D18" s="1563"/>
      <c r="E18" s="1563"/>
      <c r="F18" s="1563"/>
      <c r="G18" s="1563"/>
      <c r="H18" s="1563"/>
      <c r="I18" s="1563"/>
      <c r="J18" s="1563"/>
      <c r="K18" s="1563"/>
      <c r="L18" s="1563"/>
      <c r="M18" s="1563"/>
      <c r="N18" s="1563"/>
      <c r="O18" s="1563"/>
      <c r="P18" s="1563"/>
      <c r="Q18" s="1563"/>
      <c r="R18" s="1563"/>
      <c r="S18" s="1563"/>
      <c r="T18" s="1197"/>
    </row>
    <row r="19" spans="1:20" s="1198" customFormat="1" ht="25.5" customHeight="1">
      <c r="A19" s="143"/>
      <c r="B19" s="1563"/>
      <c r="C19" s="1563"/>
      <c r="D19" s="1563"/>
      <c r="E19" s="1563"/>
      <c r="F19" s="1563"/>
      <c r="G19" s="1563"/>
      <c r="H19" s="1563"/>
      <c r="I19" s="1563"/>
      <c r="J19" s="1563"/>
      <c r="K19" s="1563"/>
      <c r="L19" s="1563"/>
      <c r="M19" s="1563"/>
      <c r="N19" s="1563"/>
      <c r="O19" s="1563"/>
      <c r="P19" s="1563"/>
      <c r="Q19" s="1563"/>
      <c r="R19" s="1563"/>
      <c r="S19" s="1563"/>
      <c r="T19" s="1197"/>
    </row>
    <row r="20" spans="1:20" s="1198" customFormat="1" ht="20.100000000000001" customHeight="1">
      <c r="A20" s="143"/>
      <c r="B20" s="1201"/>
      <c r="C20" s="1201"/>
      <c r="D20" s="1201"/>
      <c r="E20" s="1201"/>
      <c r="F20" s="1201"/>
      <c r="G20" s="1202"/>
      <c r="H20" s="1201"/>
      <c r="I20" s="1201"/>
      <c r="J20" s="1201"/>
      <c r="K20" s="1201"/>
      <c r="L20" s="1201"/>
      <c r="M20" s="1201"/>
      <c r="N20" s="1201"/>
      <c r="O20" s="1202"/>
      <c r="P20" s="1201"/>
      <c r="Q20" s="1201"/>
      <c r="R20" s="1202"/>
      <c r="S20" s="1201"/>
      <c r="T20" s="1197"/>
    </row>
    <row r="21" spans="1:20" s="1018" customFormat="1" ht="20.100000000000001" customHeight="1">
      <c r="A21" s="1770">
        <v>2</v>
      </c>
      <c r="B21" s="1771" t="s">
        <v>84</v>
      </c>
      <c r="C21" s="1771"/>
      <c r="D21" s="1770"/>
      <c r="E21" s="1771"/>
      <c r="F21" s="1771"/>
      <c r="G21" s="1771"/>
      <c r="H21" s="1771"/>
      <c r="I21" s="1770"/>
      <c r="J21" s="1771"/>
      <c r="K21" s="1771"/>
      <c r="L21" s="1771"/>
      <c r="M21" s="1195"/>
      <c r="N21" s="1771"/>
      <c r="O21" s="1771"/>
      <c r="P21" s="1770"/>
      <c r="Q21" s="1771"/>
      <c r="R21" s="1771"/>
      <c r="S21" s="1196"/>
      <c r="T21" s="1564"/>
    </row>
    <row r="22" spans="1:20" s="1198" customFormat="1" ht="20.100000000000001" customHeight="1">
      <c r="A22" s="143"/>
      <c r="B22" s="1563" t="s">
        <v>5796</v>
      </c>
      <c r="C22" s="1563" t="s">
        <v>5797</v>
      </c>
      <c r="D22" s="1563" t="s">
        <v>79</v>
      </c>
      <c r="E22" s="1563">
        <v>4</v>
      </c>
      <c r="F22" s="1563">
        <v>178.36</v>
      </c>
      <c r="G22" s="1563" t="s">
        <v>32</v>
      </c>
      <c r="H22" s="1563" t="s">
        <v>41</v>
      </c>
      <c r="I22" s="1563" t="s">
        <v>5798</v>
      </c>
      <c r="J22" s="1563" t="s">
        <v>5799</v>
      </c>
      <c r="K22" s="1563" t="s">
        <v>5800</v>
      </c>
      <c r="L22" s="1563">
        <v>1115576.8</v>
      </c>
      <c r="M22" s="1563">
        <v>780903.8</v>
      </c>
      <c r="N22" s="1563">
        <v>2017.4</v>
      </c>
      <c r="O22" s="1563" t="s">
        <v>5801</v>
      </c>
      <c r="P22" s="1563" t="s">
        <v>5802</v>
      </c>
      <c r="Q22" s="1563">
        <v>13842003200</v>
      </c>
      <c r="R22" s="1563" t="s">
        <v>5803</v>
      </c>
      <c r="S22" s="1563" t="s">
        <v>5792</v>
      </c>
      <c r="T22" s="1197"/>
    </row>
    <row r="23" spans="1:20" s="1198" customFormat="1" ht="20.100000000000001" customHeight="1">
      <c r="A23" s="143"/>
      <c r="B23" s="1563" t="s">
        <v>5796</v>
      </c>
      <c r="C23" s="1563" t="s">
        <v>5804</v>
      </c>
      <c r="D23" s="1563" t="s">
        <v>79</v>
      </c>
      <c r="E23" s="1563">
        <v>8</v>
      </c>
      <c r="F23" s="1563">
        <v>24.3</v>
      </c>
      <c r="G23" s="1563" t="s">
        <v>32</v>
      </c>
      <c r="H23" s="1563" t="s">
        <v>41</v>
      </c>
      <c r="I23" s="1563" t="s">
        <v>5798</v>
      </c>
      <c r="J23" s="1563" t="s">
        <v>5799</v>
      </c>
      <c r="K23" s="1563" t="s">
        <v>5805</v>
      </c>
      <c r="L23" s="1563">
        <v>150174</v>
      </c>
      <c r="M23" s="1563">
        <v>105121.8</v>
      </c>
      <c r="N23" s="1563">
        <v>2017.4</v>
      </c>
      <c r="O23" s="1563" t="s">
        <v>5801</v>
      </c>
      <c r="P23" s="1563" t="s">
        <v>5802</v>
      </c>
      <c r="Q23" s="1563">
        <v>13842003200</v>
      </c>
      <c r="R23" s="1563" t="s">
        <v>5803</v>
      </c>
      <c r="S23" s="1563" t="s">
        <v>5792</v>
      </c>
      <c r="T23" s="1197"/>
    </row>
    <row r="24" spans="1:20" s="1198" customFormat="1" ht="20.100000000000001" customHeight="1">
      <c r="A24" s="143"/>
      <c r="B24" s="1563" t="s">
        <v>5806</v>
      </c>
      <c r="C24" s="1563" t="s">
        <v>5807</v>
      </c>
      <c r="D24" s="1563" t="s">
        <v>79</v>
      </c>
      <c r="E24" s="1563">
        <v>4</v>
      </c>
      <c r="F24" s="1563">
        <v>51.103999999999999</v>
      </c>
      <c r="G24" s="1563" t="s">
        <v>32</v>
      </c>
      <c r="H24" s="1563" t="s">
        <v>41</v>
      </c>
      <c r="I24" s="1563" t="s">
        <v>5798</v>
      </c>
      <c r="J24" s="1563" t="s">
        <v>5799</v>
      </c>
      <c r="K24" s="1563" t="s">
        <v>5805</v>
      </c>
      <c r="L24" s="1563">
        <v>315822.71999999997</v>
      </c>
      <c r="M24" s="1563">
        <v>221075.82</v>
      </c>
      <c r="N24" s="1563">
        <v>2017.4</v>
      </c>
      <c r="O24" s="1563" t="s">
        <v>5801</v>
      </c>
      <c r="P24" s="1563" t="s">
        <v>5802</v>
      </c>
      <c r="Q24" s="1563">
        <v>13842003200</v>
      </c>
      <c r="R24" s="1563" t="s">
        <v>5803</v>
      </c>
      <c r="S24" s="1563" t="s">
        <v>5792</v>
      </c>
      <c r="T24" s="1197"/>
    </row>
    <row r="25" spans="1:20" s="1198" customFormat="1" ht="20.100000000000001" customHeight="1">
      <c r="A25" s="143"/>
      <c r="B25" s="1563" t="s">
        <v>5806</v>
      </c>
      <c r="C25" s="1563" t="s">
        <v>5808</v>
      </c>
      <c r="D25" s="1563" t="s">
        <v>79</v>
      </c>
      <c r="E25" s="1563">
        <v>2</v>
      </c>
      <c r="F25" s="1563">
        <v>3.94</v>
      </c>
      <c r="G25" s="1563" t="s">
        <v>32</v>
      </c>
      <c r="H25" s="1563" t="s">
        <v>41</v>
      </c>
      <c r="I25" s="1563" t="s">
        <v>5798</v>
      </c>
      <c r="J25" s="1563" t="s">
        <v>5799</v>
      </c>
      <c r="K25" s="1563" t="s">
        <v>5805</v>
      </c>
      <c r="L25" s="1563">
        <v>24349.200000000001</v>
      </c>
      <c r="M25" s="1563">
        <v>17044.38</v>
      </c>
      <c r="N25" s="1563">
        <v>2017.4</v>
      </c>
      <c r="O25" s="1563" t="s">
        <v>5801</v>
      </c>
      <c r="P25" s="1563" t="s">
        <v>5802</v>
      </c>
      <c r="Q25" s="1563">
        <v>13842003200</v>
      </c>
      <c r="R25" s="1563" t="s">
        <v>5803</v>
      </c>
      <c r="S25" s="1563" t="s">
        <v>5792</v>
      </c>
      <c r="T25" s="1197"/>
    </row>
    <row r="26" spans="1:20" s="1198" customFormat="1" ht="20.100000000000001" customHeight="1">
      <c r="A26" s="143"/>
      <c r="B26" s="1563" t="s">
        <v>5796</v>
      </c>
      <c r="C26" s="1563" t="s">
        <v>5809</v>
      </c>
      <c r="D26" s="1563" t="s">
        <v>79</v>
      </c>
      <c r="E26" s="1563">
        <v>4</v>
      </c>
      <c r="F26" s="1563">
        <v>60.5</v>
      </c>
      <c r="G26" s="1563" t="s">
        <v>32</v>
      </c>
      <c r="H26" s="1563" t="s">
        <v>41</v>
      </c>
      <c r="I26" s="1563" t="s">
        <v>5798</v>
      </c>
      <c r="J26" s="1563" t="s">
        <v>5799</v>
      </c>
      <c r="K26" s="1563" t="s">
        <v>5810</v>
      </c>
      <c r="L26" s="1563">
        <v>373890</v>
      </c>
      <c r="M26" s="1563">
        <v>261723</v>
      </c>
      <c r="N26" s="1563">
        <v>2017.4</v>
      </c>
      <c r="O26" s="1563" t="s">
        <v>5801</v>
      </c>
      <c r="P26" s="1563" t="s">
        <v>5802</v>
      </c>
      <c r="Q26" s="1563">
        <v>13842003200</v>
      </c>
      <c r="R26" s="1563" t="s">
        <v>5803</v>
      </c>
      <c r="S26" s="1563" t="s">
        <v>5792</v>
      </c>
      <c r="T26" s="1197"/>
    </row>
    <row r="27" spans="1:20" s="1198" customFormat="1" ht="20.100000000000001" customHeight="1">
      <c r="A27" s="143"/>
      <c r="B27" s="1563" t="s">
        <v>5796</v>
      </c>
      <c r="C27" s="1563" t="s">
        <v>5811</v>
      </c>
      <c r="D27" s="1563" t="s">
        <v>79</v>
      </c>
      <c r="E27" s="1563">
        <v>4</v>
      </c>
      <c r="F27" s="1563">
        <v>91.66</v>
      </c>
      <c r="G27" s="1563" t="s">
        <v>32</v>
      </c>
      <c r="H27" s="1563" t="s">
        <v>41</v>
      </c>
      <c r="I27" s="1563" t="s">
        <v>5798</v>
      </c>
      <c r="J27" s="1563" t="s">
        <v>5799</v>
      </c>
      <c r="K27" s="1563" t="s">
        <v>5810</v>
      </c>
      <c r="L27" s="1563">
        <v>576436.80000000005</v>
      </c>
      <c r="M27" s="1563">
        <v>403505.74</v>
      </c>
      <c r="N27" s="1563">
        <v>2017.4</v>
      </c>
      <c r="O27" s="1563" t="s">
        <v>5801</v>
      </c>
      <c r="P27" s="1563" t="s">
        <v>5802</v>
      </c>
      <c r="Q27" s="1563">
        <v>13842003200</v>
      </c>
      <c r="R27" s="1563" t="s">
        <v>5803</v>
      </c>
      <c r="S27" s="1563" t="s">
        <v>5792</v>
      </c>
      <c r="T27" s="1197"/>
    </row>
    <row r="28" spans="1:20" s="1198" customFormat="1" ht="20.100000000000001" customHeight="1">
      <c r="A28" s="143"/>
      <c r="B28" s="1563" t="s">
        <v>1593</v>
      </c>
      <c r="C28" s="1563" t="s">
        <v>5812</v>
      </c>
      <c r="D28" s="1563" t="s">
        <v>79</v>
      </c>
      <c r="E28" s="1563">
        <v>313.53800000000001</v>
      </c>
      <c r="F28" s="1563"/>
      <c r="G28" s="1563" t="s">
        <v>32</v>
      </c>
      <c r="H28" s="1563" t="s">
        <v>41</v>
      </c>
      <c r="I28" s="1563" t="s">
        <v>5798</v>
      </c>
      <c r="J28" s="1563" t="s">
        <v>5799</v>
      </c>
      <c r="K28" s="1563" t="s">
        <v>5813</v>
      </c>
      <c r="L28" s="1563">
        <v>1388659.8</v>
      </c>
      <c r="M28" s="1563">
        <v>972061.9</v>
      </c>
      <c r="N28" s="1563">
        <v>2017.4</v>
      </c>
      <c r="O28" s="1563" t="s">
        <v>5801</v>
      </c>
      <c r="P28" s="1563" t="s">
        <v>5802</v>
      </c>
      <c r="Q28" s="1563">
        <v>13842003200</v>
      </c>
      <c r="R28" s="1563" t="s">
        <v>5803</v>
      </c>
      <c r="S28" s="1563" t="s">
        <v>5792</v>
      </c>
      <c r="T28" s="1197"/>
    </row>
    <row r="29" spans="1:20" s="1198" customFormat="1" ht="20.100000000000001" customHeight="1">
      <c r="A29" s="143"/>
      <c r="B29" s="1563" t="s">
        <v>5814</v>
      </c>
      <c r="C29" s="1203" t="s">
        <v>5815</v>
      </c>
      <c r="D29" s="1203" t="s">
        <v>31</v>
      </c>
      <c r="E29" s="1203">
        <v>44</v>
      </c>
      <c r="F29" s="1204">
        <v>30.149000000000001</v>
      </c>
      <c r="G29" s="1634" t="s">
        <v>32</v>
      </c>
      <c r="H29" s="1634" t="s">
        <v>33</v>
      </c>
      <c r="I29" s="1634" t="s">
        <v>5816</v>
      </c>
      <c r="J29" s="1563" t="s">
        <v>5817</v>
      </c>
      <c r="K29" s="1563" t="s">
        <v>5818</v>
      </c>
      <c r="L29" s="1194">
        <v>189938.7</v>
      </c>
      <c r="M29" s="1194">
        <v>189938.7</v>
      </c>
      <c r="N29" s="1634">
        <v>2020.3</v>
      </c>
      <c r="O29" s="1563" t="s">
        <v>5819</v>
      </c>
      <c r="P29" s="1563" t="s">
        <v>5820</v>
      </c>
      <c r="Q29" s="1563">
        <v>17647437444</v>
      </c>
      <c r="R29" s="1563" t="s">
        <v>5821</v>
      </c>
      <c r="S29" s="1563" t="s">
        <v>5792</v>
      </c>
      <c r="T29" s="1197"/>
    </row>
    <row r="30" spans="1:20" s="1198" customFormat="1" ht="20.100000000000001" customHeight="1">
      <c r="A30" s="143"/>
      <c r="B30" s="1563" t="s">
        <v>5814</v>
      </c>
      <c r="C30" s="1203" t="s">
        <v>5822</v>
      </c>
      <c r="D30" s="1203" t="s">
        <v>31</v>
      </c>
      <c r="E30" s="1203">
        <v>4</v>
      </c>
      <c r="F30" s="1204">
        <v>2.056</v>
      </c>
      <c r="G30" s="1634" t="s">
        <v>32</v>
      </c>
      <c r="H30" s="1634" t="s">
        <v>33</v>
      </c>
      <c r="I30" s="1634" t="s">
        <v>5816</v>
      </c>
      <c r="J30" s="1563" t="s">
        <v>5817</v>
      </c>
      <c r="K30" s="1563" t="s">
        <v>5818</v>
      </c>
      <c r="L30" s="1194">
        <v>12952.8</v>
      </c>
      <c r="M30" s="1194">
        <v>12952.8</v>
      </c>
      <c r="N30" s="1634">
        <v>2020.3</v>
      </c>
      <c r="O30" s="1563" t="s">
        <v>5819</v>
      </c>
      <c r="P30" s="1563" t="s">
        <v>5820</v>
      </c>
      <c r="Q30" s="1563">
        <v>17647437445</v>
      </c>
      <c r="R30" s="1563" t="s">
        <v>5821</v>
      </c>
      <c r="S30" s="1563" t="s">
        <v>5792</v>
      </c>
      <c r="T30" s="1197"/>
    </row>
    <row r="31" spans="1:20" s="1198" customFormat="1" ht="20.100000000000001" customHeight="1">
      <c r="A31" s="143"/>
      <c r="B31" s="1563" t="s">
        <v>5814</v>
      </c>
      <c r="C31" s="1203" t="s">
        <v>5823</v>
      </c>
      <c r="D31" s="1203" t="s">
        <v>31</v>
      </c>
      <c r="E31" s="1203">
        <v>4</v>
      </c>
      <c r="F31" s="1204">
        <v>1.37</v>
      </c>
      <c r="G31" s="1634" t="s">
        <v>32</v>
      </c>
      <c r="H31" s="1634" t="s">
        <v>33</v>
      </c>
      <c r="I31" s="1634" t="s">
        <v>5816</v>
      </c>
      <c r="J31" s="1563" t="s">
        <v>5817</v>
      </c>
      <c r="K31" s="1563" t="s">
        <v>5818</v>
      </c>
      <c r="L31" s="1194">
        <v>8631</v>
      </c>
      <c r="M31" s="1194">
        <v>8631</v>
      </c>
      <c r="N31" s="1634">
        <v>2020.3</v>
      </c>
      <c r="O31" s="1563" t="s">
        <v>5819</v>
      </c>
      <c r="P31" s="1563" t="s">
        <v>5820</v>
      </c>
      <c r="Q31" s="1563">
        <v>17647437446</v>
      </c>
      <c r="R31" s="1563" t="s">
        <v>5821</v>
      </c>
      <c r="S31" s="1563" t="s">
        <v>5792</v>
      </c>
      <c r="T31" s="1197"/>
    </row>
    <row r="32" spans="1:20" s="1198" customFormat="1" ht="20.100000000000001" customHeight="1">
      <c r="A32" s="143"/>
      <c r="B32" s="1563" t="s">
        <v>5814</v>
      </c>
      <c r="C32" s="1203" t="s">
        <v>5487</v>
      </c>
      <c r="D32" s="1203" t="s">
        <v>31</v>
      </c>
      <c r="E32" s="1203">
        <v>22</v>
      </c>
      <c r="F32" s="1204">
        <v>9.5039999999999996</v>
      </c>
      <c r="G32" s="1634" t="s">
        <v>32</v>
      </c>
      <c r="H32" s="1634" t="s">
        <v>33</v>
      </c>
      <c r="I32" s="1634" t="s">
        <v>5816</v>
      </c>
      <c r="J32" s="1563" t="s">
        <v>5817</v>
      </c>
      <c r="K32" s="1563" t="s">
        <v>5818</v>
      </c>
      <c r="L32" s="1194">
        <v>59875.199999999997</v>
      </c>
      <c r="M32" s="1194">
        <v>59875.199999999997</v>
      </c>
      <c r="N32" s="1634">
        <v>2020.3</v>
      </c>
      <c r="O32" s="1563" t="s">
        <v>5819</v>
      </c>
      <c r="P32" s="1563" t="s">
        <v>5820</v>
      </c>
      <c r="Q32" s="1563">
        <v>17647437447</v>
      </c>
      <c r="R32" s="1563" t="s">
        <v>5821</v>
      </c>
      <c r="S32" s="1563" t="s">
        <v>5792</v>
      </c>
      <c r="T32" s="1197"/>
    </row>
    <row r="33" spans="1:20" s="1198" customFormat="1" ht="20.100000000000001" customHeight="1">
      <c r="A33" s="143"/>
      <c r="B33" s="1563" t="s">
        <v>5814</v>
      </c>
      <c r="C33" s="1203" t="s">
        <v>5824</v>
      </c>
      <c r="D33" s="1203" t="s">
        <v>31</v>
      </c>
      <c r="E33" s="1203">
        <v>2</v>
      </c>
      <c r="F33" s="1204">
        <v>0.64800000000000002</v>
      </c>
      <c r="G33" s="1634" t="s">
        <v>32</v>
      </c>
      <c r="H33" s="1634" t="s">
        <v>33</v>
      </c>
      <c r="I33" s="1634" t="s">
        <v>5816</v>
      </c>
      <c r="J33" s="1563" t="s">
        <v>5817</v>
      </c>
      <c r="K33" s="1563" t="s">
        <v>5818</v>
      </c>
      <c r="L33" s="1194">
        <v>4082.4</v>
      </c>
      <c r="M33" s="1194">
        <v>4082.4</v>
      </c>
      <c r="N33" s="1634">
        <v>2020.3</v>
      </c>
      <c r="O33" s="1563" t="s">
        <v>5819</v>
      </c>
      <c r="P33" s="1563" t="s">
        <v>5820</v>
      </c>
      <c r="Q33" s="1563">
        <v>17647437448</v>
      </c>
      <c r="R33" s="1563" t="s">
        <v>5821</v>
      </c>
      <c r="S33" s="1563" t="s">
        <v>5792</v>
      </c>
      <c r="T33" s="1197"/>
    </row>
    <row r="34" spans="1:20" s="1198" customFormat="1" ht="20.100000000000001" customHeight="1">
      <c r="A34" s="143"/>
      <c r="B34" s="1563" t="s">
        <v>5814</v>
      </c>
      <c r="C34" s="1203" t="s">
        <v>5825</v>
      </c>
      <c r="D34" s="1203" t="s">
        <v>31</v>
      </c>
      <c r="E34" s="1203">
        <v>4</v>
      </c>
      <c r="F34" s="1204">
        <v>0.86399999999999999</v>
      </c>
      <c r="G34" s="1634" t="s">
        <v>32</v>
      </c>
      <c r="H34" s="1634" t="s">
        <v>33</v>
      </c>
      <c r="I34" s="1634" t="s">
        <v>5816</v>
      </c>
      <c r="J34" s="1563" t="s">
        <v>5817</v>
      </c>
      <c r="K34" s="1563" t="s">
        <v>5818</v>
      </c>
      <c r="L34" s="1194">
        <v>5443.2</v>
      </c>
      <c r="M34" s="1194">
        <v>5443.2</v>
      </c>
      <c r="N34" s="1634">
        <v>2020.3</v>
      </c>
      <c r="O34" s="1563" t="s">
        <v>5819</v>
      </c>
      <c r="P34" s="1563" t="s">
        <v>5820</v>
      </c>
      <c r="Q34" s="1563">
        <v>17647437449</v>
      </c>
      <c r="R34" s="1563" t="s">
        <v>5821</v>
      </c>
      <c r="S34" s="1563" t="s">
        <v>5792</v>
      </c>
      <c r="T34" s="1197"/>
    </row>
    <row r="35" spans="1:20" s="1198" customFormat="1" ht="20.100000000000001" customHeight="1">
      <c r="A35" s="143"/>
      <c r="B35" s="1563" t="s">
        <v>5814</v>
      </c>
      <c r="C35" s="1203" t="s">
        <v>5826</v>
      </c>
      <c r="D35" s="1203" t="s">
        <v>31</v>
      </c>
      <c r="E35" s="1203">
        <v>22</v>
      </c>
      <c r="F35" s="1204">
        <v>1.056</v>
      </c>
      <c r="G35" s="1634" t="s">
        <v>32</v>
      </c>
      <c r="H35" s="1634" t="s">
        <v>33</v>
      </c>
      <c r="I35" s="1634" t="s">
        <v>5816</v>
      </c>
      <c r="J35" s="1563" t="s">
        <v>5817</v>
      </c>
      <c r="K35" s="1563" t="s">
        <v>5818</v>
      </c>
      <c r="L35" s="1194">
        <v>6652.8</v>
      </c>
      <c r="M35" s="1194">
        <v>6652.8</v>
      </c>
      <c r="N35" s="1634">
        <v>2020.3</v>
      </c>
      <c r="O35" s="1563" t="s">
        <v>5819</v>
      </c>
      <c r="P35" s="1563" t="s">
        <v>5820</v>
      </c>
      <c r="Q35" s="1563">
        <v>17647437450</v>
      </c>
      <c r="R35" s="1563" t="s">
        <v>5821</v>
      </c>
      <c r="S35" s="1563" t="s">
        <v>5792</v>
      </c>
      <c r="T35" s="1197"/>
    </row>
    <row r="36" spans="1:20" s="1198" customFormat="1" ht="20.100000000000001" customHeight="1">
      <c r="A36" s="143"/>
      <c r="B36" s="1563" t="s">
        <v>5814</v>
      </c>
      <c r="C36" s="1203" t="s">
        <v>5827</v>
      </c>
      <c r="D36" s="1203" t="s">
        <v>31</v>
      </c>
      <c r="E36" s="1203">
        <v>4</v>
      </c>
      <c r="F36" s="1204">
        <v>0.14399999999999999</v>
      </c>
      <c r="G36" s="1634" t="s">
        <v>32</v>
      </c>
      <c r="H36" s="1634" t="s">
        <v>33</v>
      </c>
      <c r="I36" s="1634" t="s">
        <v>5816</v>
      </c>
      <c r="J36" s="1563" t="s">
        <v>5817</v>
      </c>
      <c r="K36" s="1563" t="s">
        <v>5818</v>
      </c>
      <c r="L36" s="1194">
        <v>907.2</v>
      </c>
      <c r="M36" s="1194">
        <v>907.2</v>
      </c>
      <c r="N36" s="1634">
        <v>2020.3</v>
      </c>
      <c r="O36" s="1563" t="s">
        <v>5819</v>
      </c>
      <c r="P36" s="1563" t="s">
        <v>5820</v>
      </c>
      <c r="Q36" s="1563">
        <v>17647437451</v>
      </c>
      <c r="R36" s="1563" t="s">
        <v>5821</v>
      </c>
      <c r="S36" s="1563" t="s">
        <v>5792</v>
      </c>
      <c r="T36" s="1197"/>
    </row>
    <row r="37" spans="1:20" s="1198" customFormat="1" ht="20.100000000000001" customHeight="1">
      <c r="A37" s="143"/>
      <c r="B37" s="1563" t="s">
        <v>5814</v>
      </c>
      <c r="C37" s="1203" t="s">
        <v>5828</v>
      </c>
      <c r="D37" s="1203" t="s">
        <v>31</v>
      </c>
      <c r="E37" s="1203">
        <v>4</v>
      </c>
      <c r="F37" s="1204">
        <v>9.6000000000000002E-2</v>
      </c>
      <c r="G37" s="1634" t="s">
        <v>32</v>
      </c>
      <c r="H37" s="1634" t="s">
        <v>33</v>
      </c>
      <c r="I37" s="1634" t="s">
        <v>5816</v>
      </c>
      <c r="J37" s="1563" t="s">
        <v>5817</v>
      </c>
      <c r="K37" s="1563" t="s">
        <v>5818</v>
      </c>
      <c r="L37" s="1194">
        <v>604.79999999999995</v>
      </c>
      <c r="M37" s="1194">
        <v>604.79999999999995</v>
      </c>
      <c r="N37" s="1634">
        <v>2020.3</v>
      </c>
      <c r="O37" s="1563" t="s">
        <v>5819</v>
      </c>
      <c r="P37" s="1563" t="s">
        <v>5820</v>
      </c>
      <c r="Q37" s="1563">
        <v>17647437452</v>
      </c>
      <c r="R37" s="1563" t="s">
        <v>5821</v>
      </c>
      <c r="S37" s="1563" t="s">
        <v>5792</v>
      </c>
      <c r="T37" s="1197"/>
    </row>
    <row r="38" spans="1:20" s="1198" customFormat="1" ht="20.100000000000001" customHeight="1">
      <c r="A38" s="143"/>
      <c r="B38" s="1563" t="s">
        <v>5814</v>
      </c>
      <c r="C38" s="1203" t="s">
        <v>5829</v>
      </c>
      <c r="D38" s="1203" t="s">
        <v>31</v>
      </c>
      <c r="E38" s="1203">
        <v>22</v>
      </c>
      <c r="F38" s="1204">
        <v>3.1680000000000001</v>
      </c>
      <c r="G38" s="1634" t="s">
        <v>32</v>
      </c>
      <c r="H38" s="1634" t="s">
        <v>33</v>
      </c>
      <c r="I38" s="1634" t="s">
        <v>5816</v>
      </c>
      <c r="J38" s="1563" t="s">
        <v>5817</v>
      </c>
      <c r="K38" s="1563" t="s">
        <v>5818</v>
      </c>
      <c r="L38" s="1194">
        <v>19958.400000000001</v>
      </c>
      <c r="M38" s="1194">
        <v>19958.400000000001</v>
      </c>
      <c r="N38" s="1634">
        <v>2020.3</v>
      </c>
      <c r="O38" s="1563" t="s">
        <v>5819</v>
      </c>
      <c r="P38" s="1563" t="s">
        <v>5820</v>
      </c>
      <c r="Q38" s="1563">
        <v>17647437453</v>
      </c>
      <c r="R38" s="1563" t="s">
        <v>5821</v>
      </c>
      <c r="S38" s="1563" t="s">
        <v>5792</v>
      </c>
      <c r="T38" s="1197"/>
    </row>
    <row r="39" spans="1:20" s="1198" customFormat="1" ht="20.100000000000001" customHeight="1">
      <c r="A39" s="143"/>
      <c r="B39" s="1563" t="s">
        <v>5814</v>
      </c>
      <c r="C39" s="1203" t="s">
        <v>5785</v>
      </c>
      <c r="D39" s="1203" t="s">
        <v>31</v>
      </c>
      <c r="E39" s="1203">
        <v>4</v>
      </c>
      <c r="F39" s="1204">
        <v>0.432</v>
      </c>
      <c r="G39" s="1634" t="s">
        <v>32</v>
      </c>
      <c r="H39" s="1634" t="s">
        <v>33</v>
      </c>
      <c r="I39" s="1634" t="s">
        <v>5816</v>
      </c>
      <c r="J39" s="1563" t="s">
        <v>5817</v>
      </c>
      <c r="K39" s="1563" t="s">
        <v>5818</v>
      </c>
      <c r="L39" s="1194">
        <v>2721.6</v>
      </c>
      <c r="M39" s="1194">
        <v>2721.6</v>
      </c>
      <c r="N39" s="1634">
        <v>2020.3</v>
      </c>
      <c r="O39" s="1563" t="s">
        <v>5819</v>
      </c>
      <c r="P39" s="1563" t="s">
        <v>5820</v>
      </c>
      <c r="Q39" s="1563">
        <v>17647437454</v>
      </c>
      <c r="R39" s="1563" t="s">
        <v>5821</v>
      </c>
      <c r="S39" s="1563" t="s">
        <v>5792</v>
      </c>
      <c r="T39" s="1197"/>
    </row>
    <row r="40" spans="1:20" s="1198" customFormat="1" ht="20.100000000000001" customHeight="1">
      <c r="A40" s="143"/>
      <c r="B40" s="1563" t="s">
        <v>5814</v>
      </c>
      <c r="C40" s="1203" t="s">
        <v>5830</v>
      </c>
      <c r="D40" s="1203" t="s">
        <v>31</v>
      </c>
      <c r="E40" s="1203">
        <v>4</v>
      </c>
      <c r="F40" s="1204">
        <v>0.28799999999999998</v>
      </c>
      <c r="G40" s="1634" t="s">
        <v>32</v>
      </c>
      <c r="H40" s="1634" t="s">
        <v>33</v>
      </c>
      <c r="I40" s="1634" t="s">
        <v>5816</v>
      </c>
      <c r="J40" s="1563" t="s">
        <v>5817</v>
      </c>
      <c r="K40" s="1563" t="s">
        <v>5818</v>
      </c>
      <c r="L40" s="1194">
        <v>1814.4</v>
      </c>
      <c r="M40" s="1194">
        <v>1814.4</v>
      </c>
      <c r="N40" s="1634">
        <v>2020.3</v>
      </c>
      <c r="O40" s="1563" t="s">
        <v>5819</v>
      </c>
      <c r="P40" s="1563" t="s">
        <v>5820</v>
      </c>
      <c r="Q40" s="1563">
        <v>17647437455</v>
      </c>
      <c r="R40" s="1563" t="s">
        <v>5821</v>
      </c>
      <c r="S40" s="1563" t="s">
        <v>5792</v>
      </c>
      <c r="T40" s="1197"/>
    </row>
    <row r="41" spans="1:20" s="1198" customFormat="1" ht="20.100000000000001" customHeight="1">
      <c r="A41" s="143"/>
      <c r="B41" s="1563" t="s">
        <v>5814</v>
      </c>
      <c r="C41" s="1203" t="s">
        <v>5831</v>
      </c>
      <c r="D41" s="1203" t="s">
        <v>31</v>
      </c>
      <c r="E41" s="1203">
        <v>4</v>
      </c>
      <c r="F41" s="1204">
        <v>0.17299999999999999</v>
      </c>
      <c r="G41" s="1634" t="s">
        <v>32</v>
      </c>
      <c r="H41" s="1634" t="s">
        <v>33</v>
      </c>
      <c r="I41" s="1634" t="s">
        <v>5816</v>
      </c>
      <c r="J41" s="1563" t="s">
        <v>5817</v>
      </c>
      <c r="K41" s="1563" t="s">
        <v>5818</v>
      </c>
      <c r="L41" s="1194">
        <v>1089.9000000000001</v>
      </c>
      <c r="M41" s="1194">
        <v>1089.9000000000001</v>
      </c>
      <c r="N41" s="1634">
        <v>2020.3</v>
      </c>
      <c r="O41" s="1563" t="s">
        <v>5819</v>
      </c>
      <c r="P41" s="1563" t="s">
        <v>5820</v>
      </c>
      <c r="Q41" s="1563">
        <v>17647437456</v>
      </c>
      <c r="R41" s="1563" t="s">
        <v>5821</v>
      </c>
      <c r="S41" s="1563" t="s">
        <v>5792</v>
      </c>
      <c r="T41" s="1197"/>
    </row>
    <row r="42" spans="1:20" s="1198" customFormat="1" ht="20.100000000000001" customHeight="1">
      <c r="A42" s="143"/>
      <c r="B42" s="1563" t="s">
        <v>5814</v>
      </c>
      <c r="C42" s="1203" t="s">
        <v>5832</v>
      </c>
      <c r="D42" s="1203" t="s">
        <v>31</v>
      </c>
      <c r="E42" s="1203">
        <v>4</v>
      </c>
      <c r="F42" s="1204">
        <v>0.58599999999999997</v>
      </c>
      <c r="G42" s="1634" t="s">
        <v>32</v>
      </c>
      <c r="H42" s="1634" t="s">
        <v>33</v>
      </c>
      <c r="I42" s="1634" t="s">
        <v>5816</v>
      </c>
      <c r="J42" s="1563" t="s">
        <v>5817</v>
      </c>
      <c r="K42" s="1563" t="s">
        <v>5818</v>
      </c>
      <c r="L42" s="1194">
        <v>3691.8</v>
      </c>
      <c r="M42" s="1194">
        <v>3691.8</v>
      </c>
      <c r="N42" s="1634">
        <v>2020.3</v>
      </c>
      <c r="O42" s="1563" t="s">
        <v>5819</v>
      </c>
      <c r="P42" s="1563" t="s">
        <v>5820</v>
      </c>
      <c r="Q42" s="1563">
        <v>17647437457</v>
      </c>
      <c r="R42" s="1563" t="s">
        <v>5821</v>
      </c>
      <c r="S42" s="1563" t="s">
        <v>5792</v>
      </c>
      <c r="T42" s="1197"/>
    </row>
    <row r="43" spans="1:20" s="1198" customFormat="1" ht="20.100000000000001" customHeight="1">
      <c r="A43" s="143"/>
      <c r="B43" s="1563" t="s">
        <v>5814</v>
      </c>
      <c r="C43" s="1203" t="s">
        <v>5833</v>
      </c>
      <c r="D43" s="1203" t="s">
        <v>31</v>
      </c>
      <c r="E43" s="1203">
        <v>2</v>
      </c>
      <c r="F43" s="1204">
        <v>1.5449999999999999</v>
      </c>
      <c r="G43" s="1634" t="s">
        <v>32</v>
      </c>
      <c r="H43" s="1634" t="s">
        <v>33</v>
      </c>
      <c r="I43" s="1634" t="s">
        <v>5816</v>
      </c>
      <c r="J43" s="1563" t="s">
        <v>5817</v>
      </c>
      <c r="K43" s="1563" t="s">
        <v>5818</v>
      </c>
      <c r="L43" s="1194">
        <v>9733.5</v>
      </c>
      <c r="M43" s="1194">
        <v>9733.5</v>
      </c>
      <c r="N43" s="1634">
        <v>2020.3</v>
      </c>
      <c r="O43" s="1563" t="s">
        <v>5819</v>
      </c>
      <c r="P43" s="1563" t="s">
        <v>5820</v>
      </c>
      <c r="Q43" s="1563">
        <v>17647437458</v>
      </c>
      <c r="R43" s="1563" t="s">
        <v>5821</v>
      </c>
      <c r="S43" s="1563" t="s">
        <v>5792</v>
      </c>
      <c r="T43" s="1197"/>
    </row>
    <row r="44" spans="1:20" s="1198" customFormat="1" ht="20.100000000000001" customHeight="1">
      <c r="A44" s="143"/>
      <c r="B44" s="1563" t="s">
        <v>5814</v>
      </c>
      <c r="C44" s="1203" t="s">
        <v>5834</v>
      </c>
      <c r="D44" s="1203" t="s">
        <v>31</v>
      </c>
      <c r="E44" s="1203">
        <v>2</v>
      </c>
      <c r="F44" s="1204">
        <v>2.5129999999999999</v>
      </c>
      <c r="G44" s="1634" t="s">
        <v>32</v>
      </c>
      <c r="H44" s="1634" t="s">
        <v>33</v>
      </c>
      <c r="I44" s="1634" t="s">
        <v>5816</v>
      </c>
      <c r="J44" s="1563" t="s">
        <v>5817</v>
      </c>
      <c r="K44" s="1563" t="s">
        <v>5818</v>
      </c>
      <c r="L44" s="1194">
        <v>15831.9</v>
      </c>
      <c r="M44" s="1194">
        <v>15831.9</v>
      </c>
      <c r="N44" s="1634">
        <v>2020.3</v>
      </c>
      <c r="O44" s="1563" t="s">
        <v>5819</v>
      </c>
      <c r="P44" s="1563" t="s">
        <v>5820</v>
      </c>
      <c r="Q44" s="1563">
        <v>17647437459</v>
      </c>
      <c r="R44" s="1563" t="s">
        <v>5821</v>
      </c>
      <c r="S44" s="1563" t="s">
        <v>5792</v>
      </c>
      <c r="T44" s="1197"/>
    </row>
    <row r="45" spans="1:20" s="1198" customFormat="1" ht="20.100000000000001" customHeight="1">
      <c r="A45" s="143"/>
      <c r="B45" s="1563" t="s">
        <v>5814</v>
      </c>
      <c r="C45" s="1203" t="s">
        <v>5835</v>
      </c>
      <c r="D45" s="1203" t="s">
        <v>31</v>
      </c>
      <c r="E45" s="1203">
        <v>2</v>
      </c>
      <c r="F45" s="1204">
        <v>3.1070000000000002</v>
      </c>
      <c r="G45" s="1634" t="s">
        <v>32</v>
      </c>
      <c r="H45" s="1634" t="s">
        <v>33</v>
      </c>
      <c r="I45" s="1634" t="s">
        <v>5816</v>
      </c>
      <c r="J45" s="1563" t="s">
        <v>5817</v>
      </c>
      <c r="K45" s="1563" t="s">
        <v>5818</v>
      </c>
      <c r="L45" s="1194">
        <v>19574.099999999999</v>
      </c>
      <c r="M45" s="1194">
        <v>19574.099999999999</v>
      </c>
      <c r="N45" s="1634">
        <v>2020.3</v>
      </c>
      <c r="O45" s="1563" t="s">
        <v>5819</v>
      </c>
      <c r="P45" s="1563" t="s">
        <v>5820</v>
      </c>
      <c r="Q45" s="1563">
        <v>17647437460</v>
      </c>
      <c r="R45" s="1563" t="s">
        <v>5821</v>
      </c>
      <c r="S45" s="1563" t="s">
        <v>5792</v>
      </c>
      <c r="T45" s="1197"/>
    </row>
    <row r="46" spans="1:20" s="1198" customFormat="1" ht="20.100000000000001" customHeight="1">
      <c r="A46" s="143"/>
      <c r="B46" s="1563" t="s">
        <v>5814</v>
      </c>
      <c r="C46" s="1203" t="s">
        <v>5836</v>
      </c>
      <c r="D46" s="1203" t="s">
        <v>31</v>
      </c>
      <c r="E46" s="1203">
        <v>2</v>
      </c>
      <c r="F46" s="1204">
        <v>0.84699999999999998</v>
      </c>
      <c r="G46" s="1634" t="s">
        <v>32</v>
      </c>
      <c r="H46" s="1634" t="s">
        <v>33</v>
      </c>
      <c r="I46" s="1634" t="s">
        <v>5816</v>
      </c>
      <c r="J46" s="1563" t="s">
        <v>5817</v>
      </c>
      <c r="K46" s="1563" t="s">
        <v>5818</v>
      </c>
      <c r="L46" s="1194">
        <v>5336.1</v>
      </c>
      <c r="M46" s="1194">
        <v>5336.1</v>
      </c>
      <c r="N46" s="1634">
        <v>2020.3</v>
      </c>
      <c r="O46" s="1563" t="s">
        <v>5819</v>
      </c>
      <c r="P46" s="1563" t="s">
        <v>5820</v>
      </c>
      <c r="Q46" s="1563">
        <v>17647437461</v>
      </c>
      <c r="R46" s="1563" t="s">
        <v>5821</v>
      </c>
      <c r="S46" s="1563" t="s">
        <v>5792</v>
      </c>
      <c r="T46" s="1197"/>
    </row>
    <row r="47" spans="1:20" s="1198" customFormat="1" ht="20.100000000000001" customHeight="1">
      <c r="A47" s="143"/>
      <c r="B47" s="1563" t="s">
        <v>5814</v>
      </c>
      <c r="C47" s="1203" t="s">
        <v>5837</v>
      </c>
      <c r="D47" s="1203" t="s">
        <v>31</v>
      </c>
      <c r="E47" s="1203">
        <v>2</v>
      </c>
      <c r="F47" s="1204">
        <v>0.95199999999999996</v>
      </c>
      <c r="G47" s="1634" t="s">
        <v>32</v>
      </c>
      <c r="H47" s="1634" t="s">
        <v>33</v>
      </c>
      <c r="I47" s="1634" t="s">
        <v>5816</v>
      </c>
      <c r="J47" s="1563" t="s">
        <v>5817</v>
      </c>
      <c r="K47" s="1563" t="s">
        <v>5818</v>
      </c>
      <c r="L47" s="1194">
        <v>5997.6</v>
      </c>
      <c r="M47" s="1194">
        <v>5997.6</v>
      </c>
      <c r="N47" s="1634">
        <v>2020.3</v>
      </c>
      <c r="O47" s="1563" t="s">
        <v>5819</v>
      </c>
      <c r="P47" s="1563" t="s">
        <v>5820</v>
      </c>
      <c r="Q47" s="1563">
        <v>17647437462</v>
      </c>
      <c r="R47" s="1563" t="s">
        <v>5821</v>
      </c>
      <c r="S47" s="1563" t="s">
        <v>5792</v>
      </c>
      <c r="T47" s="1197"/>
    </row>
    <row r="48" spans="1:20" s="1198" customFormat="1" ht="20.100000000000001" customHeight="1">
      <c r="A48" s="143"/>
      <c r="B48" s="1563" t="s">
        <v>5814</v>
      </c>
      <c r="C48" s="1203" t="s">
        <v>5838</v>
      </c>
      <c r="D48" s="1203" t="s">
        <v>31</v>
      </c>
      <c r="E48" s="1203">
        <v>2</v>
      </c>
      <c r="F48" s="1204">
        <v>0.878</v>
      </c>
      <c r="G48" s="1634" t="s">
        <v>32</v>
      </c>
      <c r="H48" s="1634" t="s">
        <v>33</v>
      </c>
      <c r="I48" s="1634" t="s">
        <v>5816</v>
      </c>
      <c r="J48" s="1563" t="s">
        <v>5817</v>
      </c>
      <c r="K48" s="1563" t="s">
        <v>5818</v>
      </c>
      <c r="L48" s="1194">
        <v>5531.4</v>
      </c>
      <c r="M48" s="1194">
        <v>5531.4</v>
      </c>
      <c r="N48" s="1634">
        <v>2020.3</v>
      </c>
      <c r="O48" s="1563" t="s">
        <v>5819</v>
      </c>
      <c r="P48" s="1563" t="s">
        <v>5820</v>
      </c>
      <c r="Q48" s="1563">
        <v>17647437463</v>
      </c>
      <c r="R48" s="1563" t="s">
        <v>5821</v>
      </c>
      <c r="S48" s="1563" t="s">
        <v>5792</v>
      </c>
      <c r="T48" s="1197"/>
    </row>
    <row r="49" spans="1:20" s="1198" customFormat="1" ht="20.100000000000001" customHeight="1">
      <c r="A49" s="143"/>
      <c r="B49" s="1563" t="s">
        <v>5814</v>
      </c>
      <c r="C49" s="1203" t="s">
        <v>5839</v>
      </c>
      <c r="D49" s="1203" t="s">
        <v>31</v>
      </c>
      <c r="E49" s="1203">
        <v>4</v>
      </c>
      <c r="F49" s="1204">
        <v>1.002</v>
      </c>
      <c r="G49" s="1634" t="s">
        <v>32</v>
      </c>
      <c r="H49" s="1634" t="s">
        <v>33</v>
      </c>
      <c r="I49" s="1634" t="s">
        <v>5816</v>
      </c>
      <c r="J49" s="1563" t="s">
        <v>5817</v>
      </c>
      <c r="K49" s="1563" t="s">
        <v>5818</v>
      </c>
      <c r="L49" s="1194">
        <v>6312.6</v>
      </c>
      <c r="M49" s="1194">
        <v>6312.6</v>
      </c>
      <c r="N49" s="1634">
        <v>2020.3</v>
      </c>
      <c r="O49" s="1563" t="s">
        <v>5819</v>
      </c>
      <c r="P49" s="1563" t="s">
        <v>5820</v>
      </c>
      <c r="Q49" s="1563">
        <v>17647437464</v>
      </c>
      <c r="R49" s="1563" t="s">
        <v>5821</v>
      </c>
      <c r="S49" s="1563" t="s">
        <v>5792</v>
      </c>
      <c r="T49" s="1197"/>
    </row>
    <row r="50" spans="1:20" s="1198" customFormat="1" ht="20.100000000000001" customHeight="1">
      <c r="A50" s="143"/>
      <c r="B50" s="1563" t="s">
        <v>5814</v>
      </c>
      <c r="C50" s="1203" t="s">
        <v>5840</v>
      </c>
      <c r="D50" s="1203" t="s">
        <v>31</v>
      </c>
      <c r="E50" s="1203">
        <v>4</v>
      </c>
      <c r="F50" s="1204">
        <v>7.6999999999999999E-2</v>
      </c>
      <c r="G50" s="1634" t="s">
        <v>32</v>
      </c>
      <c r="H50" s="1634" t="s">
        <v>33</v>
      </c>
      <c r="I50" s="1634" t="s">
        <v>5816</v>
      </c>
      <c r="J50" s="1563" t="s">
        <v>5817</v>
      </c>
      <c r="K50" s="1563" t="s">
        <v>5818</v>
      </c>
      <c r="L50" s="1194">
        <v>485.1</v>
      </c>
      <c r="M50" s="1194">
        <v>485.1</v>
      </c>
      <c r="N50" s="1634">
        <v>2020.3</v>
      </c>
      <c r="O50" s="1563" t="s">
        <v>5819</v>
      </c>
      <c r="P50" s="1563" t="s">
        <v>5820</v>
      </c>
      <c r="Q50" s="1563">
        <v>17647437465</v>
      </c>
      <c r="R50" s="1563" t="s">
        <v>5821</v>
      </c>
      <c r="S50" s="1563" t="s">
        <v>5792</v>
      </c>
      <c r="T50" s="1197"/>
    </row>
    <row r="51" spans="1:20" s="1198" customFormat="1" ht="20.100000000000001" customHeight="1">
      <c r="A51" s="143"/>
      <c r="B51" s="1563" t="s">
        <v>5814</v>
      </c>
      <c r="C51" s="1563" t="s">
        <v>5841</v>
      </c>
      <c r="D51" s="1563" t="s">
        <v>62</v>
      </c>
      <c r="E51" s="1563">
        <v>2</v>
      </c>
      <c r="F51" s="1563">
        <v>44.4</v>
      </c>
      <c r="G51" s="1634" t="s">
        <v>32</v>
      </c>
      <c r="H51" s="1634" t="s">
        <v>41</v>
      </c>
      <c r="I51" s="1563" t="s">
        <v>5842</v>
      </c>
      <c r="J51" s="1563" t="s">
        <v>5842</v>
      </c>
      <c r="K51" s="1563" t="s">
        <v>5818</v>
      </c>
      <c r="L51" s="1563">
        <v>300780</v>
      </c>
      <c r="M51" s="1563">
        <v>300780</v>
      </c>
      <c r="N51" s="1563">
        <v>2020.4</v>
      </c>
      <c r="O51" s="1563" t="s">
        <v>5843</v>
      </c>
      <c r="P51" s="1563" t="s">
        <v>5790</v>
      </c>
      <c r="Q51" s="1563">
        <v>17684853888</v>
      </c>
      <c r="R51" s="1563" t="s">
        <v>5791</v>
      </c>
      <c r="S51" s="1563" t="s">
        <v>5792</v>
      </c>
      <c r="T51" s="1197"/>
    </row>
    <row r="52" spans="1:20" s="1198" customFormat="1" ht="20.100000000000001" customHeight="1">
      <c r="A52" s="143"/>
      <c r="B52" s="1563"/>
      <c r="C52" s="1563"/>
      <c r="D52" s="1563"/>
      <c r="E52" s="1563"/>
      <c r="F52" s="1563"/>
      <c r="G52" s="1563"/>
      <c r="H52" s="1563"/>
      <c r="I52" s="1563"/>
      <c r="J52" s="1563"/>
      <c r="K52" s="1563"/>
      <c r="L52" s="1563"/>
      <c r="M52" s="1563"/>
      <c r="N52" s="1563"/>
      <c r="O52" s="1563"/>
      <c r="P52" s="1563"/>
      <c r="Q52" s="1563"/>
      <c r="R52" s="1563"/>
      <c r="S52" s="1563"/>
      <c r="T52" s="1197"/>
    </row>
    <row r="53" spans="1:20" s="1198" customFormat="1" ht="20.100000000000001" customHeight="1">
      <c r="A53" s="143"/>
      <c r="B53" s="951"/>
      <c r="C53" s="951"/>
      <c r="D53" s="951"/>
      <c r="E53" s="1205"/>
      <c r="F53" s="951"/>
      <c r="G53" s="951"/>
      <c r="H53" s="951"/>
      <c r="I53" s="951"/>
      <c r="J53" s="951"/>
      <c r="K53" s="951"/>
      <c r="L53" s="951"/>
      <c r="M53" s="951"/>
      <c r="N53" s="951"/>
      <c r="O53" s="1206"/>
      <c r="P53" s="1206"/>
      <c r="Q53" s="1206"/>
      <c r="R53" s="1206"/>
      <c r="S53" s="143"/>
      <c r="T53" s="1197"/>
    </row>
    <row r="54" spans="1:20" s="1198" customFormat="1" ht="20.100000000000001" customHeight="1">
      <c r="A54" s="143"/>
      <c r="B54" s="1201"/>
      <c r="C54" s="1201"/>
      <c r="D54" s="1201"/>
      <c r="E54" s="1201"/>
      <c r="F54" s="1201"/>
      <c r="G54" s="1201"/>
      <c r="H54" s="1201"/>
      <c r="I54" s="1206"/>
      <c r="J54" s="1206"/>
      <c r="K54" s="1206"/>
      <c r="L54" s="1206"/>
      <c r="M54" s="1201"/>
      <c r="N54" s="1201"/>
      <c r="O54" s="1201"/>
      <c r="P54" s="1201"/>
      <c r="Q54" s="1201"/>
      <c r="R54" s="1201"/>
      <c r="S54" s="1201"/>
      <c r="T54" s="1197"/>
    </row>
    <row r="55" spans="1:20" s="1198" customFormat="1" ht="20.100000000000001" customHeight="1">
      <c r="A55" s="143"/>
      <c r="B55" s="1201"/>
      <c r="C55" s="1201"/>
      <c r="D55" s="1201"/>
      <c r="E55" s="1201"/>
      <c r="F55" s="1201"/>
      <c r="G55" s="1202"/>
      <c r="H55" s="1201"/>
      <c r="I55" s="1201"/>
      <c r="J55" s="1201"/>
      <c r="K55" s="1201"/>
      <c r="L55" s="1201"/>
      <c r="M55" s="1201"/>
      <c r="N55" s="1201"/>
      <c r="O55" s="1202"/>
      <c r="P55" s="1201"/>
      <c r="Q55" s="1201"/>
      <c r="R55" s="1202"/>
      <c r="S55" s="1201"/>
      <c r="T55" s="1197"/>
    </row>
    <row r="56" spans="1:20" s="1018" customFormat="1" ht="20.100000000000001" customHeight="1">
      <c r="A56" s="1770">
        <v>3</v>
      </c>
      <c r="B56" s="1771" t="s">
        <v>134</v>
      </c>
      <c r="C56" s="1771"/>
      <c r="D56" s="1770"/>
      <c r="E56" s="1771"/>
      <c r="F56" s="1771"/>
      <c r="G56" s="1771"/>
      <c r="H56" s="1771"/>
      <c r="I56" s="1770"/>
      <c r="J56" s="1771"/>
      <c r="K56" s="1771"/>
      <c r="L56" s="1771"/>
      <c r="M56" s="1195"/>
      <c r="N56" s="1771"/>
      <c r="O56" s="1771"/>
      <c r="P56" s="1770"/>
      <c r="Q56" s="1771"/>
      <c r="R56" s="1771"/>
      <c r="S56" s="1196"/>
      <c r="T56" s="1564"/>
    </row>
    <row r="57" spans="1:20" s="1018" customFormat="1" ht="20.100000000000001" customHeight="1">
      <c r="A57" s="1632"/>
      <c r="B57" s="1563" t="s">
        <v>135</v>
      </c>
      <c r="C57" s="1563" t="s">
        <v>5844</v>
      </c>
      <c r="D57" s="1563" t="s">
        <v>161</v>
      </c>
      <c r="E57" s="1563">
        <v>9</v>
      </c>
      <c r="F57" s="1563">
        <f>9*0.7</f>
        <v>6.3</v>
      </c>
      <c r="G57" s="1563" t="s">
        <v>32</v>
      </c>
      <c r="H57" s="1563" t="s">
        <v>33</v>
      </c>
      <c r="I57" s="1563" t="s">
        <v>34</v>
      </c>
      <c r="J57" s="1563" t="s">
        <v>34</v>
      </c>
      <c r="K57" s="1563" t="s">
        <v>5818</v>
      </c>
      <c r="L57" s="1563">
        <f t="shared" ref="L57:L62" si="0">F57*7500</f>
        <v>47250</v>
      </c>
      <c r="M57" s="1563">
        <f t="shared" ref="M57:M62" si="1">L57*0.1</f>
        <v>4725</v>
      </c>
      <c r="N57" s="1563">
        <v>2018.7</v>
      </c>
      <c r="O57" s="1563" t="s">
        <v>5845</v>
      </c>
      <c r="P57" s="1563" t="s">
        <v>5846</v>
      </c>
      <c r="Q57" s="1563">
        <v>18947102015</v>
      </c>
      <c r="R57" s="1563" t="s">
        <v>5847</v>
      </c>
      <c r="S57" s="1563" t="s">
        <v>5792</v>
      </c>
      <c r="T57" s="1564"/>
    </row>
    <row r="58" spans="1:20" s="1018" customFormat="1" ht="20.100000000000001" customHeight="1">
      <c r="A58" s="1632"/>
      <c r="B58" s="1563" t="s">
        <v>135</v>
      </c>
      <c r="C58" s="1563" t="s">
        <v>5848</v>
      </c>
      <c r="D58" s="1563" t="s">
        <v>161</v>
      </c>
      <c r="E58" s="1563">
        <v>37</v>
      </c>
      <c r="F58" s="1563">
        <f>37*0.6</f>
        <v>22.2</v>
      </c>
      <c r="G58" s="1563" t="s">
        <v>32</v>
      </c>
      <c r="H58" s="1563" t="s">
        <v>33</v>
      </c>
      <c r="I58" s="1563" t="s">
        <v>34</v>
      </c>
      <c r="J58" s="1563" t="s">
        <v>34</v>
      </c>
      <c r="K58" s="1563" t="s">
        <v>5818</v>
      </c>
      <c r="L58" s="1563">
        <f t="shared" si="0"/>
        <v>166500</v>
      </c>
      <c r="M58" s="1563">
        <f t="shared" si="1"/>
        <v>16650</v>
      </c>
      <c r="N58" s="1563" t="s">
        <v>4027</v>
      </c>
      <c r="O58" s="1563" t="s">
        <v>5845</v>
      </c>
      <c r="P58" s="1563" t="s">
        <v>5846</v>
      </c>
      <c r="Q58" s="1563">
        <v>18947102015</v>
      </c>
      <c r="R58" s="1563" t="s">
        <v>5847</v>
      </c>
      <c r="S58" s="1563" t="s">
        <v>5792</v>
      </c>
      <c r="T58" s="1564"/>
    </row>
    <row r="59" spans="1:20" s="1018" customFormat="1" ht="20.100000000000001" customHeight="1">
      <c r="A59" s="1632"/>
      <c r="B59" s="1563" t="s">
        <v>135</v>
      </c>
      <c r="C59" s="1563" t="s">
        <v>5848</v>
      </c>
      <c r="D59" s="1563" t="s">
        <v>161</v>
      </c>
      <c r="E59" s="1563">
        <v>113.5</v>
      </c>
      <c r="F59" s="1563">
        <f>E59*0.6</f>
        <v>68.099999999999994</v>
      </c>
      <c r="G59" s="1563" t="s">
        <v>32</v>
      </c>
      <c r="H59" s="1563" t="s">
        <v>33</v>
      </c>
      <c r="I59" s="1563" t="s">
        <v>34</v>
      </c>
      <c r="J59" s="1563" t="s">
        <v>34</v>
      </c>
      <c r="K59" s="1563" t="s">
        <v>5849</v>
      </c>
      <c r="L59" s="1563">
        <f>F59*7900</f>
        <v>537990</v>
      </c>
      <c r="M59" s="1563">
        <f t="shared" si="1"/>
        <v>53799</v>
      </c>
      <c r="N59" s="1563" t="s">
        <v>3955</v>
      </c>
      <c r="O59" s="1563" t="s">
        <v>5845</v>
      </c>
      <c r="P59" s="1563" t="s">
        <v>5846</v>
      </c>
      <c r="Q59" s="1563">
        <v>18947102015</v>
      </c>
      <c r="R59" s="1563" t="s">
        <v>5847</v>
      </c>
      <c r="S59" s="1563" t="s">
        <v>5792</v>
      </c>
      <c r="T59" s="1564"/>
    </row>
    <row r="60" spans="1:20" s="1018" customFormat="1" ht="20.100000000000001" customHeight="1">
      <c r="A60" s="1632"/>
      <c r="B60" s="1563" t="s">
        <v>135</v>
      </c>
      <c r="C60" s="1563" t="s">
        <v>5850</v>
      </c>
      <c r="D60" s="1563" t="s">
        <v>161</v>
      </c>
      <c r="E60" s="1563">
        <v>18</v>
      </c>
      <c r="F60" s="1563">
        <f>E60*0.55</f>
        <v>9.9</v>
      </c>
      <c r="G60" s="1563" t="s">
        <v>32</v>
      </c>
      <c r="H60" s="1563" t="s">
        <v>33</v>
      </c>
      <c r="I60" s="1563" t="s">
        <v>34</v>
      </c>
      <c r="J60" s="1563" t="s">
        <v>34</v>
      </c>
      <c r="K60" s="1563" t="s">
        <v>5818</v>
      </c>
      <c r="L60" s="1563">
        <f t="shared" si="0"/>
        <v>74250</v>
      </c>
      <c r="M60" s="1563">
        <f t="shared" si="1"/>
        <v>7425</v>
      </c>
      <c r="N60" s="1563" t="s">
        <v>5851</v>
      </c>
      <c r="O60" s="1563" t="s">
        <v>5845</v>
      </c>
      <c r="P60" s="1563" t="s">
        <v>5846</v>
      </c>
      <c r="Q60" s="1563">
        <v>18947102015</v>
      </c>
      <c r="R60" s="1563" t="s">
        <v>5847</v>
      </c>
      <c r="S60" s="1563" t="s">
        <v>5792</v>
      </c>
      <c r="T60" s="1564"/>
    </row>
    <row r="61" spans="1:20" s="1018" customFormat="1" ht="20.100000000000001" customHeight="1">
      <c r="A61" s="1632"/>
      <c r="B61" s="1563" t="s">
        <v>135</v>
      </c>
      <c r="C61" s="1563" t="s">
        <v>5852</v>
      </c>
      <c r="D61" s="1563" t="s">
        <v>161</v>
      </c>
      <c r="E61" s="1563">
        <v>71</v>
      </c>
      <c r="F61" s="1563">
        <f>E61*0.5</f>
        <v>35.5</v>
      </c>
      <c r="G61" s="1563" t="s">
        <v>32</v>
      </c>
      <c r="H61" s="1563" t="s">
        <v>33</v>
      </c>
      <c r="I61" s="1563" t="s">
        <v>34</v>
      </c>
      <c r="J61" s="1563" t="s">
        <v>34</v>
      </c>
      <c r="K61" s="1563" t="s">
        <v>5818</v>
      </c>
      <c r="L61" s="1563">
        <f t="shared" si="0"/>
        <v>266250</v>
      </c>
      <c r="M61" s="1563">
        <f t="shared" si="1"/>
        <v>26625</v>
      </c>
      <c r="N61" s="1563" t="s">
        <v>2205</v>
      </c>
      <c r="O61" s="1563" t="s">
        <v>5845</v>
      </c>
      <c r="P61" s="1563" t="s">
        <v>5846</v>
      </c>
      <c r="Q61" s="1563">
        <v>18947102015</v>
      </c>
      <c r="R61" s="1563" t="s">
        <v>5847</v>
      </c>
      <c r="S61" s="1563" t="s">
        <v>5792</v>
      </c>
      <c r="T61" s="1564"/>
    </row>
    <row r="62" spans="1:20" s="1018" customFormat="1" ht="20.100000000000001" customHeight="1">
      <c r="A62" s="1632"/>
      <c r="B62" s="1563" t="s">
        <v>104</v>
      </c>
      <c r="C62" s="1563"/>
      <c r="D62" s="1563" t="s">
        <v>161</v>
      </c>
      <c r="E62" s="1563">
        <v>150</v>
      </c>
      <c r="F62" s="1563">
        <f>28.29+24.06+20.868+12.54</f>
        <v>85.757999999999981</v>
      </c>
      <c r="G62" s="1563" t="s">
        <v>32</v>
      </c>
      <c r="H62" s="1563" t="s">
        <v>33</v>
      </c>
      <c r="I62" s="1563" t="s">
        <v>34</v>
      </c>
      <c r="J62" s="1563" t="s">
        <v>34</v>
      </c>
      <c r="K62" s="1563" t="s">
        <v>5818</v>
      </c>
      <c r="L62" s="1563">
        <f t="shared" si="0"/>
        <v>643184.99999999988</v>
      </c>
      <c r="M62" s="1563">
        <f t="shared" si="1"/>
        <v>64318.499999999993</v>
      </c>
      <c r="N62" s="1563" t="s">
        <v>5853</v>
      </c>
      <c r="O62" s="1563" t="s">
        <v>5845</v>
      </c>
      <c r="P62" s="1563" t="s">
        <v>5846</v>
      </c>
      <c r="Q62" s="1563">
        <v>18947102015</v>
      </c>
      <c r="R62" s="1563" t="s">
        <v>5847</v>
      </c>
      <c r="S62" s="1563" t="s">
        <v>5792</v>
      </c>
      <c r="T62" s="1564"/>
    </row>
    <row r="63" spans="1:20" s="1018" customFormat="1" ht="20.100000000000001" customHeight="1">
      <c r="A63" s="1632"/>
      <c r="B63" s="1207" t="s">
        <v>171</v>
      </c>
      <c r="C63" s="1207" t="s">
        <v>172</v>
      </c>
      <c r="D63" s="1207" t="s">
        <v>62</v>
      </c>
      <c r="E63" s="1563">
        <v>2</v>
      </c>
      <c r="F63" s="1207">
        <v>169.529</v>
      </c>
      <c r="G63" s="1563" t="s">
        <v>32</v>
      </c>
      <c r="H63" s="1563" t="s">
        <v>41</v>
      </c>
      <c r="I63" s="1206" t="s">
        <v>34</v>
      </c>
      <c r="J63" s="1206" t="s">
        <v>34</v>
      </c>
      <c r="K63" s="1206" t="s">
        <v>34</v>
      </c>
      <c r="L63" s="1207">
        <v>1176531.26</v>
      </c>
      <c r="M63" s="1208">
        <f t="shared" ref="M63:M64" si="2">L63*0.2</f>
        <v>235306.25200000001</v>
      </c>
      <c r="N63" s="1209">
        <v>43075</v>
      </c>
      <c r="O63" s="1563" t="s">
        <v>5854</v>
      </c>
      <c r="P63" s="1563" t="s">
        <v>5855</v>
      </c>
      <c r="Q63" s="1563">
        <v>18631333813</v>
      </c>
      <c r="R63" s="1634" t="s">
        <v>5856</v>
      </c>
      <c r="S63" s="1563" t="s">
        <v>5792</v>
      </c>
      <c r="T63" s="1564"/>
    </row>
    <row r="64" spans="1:20" s="1018" customFormat="1" ht="20.100000000000001" customHeight="1">
      <c r="A64" s="1632"/>
      <c r="B64" s="1207" t="s">
        <v>171</v>
      </c>
      <c r="C64" s="1207" t="s">
        <v>5857</v>
      </c>
      <c r="D64" s="1207" t="s">
        <v>62</v>
      </c>
      <c r="E64" s="1563">
        <v>2</v>
      </c>
      <c r="F64" s="1207">
        <v>56.162999999999997</v>
      </c>
      <c r="G64" s="1563" t="s">
        <v>32</v>
      </c>
      <c r="H64" s="1563" t="s">
        <v>41</v>
      </c>
      <c r="I64" s="1206" t="s">
        <v>34</v>
      </c>
      <c r="J64" s="1206" t="s">
        <v>34</v>
      </c>
      <c r="K64" s="1206" t="s">
        <v>34</v>
      </c>
      <c r="L64" s="1207">
        <v>389771.22</v>
      </c>
      <c r="M64" s="1208">
        <f t="shared" si="2"/>
        <v>77954.243999999992</v>
      </c>
      <c r="N64" s="1209">
        <v>43075</v>
      </c>
      <c r="O64" s="1563" t="s">
        <v>5854</v>
      </c>
      <c r="P64" s="1563" t="s">
        <v>5855</v>
      </c>
      <c r="Q64" s="1563">
        <v>18631333813</v>
      </c>
      <c r="R64" s="1634" t="s">
        <v>5856</v>
      </c>
      <c r="S64" s="1563" t="s">
        <v>5792</v>
      </c>
      <c r="T64" s="1564"/>
    </row>
    <row r="65" spans="1:20" s="1018" customFormat="1" ht="20.100000000000001" customHeight="1">
      <c r="A65" s="1632"/>
      <c r="B65" s="1210" t="s">
        <v>5858</v>
      </c>
      <c r="C65" s="1210" t="s">
        <v>5859</v>
      </c>
      <c r="D65" s="1563" t="s">
        <v>2084</v>
      </c>
      <c r="E65" s="1563">
        <v>1</v>
      </c>
      <c r="F65" s="1211">
        <v>3.2</v>
      </c>
      <c r="G65" s="1563" t="s">
        <v>32</v>
      </c>
      <c r="H65" s="1563" t="s">
        <v>33</v>
      </c>
      <c r="I65" s="1563"/>
      <c r="J65" s="1563"/>
      <c r="K65" s="1092"/>
      <c r="L65" s="1212">
        <v>21747.571199999998</v>
      </c>
      <c r="M65" s="1171">
        <f t="shared" ref="M65:M67" si="3">L65</f>
        <v>21747.571199999998</v>
      </c>
      <c r="N65" s="1862" t="s">
        <v>5860</v>
      </c>
      <c r="O65" s="1563" t="s">
        <v>5861</v>
      </c>
      <c r="P65" s="1563" t="s">
        <v>5862</v>
      </c>
      <c r="Q65" s="1563">
        <v>13684789306</v>
      </c>
      <c r="R65" s="1563" t="s">
        <v>5863</v>
      </c>
      <c r="S65" s="1563" t="s">
        <v>5792</v>
      </c>
      <c r="T65" s="1564"/>
    </row>
    <row r="66" spans="1:20" s="1018" customFormat="1" ht="20.100000000000001" customHeight="1">
      <c r="A66" s="1632"/>
      <c r="B66" s="1210" t="s">
        <v>5858</v>
      </c>
      <c r="C66" s="1213" t="s">
        <v>196</v>
      </c>
      <c r="D66" s="1563" t="s">
        <v>2084</v>
      </c>
      <c r="E66" s="1563">
        <v>1</v>
      </c>
      <c r="F66" s="1211">
        <v>3.5</v>
      </c>
      <c r="G66" s="1563" t="s">
        <v>32</v>
      </c>
      <c r="H66" s="1563" t="s">
        <v>33</v>
      </c>
      <c r="I66" s="1563" t="s">
        <v>34</v>
      </c>
      <c r="J66" s="1563" t="s">
        <v>34</v>
      </c>
      <c r="K66" s="1092"/>
      <c r="L66" s="1212">
        <v>23786.405999999999</v>
      </c>
      <c r="M66" s="1171">
        <f t="shared" si="3"/>
        <v>23786.405999999999</v>
      </c>
      <c r="N66" s="1863"/>
      <c r="O66" s="1563" t="s">
        <v>5861</v>
      </c>
      <c r="P66" s="1563" t="s">
        <v>5862</v>
      </c>
      <c r="Q66" s="1563">
        <v>13684789306</v>
      </c>
      <c r="R66" s="1563" t="s">
        <v>5863</v>
      </c>
      <c r="S66" s="1563" t="s">
        <v>5792</v>
      </c>
      <c r="T66" s="1564"/>
    </row>
    <row r="67" spans="1:20" s="1018" customFormat="1" ht="20.100000000000001" customHeight="1">
      <c r="A67" s="1632"/>
      <c r="B67" s="1210" t="s">
        <v>5864</v>
      </c>
      <c r="C67" s="1213" t="s">
        <v>3510</v>
      </c>
      <c r="D67" s="1563" t="s">
        <v>2084</v>
      </c>
      <c r="E67" s="1563">
        <v>1</v>
      </c>
      <c r="F67" s="1211">
        <v>4.5</v>
      </c>
      <c r="G67" s="1563" t="s">
        <v>32</v>
      </c>
      <c r="H67" s="1563" t="s">
        <v>33</v>
      </c>
      <c r="I67" s="1563"/>
      <c r="J67" s="1563"/>
      <c r="K67" s="1092"/>
      <c r="L67" s="1212">
        <v>30582.522000000001</v>
      </c>
      <c r="M67" s="1171">
        <f t="shared" si="3"/>
        <v>30582.522000000001</v>
      </c>
      <c r="N67" s="1863"/>
      <c r="O67" s="1563" t="s">
        <v>5861</v>
      </c>
      <c r="P67" s="1563" t="s">
        <v>5862</v>
      </c>
      <c r="Q67" s="1563">
        <v>13684789306</v>
      </c>
      <c r="R67" s="1563" t="s">
        <v>5863</v>
      </c>
      <c r="S67" s="1563" t="s">
        <v>5792</v>
      </c>
      <c r="T67" s="1564"/>
    </row>
    <row r="68" spans="1:20" s="1018" customFormat="1" ht="20.100000000000001" customHeight="1">
      <c r="A68" s="1632"/>
      <c r="B68" s="1213" t="s">
        <v>5864</v>
      </c>
      <c r="C68" s="1210" t="s">
        <v>5859</v>
      </c>
      <c r="D68" s="1563" t="s">
        <v>2084</v>
      </c>
      <c r="E68" s="1563">
        <v>1</v>
      </c>
      <c r="F68" s="1211">
        <v>2.4489999999999998</v>
      </c>
      <c r="G68" s="1563" t="s">
        <v>32</v>
      </c>
      <c r="H68" s="1563" t="s">
        <v>33</v>
      </c>
      <c r="I68" s="1563"/>
      <c r="J68" s="1563"/>
      <c r="K68" s="1092"/>
      <c r="L68" s="1212">
        <v>16643.688084000001</v>
      </c>
      <c r="M68" s="1171">
        <f t="shared" ref="M68:M70" si="4">L68*0.85</f>
        <v>14147.134871400001</v>
      </c>
      <c r="N68" s="1863"/>
      <c r="O68" s="1563" t="s">
        <v>5861</v>
      </c>
      <c r="P68" s="1563" t="s">
        <v>5862</v>
      </c>
      <c r="Q68" s="1563">
        <v>13684789306</v>
      </c>
      <c r="R68" s="1563" t="s">
        <v>5863</v>
      </c>
      <c r="S68" s="1563" t="s">
        <v>5792</v>
      </c>
      <c r="T68" s="1564"/>
    </row>
    <row r="69" spans="1:20" s="1018" customFormat="1" ht="20.100000000000001" customHeight="1">
      <c r="A69" s="1632"/>
      <c r="B69" s="1210" t="s">
        <v>202</v>
      </c>
      <c r="C69" s="1210" t="s">
        <v>5859</v>
      </c>
      <c r="D69" s="1563" t="s">
        <v>2084</v>
      </c>
      <c r="E69" s="1563">
        <v>1</v>
      </c>
      <c r="F69" s="1211">
        <v>6.2</v>
      </c>
      <c r="G69" s="1563" t="s">
        <v>32</v>
      </c>
      <c r="H69" s="1563" t="s">
        <v>33</v>
      </c>
      <c r="I69" s="1563"/>
      <c r="J69" s="1563"/>
      <c r="K69" s="1092"/>
      <c r="L69" s="1212">
        <v>42135.919199999997</v>
      </c>
      <c r="M69" s="1171">
        <f t="shared" si="4"/>
        <v>35815.531319999995</v>
      </c>
      <c r="N69" s="1863"/>
      <c r="O69" s="1563" t="s">
        <v>5861</v>
      </c>
      <c r="P69" s="1563" t="s">
        <v>5862</v>
      </c>
      <c r="Q69" s="1563">
        <v>13684789306</v>
      </c>
      <c r="R69" s="1563" t="s">
        <v>5863</v>
      </c>
      <c r="S69" s="1563" t="s">
        <v>5792</v>
      </c>
      <c r="T69" s="1564"/>
    </row>
    <row r="70" spans="1:20" s="1018" customFormat="1" ht="20.100000000000001" customHeight="1">
      <c r="A70" s="1632"/>
      <c r="B70" s="1214" t="s">
        <v>243</v>
      </c>
      <c r="C70" s="1214" t="s">
        <v>3510</v>
      </c>
      <c r="D70" s="1563" t="s">
        <v>2084</v>
      </c>
      <c r="E70" s="1563">
        <v>1</v>
      </c>
      <c r="F70" s="1211">
        <v>8</v>
      </c>
      <c r="G70" s="1563" t="s">
        <v>32</v>
      </c>
      <c r="H70" s="1563" t="s">
        <v>33</v>
      </c>
      <c r="I70" s="1563"/>
      <c r="J70" s="1563"/>
      <c r="K70" s="1092"/>
      <c r="L70" s="1212">
        <v>52012.480000000003</v>
      </c>
      <c r="M70" s="1171">
        <f t="shared" si="4"/>
        <v>44210.608</v>
      </c>
      <c r="N70" s="1863"/>
      <c r="O70" s="1563" t="s">
        <v>5861</v>
      </c>
      <c r="P70" s="1563" t="s">
        <v>5862</v>
      </c>
      <c r="Q70" s="1563">
        <v>13684789306</v>
      </c>
      <c r="R70" s="1563" t="s">
        <v>5863</v>
      </c>
      <c r="S70" s="1563" t="s">
        <v>5792</v>
      </c>
      <c r="T70" s="1564"/>
    </row>
    <row r="71" spans="1:20" s="1018" customFormat="1" ht="20.100000000000001" customHeight="1">
      <c r="A71" s="1632"/>
      <c r="B71" s="1214" t="s">
        <v>176</v>
      </c>
      <c r="C71" s="1214" t="s">
        <v>3510</v>
      </c>
      <c r="D71" s="1563" t="s">
        <v>2084</v>
      </c>
      <c r="E71" s="1563">
        <v>1</v>
      </c>
      <c r="F71" s="1211">
        <v>3.4460000000000002</v>
      </c>
      <c r="G71" s="1563" t="s">
        <v>32</v>
      </c>
      <c r="H71" s="1563" t="s">
        <v>33</v>
      </c>
      <c r="I71" s="1563"/>
      <c r="J71" s="1563"/>
      <c r="K71" s="1092"/>
      <c r="L71" s="1212">
        <v>22415.726884</v>
      </c>
      <c r="M71" s="1171">
        <f>L71*0.2</f>
        <v>4483.1453768000001</v>
      </c>
      <c r="N71" s="1863"/>
      <c r="O71" s="1563" t="s">
        <v>5861</v>
      </c>
      <c r="P71" s="1563" t="s">
        <v>5862</v>
      </c>
      <c r="Q71" s="1563">
        <v>13684789306</v>
      </c>
      <c r="R71" s="1563" t="s">
        <v>5863</v>
      </c>
      <c r="S71" s="1563" t="s">
        <v>5792</v>
      </c>
      <c r="T71" s="1564"/>
    </row>
    <row r="72" spans="1:20" s="1018" customFormat="1" ht="20.100000000000001" customHeight="1">
      <c r="A72" s="1632"/>
      <c r="B72" s="1214" t="s">
        <v>243</v>
      </c>
      <c r="C72" s="1214" t="s">
        <v>5865</v>
      </c>
      <c r="D72" s="1563" t="s">
        <v>2084</v>
      </c>
      <c r="E72" s="1563">
        <v>1</v>
      </c>
      <c r="F72" s="1211">
        <v>5.15</v>
      </c>
      <c r="G72" s="1563" t="s">
        <v>32</v>
      </c>
      <c r="H72" s="1563" t="s">
        <v>33</v>
      </c>
      <c r="I72" s="1563"/>
      <c r="J72" s="1563"/>
      <c r="K72" s="1092"/>
      <c r="L72" s="1212">
        <v>33499.998099999997</v>
      </c>
      <c r="M72" s="1171">
        <f t="shared" ref="M72:M79" si="5">L72*0.2</f>
        <v>6699.9996199999996</v>
      </c>
      <c r="N72" s="1863"/>
      <c r="O72" s="1563" t="s">
        <v>5861</v>
      </c>
      <c r="P72" s="1563" t="s">
        <v>5862</v>
      </c>
      <c r="Q72" s="1563">
        <v>13684789306</v>
      </c>
      <c r="R72" s="1563" t="s">
        <v>5863</v>
      </c>
      <c r="S72" s="1563" t="s">
        <v>5792</v>
      </c>
      <c r="T72" s="1564"/>
    </row>
    <row r="73" spans="1:20" s="1018" customFormat="1" ht="20.100000000000001" customHeight="1">
      <c r="A73" s="1632"/>
      <c r="B73" s="1213" t="s">
        <v>243</v>
      </c>
      <c r="C73" s="1213" t="s">
        <v>5859</v>
      </c>
      <c r="D73" s="1563" t="s">
        <v>2084</v>
      </c>
      <c r="E73" s="1563">
        <v>1</v>
      </c>
      <c r="F73" s="1211">
        <v>3</v>
      </c>
      <c r="G73" s="1563" t="s">
        <v>32</v>
      </c>
      <c r="H73" s="1563" t="s">
        <v>33</v>
      </c>
      <c r="I73" s="1563"/>
      <c r="J73" s="1563"/>
      <c r="K73" s="1092"/>
      <c r="L73" s="1212">
        <v>19514.560000000001</v>
      </c>
      <c r="M73" s="1171">
        <f t="shared" si="5"/>
        <v>3902.9120000000003</v>
      </c>
      <c r="N73" s="1863"/>
      <c r="O73" s="1563" t="s">
        <v>5861</v>
      </c>
      <c r="P73" s="1563" t="s">
        <v>5862</v>
      </c>
      <c r="Q73" s="1563">
        <v>13684789306</v>
      </c>
      <c r="R73" s="1563" t="s">
        <v>5863</v>
      </c>
      <c r="S73" s="1563" t="s">
        <v>5792</v>
      </c>
      <c r="T73" s="1564"/>
    </row>
    <row r="74" spans="1:20" s="1018" customFormat="1" ht="20.100000000000001" customHeight="1">
      <c r="A74" s="1632"/>
      <c r="B74" s="1213" t="s">
        <v>176</v>
      </c>
      <c r="C74" s="1213" t="s">
        <v>5859</v>
      </c>
      <c r="D74" s="1563" t="s">
        <v>2084</v>
      </c>
      <c r="E74" s="1563">
        <v>1</v>
      </c>
      <c r="F74" s="1211">
        <v>3.8</v>
      </c>
      <c r="G74" s="1563" t="s">
        <v>32</v>
      </c>
      <c r="H74" s="1563" t="s">
        <v>33</v>
      </c>
      <c r="I74" s="1563"/>
      <c r="J74" s="1563"/>
      <c r="K74" s="1092"/>
      <c r="L74" s="1212">
        <v>24718.445199999998</v>
      </c>
      <c r="M74" s="1171">
        <f t="shared" si="5"/>
        <v>4943.6890400000002</v>
      </c>
      <c r="N74" s="1863"/>
      <c r="O74" s="1563" t="s">
        <v>5861</v>
      </c>
      <c r="P74" s="1563" t="s">
        <v>5862</v>
      </c>
      <c r="Q74" s="1563">
        <v>13684789306</v>
      </c>
      <c r="R74" s="1563" t="s">
        <v>5863</v>
      </c>
      <c r="S74" s="1563" t="s">
        <v>5792</v>
      </c>
      <c r="T74" s="1564"/>
    </row>
    <row r="75" spans="1:20" s="1018" customFormat="1" ht="20.100000000000001" customHeight="1">
      <c r="A75" s="1632"/>
      <c r="B75" s="1213" t="s">
        <v>243</v>
      </c>
      <c r="C75" s="1213" t="s">
        <v>3510</v>
      </c>
      <c r="D75" s="1563" t="s">
        <v>2084</v>
      </c>
      <c r="E75" s="1563">
        <v>1</v>
      </c>
      <c r="F75" s="1211">
        <v>4</v>
      </c>
      <c r="G75" s="1563" t="s">
        <v>32</v>
      </c>
      <c r="H75" s="1563" t="s">
        <v>33</v>
      </c>
      <c r="I75" s="1563"/>
      <c r="J75" s="1563"/>
      <c r="K75" s="1092"/>
      <c r="L75" s="1212">
        <v>26019.416000000001</v>
      </c>
      <c r="M75" s="1171">
        <f t="shared" si="5"/>
        <v>5203.8832000000002</v>
      </c>
      <c r="N75" s="1863"/>
      <c r="O75" s="1563" t="s">
        <v>5861</v>
      </c>
      <c r="P75" s="1563" t="s">
        <v>5862</v>
      </c>
      <c r="Q75" s="1563">
        <v>13684789306</v>
      </c>
      <c r="R75" s="1563" t="s">
        <v>5863</v>
      </c>
      <c r="S75" s="1563" t="s">
        <v>5792</v>
      </c>
      <c r="T75" s="1564"/>
    </row>
    <row r="76" spans="1:20" s="1018" customFormat="1" ht="20.100000000000001" customHeight="1">
      <c r="A76" s="1632"/>
      <c r="B76" s="1213" t="s">
        <v>243</v>
      </c>
      <c r="C76" s="1213" t="s">
        <v>5859</v>
      </c>
      <c r="D76" s="1563" t="s">
        <v>2084</v>
      </c>
      <c r="E76" s="1563">
        <v>1</v>
      </c>
      <c r="F76" s="1211">
        <v>10.1</v>
      </c>
      <c r="G76" s="1563" t="s">
        <v>32</v>
      </c>
      <c r="H76" s="1563" t="s">
        <v>33</v>
      </c>
      <c r="I76" s="1563"/>
      <c r="J76" s="1563"/>
      <c r="K76" s="1092"/>
      <c r="L76" s="1212">
        <v>65699.025399999999</v>
      </c>
      <c r="M76" s="1171">
        <f t="shared" si="5"/>
        <v>13139.80508</v>
      </c>
      <c r="N76" s="1863"/>
      <c r="O76" s="1563" t="s">
        <v>5861</v>
      </c>
      <c r="P76" s="1563" t="s">
        <v>5862</v>
      </c>
      <c r="Q76" s="1563">
        <v>13684789306</v>
      </c>
      <c r="R76" s="1563" t="s">
        <v>5863</v>
      </c>
      <c r="S76" s="1563" t="s">
        <v>5792</v>
      </c>
      <c r="T76" s="1564"/>
    </row>
    <row r="77" spans="1:20" s="1018" customFormat="1" ht="20.100000000000001" customHeight="1">
      <c r="A77" s="1632"/>
      <c r="B77" s="1213" t="s">
        <v>2473</v>
      </c>
      <c r="C77" s="1213" t="s">
        <v>5859</v>
      </c>
      <c r="D77" s="1563" t="s">
        <v>2084</v>
      </c>
      <c r="E77" s="1563">
        <v>1</v>
      </c>
      <c r="F77" s="1211">
        <v>7.22</v>
      </c>
      <c r="G77" s="1563" t="s">
        <v>32</v>
      </c>
      <c r="H77" s="1563" t="s">
        <v>33</v>
      </c>
      <c r="I77" s="1563"/>
      <c r="J77" s="1563"/>
      <c r="K77" s="1092"/>
      <c r="L77" s="1212">
        <v>49067.957520000004</v>
      </c>
      <c r="M77" s="1171">
        <f t="shared" si="5"/>
        <v>9813.5915040000018</v>
      </c>
      <c r="N77" s="1863"/>
      <c r="O77" s="1563" t="s">
        <v>5861</v>
      </c>
      <c r="P77" s="1563" t="s">
        <v>5862</v>
      </c>
      <c r="Q77" s="1563">
        <v>13684789306</v>
      </c>
      <c r="R77" s="1563" t="s">
        <v>5863</v>
      </c>
      <c r="S77" s="1563" t="s">
        <v>5792</v>
      </c>
      <c r="T77" s="1564"/>
    </row>
    <row r="78" spans="1:20" s="1018" customFormat="1" ht="20.100000000000001" customHeight="1">
      <c r="A78" s="1632"/>
      <c r="B78" s="1213" t="s">
        <v>2473</v>
      </c>
      <c r="C78" s="1213" t="s">
        <v>3510</v>
      </c>
      <c r="D78" s="1563" t="s">
        <v>2084</v>
      </c>
      <c r="E78" s="1563">
        <v>1</v>
      </c>
      <c r="F78" s="1211">
        <v>4.1879999999999997</v>
      </c>
      <c r="G78" s="1563" t="s">
        <v>32</v>
      </c>
      <c r="H78" s="1563" t="s">
        <v>33</v>
      </c>
      <c r="I78" s="1563"/>
      <c r="J78" s="1563"/>
      <c r="K78" s="1092"/>
      <c r="L78" s="1212">
        <v>28462.135902000002</v>
      </c>
      <c r="M78" s="1171">
        <f t="shared" si="5"/>
        <v>5692.4271804000009</v>
      </c>
      <c r="N78" s="1863"/>
      <c r="O78" s="1563" t="s">
        <v>5861</v>
      </c>
      <c r="P78" s="1563" t="s">
        <v>5862</v>
      </c>
      <c r="Q78" s="1563">
        <v>13684789306</v>
      </c>
      <c r="R78" s="1563" t="s">
        <v>5863</v>
      </c>
      <c r="S78" s="1563" t="s">
        <v>5792</v>
      </c>
      <c r="T78" s="1564"/>
    </row>
    <row r="79" spans="1:20" s="1018" customFormat="1" ht="20.100000000000001" customHeight="1">
      <c r="A79" s="1632"/>
      <c r="B79" s="1213" t="s">
        <v>202</v>
      </c>
      <c r="C79" s="1213" t="s">
        <v>5859</v>
      </c>
      <c r="D79" s="1563" t="s">
        <v>2084</v>
      </c>
      <c r="E79" s="1563">
        <v>1</v>
      </c>
      <c r="F79" s="1211">
        <v>2.8</v>
      </c>
      <c r="G79" s="1563" t="s">
        <v>32</v>
      </c>
      <c r="H79" s="1563" t="s">
        <v>33</v>
      </c>
      <c r="I79" s="1563"/>
      <c r="J79" s="1563"/>
      <c r="K79" s="1092"/>
      <c r="L79" s="1212">
        <v>19029.1276</v>
      </c>
      <c r="M79" s="1171">
        <f t="shared" si="5"/>
        <v>3805.8255200000003</v>
      </c>
      <c r="N79" s="1864"/>
      <c r="O79" s="1563" t="s">
        <v>5861</v>
      </c>
      <c r="P79" s="1563" t="s">
        <v>5862</v>
      </c>
      <c r="Q79" s="1563">
        <v>13684789306</v>
      </c>
      <c r="R79" s="1563" t="s">
        <v>5863</v>
      </c>
      <c r="S79" s="1563" t="s">
        <v>5792</v>
      </c>
      <c r="T79" s="1564"/>
    </row>
    <row r="80" spans="1:20" s="1018" customFormat="1" ht="20.100000000000001" customHeight="1">
      <c r="A80" s="1632"/>
      <c r="B80" s="1563" t="s">
        <v>1883</v>
      </c>
      <c r="C80" s="1563" t="s">
        <v>5866</v>
      </c>
      <c r="D80" s="1563" t="s">
        <v>31</v>
      </c>
      <c r="E80" s="1563">
        <v>40</v>
      </c>
      <c r="F80" s="1563">
        <v>7.5</v>
      </c>
      <c r="G80" s="1563" t="s">
        <v>32</v>
      </c>
      <c r="H80" s="1563" t="s">
        <v>33</v>
      </c>
      <c r="I80" s="1563"/>
      <c r="J80" s="1563"/>
      <c r="K80" s="1833" t="s">
        <v>5867</v>
      </c>
      <c r="L80" s="1563">
        <v>63081.84</v>
      </c>
      <c r="M80" s="1171">
        <v>0</v>
      </c>
      <c r="N80" s="1833" t="s">
        <v>5868</v>
      </c>
      <c r="O80" s="1563" t="s">
        <v>5861</v>
      </c>
      <c r="P80" s="1563" t="s">
        <v>5862</v>
      </c>
      <c r="Q80" s="1563">
        <v>13684789306</v>
      </c>
      <c r="R80" s="1563" t="s">
        <v>5863</v>
      </c>
      <c r="S80" s="1563" t="s">
        <v>5792</v>
      </c>
      <c r="T80" s="1564"/>
    </row>
    <row r="81" spans="1:20" s="1018" customFormat="1" ht="20.100000000000001" customHeight="1">
      <c r="A81" s="1632"/>
      <c r="B81" s="1563" t="s">
        <v>1883</v>
      </c>
      <c r="C81" s="1563" t="s">
        <v>5869</v>
      </c>
      <c r="D81" s="1563" t="s">
        <v>31</v>
      </c>
      <c r="E81" s="1563">
        <v>40</v>
      </c>
      <c r="F81" s="1563">
        <v>7.5</v>
      </c>
      <c r="G81" s="1563" t="s">
        <v>32</v>
      </c>
      <c r="H81" s="1563" t="s">
        <v>33</v>
      </c>
      <c r="I81" s="1862" t="s">
        <v>5871</v>
      </c>
      <c r="J81" s="1833" t="s">
        <v>5872</v>
      </c>
      <c r="K81" s="1833"/>
      <c r="L81" s="1563">
        <v>63081.84</v>
      </c>
      <c r="M81" s="1171">
        <v>0</v>
      </c>
      <c r="N81" s="1833"/>
      <c r="O81" s="1563" t="s">
        <v>5861</v>
      </c>
      <c r="P81" s="1563" t="s">
        <v>5862</v>
      </c>
      <c r="Q81" s="1563">
        <v>13684789306</v>
      </c>
      <c r="R81" s="1563" t="s">
        <v>5863</v>
      </c>
      <c r="S81" s="1563" t="s">
        <v>5792</v>
      </c>
      <c r="T81" s="1564"/>
    </row>
    <row r="82" spans="1:20" s="1018" customFormat="1" ht="20.100000000000001" customHeight="1">
      <c r="A82" s="1632"/>
      <c r="B82" s="1862" t="s">
        <v>243</v>
      </c>
      <c r="C82" s="1563" t="s">
        <v>7503</v>
      </c>
      <c r="D82" s="1563" t="s">
        <v>31</v>
      </c>
      <c r="E82" s="1563" t="s">
        <v>7504</v>
      </c>
      <c r="F82" s="1862">
        <f>10.05+3.748</f>
        <v>13.798000000000002</v>
      </c>
      <c r="G82" s="1563" t="s">
        <v>32</v>
      </c>
      <c r="H82" s="1563" t="s">
        <v>33</v>
      </c>
      <c r="I82" s="1863"/>
      <c r="J82" s="1833"/>
      <c r="K82" s="1833" t="s">
        <v>7505</v>
      </c>
      <c r="L82" s="1833">
        <v>116938.05</v>
      </c>
      <c r="M82" s="1988">
        <f>L82*30%</f>
        <v>35081.415000000001</v>
      </c>
      <c r="N82" s="1833">
        <v>2021.9</v>
      </c>
      <c r="O82" s="1563" t="s">
        <v>7506</v>
      </c>
      <c r="P82" s="1213" t="s">
        <v>5878</v>
      </c>
      <c r="Q82" s="1213">
        <v>13674855295</v>
      </c>
      <c r="R82" s="1213" t="s">
        <v>5879</v>
      </c>
      <c r="S82" s="1563" t="s">
        <v>5792</v>
      </c>
      <c r="T82" s="1564"/>
    </row>
    <row r="83" spans="1:20" s="1018" customFormat="1" ht="20.100000000000001" customHeight="1">
      <c r="A83" s="1632"/>
      <c r="B83" s="1863"/>
      <c r="C83" s="1563" t="s">
        <v>7507</v>
      </c>
      <c r="D83" s="1563" t="s">
        <v>31</v>
      </c>
      <c r="E83" s="1563" t="s">
        <v>7504</v>
      </c>
      <c r="F83" s="1863"/>
      <c r="G83" s="1563" t="s">
        <v>32</v>
      </c>
      <c r="H83" s="1563" t="s">
        <v>33</v>
      </c>
      <c r="I83" s="1863"/>
      <c r="J83" s="1833"/>
      <c r="K83" s="1833"/>
      <c r="L83" s="1833"/>
      <c r="M83" s="1988"/>
      <c r="N83" s="1833"/>
      <c r="O83" s="1563" t="s">
        <v>7506</v>
      </c>
      <c r="P83" s="1213" t="s">
        <v>5878</v>
      </c>
      <c r="Q83" s="1213">
        <v>13674855296</v>
      </c>
      <c r="R83" s="1213" t="s">
        <v>5879</v>
      </c>
      <c r="S83" s="1563" t="s">
        <v>5792</v>
      </c>
      <c r="T83" s="1564"/>
    </row>
    <row r="84" spans="1:20" s="1018" customFormat="1" ht="20.100000000000001" customHeight="1">
      <c r="A84" s="1632"/>
      <c r="B84" s="1863"/>
      <c r="C84" s="1563" t="s">
        <v>7508</v>
      </c>
      <c r="D84" s="1563" t="s">
        <v>31</v>
      </c>
      <c r="E84" s="1563" t="s">
        <v>7504</v>
      </c>
      <c r="F84" s="1863"/>
      <c r="G84" s="1563" t="s">
        <v>32</v>
      </c>
      <c r="H84" s="1563" t="s">
        <v>33</v>
      </c>
      <c r="I84" s="1863"/>
      <c r="J84" s="1833"/>
      <c r="K84" s="1833"/>
      <c r="L84" s="1833"/>
      <c r="M84" s="1988"/>
      <c r="N84" s="1833"/>
      <c r="O84" s="1563" t="s">
        <v>7506</v>
      </c>
      <c r="P84" s="1213" t="s">
        <v>5878</v>
      </c>
      <c r="Q84" s="1213">
        <v>13674855297</v>
      </c>
      <c r="R84" s="1213" t="s">
        <v>5879</v>
      </c>
      <c r="S84" s="1563" t="s">
        <v>5792</v>
      </c>
      <c r="T84" s="1564"/>
    </row>
    <row r="85" spans="1:20" s="1018" customFormat="1" ht="20.100000000000001" customHeight="1">
      <c r="A85" s="1632"/>
      <c r="B85" s="1863"/>
      <c r="C85" s="1563" t="s">
        <v>7509</v>
      </c>
      <c r="D85" s="1563" t="s">
        <v>31</v>
      </c>
      <c r="E85" s="1563" t="s">
        <v>7510</v>
      </c>
      <c r="F85" s="1863"/>
      <c r="G85" s="1563" t="s">
        <v>32</v>
      </c>
      <c r="H85" s="1563" t="s">
        <v>33</v>
      </c>
      <c r="I85" s="1863"/>
      <c r="J85" s="1833"/>
      <c r="K85" s="1833"/>
      <c r="L85" s="1833"/>
      <c r="M85" s="1988"/>
      <c r="N85" s="1833"/>
      <c r="O85" s="1563" t="s">
        <v>7506</v>
      </c>
      <c r="P85" s="1213" t="s">
        <v>5878</v>
      </c>
      <c r="Q85" s="1213">
        <v>13674855298</v>
      </c>
      <c r="R85" s="1213" t="s">
        <v>5879</v>
      </c>
      <c r="S85" s="1563" t="s">
        <v>5792</v>
      </c>
      <c r="T85" s="1564"/>
    </row>
    <row r="86" spans="1:20" s="1018" customFormat="1" ht="20.100000000000001" customHeight="1">
      <c r="A86" s="1632"/>
      <c r="B86" s="1863"/>
      <c r="C86" s="1563" t="s">
        <v>7511</v>
      </c>
      <c r="D86" s="1563" t="s">
        <v>31</v>
      </c>
      <c r="E86" s="1563" t="s">
        <v>7510</v>
      </c>
      <c r="F86" s="1863"/>
      <c r="G86" s="1563" t="s">
        <v>32</v>
      </c>
      <c r="H86" s="1563" t="s">
        <v>33</v>
      </c>
      <c r="I86" s="1863"/>
      <c r="J86" s="1833"/>
      <c r="K86" s="1833"/>
      <c r="L86" s="1833"/>
      <c r="M86" s="1988"/>
      <c r="N86" s="1833"/>
      <c r="O86" s="1563" t="s">
        <v>7506</v>
      </c>
      <c r="P86" s="1213" t="s">
        <v>5878</v>
      </c>
      <c r="Q86" s="1213">
        <v>13674855299</v>
      </c>
      <c r="R86" s="1213" t="s">
        <v>5879</v>
      </c>
      <c r="S86" s="1563" t="s">
        <v>5792</v>
      </c>
      <c r="T86" s="1564"/>
    </row>
    <row r="87" spans="1:20" s="1018" customFormat="1" ht="20.100000000000001" customHeight="1">
      <c r="A87" s="1632"/>
      <c r="B87" s="1863"/>
      <c r="C87" s="1563" t="s">
        <v>7512</v>
      </c>
      <c r="D87" s="1563" t="s">
        <v>31</v>
      </c>
      <c r="E87" s="1563">
        <v>4</v>
      </c>
      <c r="F87" s="1863"/>
      <c r="G87" s="1563" t="s">
        <v>32</v>
      </c>
      <c r="H87" s="1563" t="s">
        <v>33</v>
      </c>
      <c r="I87" s="1863"/>
      <c r="J87" s="1833"/>
      <c r="K87" s="1833"/>
      <c r="L87" s="1833"/>
      <c r="M87" s="1988"/>
      <c r="N87" s="1833"/>
      <c r="O87" s="1563" t="s">
        <v>7506</v>
      </c>
      <c r="P87" s="1213" t="s">
        <v>5878</v>
      </c>
      <c r="Q87" s="1213">
        <v>13674855300</v>
      </c>
      <c r="R87" s="1213" t="s">
        <v>5879</v>
      </c>
      <c r="S87" s="1563" t="s">
        <v>5792</v>
      </c>
      <c r="T87" s="1564"/>
    </row>
    <row r="88" spans="1:20" s="1018" customFormat="1" ht="20.100000000000001" customHeight="1">
      <c r="A88" s="1632"/>
      <c r="B88" s="1863"/>
      <c r="C88" s="1563" t="s">
        <v>7513</v>
      </c>
      <c r="D88" s="1563" t="s">
        <v>31</v>
      </c>
      <c r="E88" s="1563">
        <v>4</v>
      </c>
      <c r="F88" s="1863"/>
      <c r="G88" s="1563" t="s">
        <v>32</v>
      </c>
      <c r="H88" s="1563" t="s">
        <v>33</v>
      </c>
      <c r="I88" s="1863"/>
      <c r="J88" s="1833"/>
      <c r="K88" s="1833"/>
      <c r="L88" s="1833"/>
      <c r="M88" s="1988"/>
      <c r="N88" s="1833"/>
      <c r="O88" s="1563" t="s">
        <v>7506</v>
      </c>
      <c r="P88" s="1213" t="s">
        <v>5878</v>
      </c>
      <c r="Q88" s="1213">
        <v>13674855301</v>
      </c>
      <c r="R88" s="1213" t="s">
        <v>5879</v>
      </c>
      <c r="S88" s="1563" t="s">
        <v>5792</v>
      </c>
      <c r="T88" s="1564"/>
    </row>
    <row r="89" spans="1:20" s="1018" customFormat="1" ht="20.100000000000001" customHeight="1">
      <c r="A89" s="1632"/>
      <c r="B89" s="1863"/>
      <c r="C89" s="1563" t="s">
        <v>7514</v>
      </c>
      <c r="D89" s="1563" t="s">
        <v>31</v>
      </c>
      <c r="E89" s="1563">
        <v>4</v>
      </c>
      <c r="F89" s="1863"/>
      <c r="G89" s="1563" t="s">
        <v>32</v>
      </c>
      <c r="H89" s="1563" t="s">
        <v>33</v>
      </c>
      <c r="I89" s="1863"/>
      <c r="J89" s="1833"/>
      <c r="K89" s="1833"/>
      <c r="L89" s="1833"/>
      <c r="M89" s="1988"/>
      <c r="N89" s="1833"/>
      <c r="O89" s="1563" t="s">
        <v>7506</v>
      </c>
      <c r="P89" s="1213" t="s">
        <v>5878</v>
      </c>
      <c r="Q89" s="1213">
        <v>13674855302</v>
      </c>
      <c r="R89" s="1213" t="s">
        <v>5879</v>
      </c>
      <c r="S89" s="1563" t="s">
        <v>5792</v>
      </c>
      <c r="T89" s="1564"/>
    </row>
    <row r="90" spans="1:20" s="1018" customFormat="1" ht="20.100000000000001" customHeight="1">
      <c r="A90" s="1632"/>
      <c r="B90" s="1862" t="s">
        <v>7515</v>
      </c>
      <c r="C90" s="1772" t="s">
        <v>7516</v>
      </c>
      <c r="D90" s="1772" t="s">
        <v>7517</v>
      </c>
      <c r="E90" s="1772">
        <v>5</v>
      </c>
      <c r="F90" s="1862">
        <v>41.552999999999997</v>
      </c>
      <c r="G90" s="1563" t="s">
        <v>32</v>
      </c>
      <c r="H90" s="1563" t="s">
        <v>33</v>
      </c>
      <c r="I90" s="1863"/>
      <c r="J90" s="1833"/>
      <c r="K90" s="1563" t="s">
        <v>5876</v>
      </c>
      <c r="L90" s="1833">
        <v>5934084.3499999996</v>
      </c>
      <c r="M90" s="1988">
        <f>L90*30%</f>
        <v>1780225.3049999999</v>
      </c>
      <c r="N90" s="1833">
        <v>2021.6</v>
      </c>
      <c r="O90" s="1563" t="s">
        <v>7506</v>
      </c>
      <c r="P90" s="1213" t="s">
        <v>5878</v>
      </c>
      <c r="Q90" s="1213">
        <v>13674855303</v>
      </c>
      <c r="R90" s="1213" t="s">
        <v>5879</v>
      </c>
      <c r="S90" s="1563" t="s">
        <v>5792</v>
      </c>
      <c r="T90" s="1564"/>
    </row>
    <row r="91" spans="1:20" s="1018" customFormat="1" ht="20.100000000000001" customHeight="1">
      <c r="A91" s="1632"/>
      <c r="B91" s="1863"/>
      <c r="C91" s="1772" t="s">
        <v>7518</v>
      </c>
      <c r="D91" s="1772" t="s">
        <v>7517</v>
      </c>
      <c r="E91" s="1772">
        <v>1</v>
      </c>
      <c r="F91" s="1863"/>
      <c r="G91" s="1563" t="s">
        <v>32</v>
      </c>
      <c r="H91" s="1563" t="s">
        <v>33</v>
      </c>
      <c r="I91" s="1863"/>
      <c r="J91" s="1833"/>
      <c r="K91" s="1563" t="s">
        <v>5876</v>
      </c>
      <c r="L91" s="1833"/>
      <c r="M91" s="1988"/>
      <c r="N91" s="1833"/>
      <c r="O91" s="1563" t="s">
        <v>7506</v>
      </c>
      <c r="P91" s="1213" t="s">
        <v>5878</v>
      </c>
      <c r="Q91" s="1213">
        <v>13674855303</v>
      </c>
      <c r="R91" s="1213" t="s">
        <v>5879</v>
      </c>
      <c r="S91" s="1563" t="s">
        <v>5792</v>
      </c>
      <c r="T91" s="1564"/>
    </row>
    <row r="92" spans="1:20" s="1018" customFormat="1" ht="20.100000000000001" customHeight="1">
      <c r="A92" s="1632"/>
      <c r="B92" s="1863"/>
      <c r="C92" s="1772" t="s">
        <v>7519</v>
      </c>
      <c r="D92" s="1772" t="s">
        <v>7517</v>
      </c>
      <c r="E92" s="1772">
        <v>1</v>
      </c>
      <c r="F92" s="1863"/>
      <c r="G92" s="1563" t="s">
        <v>32</v>
      </c>
      <c r="H92" s="1563" t="s">
        <v>33</v>
      </c>
      <c r="I92" s="1863"/>
      <c r="J92" s="1833"/>
      <c r="K92" s="1563" t="s">
        <v>5876</v>
      </c>
      <c r="L92" s="1833"/>
      <c r="M92" s="1988"/>
      <c r="N92" s="1833"/>
      <c r="O92" s="1563" t="s">
        <v>7506</v>
      </c>
      <c r="P92" s="1213" t="s">
        <v>5878</v>
      </c>
      <c r="Q92" s="1213">
        <v>13674855303</v>
      </c>
      <c r="R92" s="1213" t="s">
        <v>5879</v>
      </c>
      <c r="S92" s="1563" t="s">
        <v>5792</v>
      </c>
      <c r="T92" s="1564"/>
    </row>
    <row r="93" spans="1:20" s="1018" customFormat="1" ht="20.100000000000001" customHeight="1">
      <c r="A93" s="1632"/>
      <c r="B93" s="1863"/>
      <c r="C93" s="1772" t="s">
        <v>7520</v>
      </c>
      <c r="D93" s="1772" t="s">
        <v>7517</v>
      </c>
      <c r="E93" s="1772">
        <v>5</v>
      </c>
      <c r="F93" s="1863"/>
      <c r="G93" s="1563" t="s">
        <v>32</v>
      </c>
      <c r="H93" s="1563" t="s">
        <v>33</v>
      </c>
      <c r="I93" s="1863"/>
      <c r="J93" s="1833"/>
      <c r="K93" s="1563" t="s">
        <v>5876</v>
      </c>
      <c r="L93" s="1833"/>
      <c r="M93" s="1988"/>
      <c r="N93" s="1833"/>
      <c r="O93" s="1563" t="s">
        <v>7506</v>
      </c>
      <c r="P93" s="1213" t="s">
        <v>5878</v>
      </c>
      <c r="Q93" s="1213">
        <v>13674855303</v>
      </c>
      <c r="R93" s="1213" t="s">
        <v>5879</v>
      </c>
      <c r="S93" s="1563" t="s">
        <v>5792</v>
      </c>
      <c r="T93" s="1564"/>
    </row>
    <row r="94" spans="1:20" s="1018" customFormat="1" ht="20.100000000000001" customHeight="1">
      <c r="A94" s="1632"/>
      <c r="B94" s="1863"/>
      <c r="C94" s="1772" t="s">
        <v>7521</v>
      </c>
      <c r="D94" s="1772" t="s">
        <v>7517</v>
      </c>
      <c r="E94" s="1772">
        <v>1</v>
      </c>
      <c r="F94" s="1863"/>
      <c r="G94" s="1563" t="s">
        <v>32</v>
      </c>
      <c r="H94" s="1563" t="s">
        <v>33</v>
      </c>
      <c r="I94" s="1863"/>
      <c r="J94" s="1833"/>
      <c r="K94" s="1563" t="s">
        <v>5876</v>
      </c>
      <c r="L94" s="1833"/>
      <c r="M94" s="1988"/>
      <c r="N94" s="1833"/>
      <c r="O94" s="1563" t="s">
        <v>7506</v>
      </c>
      <c r="P94" s="1213" t="s">
        <v>5878</v>
      </c>
      <c r="Q94" s="1213">
        <v>13674855303</v>
      </c>
      <c r="R94" s="1213" t="s">
        <v>5879</v>
      </c>
      <c r="S94" s="1563" t="s">
        <v>5792</v>
      </c>
      <c r="T94" s="1564"/>
    </row>
    <row r="95" spans="1:20" s="1018" customFormat="1" ht="20.100000000000001" customHeight="1">
      <c r="A95" s="1632"/>
      <c r="B95" s="1863"/>
      <c r="C95" s="1772" t="s">
        <v>7522</v>
      </c>
      <c r="D95" s="1772" t="s">
        <v>7517</v>
      </c>
      <c r="E95" s="1772">
        <v>1</v>
      </c>
      <c r="F95" s="1863"/>
      <c r="G95" s="1563" t="s">
        <v>32</v>
      </c>
      <c r="H95" s="1563" t="s">
        <v>33</v>
      </c>
      <c r="I95" s="1863"/>
      <c r="J95" s="1833"/>
      <c r="K95" s="1563" t="s">
        <v>5876</v>
      </c>
      <c r="L95" s="1833"/>
      <c r="M95" s="1988"/>
      <c r="N95" s="1833"/>
      <c r="O95" s="1563" t="s">
        <v>7506</v>
      </c>
      <c r="P95" s="1213" t="s">
        <v>5878</v>
      </c>
      <c r="Q95" s="1213">
        <v>13674855303</v>
      </c>
      <c r="R95" s="1213" t="s">
        <v>5879</v>
      </c>
      <c r="S95" s="1563" t="s">
        <v>5792</v>
      </c>
      <c r="T95" s="1564"/>
    </row>
    <row r="96" spans="1:20" s="1018" customFormat="1" ht="20.100000000000001" customHeight="1">
      <c r="A96" s="1632"/>
      <c r="B96" s="1864"/>
      <c r="C96" s="1772" t="s">
        <v>7523</v>
      </c>
      <c r="D96" s="1772" t="s">
        <v>79</v>
      </c>
      <c r="E96" s="1772">
        <v>1</v>
      </c>
      <c r="F96" s="1864"/>
      <c r="G96" s="1563" t="s">
        <v>32</v>
      </c>
      <c r="H96" s="1563" t="s">
        <v>33</v>
      </c>
      <c r="I96" s="1863"/>
      <c r="J96" s="1833"/>
      <c r="K96" s="1563" t="s">
        <v>5876</v>
      </c>
      <c r="L96" s="1833"/>
      <c r="M96" s="1988"/>
      <c r="N96" s="1833"/>
      <c r="O96" s="1563" t="s">
        <v>7506</v>
      </c>
      <c r="P96" s="1213" t="s">
        <v>5878</v>
      </c>
      <c r="Q96" s="1213">
        <v>13674855303</v>
      </c>
      <c r="R96" s="1213" t="s">
        <v>5879</v>
      </c>
      <c r="S96" s="1563" t="s">
        <v>5792</v>
      </c>
      <c r="T96" s="1564"/>
    </row>
    <row r="97" spans="1:20" s="1018" customFormat="1" ht="20.100000000000001" customHeight="1">
      <c r="A97" s="1632"/>
      <c r="B97" s="1862" t="s">
        <v>7524</v>
      </c>
      <c r="C97" s="1772" t="s">
        <v>7525</v>
      </c>
      <c r="D97" s="1772" t="s">
        <v>7517</v>
      </c>
      <c r="E97" s="1772">
        <v>8</v>
      </c>
      <c r="F97" s="1862">
        <v>75.968999999999994</v>
      </c>
      <c r="G97" s="1563" t="s">
        <v>32</v>
      </c>
      <c r="H97" s="1563" t="s">
        <v>33</v>
      </c>
      <c r="I97" s="1863"/>
      <c r="J97" s="1833"/>
      <c r="K97" s="1563" t="s">
        <v>5876</v>
      </c>
      <c r="L97" s="1833"/>
      <c r="M97" s="1988"/>
      <c r="N97" s="1833"/>
      <c r="O97" s="1563" t="s">
        <v>7506</v>
      </c>
      <c r="P97" s="1213" t="s">
        <v>5878</v>
      </c>
      <c r="Q97" s="1213">
        <v>13674855303</v>
      </c>
      <c r="R97" s="1213" t="s">
        <v>5879</v>
      </c>
      <c r="S97" s="1563" t="s">
        <v>5792</v>
      </c>
      <c r="T97" s="1564"/>
    </row>
    <row r="98" spans="1:20" s="1018" customFormat="1" ht="20.100000000000001" customHeight="1">
      <c r="A98" s="1632"/>
      <c r="B98" s="1863"/>
      <c r="C98" s="1772" t="s">
        <v>7526</v>
      </c>
      <c r="D98" s="1772" t="s">
        <v>7517</v>
      </c>
      <c r="E98" s="1772">
        <v>4</v>
      </c>
      <c r="F98" s="1863"/>
      <c r="G98" s="1563" t="s">
        <v>32</v>
      </c>
      <c r="H98" s="1563" t="s">
        <v>33</v>
      </c>
      <c r="I98" s="1863"/>
      <c r="J98" s="1833"/>
      <c r="K98" s="1563" t="s">
        <v>5876</v>
      </c>
      <c r="L98" s="1833"/>
      <c r="M98" s="1988"/>
      <c r="N98" s="1833"/>
      <c r="O98" s="1563" t="s">
        <v>7506</v>
      </c>
      <c r="P98" s="1213" t="s">
        <v>5878</v>
      </c>
      <c r="Q98" s="1213">
        <v>13674855303</v>
      </c>
      <c r="R98" s="1213" t="s">
        <v>5879</v>
      </c>
      <c r="S98" s="1563" t="s">
        <v>5792</v>
      </c>
      <c r="T98" s="1564"/>
    </row>
    <row r="99" spans="1:20" s="1018" customFormat="1" ht="20.100000000000001" customHeight="1">
      <c r="A99" s="1632"/>
      <c r="B99" s="1863"/>
      <c r="C99" s="1772" t="s">
        <v>7527</v>
      </c>
      <c r="D99" s="1772" t="s">
        <v>7517</v>
      </c>
      <c r="E99" s="1772">
        <v>3</v>
      </c>
      <c r="F99" s="1863"/>
      <c r="G99" s="1563" t="s">
        <v>32</v>
      </c>
      <c r="H99" s="1563" t="s">
        <v>33</v>
      </c>
      <c r="I99" s="1863"/>
      <c r="J99" s="1833"/>
      <c r="K99" s="1563" t="s">
        <v>5876</v>
      </c>
      <c r="L99" s="1833"/>
      <c r="M99" s="1988"/>
      <c r="N99" s="1833"/>
      <c r="O99" s="1563" t="s">
        <v>7506</v>
      </c>
      <c r="P99" s="1213" t="s">
        <v>5878</v>
      </c>
      <c r="Q99" s="1213">
        <v>13674855303</v>
      </c>
      <c r="R99" s="1213" t="s">
        <v>5879</v>
      </c>
      <c r="S99" s="1563" t="s">
        <v>5792</v>
      </c>
      <c r="T99" s="1564"/>
    </row>
    <row r="100" spans="1:20" s="1018" customFormat="1" ht="20.100000000000001" customHeight="1">
      <c r="A100" s="1632"/>
      <c r="B100" s="1863"/>
      <c r="C100" s="1772" t="s">
        <v>7520</v>
      </c>
      <c r="D100" s="1772" t="s">
        <v>7517</v>
      </c>
      <c r="E100" s="1772">
        <v>8</v>
      </c>
      <c r="F100" s="1863"/>
      <c r="G100" s="1563" t="s">
        <v>32</v>
      </c>
      <c r="H100" s="1563" t="s">
        <v>33</v>
      </c>
      <c r="I100" s="1863"/>
      <c r="J100" s="1833"/>
      <c r="K100" s="1563" t="s">
        <v>5876</v>
      </c>
      <c r="L100" s="1833"/>
      <c r="M100" s="1988"/>
      <c r="N100" s="1833"/>
      <c r="O100" s="1563" t="s">
        <v>7506</v>
      </c>
      <c r="P100" s="1213" t="s">
        <v>5878</v>
      </c>
      <c r="Q100" s="1213">
        <v>13674855303</v>
      </c>
      <c r="R100" s="1213" t="s">
        <v>5879</v>
      </c>
      <c r="S100" s="1563" t="s">
        <v>5792</v>
      </c>
      <c r="T100" s="1564"/>
    </row>
    <row r="101" spans="1:20" s="1018" customFormat="1" ht="20.100000000000001" customHeight="1">
      <c r="A101" s="1632"/>
      <c r="B101" s="1863"/>
      <c r="C101" s="1772" t="s">
        <v>7521</v>
      </c>
      <c r="D101" s="1772" t="s">
        <v>7517</v>
      </c>
      <c r="E101" s="1772">
        <v>4</v>
      </c>
      <c r="F101" s="1863"/>
      <c r="G101" s="1563" t="s">
        <v>32</v>
      </c>
      <c r="H101" s="1563" t="s">
        <v>33</v>
      </c>
      <c r="I101" s="1863"/>
      <c r="J101" s="1833"/>
      <c r="K101" s="1563" t="s">
        <v>5876</v>
      </c>
      <c r="L101" s="1833"/>
      <c r="M101" s="1988"/>
      <c r="N101" s="1833"/>
      <c r="O101" s="1563" t="s">
        <v>7506</v>
      </c>
      <c r="P101" s="1213" t="s">
        <v>5878</v>
      </c>
      <c r="Q101" s="1213">
        <v>13674855303</v>
      </c>
      <c r="R101" s="1213" t="s">
        <v>5879</v>
      </c>
      <c r="S101" s="1563" t="s">
        <v>5792</v>
      </c>
      <c r="T101" s="1564"/>
    </row>
    <row r="102" spans="1:20" s="1018" customFormat="1" ht="20.100000000000001" customHeight="1">
      <c r="A102" s="1632"/>
      <c r="B102" s="1863"/>
      <c r="C102" s="1772" t="s">
        <v>7522</v>
      </c>
      <c r="D102" s="1772" t="s">
        <v>7517</v>
      </c>
      <c r="E102" s="1772">
        <v>3</v>
      </c>
      <c r="F102" s="1863"/>
      <c r="G102" s="1563" t="s">
        <v>32</v>
      </c>
      <c r="H102" s="1563" t="s">
        <v>33</v>
      </c>
      <c r="I102" s="1863"/>
      <c r="J102" s="1833"/>
      <c r="K102" s="1563" t="s">
        <v>5876</v>
      </c>
      <c r="L102" s="1833"/>
      <c r="M102" s="1988"/>
      <c r="N102" s="1833"/>
      <c r="O102" s="1563" t="s">
        <v>7506</v>
      </c>
      <c r="P102" s="1213" t="s">
        <v>5878</v>
      </c>
      <c r="Q102" s="1213">
        <v>13674855303</v>
      </c>
      <c r="R102" s="1213" t="s">
        <v>5879</v>
      </c>
      <c r="S102" s="1563" t="s">
        <v>5792</v>
      </c>
      <c r="T102" s="1564"/>
    </row>
    <row r="103" spans="1:20" s="1018" customFormat="1" ht="20.100000000000001" customHeight="1">
      <c r="A103" s="1632"/>
      <c r="B103" s="1864"/>
      <c r="C103" s="1772" t="s">
        <v>7528</v>
      </c>
      <c r="D103" s="1772" t="s">
        <v>79</v>
      </c>
      <c r="E103" s="1772">
        <v>1</v>
      </c>
      <c r="F103" s="1864"/>
      <c r="G103" s="1563" t="s">
        <v>32</v>
      </c>
      <c r="H103" s="1563" t="s">
        <v>33</v>
      </c>
      <c r="I103" s="1863"/>
      <c r="J103" s="1833"/>
      <c r="K103" s="1563" t="s">
        <v>5876</v>
      </c>
      <c r="L103" s="1833"/>
      <c r="M103" s="1988"/>
      <c r="N103" s="1833"/>
      <c r="O103" s="1563" t="s">
        <v>7506</v>
      </c>
      <c r="P103" s="1213" t="s">
        <v>5878</v>
      </c>
      <c r="Q103" s="1213">
        <v>13674855303</v>
      </c>
      <c r="R103" s="1213" t="s">
        <v>5879</v>
      </c>
      <c r="S103" s="1563" t="s">
        <v>5792</v>
      </c>
      <c r="T103" s="1564"/>
    </row>
    <row r="104" spans="1:20" s="1018" customFormat="1" ht="20.100000000000001" customHeight="1">
      <c r="A104" s="1632"/>
      <c r="B104" s="1862" t="s">
        <v>7529</v>
      </c>
      <c r="C104" s="1772" t="s">
        <v>7525</v>
      </c>
      <c r="D104" s="1772" t="s">
        <v>7517</v>
      </c>
      <c r="E104" s="1772">
        <v>22</v>
      </c>
      <c r="F104" s="1862">
        <v>493.86500000000001</v>
      </c>
      <c r="G104" s="1563" t="s">
        <v>32</v>
      </c>
      <c r="H104" s="1563" t="s">
        <v>33</v>
      </c>
      <c r="I104" s="1863"/>
      <c r="J104" s="1833"/>
      <c r="K104" s="1563" t="s">
        <v>5876</v>
      </c>
      <c r="L104" s="1833"/>
      <c r="M104" s="1988"/>
      <c r="N104" s="1833"/>
      <c r="O104" s="1563" t="s">
        <v>7506</v>
      </c>
      <c r="P104" s="1213" t="s">
        <v>5878</v>
      </c>
      <c r="Q104" s="1213">
        <v>13674855303</v>
      </c>
      <c r="R104" s="1213" t="s">
        <v>5879</v>
      </c>
      <c r="S104" s="1563" t="s">
        <v>5792</v>
      </c>
      <c r="T104" s="1564"/>
    </row>
    <row r="105" spans="1:20" s="1018" customFormat="1" ht="20.100000000000001" customHeight="1">
      <c r="A105" s="1632"/>
      <c r="B105" s="1863"/>
      <c r="C105" s="1772" t="s">
        <v>7526</v>
      </c>
      <c r="D105" s="1772" t="s">
        <v>7517</v>
      </c>
      <c r="E105" s="1772">
        <v>15</v>
      </c>
      <c r="F105" s="1863"/>
      <c r="G105" s="1563" t="s">
        <v>32</v>
      </c>
      <c r="H105" s="1563" t="s">
        <v>33</v>
      </c>
      <c r="I105" s="1863"/>
      <c r="J105" s="1833"/>
      <c r="K105" s="1563" t="s">
        <v>5876</v>
      </c>
      <c r="L105" s="1833"/>
      <c r="M105" s="1988"/>
      <c r="N105" s="1833"/>
      <c r="O105" s="1563" t="s">
        <v>7506</v>
      </c>
      <c r="P105" s="1213" t="s">
        <v>5878</v>
      </c>
      <c r="Q105" s="1213">
        <v>13674855303</v>
      </c>
      <c r="R105" s="1213" t="s">
        <v>5879</v>
      </c>
      <c r="S105" s="1563" t="s">
        <v>5792</v>
      </c>
      <c r="T105" s="1564"/>
    </row>
    <row r="106" spans="1:20" s="1018" customFormat="1" ht="20.100000000000001" customHeight="1">
      <c r="A106" s="1632"/>
      <c r="B106" s="1863"/>
      <c r="C106" s="1772" t="s">
        <v>7527</v>
      </c>
      <c r="D106" s="1772" t="s">
        <v>7517</v>
      </c>
      <c r="E106" s="1772">
        <v>10</v>
      </c>
      <c r="F106" s="1863"/>
      <c r="G106" s="1563" t="s">
        <v>32</v>
      </c>
      <c r="H106" s="1563" t="s">
        <v>33</v>
      </c>
      <c r="I106" s="1863"/>
      <c r="J106" s="1833"/>
      <c r="K106" s="1563" t="s">
        <v>5876</v>
      </c>
      <c r="L106" s="1833"/>
      <c r="M106" s="1988"/>
      <c r="N106" s="1833"/>
      <c r="O106" s="1563" t="s">
        <v>7506</v>
      </c>
      <c r="P106" s="1213" t="s">
        <v>5878</v>
      </c>
      <c r="Q106" s="1213">
        <v>13674855303</v>
      </c>
      <c r="R106" s="1213" t="s">
        <v>5879</v>
      </c>
      <c r="S106" s="1563" t="s">
        <v>5792</v>
      </c>
      <c r="T106" s="1564"/>
    </row>
    <row r="107" spans="1:20" s="1018" customFormat="1" ht="20.100000000000001" customHeight="1">
      <c r="A107" s="1632"/>
      <c r="B107" s="1863"/>
      <c r="C107" s="1772" t="s">
        <v>7530</v>
      </c>
      <c r="D107" s="1772" t="s">
        <v>7517</v>
      </c>
      <c r="E107" s="1772">
        <v>22</v>
      </c>
      <c r="F107" s="1863"/>
      <c r="G107" s="1563" t="s">
        <v>32</v>
      </c>
      <c r="H107" s="1563" t="s">
        <v>33</v>
      </c>
      <c r="I107" s="1863"/>
      <c r="J107" s="1833"/>
      <c r="K107" s="1563" t="s">
        <v>5876</v>
      </c>
      <c r="L107" s="1833"/>
      <c r="M107" s="1988"/>
      <c r="N107" s="1833"/>
      <c r="O107" s="1563" t="s">
        <v>7506</v>
      </c>
      <c r="P107" s="1213" t="s">
        <v>5878</v>
      </c>
      <c r="Q107" s="1213">
        <v>13674855303</v>
      </c>
      <c r="R107" s="1213" t="s">
        <v>5879</v>
      </c>
      <c r="S107" s="1563" t="s">
        <v>5792</v>
      </c>
      <c r="T107" s="1564"/>
    </row>
    <row r="108" spans="1:20" s="1018" customFormat="1" ht="20.100000000000001" customHeight="1">
      <c r="A108" s="1632"/>
      <c r="B108" s="1863"/>
      <c r="C108" s="1772" t="s">
        <v>7531</v>
      </c>
      <c r="D108" s="1772" t="s">
        <v>7517</v>
      </c>
      <c r="E108" s="1772">
        <v>15</v>
      </c>
      <c r="F108" s="1863"/>
      <c r="G108" s="1563" t="s">
        <v>32</v>
      </c>
      <c r="H108" s="1563" t="s">
        <v>33</v>
      </c>
      <c r="I108" s="1863"/>
      <c r="J108" s="1833"/>
      <c r="K108" s="1563" t="s">
        <v>5876</v>
      </c>
      <c r="L108" s="1833"/>
      <c r="M108" s="1988"/>
      <c r="N108" s="1833"/>
      <c r="O108" s="1563" t="s">
        <v>7506</v>
      </c>
      <c r="P108" s="1213" t="s">
        <v>5878</v>
      </c>
      <c r="Q108" s="1213">
        <v>13674855303</v>
      </c>
      <c r="R108" s="1213" t="s">
        <v>5879</v>
      </c>
      <c r="S108" s="1563" t="s">
        <v>5792</v>
      </c>
      <c r="T108" s="1564"/>
    </row>
    <row r="109" spans="1:20" s="1018" customFormat="1" ht="20.100000000000001" customHeight="1">
      <c r="A109" s="1632"/>
      <c r="B109" s="1863"/>
      <c r="C109" s="1772" t="s">
        <v>7532</v>
      </c>
      <c r="D109" s="1772" t="s">
        <v>7517</v>
      </c>
      <c r="E109" s="1772">
        <v>10</v>
      </c>
      <c r="F109" s="1863"/>
      <c r="G109" s="1563" t="s">
        <v>32</v>
      </c>
      <c r="H109" s="1563" t="s">
        <v>33</v>
      </c>
      <c r="I109" s="1863"/>
      <c r="J109" s="1833"/>
      <c r="K109" s="1563" t="s">
        <v>5876</v>
      </c>
      <c r="L109" s="1833"/>
      <c r="M109" s="1988"/>
      <c r="N109" s="1833"/>
      <c r="O109" s="1563" t="s">
        <v>7506</v>
      </c>
      <c r="P109" s="1213" t="s">
        <v>5878</v>
      </c>
      <c r="Q109" s="1213">
        <v>13674855303</v>
      </c>
      <c r="R109" s="1213" t="s">
        <v>5879</v>
      </c>
      <c r="S109" s="1563" t="s">
        <v>5792</v>
      </c>
      <c r="T109" s="1564"/>
    </row>
    <row r="110" spans="1:20" s="1018" customFormat="1" ht="20.100000000000001" customHeight="1">
      <c r="A110" s="1632"/>
      <c r="B110" s="1863"/>
      <c r="C110" s="1772" t="s">
        <v>7525</v>
      </c>
      <c r="D110" s="1772" t="s">
        <v>7517</v>
      </c>
      <c r="E110" s="1772">
        <v>16</v>
      </c>
      <c r="F110" s="1863"/>
      <c r="G110" s="1563" t="s">
        <v>32</v>
      </c>
      <c r="H110" s="1563" t="s">
        <v>33</v>
      </c>
      <c r="I110" s="1863"/>
      <c r="J110" s="1833"/>
      <c r="K110" s="1563" t="s">
        <v>5876</v>
      </c>
      <c r="L110" s="1833"/>
      <c r="M110" s="1988"/>
      <c r="N110" s="1833"/>
      <c r="O110" s="1563" t="s">
        <v>7506</v>
      </c>
      <c r="P110" s="1213" t="s">
        <v>5878</v>
      </c>
      <c r="Q110" s="1213">
        <v>13674855303</v>
      </c>
      <c r="R110" s="1213" t="s">
        <v>5879</v>
      </c>
      <c r="S110" s="1563" t="s">
        <v>5792</v>
      </c>
      <c r="T110" s="1564"/>
    </row>
    <row r="111" spans="1:20" s="1018" customFormat="1" ht="20.100000000000001" customHeight="1">
      <c r="A111" s="1632"/>
      <c r="B111" s="1863"/>
      <c r="C111" s="1772" t="s">
        <v>7533</v>
      </c>
      <c r="D111" s="1772" t="s">
        <v>7517</v>
      </c>
      <c r="E111" s="1772">
        <v>4</v>
      </c>
      <c r="F111" s="1863"/>
      <c r="G111" s="1563" t="s">
        <v>32</v>
      </c>
      <c r="H111" s="1563" t="s">
        <v>33</v>
      </c>
      <c r="I111" s="1863"/>
      <c r="J111" s="1833"/>
      <c r="K111" s="1563" t="s">
        <v>5876</v>
      </c>
      <c r="L111" s="1833"/>
      <c r="M111" s="1988"/>
      <c r="N111" s="1833"/>
      <c r="O111" s="1563" t="s">
        <v>7506</v>
      </c>
      <c r="P111" s="1213" t="s">
        <v>5878</v>
      </c>
      <c r="Q111" s="1213">
        <v>13674855303</v>
      </c>
      <c r="R111" s="1213" t="s">
        <v>5879</v>
      </c>
      <c r="S111" s="1563" t="s">
        <v>5792</v>
      </c>
      <c r="T111" s="1564"/>
    </row>
    <row r="112" spans="1:20" s="1018" customFormat="1" ht="20.100000000000001" customHeight="1">
      <c r="A112" s="1632"/>
      <c r="B112" s="1863"/>
      <c r="C112" s="1772" t="s">
        <v>7526</v>
      </c>
      <c r="D112" s="1772" t="s">
        <v>7517</v>
      </c>
      <c r="E112" s="1772">
        <v>4</v>
      </c>
      <c r="F112" s="1863"/>
      <c r="G112" s="1563" t="s">
        <v>32</v>
      </c>
      <c r="H112" s="1563" t="s">
        <v>33</v>
      </c>
      <c r="I112" s="1863"/>
      <c r="J112" s="1833"/>
      <c r="K112" s="1563" t="s">
        <v>5876</v>
      </c>
      <c r="L112" s="1833"/>
      <c r="M112" s="1988"/>
      <c r="N112" s="1833"/>
      <c r="O112" s="1563" t="s">
        <v>7506</v>
      </c>
      <c r="P112" s="1213" t="s">
        <v>5878</v>
      </c>
      <c r="Q112" s="1213">
        <v>13674855303</v>
      </c>
      <c r="R112" s="1213" t="s">
        <v>5879</v>
      </c>
      <c r="S112" s="1563" t="s">
        <v>5792</v>
      </c>
      <c r="T112" s="1564"/>
    </row>
    <row r="113" spans="1:20" s="1018" customFormat="1" ht="20.100000000000001" customHeight="1">
      <c r="A113" s="1632"/>
      <c r="B113" s="1863"/>
      <c r="C113" s="1772" t="s">
        <v>7527</v>
      </c>
      <c r="D113" s="1772" t="s">
        <v>7517</v>
      </c>
      <c r="E113" s="1772">
        <v>30</v>
      </c>
      <c r="F113" s="1863"/>
      <c r="G113" s="1563" t="s">
        <v>32</v>
      </c>
      <c r="H113" s="1563" t="s">
        <v>33</v>
      </c>
      <c r="I113" s="1863"/>
      <c r="J113" s="1833"/>
      <c r="K113" s="1563" t="s">
        <v>5876</v>
      </c>
      <c r="L113" s="1833"/>
      <c r="M113" s="1988"/>
      <c r="N113" s="1833"/>
      <c r="O113" s="1563" t="s">
        <v>7506</v>
      </c>
      <c r="P113" s="1213" t="s">
        <v>5878</v>
      </c>
      <c r="Q113" s="1213">
        <v>13674855303</v>
      </c>
      <c r="R113" s="1213" t="s">
        <v>5879</v>
      </c>
      <c r="S113" s="1563" t="s">
        <v>5792</v>
      </c>
      <c r="T113" s="1564"/>
    </row>
    <row r="114" spans="1:20" s="1018" customFormat="1" ht="20.100000000000001" customHeight="1">
      <c r="A114" s="1632"/>
      <c r="B114" s="1863"/>
      <c r="C114" s="1772" t="s">
        <v>7530</v>
      </c>
      <c r="D114" s="1772" t="s">
        <v>7517</v>
      </c>
      <c r="E114" s="1772">
        <v>16</v>
      </c>
      <c r="F114" s="1863"/>
      <c r="G114" s="1563" t="s">
        <v>32</v>
      </c>
      <c r="H114" s="1563" t="s">
        <v>33</v>
      </c>
      <c r="I114" s="1863"/>
      <c r="J114" s="1833"/>
      <c r="K114" s="1563" t="s">
        <v>5876</v>
      </c>
      <c r="L114" s="1833"/>
      <c r="M114" s="1988"/>
      <c r="N114" s="1833"/>
      <c r="O114" s="1563" t="s">
        <v>7506</v>
      </c>
      <c r="P114" s="1213" t="s">
        <v>5878</v>
      </c>
      <c r="Q114" s="1213">
        <v>13674855303</v>
      </c>
      <c r="R114" s="1213" t="s">
        <v>5879</v>
      </c>
      <c r="S114" s="1563" t="s">
        <v>5792</v>
      </c>
      <c r="T114" s="1564"/>
    </row>
    <row r="115" spans="1:20" s="1018" customFormat="1" ht="20.100000000000001" customHeight="1">
      <c r="A115" s="1632"/>
      <c r="B115" s="1863"/>
      <c r="C115" s="1772" t="s">
        <v>7534</v>
      </c>
      <c r="D115" s="1772" t="s">
        <v>7517</v>
      </c>
      <c r="E115" s="1772">
        <v>4</v>
      </c>
      <c r="F115" s="1863"/>
      <c r="G115" s="1563" t="s">
        <v>32</v>
      </c>
      <c r="H115" s="1563" t="s">
        <v>33</v>
      </c>
      <c r="I115" s="1863"/>
      <c r="J115" s="1833"/>
      <c r="K115" s="1563" t="s">
        <v>5876</v>
      </c>
      <c r="L115" s="1833"/>
      <c r="M115" s="1988"/>
      <c r="N115" s="1833"/>
      <c r="O115" s="1563" t="s">
        <v>7506</v>
      </c>
      <c r="P115" s="1213" t="s">
        <v>5878</v>
      </c>
      <c r="Q115" s="1213">
        <v>13674855303</v>
      </c>
      <c r="R115" s="1213" t="s">
        <v>5879</v>
      </c>
      <c r="S115" s="1563" t="s">
        <v>5792</v>
      </c>
      <c r="T115" s="1564"/>
    </row>
    <row r="116" spans="1:20" s="1018" customFormat="1" ht="20.100000000000001" customHeight="1">
      <c r="A116" s="1632"/>
      <c r="B116" s="1863"/>
      <c r="C116" s="1772" t="s">
        <v>7531</v>
      </c>
      <c r="D116" s="1772" t="s">
        <v>7517</v>
      </c>
      <c r="E116" s="1772">
        <v>4</v>
      </c>
      <c r="F116" s="1863"/>
      <c r="G116" s="1563" t="s">
        <v>32</v>
      </c>
      <c r="H116" s="1563" t="s">
        <v>33</v>
      </c>
      <c r="I116" s="1863"/>
      <c r="J116" s="1833"/>
      <c r="K116" s="1563" t="s">
        <v>5876</v>
      </c>
      <c r="L116" s="1833"/>
      <c r="M116" s="1988"/>
      <c r="N116" s="1833"/>
      <c r="O116" s="1563" t="s">
        <v>7506</v>
      </c>
      <c r="P116" s="1213" t="s">
        <v>5878</v>
      </c>
      <c r="Q116" s="1213">
        <v>13674855303</v>
      </c>
      <c r="R116" s="1213" t="s">
        <v>5879</v>
      </c>
      <c r="S116" s="1563" t="s">
        <v>5792</v>
      </c>
      <c r="T116" s="1564"/>
    </row>
    <row r="117" spans="1:20" s="1018" customFormat="1" ht="20.100000000000001" customHeight="1">
      <c r="A117" s="1632"/>
      <c r="B117" s="1863"/>
      <c r="C117" s="1772" t="s">
        <v>7532</v>
      </c>
      <c r="D117" s="1772" t="s">
        <v>7517</v>
      </c>
      <c r="E117" s="1772">
        <v>30</v>
      </c>
      <c r="F117" s="1863"/>
      <c r="G117" s="1563" t="s">
        <v>32</v>
      </c>
      <c r="H117" s="1563" t="s">
        <v>33</v>
      </c>
      <c r="I117" s="1863"/>
      <c r="J117" s="1833"/>
      <c r="K117" s="1563" t="s">
        <v>5876</v>
      </c>
      <c r="L117" s="1833"/>
      <c r="M117" s="1988"/>
      <c r="N117" s="1833"/>
      <c r="O117" s="1563" t="s">
        <v>7506</v>
      </c>
      <c r="P117" s="1213" t="s">
        <v>5878</v>
      </c>
      <c r="Q117" s="1213">
        <v>13674855303</v>
      </c>
      <c r="R117" s="1213" t="s">
        <v>5879</v>
      </c>
      <c r="S117" s="1563" t="s">
        <v>5792</v>
      </c>
      <c r="T117" s="1564"/>
    </row>
    <row r="118" spans="1:20" s="1018" customFormat="1" ht="20.100000000000001" customHeight="1">
      <c r="A118" s="1632"/>
      <c r="B118" s="1864"/>
      <c r="C118" s="1772" t="s">
        <v>5433</v>
      </c>
      <c r="D118" s="1772" t="s">
        <v>79</v>
      </c>
      <c r="E118" s="1772">
        <v>2</v>
      </c>
      <c r="F118" s="1864"/>
      <c r="G118" s="1563" t="s">
        <v>32</v>
      </c>
      <c r="H118" s="1563" t="s">
        <v>33</v>
      </c>
      <c r="I118" s="1863"/>
      <c r="J118" s="1833"/>
      <c r="K118" s="1563" t="s">
        <v>5876</v>
      </c>
      <c r="L118" s="1833"/>
      <c r="M118" s="1988"/>
      <c r="N118" s="1833"/>
      <c r="O118" s="1563" t="s">
        <v>7506</v>
      </c>
      <c r="P118" s="1213" t="s">
        <v>5878</v>
      </c>
      <c r="Q118" s="1213">
        <v>13674855303</v>
      </c>
      <c r="R118" s="1213" t="s">
        <v>5879</v>
      </c>
      <c r="S118" s="1563" t="s">
        <v>5792</v>
      </c>
      <c r="T118" s="1564"/>
    </row>
    <row r="119" spans="1:20" s="1018" customFormat="1" ht="20.100000000000001" customHeight="1">
      <c r="A119" s="1632"/>
      <c r="B119" s="1862" t="s">
        <v>7535</v>
      </c>
      <c r="C119" s="1772" t="s">
        <v>7536</v>
      </c>
      <c r="D119" s="1772" t="s">
        <v>7517</v>
      </c>
      <c r="E119" s="1772">
        <v>3</v>
      </c>
      <c r="F119" s="1862">
        <v>37.125</v>
      </c>
      <c r="G119" s="1563" t="s">
        <v>32</v>
      </c>
      <c r="H119" s="1563" t="s">
        <v>33</v>
      </c>
      <c r="I119" s="1863"/>
      <c r="J119" s="1833"/>
      <c r="K119" s="1563" t="s">
        <v>5876</v>
      </c>
      <c r="L119" s="1833"/>
      <c r="M119" s="1988"/>
      <c r="N119" s="1833"/>
      <c r="O119" s="1563" t="s">
        <v>7506</v>
      </c>
      <c r="P119" s="1213" t="s">
        <v>5878</v>
      </c>
      <c r="Q119" s="1213">
        <v>13674855303</v>
      </c>
      <c r="R119" s="1213" t="s">
        <v>5879</v>
      </c>
      <c r="S119" s="1563" t="s">
        <v>5792</v>
      </c>
      <c r="T119" s="1564"/>
    </row>
    <row r="120" spans="1:20" s="1018" customFormat="1" ht="20.100000000000001" customHeight="1">
      <c r="A120" s="1632"/>
      <c r="B120" s="1863"/>
      <c r="C120" s="1772" t="s">
        <v>7537</v>
      </c>
      <c r="D120" s="1772" t="s">
        <v>7517</v>
      </c>
      <c r="E120" s="1772">
        <v>2</v>
      </c>
      <c r="F120" s="1863"/>
      <c r="G120" s="1563" t="s">
        <v>32</v>
      </c>
      <c r="H120" s="1563" t="s">
        <v>33</v>
      </c>
      <c r="I120" s="1863"/>
      <c r="J120" s="1833"/>
      <c r="K120" s="1563" t="s">
        <v>5876</v>
      </c>
      <c r="L120" s="1833"/>
      <c r="M120" s="1988"/>
      <c r="N120" s="1833"/>
      <c r="O120" s="1563" t="s">
        <v>7506</v>
      </c>
      <c r="P120" s="1213" t="s">
        <v>5878</v>
      </c>
      <c r="Q120" s="1213">
        <v>13674855303</v>
      </c>
      <c r="R120" s="1213" t="s">
        <v>5879</v>
      </c>
      <c r="S120" s="1563" t="s">
        <v>5792</v>
      </c>
      <c r="T120" s="1564"/>
    </row>
    <row r="121" spans="1:20" s="1018" customFormat="1" ht="20.100000000000001" customHeight="1">
      <c r="A121" s="1632"/>
      <c r="B121" s="1863"/>
      <c r="C121" s="1772" t="s">
        <v>7538</v>
      </c>
      <c r="D121" s="1772" t="s">
        <v>7517</v>
      </c>
      <c r="E121" s="1772">
        <v>1</v>
      </c>
      <c r="F121" s="1863"/>
      <c r="G121" s="1563" t="s">
        <v>32</v>
      </c>
      <c r="H121" s="1563" t="s">
        <v>33</v>
      </c>
      <c r="I121" s="1863"/>
      <c r="J121" s="1833"/>
      <c r="K121" s="1563" t="s">
        <v>5876</v>
      </c>
      <c r="L121" s="1833"/>
      <c r="M121" s="1988"/>
      <c r="N121" s="1833"/>
      <c r="O121" s="1563" t="s">
        <v>7506</v>
      </c>
      <c r="P121" s="1213" t="s">
        <v>5878</v>
      </c>
      <c r="Q121" s="1213">
        <v>13674855303</v>
      </c>
      <c r="R121" s="1213" t="s">
        <v>5879</v>
      </c>
      <c r="S121" s="1563" t="s">
        <v>5792</v>
      </c>
      <c r="T121" s="1564"/>
    </row>
    <row r="122" spans="1:20" s="1018" customFormat="1" ht="20.100000000000001" customHeight="1">
      <c r="A122" s="1632"/>
      <c r="B122" s="1863"/>
      <c r="C122" s="1772" t="s">
        <v>7539</v>
      </c>
      <c r="D122" s="1772" t="s">
        <v>7517</v>
      </c>
      <c r="E122" s="1772">
        <v>3</v>
      </c>
      <c r="F122" s="1863"/>
      <c r="G122" s="1563" t="s">
        <v>32</v>
      </c>
      <c r="H122" s="1563" t="s">
        <v>33</v>
      </c>
      <c r="I122" s="1863"/>
      <c r="J122" s="1833"/>
      <c r="K122" s="1563" t="s">
        <v>5876</v>
      </c>
      <c r="L122" s="1833"/>
      <c r="M122" s="1988"/>
      <c r="N122" s="1833"/>
      <c r="O122" s="1563" t="s">
        <v>7506</v>
      </c>
      <c r="P122" s="1213" t="s">
        <v>5878</v>
      </c>
      <c r="Q122" s="1213">
        <v>13674855303</v>
      </c>
      <c r="R122" s="1213" t="s">
        <v>5879</v>
      </c>
      <c r="S122" s="1563" t="s">
        <v>5792</v>
      </c>
      <c r="T122" s="1564"/>
    </row>
    <row r="123" spans="1:20" s="1018" customFormat="1" ht="20.100000000000001" customHeight="1">
      <c r="A123" s="1632"/>
      <c r="B123" s="1863"/>
      <c r="C123" s="1772" t="s">
        <v>7540</v>
      </c>
      <c r="D123" s="1772" t="s">
        <v>7517</v>
      </c>
      <c r="E123" s="1772">
        <v>2</v>
      </c>
      <c r="F123" s="1863"/>
      <c r="G123" s="1563" t="s">
        <v>32</v>
      </c>
      <c r="H123" s="1563" t="s">
        <v>33</v>
      </c>
      <c r="I123" s="1863"/>
      <c r="J123" s="1833"/>
      <c r="K123" s="1563" t="s">
        <v>5876</v>
      </c>
      <c r="L123" s="1833"/>
      <c r="M123" s="1988"/>
      <c r="N123" s="1833"/>
      <c r="O123" s="1563" t="s">
        <v>7506</v>
      </c>
      <c r="P123" s="1213" t="s">
        <v>5878</v>
      </c>
      <c r="Q123" s="1213">
        <v>13674855303</v>
      </c>
      <c r="R123" s="1213" t="s">
        <v>5879</v>
      </c>
      <c r="S123" s="1563" t="s">
        <v>5792</v>
      </c>
      <c r="T123" s="1564"/>
    </row>
    <row r="124" spans="1:20" s="1018" customFormat="1" ht="20.100000000000001" customHeight="1">
      <c r="A124" s="1632"/>
      <c r="B124" s="1863"/>
      <c r="C124" s="1772" t="s">
        <v>7541</v>
      </c>
      <c r="D124" s="1772" t="s">
        <v>7517</v>
      </c>
      <c r="E124" s="1772">
        <v>1</v>
      </c>
      <c r="F124" s="1863"/>
      <c r="G124" s="1563" t="s">
        <v>32</v>
      </c>
      <c r="H124" s="1563" t="s">
        <v>33</v>
      </c>
      <c r="I124" s="1863"/>
      <c r="J124" s="1833"/>
      <c r="K124" s="1563" t="s">
        <v>5876</v>
      </c>
      <c r="L124" s="1833"/>
      <c r="M124" s="1988"/>
      <c r="N124" s="1833"/>
      <c r="O124" s="1563" t="s">
        <v>7506</v>
      </c>
      <c r="P124" s="1213" t="s">
        <v>5878</v>
      </c>
      <c r="Q124" s="1213">
        <v>13674855303</v>
      </c>
      <c r="R124" s="1213" t="s">
        <v>5879</v>
      </c>
      <c r="S124" s="1563" t="s">
        <v>5792</v>
      </c>
      <c r="T124" s="1564"/>
    </row>
    <row r="125" spans="1:20" s="1018" customFormat="1" ht="20.100000000000001" customHeight="1">
      <c r="A125" s="1632"/>
      <c r="B125" s="1864"/>
      <c r="C125" s="1772" t="s">
        <v>7542</v>
      </c>
      <c r="D125" s="1772" t="s">
        <v>79</v>
      </c>
      <c r="E125" s="1772">
        <v>1</v>
      </c>
      <c r="F125" s="1864"/>
      <c r="G125" s="1563" t="s">
        <v>32</v>
      </c>
      <c r="H125" s="1563" t="s">
        <v>33</v>
      </c>
      <c r="I125" s="1863"/>
      <c r="J125" s="1833"/>
      <c r="K125" s="1563" t="s">
        <v>5876</v>
      </c>
      <c r="L125" s="1833"/>
      <c r="M125" s="1988"/>
      <c r="N125" s="1833"/>
      <c r="O125" s="1563" t="s">
        <v>7506</v>
      </c>
      <c r="P125" s="1213" t="s">
        <v>5878</v>
      </c>
      <c r="Q125" s="1213">
        <v>13674855303</v>
      </c>
      <c r="R125" s="1213" t="s">
        <v>5879</v>
      </c>
      <c r="S125" s="1563" t="s">
        <v>5792</v>
      </c>
      <c r="T125" s="1564"/>
    </row>
    <row r="126" spans="1:20" s="1018" customFormat="1" ht="20.100000000000001" customHeight="1">
      <c r="A126" s="1632"/>
      <c r="B126" s="1862" t="s">
        <v>7535</v>
      </c>
      <c r="C126" s="1772" t="s">
        <v>7543</v>
      </c>
      <c r="D126" s="1772" t="s">
        <v>7517</v>
      </c>
      <c r="E126" s="1772">
        <v>2</v>
      </c>
      <c r="F126" s="1862">
        <v>26.282</v>
      </c>
      <c r="G126" s="1563" t="s">
        <v>32</v>
      </c>
      <c r="H126" s="1563" t="s">
        <v>33</v>
      </c>
      <c r="I126" s="1863"/>
      <c r="J126" s="1833"/>
      <c r="K126" s="1563" t="s">
        <v>5876</v>
      </c>
      <c r="L126" s="1833"/>
      <c r="M126" s="1988"/>
      <c r="N126" s="1833"/>
      <c r="O126" s="1563" t="s">
        <v>7506</v>
      </c>
      <c r="P126" s="1213" t="s">
        <v>5878</v>
      </c>
      <c r="Q126" s="1213">
        <v>13674855303</v>
      </c>
      <c r="R126" s="1213" t="s">
        <v>5879</v>
      </c>
      <c r="S126" s="1563" t="s">
        <v>5792</v>
      </c>
      <c r="T126" s="1564"/>
    </row>
    <row r="127" spans="1:20" s="1018" customFormat="1" ht="20.100000000000001" customHeight="1">
      <c r="A127" s="1632"/>
      <c r="B127" s="1863"/>
      <c r="C127" s="1772" t="s">
        <v>7544</v>
      </c>
      <c r="D127" s="1772" t="s">
        <v>7517</v>
      </c>
      <c r="E127" s="1772">
        <v>1</v>
      </c>
      <c r="F127" s="1863"/>
      <c r="G127" s="1563" t="s">
        <v>32</v>
      </c>
      <c r="H127" s="1563" t="s">
        <v>33</v>
      </c>
      <c r="I127" s="1863"/>
      <c r="J127" s="1833"/>
      <c r="K127" s="1563" t="s">
        <v>5876</v>
      </c>
      <c r="L127" s="1833"/>
      <c r="M127" s="1988"/>
      <c r="N127" s="1833"/>
      <c r="O127" s="1563" t="s">
        <v>7506</v>
      </c>
      <c r="P127" s="1213" t="s">
        <v>5878</v>
      </c>
      <c r="Q127" s="1213">
        <v>13674855303</v>
      </c>
      <c r="R127" s="1213" t="s">
        <v>5879</v>
      </c>
      <c r="S127" s="1563" t="s">
        <v>5792</v>
      </c>
      <c r="T127" s="1564"/>
    </row>
    <row r="128" spans="1:20" s="1018" customFormat="1" ht="20.100000000000001" customHeight="1">
      <c r="A128" s="1632"/>
      <c r="B128" s="1863"/>
      <c r="C128" s="1772" t="s">
        <v>7545</v>
      </c>
      <c r="D128" s="1772" t="s">
        <v>7517</v>
      </c>
      <c r="E128" s="1772">
        <v>1</v>
      </c>
      <c r="F128" s="1863"/>
      <c r="G128" s="1563" t="s">
        <v>32</v>
      </c>
      <c r="H128" s="1563" t="s">
        <v>33</v>
      </c>
      <c r="I128" s="1863"/>
      <c r="J128" s="1833"/>
      <c r="K128" s="1563" t="s">
        <v>5876</v>
      </c>
      <c r="L128" s="1833"/>
      <c r="M128" s="1988"/>
      <c r="N128" s="1833"/>
      <c r="O128" s="1563" t="s">
        <v>7506</v>
      </c>
      <c r="P128" s="1213" t="s">
        <v>5878</v>
      </c>
      <c r="Q128" s="1213">
        <v>13674855303</v>
      </c>
      <c r="R128" s="1213" t="s">
        <v>5879</v>
      </c>
      <c r="S128" s="1563" t="s">
        <v>5792</v>
      </c>
      <c r="T128" s="1564"/>
    </row>
    <row r="129" spans="1:20" s="1018" customFormat="1" ht="20.100000000000001" customHeight="1">
      <c r="A129" s="1632"/>
      <c r="B129" s="1863"/>
      <c r="C129" s="1772" t="s">
        <v>7546</v>
      </c>
      <c r="D129" s="1772" t="s">
        <v>7517</v>
      </c>
      <c r="E129" s="1772">
        <v>2</v>
      </c>
      <c r="F129" s="1863"/>
      <c r="G129" s="1563" t="s">
        <v>32</v>
      </c>
      <c r="H129" s="1563" t="s">
        <v>33</v>
      </c>
      <c r="I129" s="1863"/>
      <c r="J129" s="1833"/>
      <c r="K129" s="1563" t="s">
        <v>5876</v>
      </c>
      <c r="L129" s="1833"/>
      <c r="M129" s="1988"/>
      <c r="N129" s="1833"/>
      <c r="O129" s="1563" t="s">
        <v>7506</v>
      </c>
      <c r="P129" s="1213" t="s">
        <v>5878</v>
      </c>
      <c r="Q129" s="1213">
        <v>13674855303</v>
      </c>
      <c r="R129" s="1213" t="s">
        <v>5879</v>
      </c>
      <c r="S129" s="1563" t="s">
        <v>5792</v>
      </c>
      <c r="T129" s="1564"/>
    </row>
    <row r="130" spans="1:20" s="1018" customFormat="1" ht="20.100000000000001" customHeight="1">
      <c r="A130" s="1632"/>
      <c r="B130" s="1863"/>
      <c r="C130" s="1772" t="s">
        <v>7547</v>
      </c>
      <c r="D130" s="1772" t="s">
        <v>7517</v>
      </c>
      <c r="E130" s="1772">
        <v>1</v>
      </c>
      <c r="F130" s="1863"/>
      <c r="G130" s="1563" t="s">
        <v>32</v>
      </c>
      <c r="H130" s="1563" t="s">
        <v>33</v>
      </c>
      <c r="I130" s="1863"/>
      <c r="J130" s="1833"/>
      <c r="K130" s="1563" t="s">
        <v>5876</v>
      </c>
      <c r="L130" s="1833"/>
      <c r="M130" s="1988"/>
      <c r="N130" s="1833"/>
      <c r="O130" s="1563" t="s">
        <v>7506</v>
      </c>
      <c r="P130" s="1213" t="s">
        <v>5878</v>
      </c>
      <c r="Q130" s="1213">
        <v>13674855303</v>
      </c>
      <c r="R130" s="1213" t="s">
        <v>5879</v>
      </c>
      <c r="S130" s="1563" t="s">
        <v>5792</v>
      </c>
      <c r="T130" s="1564"/>
    </row>
    <row r="131" spans="1:20" s="1018" customFormat="1" ht="20.100000000000001" customHeight="1">
      <c r="A131" s="1632"/>
      <c r="B131" s="1863"/>
      <c r="C131" s="1772" t="s">
        <v>7548</v>
      </c>
      <c r="D131" s="1772" t="s">
        <v>7517</v>
      </c>
      <c r="E131" s="1772">
        <v>1</v>
      </c>
      <c r="F131" s="1863"/>
      <c r="G131" s="1563" t="s">
        <v>32</v>
      </c>
      <c r="H131" s="1563" t="s">
        <v>33</v>
      </c>
      <c r="I131" s="1863"/>
      <c r="J131" s="1833"/>
      <c r="K131" s="1563" t="s">
        <v>5876</v>
      </c>
      <c r="L131" s="1833"/>
      <c r="M131" s="1988"/>
      <c r="N131" s="1833"/>
      <c r="O131" s="1563" t="s">
        <v>7506</v>
      </c>
      <c r="P131" s="1213" t="s">
        <v>5878</v>
      </c>
      <c r="Q131" s="1213">
        <v>13674855303</v>
      </c>
      <c r="R131" s="1213" t="s">
        <v>5879</v>
      </c>
      <c r="S131" s="1563" t="s">
        <v>5792</v>
      </c>
      <c r="T131" s="1564"/>
    </row>
    <row r="132" spans="1:20" s="1018" customFormat="1" ht="20.100000000000001" customHeight="1">
      <c r="A132" s="1632"/>
      <c r="B132" s="1864"/>
      <c r="C132" s="1772" t="s">
        <v>3358</v>
      </c>
      <c r="D132" s="1772" t="s">
        <v>79</v>
      </c>
      <c r="E132" s="1772">
        <v>1</v>
      </c>
      <c r="F132" s="1864"/>
      <c r="G132" s="1563" t="s">
        <v>32</v>
      </c>
      <c r="H132" s="1563" t="s">
        <v>33</v>
      </c>
      <c r="I132" s="1863"/>
      <c r="J132" s="1833"/>
      <c r="K132" s="1563" t="s">
        <v>5876</v>
      </c>
      <c r="L132" s="1833"/>
      <c r="M132" s="1988"/>
      <c r="N132" s="1833"/>
      <c r="O132" s="1563" t="s">
        <v>7506</v>
      </c>
      <c r="P132" s="1213" t="s">
        <v>5878</v>
      </c>
      <c r="Q132" s="1213">
        <v>13674855303</v>
      </c>
      <c r="R132" s="1213" t="s">
        <v>5879</v>
      </c>
      <c r="S132" s="1563" t="s">
        <v>5792</v>
      </c>
      <c r="T132" s="1564"/>
    </row>
    <row r="133" spans="1:20" s="1018" customFormat="1" ht="20.100000000000001" customHeight="1">
      <c r="A133" s="1632"/>
      <c r="B133" s="1862" t="s">
        <v>7549</v>
      </c>
      <c r="C133" s="1772" t="s">
        <v>7527</v>
      </c>
      <c r="D133" s="1772" t="s">
        <v>7517</v>
      </c>
      <c r="E133" s="1772">
        <v>11</v>
      </c>
      <c r="F133" s="1862">
        <v>22.573</v>
      </c>
      <c r="G133" s="1563" t="s">
        <v>32</v>
      </c>
      <c r="H133" s="1563" t="s">
        <v>33</v>
      </c>
      <c r="I133" s="1863"/>
      <c r="J133" s="1833"/>
      <c r="K133" s="1563" t="s">
        <v>5876</v>
      </c>
      <c r="L133" s="1833"/>
      <c r="M133" s="1988"/>
      <c r="N133" s="1833"/>
      <c r="O133" s="1563" t="s">
        <v>7506</v>
      </c>
      <c r="P133" s="1213" t="s">
        <v>5878</v>
      </c>
      <c r="Q133" s="1213">
        <v>13674855303</v>
      </c>
      <c r="R133" s="1213" t="s">
        <v>5879</v>
      </c>
      <c r="S133" s="1563" t="s">
        <v>5792</v>
      </c>
      <c r="T133" s="1564"/>
    </row>
    <row r="134" spans="1:20" s="1018" customFormat="1" ht="20.100000000000001" customHeight="1">
      <c r="A134" s="1632"/>
      <c r="B134" s="1863"/>
      <c r="C134" s="1772" t="s">
        <v>7550</v>
      </c>
      <c r="D134" s="1772" t="s">
        <v>7517</v>
      </c>
      <c r="E134" s="1772">
        <v>11</v>
      </c>
      <c r="F134" s="1863"/>
      <c r="G134" s="1563" t="s">
        <v>32</v>
      </c>
      <c r="H134" s="1563" t="s">
        <v>33</v>
      </c>
      <c r="I134" s="1863"/>
      <c r="J134" s="1833"/>
      <c r="K134" s="1563" t="s">
        <v>5876</v>
      </c>
      <c r="L134" s="1833"/>
      <c r="M134" s="1988"/>
      <c r="N134" s="1833"/>
      <c r="O134" s="1563" t="s">
        <v>7506</v>
      </c>
      <c r="P134" s="1213" t="s">
        <v>5878</v>
      </c>
      <c r="Q134" s="1213">
        <v>13674855303</v>
      </c>
      <c r="R134" s="1213" t="s">
        <v>5879</v>
      </c>
      <c r="S134" s="1563" t="s">
        <v>5792</v>
      </c>
      <c r="T134" s="1564"/>
    </row>
    <row r="135" spans="1:20" s="1018" customFormat="1" ht="20.100000000000001" customHeight="1">
      <c r="A135" s="1632"/>
      <c r="B135" s="1864"/>
      <c r="C135" s="1772" t="s">
        <v>3357</v>
      </c>
      <c r="D135" s="1772" t="s">
        <v>79</v>
      </c>
      <c r="E135" s="1772">
        <v>1</v>
      </c>
      <c r="F135" s="1864"/>
      <c r="G135" s="1563" t="s">
        <v>32</v>
      </c>
      <c r="H135" s="1563" t="s">
        <v>33</v>
      </c>
      <c r="I135" s="1863"/>
      <c r="J135" s="1833"/>
      <c r="K135" s="1563" t="s">
        <v>5876</v>
      </c>
      <c r="L135" s="1833"/>
      <c r="M135" s="1988"/>
      <c r="N135" s="1833"/>
      <c r="O135" s="1563" t="s">
        <v>7506</v>
      </c>
      <c r="P135" s="1213" t="s">
        <v>5878</v>
      </c>
      <c r="Q135" s="1213">
        <v>13674855303</v>
      </c>
      <c r="R135" s="1213" t="s">
        <v>5879</v>
      </c>
      <c r="S135" s="1563" t="s">
        <v>5792</v>
      </c>
      <c r="T135" s="1564"/>
    </row>
    <row r="136" spans="1:20" s="1018" customFormat="1" ht="20.100000000000001" customHeight="1">
      <c r="A136" s="1632"/>
      <c r="B136" s="1862" t="s">
        <v>7549</v>
      </c>
      <c r="C136" s="1772" t="s">
        <v>7527</v>
      </c>
      <c r="D136" s="1772" t="s">
        <v>7517</v>
      </c>
      <c r="E136" s="1772">
        <v>6</v>
      </c>
      <c r="F136" s="1862">
        <v>5.29</v>
      </c>
      <c r="G136" s="1563" t="s">
        <v>32</v>
      </c>
      <c r="H136" s="1563" t="s">
        <v>33</v>
      </c>
      <c r="I136" s="1863"/>
      <c r="J136" s="1833"/>
      <c r="K136" s="1563" t="s">
        <v>5876</v>
      </c>
      <c r="L136" s="1833"/>
      <c r="M136" s="1988"/>
      <c r="N136" s="1833"/>
      <c r="O136" s="1563" t="s">
        <v>7506</v>
      </c>
      <c r="P136" s="1213" t="s">
        <v>5878</v>
      </c>
      <c r="Q136" s="1213">
        <v>13674855303</v>
      </c>
      <c r="R136" s="1213" t="s">
        <v>5879</v>
      </c>
      <c r="S136" s="1563" t="s">
        <v>5792</v>
      </c>
      <c r="T136" s="1564"/>
    </row>
    <row r="137" spans="1:20" s="1018" customFormat="1" ht="20.100000000000001" customHeight="1">
      <c r="A137" s="1632"/>
      <c r="B137" s="1863"/>
      <c r="C137" s="1772" t="s">
        <v>7550</v>
      </c>
      <c r="D137" s="1772" t="s">
        <v>7517</v>
      </c>
      <c r="E137" s="1772">
        <v>6</v>
      </c>
      <c r="F137" s="1863"/>
      <c r="G137" s="1563" t="s">
        <v>32</v>
      </c>
      <c r="H137" s="1563" t="s">
        <v>33</v>
      </c>
      <c r="I137" s="1863"/>
      <c r="J137" s="1833"/>
      <c r="K137" s="1563" t="s">
        <v>5876</v>
      </c>
      <c r="L137" s="1833"/>
      <c r="M137" s="1988"/>
      <c r="N137" s="1833"/>
      <c r="O137" s="1563" t="s">
        <v>7506</v>
      </c>
      <c r="P137" s="1213" t="s">
        <v>5878</v>
      </c>
      <c r="Q137" s="1213">
        <v>13674855303</v>
      </c>
      <c r="R137" s="1213" t="s">
        <v>5879</v>
      </c>
      <c r="S137" s="1563" t="s">
        <v>5792</v>
      </c>
      <c r="T137" s="1564"/>
    </row>
    <row r="138" spans="1:20" s="1018" customFormat="1" ht="20.100000000000001" customHeight="1">
      <c r="A138" s="1632"/>
      <c r="B138" s="1864"/>
      <c r="C138" s="1772" t="s">
        <v>3357</v>
      </c>
      <c r="D138" s="1772" t="s">
        <v>79</v>
      </c>
      <c r="E138" s="1772">
        <v>1</v>
      </c>
      <c r="F138" s="1864"/>
      <c r="G138" s="1563" t="s">
        <v>32</v>
      </c>
      <c r="H138" s="1563" t="s">
        <v>33</v>
      </c>
      <c r="I138" s="1863"/>
      <c r="J138" s="1833"/>
      <c r="K138" s="1563" t="s">
        <v>5876</v>
      </c>
      <c r="L138" s="1833"/>
      <c r="M138" s="1988"/>
      <c r="N138" s="1833"/>
      <c r="O138" s="1563" t="s">
        <v>7506</v>
      </c>
      <c r="P138" s="1213" t="s">
        <v>5878</v>
      </c>
      <c r="Q138" s="1213">
        <v>13674855303</v>
      </c>
      <c r="R138" s="1213" t="s">
        <v>5879</v>
      </c>
      <c r="S138" s="1563" t="s">
        <v>5792</v>
      </c>
      <c r="T138" s="1564"/>
    </row>
    <row r="139" spans="1:20" s="1018" customFormat="1" ht="24">
      <c r="A139" s="1632"/>
      <c r="B139" s="1563" t="s">
        <v>7551</v>
      </c>
      <c r="C139" s="1563" t="s">
        <v>7552</v>
      </c>
      <c r="D139" s="1772" t="s">
        <v>79</v>
      </c>
      <c r="E139" s="1772">
        <v>1</v>
      </c>
      <c r="F139" s="1772">
        <v>11.83</v>
      </c>
      <c r="G139" s="1563" t="s">
        <v>32</v>
      </c>
      <c r="H139" s="1563" t="s">
        <v>33</v>
      </c>
      <c r="I139" s="1863"/>
      <c r="J139" s="1833"/>
      <c r="K139" s="1563" t="s">
        <v>5876</v>
      </c>
      <c r="L139" s="1833"/>
      <c r="M139" s="1988"/>
      <c r="N139" s="1833"/>
      <c r="O139" s="1563" t="s">
        <v>7506</v>
      </c>
      <c r="P139" s="1213" t="s">
        <v>5878</v>
      </c>
      <c r="Q139" s="1213">
        <v>13674855303</v>
      </c>
      <c r="R139" s="1213" t="s">
        <v>5879</v>
      </c>
      <c r="S139" s="1563" t="s">
        <v>5792</v>
      </c>
      <c r="T139" s="1564"/>
    </row>
    <row r="140" spans="1:20" s="1018" customFormat="1" ht="20.100000000000001" customHeight="1">
      <c r="A140" s="1632"/>
      <c r="B140" s="1862" t="s">
        <v>7515</v>
      </c>
      <c r="C140" s="1772" t="s">
        <v>7516</v>
      </c>
      <c r="D140" s="1772" t="s">
        <v>7517</v>
      </c>
      <c r="E140" s="1772">
        <v>5</v>
      </c>
      <c r="F140" s="1862">
        <v>44.487000000000002</v>
      </c>
      <c r="G140" s="1563" t="s">
        <v>32</v>
      </c>
      <c r="H140" s="1563" t="s">
        <v>33</v>
      </c>
      <c r="I140" s="1863"/>
      <c r="J140" s="1833"/>
      <c r="K140" s="1563" t="s">
        <v>5876</v>
      </c>
      <c r="L140" s="1833">
        <f>2174956.84-L164</f>
        <v>1785216.9999999998</v>
      </c>
      <c r="M140" s="1988">
        <f>L140*30%</f>
        <v>535565.09999999986</v>
      </c>
      <c r="N140" s="1833">
        <v>2021.5</v>
      </c>
      <c r="O140" s="1563" t="s">
        <v>7553</v>
      </c>
      <c r="P140" s="1213" t="s">
        <v>5873</v>
      </c>
      <c r="Q140" s="1213">
        <v>13458755666</v>
      </c>
      <c r="R140" s="1213" t="s">
        <v>5980</v>
      </c>
      <c r="S140" s="1563" t="s">
        <v>5792</v>
      </c>
      <c r="T140" s="1564"/>
    </row>
    <row r="141" spans="1:20" s="1018" customFormat="1" ht="20.100000000000001" customHeight="1">
      <c r="A141" s="1632"/>
      <c r="B141" s="1863"/>
      <c r="C141" s="1772" t="s">
        <v>7518</v>
      </c>
      <c r="D141" s="1772" t="s">
        <v>7517</v>
      </c>
      <c r="E141" s="1772">
        <v>1</v>
      </c>
      <c r="F141" s="1863"/>
      <c r="G141" s="1563" t="s">
        <v>32</v>
      </c>
      <c r="H141" s="1563" t="s">
        <v>33</v>
      </c>
      <c r="I141" s="1863"/>
      <c r="J141" s="1833"/>
      <c r="K141" s="1563" t="s">
        <v>5876</v>
      </c>
      <c r="L141" s="1833"/>
      <c r="M141" s="1988"/>
      <c r="N141" s="1833"/>
      <c r="O141" s="1563" t="s">
        <v>7553</v>
      </c>
      <c r="P141" s="1213" t="s">
        <v>5873</v>
      </c>
      <c r="Q141" s="1213">
        <v>13458755666</v>
      </c>
      <c r="R141" s="1213" t="s">
        <v>5980</v>
      </c>
      <c r="S141" s="1563" t="s">
        <v>5792</v>
      </c>
      <c r="T141" s="1564"/>
    </row>
    <row r="142" spans="1:20" s="1018" customFormat="1" ht="20.100000000000001" customHeight="1">
      <c r="A142" s="1632"/>
      <c r="B142" s="1863"/>
      <c r="C142" s="1772" t="s">
        <v>7519</v>
      </c>
      <c r="D142" s="1772" t="s">
        <v>7517</v>
      </c>
      <c r="E142" s="1772">
        <v>3</v>
      </c>
      <c r="F142" s="1863"/>
      <c r="G142" s="1563" t="s">
        <v>32</v>
      </c>
      <c r="H142" s="1563" t="s">
        <v>33</v>
      </c>
      <c r="I142" s="1863"/>
      <c r="J142" s="1833"/>
      <c r="K142" s="1563" t="s">
        <v>5876</v>
      </c>
      <c r="L142" s="1833"/>
      <c r="M142" s="1988"/>
      <c r="N142" s="1833"/>
      <c r="O142" s="1563" t="s">
        <v>7553</v>
      </c>
      <c r="P142" s="1213" t="s">
        <v>5873</v>
      </c>
      <c r="Q142" s="1213">
        <v>13458755666</v>
      </c>
      <c r="R142" s="1213" t="s">
        <v>5980</v>
      </c>
      <c r="S142" s="1563" t="s">
        <v>5792</v>
      </c>
      <c r="T142" s="1564"/>
    </row>
    <row r="143" spans="1:20" s="1018" customFormat="1" ht="20.100000000000001" customHeight="1">
      <c r="A143" s="1632"/>
      <c r="B143" s="1863"/>
      <c r="C143" s="1772" t="s">
        <v>7520</v>
      </c>
      <c r="D143" s="1772" t="s">
        <v>7517</v>
      </c>
      <c r="E143" s="1772">
        <v>5</v>
      </c>
      <c r="F143" s="1863"/>
      <c r="G143" s="1563" t="s">
        <v>32</v>
      </c>
      <c r="H143" s="1563" t="s">
        <v>33</v>
      </c>
      <c r="I143" s="1863"/>
      <c r="J143" s="1833"/>
      <c r="K143" s="1563" t="s">
        <v>5876</v>
      </c>
      <c r="L143" s="1833"/>
      <c r="M143" s="1988"/>
      <c r="N143" s="1833"/>
      <c r="O143" s="1563" t="s">
        <v>7553</v>
      </c>
      <c r="P143" s="1213" t="s">
        <v>5873</v>
      </c>
      <c r="Q143" s="1213">
        <v>13458755667</v>
      </c>
      <c r="R143" s="1213" t="s">
        <v>5980</v>
      </c>
      <c r="S143" s="1563" t="s">
        <v>5792</v>
      </c>
      <c r="T143" s="1564"/>
    </row>
    <row r="144" spans="1:20" s="1018" customFormat="1" ht="20.100000000000001" customHeight="1">
      <c r="A144" s="1632"/>
      <c r="B144" s="1863"/>
      <c r="C144" s="1772" t="s">
        <v>7521</v>
      </c>
      <c r="D144" s="1772" t="s">
        <v>7517</v>
      </c>
      <c r="E144" s="1772">
        <v>1</v>
      </c>
      <c r="F144" s="1863"/>
      <c r="G144" s="1563" t="s">
        <v>32</v>
      </c>
      <c r="H144" s="1563" t="s">
        <v>33</v>
      </c>
      <c r="I144" s="1863"/>
      <c r="J144" s="1833"/>
      <c r="K144" s="1563" t="s">
        <v>5876</v>
      </c>
      <c r="L144" s="1833"/>
      <c r="M144" s="1988"/>
      <c r="N144" s="1833"/>
      <c r="O144" s="1563" t="s">
        <v>7553</v>
      </c>
      <c r="P144" s="1213" t="s">
        <v>5873</v>
      </c>
      <c r="Q144" s="1213">
        <v>13458755668</v>
      </c>
      <c r="R144" s="1213" t="s">
        <v>5980</v>
      </c>
      <c r="S144" s="1563" t="s">
        <v>5792</v>
      </c>
      <c r="T144" s="1564"/>
    </row>
    <row r="145" spans="1:20" s="1018" customFormat="1" ht="20.100000000000001" customHeight="1">
      <c r="A145" s="1632"/>
      <c r="B145" s="1863"/>
      <c r="C145" s="1772" t="s">
        <v>7522</v>
      </c>
      <c r="D145" s="1772" t="s">
        <v>7517</v>
      </c>
      <c r="E145" s="1772">
        <v>3</v>
      </c>
      <c r="F145" s="1863"/>
      <c r="G145" s="1563" t="s">
        <v>32</v>
      </c>
      <c r="H145" s="1563" t="s">
        <v>33</v>
      </c>
      <c r="I145" s="1863"/>
      <c r="J145" s="1833"/>
      <c r="K145" s="1563" t="s">
        <v>5876</v>
      </c>
      <c r="L145" s="1833"/>
      <c r="M145" s="1988"/>
      <c r="N145" s="1833"/>
      <c r="O145" s="1563" t="s">
        <v>7553</v>
      </c>
      <c r="P145" s="1213" t="s">
        <v>5873</v>
      </c>
      <c r="Q145" s="1213">
        <v>13458755669</v>
      </c>
      <c r="R145" s="1213" t="s">
        <v>5980</v>
      </c>
      <c r="S145" s="1563" t="s">
        <v>5792</v>
      </c>
      <c r="T145" s="1564"/>
    </row>
    <row r="146" spans="1:20" s="1018" customFormat="1" ht="20.100000000000001" customHeight="1">
      <c r="A146" s="1632"/>
      <c r="B146" s="1864"/>
      <c r="C146" s="1772" t="s">
        <v>7523</v>
      </c>
      <c r="D146" s="1772" t="s">
        <v>79</v>
      </c>
      <c r="E146" s="1772">
        <v>1</v>
      </c>
      <c r="F146" s="1864"/>
      <c r="G146" s="1563" t="s">
        <v>32</v>
      </c>
      <c r="H146" s="1563" t="s">
        <v>33</v>
      </c>
      <c r="I146" s="1863"/>
      <c r="J146" s="1833"/>
      <c r="K146" s="1563" t="s">
        <v>5876</v>
      </c>
      <c r="L146" s="1833"/>
      <c r="M146" s="1988"/>
      <c r="N146" s="1833"/>
      <c r="O146" s="1563" t="s">
        <v>7553</v>
      </c>
      <c r="P146" s="1213" t="s">
        <v>5873</v>
      </c>
      <c r="Q146" s="1213">
        <v>13458755670</v>
      </c>
      <c r="R146" s="1213" t="s">
        <v>5980</v>
      </c>
      <c r="S146" s="1563" t="s">
        <v>5792</v>
      </c>
      <c r="T146" s="1564"/>
    </row>
    <row r="147" spans="1:20" s="1018" customFormat="1" ht="20.100000000000001" customHeight="1">
      <c r="A147" s="1632"/>
      <c r="B147" s="1862" t="s">
        <v>7515</v>
      </c>
      <c r="C147" s="1772" t="s">
        <v>7516</v>
      </c>
      <c r="D147" s="1772" t="s">
        <v>7517</v>
      </c>
      <c r="E147" s="1772">
        <v>4</v>
      </c>
      <c r="F147" s="1862">
        <v>50.374000000000002</v>
      </c>
      <c r="G147" s="1563" t="s">
        <v>32</v>
      </c>
      <c r="H147" s="1563" t="s">
        <v>33</v>
      </c>
      <c r="I147" s="1863"/>
      <c r="J147" s="1833"/>
      <c r="K147" s="1563" t="s">
        <v>5876</v>
      </c>
      <c r="L147" s="1833"/>
      <c r="M147" s="1988"/>
      <c r="N147" s="1833"/>
      <c r="O147" s="1563" t="s">
        <v>7553</v>
      </c>
      <c r="P147" s="1213" t="s">
        <v>5873</v>
      </c>
      <c r="Q147" s="1213">
        <v>13458755671</v>
      </c>
      <c r="R147" s="1213" t="s">
        <v>5980</v>
      </c>
      <c r="S147" s="1563" t="s">
        <v>5792</v>
      </c>
      <c r="T147" s="1564"/>
    </row>
    <row r="148" spans="1:20" s="1018" customFormat="1" ht="20.100000000000001" customHeight="1">
      <c r="A148" s="1632"/>
      <c r="B148" s="1863"/>
      <c r="C148" s="1772" t="s">
        <v>7518</v>
      </c>
      <c r="D148" s="1772" t="s">
        <v>7517</v>
      </c>
      <c r="E148" s="1772">
        <v>2</v>
      </c>
      <c r="F148" s="1863"/>
      <c r="G148" s="1563" t="s">
        <v>32</v>
      </c>
      <c r="H148" s="1563" t="s">
        <v>33</v>
      </c>
      <c r="I148" s="1863"/>
      <c r="J148" s="1833"/>
      <c r="K148" s="1563" t="s">
        <v>5876</v>
      </c>
      <c r="L148" s="1833"/>
      <c r="M148" s="1988"/>
      <c r="N148" s="1833"/>
      <c r="O148" s="1563" t="s">
        <v>7553</v>
      </c>
      <c r="P148" s="1213" t="s">
        <v>5873</v>
      </c>
      <c r="Q148" s="1213">
        <v>13458755672</v>
      </c>
      <c r="R148" s="1213" t="s">
        <v>5980</v>
      </c>
      <c r="S148" s="1563" t="s">
        <v>5792</v>
      </c>
      <c r="T148" s="1564"/>
    </row>
    <row r="149" spans="1:20" s="1018" customFormat="1" ht="20.100000000000001" customHeight="1">
      <c r="A149" s="1632"/>
      <c r="B149" s="1863"/>
      <c r="C149" s="1772" t="s">
        <v>7519</v>
      </c>
      <c r="D149" s="1772" t="s">
        <v>7517</v>
      </c>
      <c r="E149" s="1772">
        <v>2</v>
      </c>
      <c r="F149" s="1863"/>
      <c r="G149" s="1563" t="s">
        <v>32</v>
      </c>
      <c r="H149" s="1563" t="s">
        <v>33</v>
      </c>
      <c r="I149" s="1863"/>
      <c r="J149" s="1833"/>
      <c r="K149" s="1563" t="s">
        <v>5876</v>
      </c>
      <c r="L149" s="1833"/>
      <c r="M149" s="1988"/>
      <c r="N149" s="1833"/>
      <c r="O149" s="1563" t="s">
        <v>7553</v>
      </c>
      <c r="P149" s="1213" t="s">
        <v>5873</v>
      </c>
      <c r="Q149" s="1213">
        <v>13458755673</v>
      </c>
      <c r="R149" s="1213" t="s">
        <v>5980</v>
      </c>
      <c r="S149" s="1563" t="s">
        <v>5792</v>
      </c>
      <c r="T149" s="1564"/>
    </row>
    <row r="150" spans="1:20" s="1018" customFormat="1" ht="20.100000000000001" customHeight="1">
      <c r="A150" s="1632"/>
      <c r="B150" s="1863"/>
      <c r="C150" s="1772" t="s">
        <v>7520</v>
      </c>
      <c r="D150" s="1772" t="s">
        <v>7517</v>
      </c>
      <c r="E150" s="1772">
        <v>4</v>
      </c>
      <c r="F150" s="1863"/>
      <c r="G150" s="1563" t="s">
        <v>32</v>
      </c>
      <c r="H150" s="1563" t="s">
        <v>33</v>
      </c>
      <c r="I150" s="1863"/>
      <c r="J150" s="1833"/>
      <c r="K150" s="1563" t="s">
        <v>5876</v>
      </c>
      <c r="L150" s="1833"/>
      <c r="M150" s="1988"/>
      <c r="N150" s="1833"/>
      <c r="O150" s="1563" t="s">
        <v>7553</v>
      </c>
      <c r="P150" s="1213" t="s">
        <v>5873</v>
      </c>
      <c r="Q150" s="1213">
        <v>13458755674</v>
      </c>
      <c r="R150" s="1213" t="s">
        <v>5980</v>
      </c>
      <c r="S150" s="1563" t="s">
        <v>5792</v>
      </c>
      <c r="T150" s="1564"/>
    </row>
    <row r="151" spans="1:20" s="1018" customFormat="1" ht="20.100000000000001" customHeight="1">
      <c r="A151" s="1632"/>
      <c r="B151" s="1863"/>
      <c r="C151" s="1772" t="s">
        <v>7521</v>
      </c>
      <c r="D151" s="1772" t="s">
        <v>7517</v>
      </c>
      <c r="E151" s="1772">
        <v>2</v>
      </c>
      <c r="F151" s="1863"/>
      <c r="G151" s="1563" t="s">
        <v>32</v>
      </c>
      <c r="H151" s="1563" t="s">
        <v>33</v>
      </c>
      <c r="I151" s="1863"/>
      <c r="J151" s="1833"/>
      <c r="K151" s="1563" t="s">
        <v>5876</v>
      </c>
      <c r="L151" s="1833"/>
      <c r="M151" s="1988"/>
      <c r="N151" s="1833"/>
      <c r="O151" s="1563" t="s">
        <v>7553</v>
      </c>
      <c r="P151" s="1213" t="s">
        <v>5873</v>
      </c>
      <c r="Q151" s="1213">
        <v>13458755675</v>
      </c>
      <c r="R151" s="1213" t="s">
        <v>5980</v>
      </c>
      <c r="S151" s="1563" t="s">
        <v>5792</v>
      </c>
      <c r="T151" s="1564"/>
    </row>
    <row r="152" spans="1:20" s="1018" customFormat="1" ht="20.100000000000001" customHeight="1">
      <c r="A152" s="1632"/>
      <c r="B152" s="1863"/>
      <c r="C152" s="1772" t="s">
        <v>7522</v>
      </c>
      <c r="D152" s="1772" t="s">
        <v>7517</v>
      </c>
      <c r="E152" s="1772">
        <v>2</v>
      </c>
      <c r="F152" s="1863"/>
      <c r="G152" s="1563" t="s">
        <v>32</v>
      </c>
      <c r="H152" s="1563" t="s">
        <v>33</v>
      </c>
      <c r="I152" s="1863"/>
      <c r="J152" s="1833"/>
      <c r="K152" s="1563" t="s">
        <v>5876</v>
      </c>
      <c r="L152" s="1833"/>
      <c r="M152" s="1988"/>
      <c r="N152" s="1833"/>
      <c r="O152" s="1563" t="s">
        <v>7553</v>
      </c>
      <c r="P152" s="1213" t="s">
        <v>5873</v>
      </c>
      <c r="Q152" s="1213">
        <v>13458755676</v>
      </c>
      <c r="R152" s="1213" t="s">
        <v>5980</v>
      </c>
      <c r="S152" s="1563" t="s">
        <v>5792</v>
      </c>
      <c r="T152" s="1564"/>
    </row>
    <row r="153" spans="1:20" s="1018" customFormat="1" ht="20.100000000000001" customHeight="1">
      <c r="A153" s="1632"/>
      <c r="B153" s="1864"/>
      <c r="C153" s="1772" t="s">
        <v>7554</v>
      </c>
      <c r="D153" s="1772" t="s">
        <v>79</v>
      </c>
      <c r="E153" s="1772">
        <v>2</v>
      </c>
      <c r="F153" s="1864"/>
      <c r="G153" s="1563" t="s">
        <v>32</v>
      </c>
      <c r="H153" s="1563" t="s">
        <v>33</v>
      </c>
      <c r="I153" s="1863"/>
      <c r="J153" s="1833"/>
      <c r="K153" s="1563" t="s">
        <v>5876</v>
      </c>
      <c r="L153" s="1833"/>
      <c r="M153" s="1988"/>
      <c r="N153" s="1833"/>
      <c r="O153" s="1563" t="s">
        <v>7553</v>
      </c>
      <c r="P153" s="1213" t="s">
        <v>5873</v>
      </c>
      <c r="Q153" s="1213">
        <v>13458755677</v>
      </c>
      <c r="R153" s="1213" t="s">
        <v>5980</v>
      </c>
      <c r="S153" s="1563" t="s">
        <v>5792</v>
      </c>
      <c r="T153" s="1564"/>
    </row>
    <row r="154" spans="1:20" s="1018" customFormat="1" ht="20.100000000000001" customHeight="1">
      <c r="A154" s="1632"/>
      <c r="B154" s="1862" t="s">
        <v>7515</v>
      </c>
      <c r="C154" s="1772" t="s">
        <v>7516</v>
      </c>
      <c r="D154" s="1772" t="s">
        <v>7517</v>
      </c>
      <c r="E154" s="1772">
        <v>3</v>
      </c>
      <c r="F154" s="1862">
        <v>59.354999999999997</v>
      </c>
      <c r="G154" s="1563" t="s">
        <v>32</v>
      </c>
      <c r="H154" s="1563" t="s">
        <v>33</v>
      </c>
      <c r="I154" s="1863"/>
      <c r="J154" s="1833"/>
      <c r="K154" s="1563" t="s">
        <v>5876</v>
      </c>
      <c r="L154" s="1833"/>
      <c r="M154" s="1988"/>
      <c r="N154" s="1833"/>
      <c r="O154" s="1563" t="s">
        <v>7553</v>
      </c>
      <c r="P154" s="1213" t="s">
        <v>5873</v>
      </c>
      <c r="Q154" s="1213">
        <v>13458755678</v>
      </c>
      <c r="R154" s="1213" t="s">
        <v>5980</v>
      </c>
      <c r="S154" s="1563" t="s">
        <v>5792</v>
      </c>
      <c r="T154" s="1564"/>
    </row>
    <row r="155" spans="1:20" s="1018" customFormat="1" ht="20.100000000000001" customHeight="1">
      <c r="A155" s="1632"/>
      <c r="B155" s="1863"/>
      <c r="C155" s="1772" t="s">
        <v>7518</v>
      </c>
      <c r="D155" s="1772" t="s">
        <v>7517</v>
      </c>
      <c r="E155" s="1772">
        <v>1</v>
      </c>
      <c r="F155" s="1863"/>
      <c r="G155" s="1563" t="s">
        <v>32</v>
      </c>
      <c r="H155" s="1563" t="s">
        <v>33</v>
      </c>
      <c r="I155" s="1863"/>
      <c r="J155" s="1833"/>
      <c r="K155" s="1563" t="s">
        <v>5876</v>
      </c>
      <c r="L155" s="1833"/>
      <c r="M155" s="1988"/>
      <c r="N155" s="1833"/>
      <c r="O155" s="1563" t="s">
        <v>7553</v>
      </c>
      <c r="P155" s="1213" t="s">
        <v>5873</v>
      </c>
      <c r="Q155" s="1213">
        <v>13458755679</v>
      </c>
      <c r="R155" s="1213" t="s">
        <v>5980</v>
      </c>
      <c r="S155" s="1563" t="s">
        <v>5792</v>
      </c>
      <c r="T155" s="1564"/>
    </row>
    <row r="156" spans="1:20" s="1018" customFormat="1" ht="20.100000000000001" customHeight="1">
      <c r="A156" s="1632"/>
      <c r="B156" s="1863"/>
      <c r="C156" s="1772" t="s">
        <v>7519</v>
      </c>
      <c r="D156" s="1772" t="s">
        <v>7517</v>
      </c>
      <c r="E156" s="1772">
        <v>2</v>
      </c>
      <c r="F156" s="1863"/>
      <c r="G156" s="1563" t="s">
        <v>32</v>
      </c>
      <c r="H156" s="1563" t="s">
        <v>33</v>
      </c>
      <c r="I156" s="1863"/>
      <c r="J156" s="1833"/>
      <c r="K156" s="1563" t="s">
        <v>5876</v>
      </c>
      <c r="L156" s="1833"/>
      <c r="M156" s="1988"/>
      <c r="N156" s="1833"/>
      <c r="O156" s="1563" t="s">
        <v>7553</v>
      </c>
      <c r="P156" s="1213" t="s">
        <v>5873</v>
      </c>
      <c r="Q156" s="1213">
        <v>13458755680</v>
      </c>
      <c r="R156" s="1213" t="s">
        <v>5980</v>
      </c>
      <c r="S156" s="1563" t="s">
        <v>5792</v>
      </c>
      <c r="T156" s="1564"/>
    </row>
    <row r="157" spans="1:20" s="1018" customFormat="1" ht="20.100000000000001" customHeight="1">
      <c r="A157" s="1632"/>
      <c r="B157" s="1863"/>
      <c r="C157" s="1772" t="s">
        <v>7520</v>
      </c>
      <c r="D157" s="1772" t="s">
        <v>7517</v>
      </c>
      <c r="E157" s="1772">
        <v>3</v>
      </c>
      <c r="F157" s="1863"/>
      <c r="G157" s="1563" t="s">
        <v>32</v>
      </c>
      <c r="H157" s="1563" t="s">
        <v>33</v>
      </c>
      <c r="I157" s="1863"/>
      <c r="J157" s="1833"/>
      <c r="K157" s="1563" t="s">
        <v>5876</v>
      </c>
      <c r="L157" s="1833"/>
      <c r="M157" s="1988"/>
      <c r="N157" s="1833"/>
      <c r="O157" s="1563" t="s">
        <v>7553</v>
      </c>
      <c r="P157" s="1213" t="s">
        <v>5873</v>
      </c>
      <c r="Q157" s="1213">
        <v>13458755681</v>
      </c>
      <c r="R157" s="1213" t="s">
        <v>5980</v>
      </c>
      <c r="S157" s="1563" t="s">
        <v>5792</v>
      </c>
      <c r="T157" s="1564"/>
    </row>
    <row r="158" spans="1:20" s="1018" customFormat="1" ht="20.100000000000001" customHeight="1">
      <c r="A158" s="1632"/>
      <c r="B158" s="1863"/>
      <c r="C158" s="1772" t="s">
        <v>7521</v>
      </c>
      <c r="D158" s="1772" t="s">
        <v>7517</v>
      </c>
      <c r="E158" s="1772">
        <v>1</v>
      </c>
      <c r="F158" s="1863"/>
      <c r="G158" s="1563" t="s">
        <v>32</v>
      </c>
      <c r="H158" s="1563" t="s">
        <v>33</v>
      </c>
      <c r="I158" s="1863"/>
      <c r="J158" s="1833"/>
      <c r="K158" s="1563" t="s">
        <v>5876</v>
      </c>
      <c r="L158" s="1833"/>
      <c r="M158" s="1988"/>
      <c r="N158" s="1833"/>
      <c r="O158" s="1563" t="s">
        <v>7553</v>
      </c>
      <c r="P158" s="1213" t="s">
        <v>5873</v>
      </c>
      <c r="Q158" s="1213">
        <v>13458755682</v>
      </c>
      <c r="R158" s="1213" t="s">
        <v>5980</v>
      </c>
      <c r="S158" s="1563" t="s">
        <v>5792</v>
      </c>
      <c r="T158" s="1564"/>
    </row>
    <row r="159" spans="1:20" s="1018" customFormat="1" ht="20.100000000000001" customHeight="1">
      <c r="A159" s="1632"/>
      <c r="B159" s="1863"/>
      <c r="C159" s="1772" t="s">
        <v>7522</v>
      </c>
      <c r="D159" s="1772" t="s">
        <v>7517</v>
      </c>
      <c r="E159" s="1772">
        <v>2</v>
      </c>
      <c r="F159" s="1863"/>
      <c r="G159" s="1563" t="s">
        <v>32</v>
      </c>
      <c r="H159" s="1563" t="s">
        <v>33</v>
      </c>
      <c r="I159" s="1863"/>
      <c r="J159" s="1833"/>
      <c r="K159" s="1563" t="s">
        <v>5876</v>
      </c>
      <c r="L159" s="1833"/>
      <c r="M159" s="1988"/>
      <c r="N159" s="1833"/>
      <c r="O159" s="1563" t="s">
        <v>7553</v>
      </c>
      <c r="P159" s="1213" t="s">
        <v>5873</v>
      </c>
      <c r="Q159" s="1213">
        <v>13458755683</v>
      </c>
      <c r="R159" s="1213" t="s">
        <v>5980</v>
      </c>
      <c r="S159" s="1563" t="s">
        <v>5792</v>
      </c>
      <c r="T159" s="1564"/>
    </row>
    <row r="160" spans="1:20" s="1018" customFormat="1" ht="20.100000000000001" customHeight="1">
      <c r="A160" s="1632"/>
      <c r="B160" s="1864"/>
      <c r="C160" s="1772" t="s">
        <v>7523</v>
      </c>
      <c r="D160" s="1772" t="s">
        <v>79</v>
      </c>
      <c r="E160" s="1772">
        <v>3</v>
      </c>
      <c r="F160" s="1864"/>
      <c r="G160" s="1563" t="s">
        <v>32</v>
      </c>
      <c r="H160" s="1563" t="s">
        <v>33</v>
      </c>
      <c r="I160" s="1863"/>
      <c r="J160" s="1833"/>
      <c r="K160" s="1563" t="s">
        <v>5876</v>
      </c>
      <c r="L160" s="1833"/>
      <c r="M160" s="1988"/>
      <c r="N160" s="1833"/>
      <c r="O160" s="1563" t="s">
        <v>7553</v>
      </c>
      <c r="P160" s="1213" t="s">
        <v>5873</v>
      </c>
      <c r="Q160" s="1213">
        <v>13458755684</v>
      </c>
      <c r="R160" s="1213" t="s">
        <v>5980</v>
      </c>
      <c r="S160" s="1563" t="s">
        <v>5792</v>
      </c>
      <c r="T160" s="1564"/>
    </row>
    <row r="161" spans="1:20" s="1018" customFormat="1" ht="20.100000000000001" customHeight="1">
      <c r="A161" s="1632"/>
      <c r="B161" s="1862" t="s">
        <v>5981</v>
      </c>
      <c r="C161" s="1772" t="s">
        <v>7555</v>
      </c>
      <c r="D161" s="1772" t="s">
        <v>79</v>
      </c>
      <c r="E161" s="1772">
        <v>1</v>
      </c>
      <c r="F161" s="1862">
        <v>18</v>
      </c>
      <c r="G161" s="1563" t="s">
        <v>32</v>
      </c>
      <c r="H161" s="1563" t="s">
        <v>33</v>
      </c>
      <c r="I161" s="1863"/>
      <c r="J161" s="1833"/>
      <c r="K161" s="1563" t="s">
        <v>5876</v>
      </c>
      <c r="L161" s="1833"/>
      <c r="M161" s="1988"/>
      <c r="N161" s="1833"/>
      <c r="O161" s="1563" t="s">
        <v>7553</v>
      </c>
      <c r="P161" s="1213" t="s">
        <v>5873</v>
      </c>
      <c r="Q161" s="1213">
        <v>13458755685</v>
      </c>
      <c r="R161" s="1213" t="s">
        <v>5980</v>
      </c>
      <c r="S161" s="1563" t="s">
        <v>5792</v>
      </c>
      <c r="T161" s="1564"/>
    </row>
    <row r="162" spans="1:20" s="1018" customFormat="1" ht="20.100000000000001" customHeight="1">
      <c r="A162" s="1632"/>
      <c r="B162" s="1863"/>
      <c r="C162" s="1772" t="s">
        <v>7556</v>
      </c>
      <c r="D162" s="1772" t="s">
        <v>79</v>
      </c>
      <c r="E162" s="1772">
        <v>2</v>
      </c>
      <c r="F162" s="1863"/>
      <c r="G162" s="1563" t="s">
        <v>32</v>
      </c>
      <c r="H162" s="1563" t="s">
        <v>33</v>
      </c>
      <c r="I162" s="1863"/>
      <c r="J162" s="1833"/>
      <c r="K162" s="1563" t="s">
        <v>5876</v>
      </c>
      <c r="L162" s="1833"/>
      <c r="M162" s="1988"/>
      <c r="N162" s="1833"/>
      <c r="O162" s="1563" t="s">
        <v>7553</v>
      </c>
      <c r="P162" s="1213" t="s">
        <v>5873</v>
      </c>
      <c r="Q162" s="1213">
        <v>13458755686</v>
      </c>
      <c r="R162" s="1213" t="s">
        <v>5980</v>
      </c>
      <c r="S162" s="1563" t="s">
        <v>5792</v>
      </c>
      <c r="T162" s="1564"/>
    </row>
    <row r="163" spans="1:20" s="1018" customFormat="1" ht="20.100000000000001" customHeight="1">
      <c r="A163" s="1632"/>
      <c r="B163" s="1864"/>
      <c r="C163" s="1772" t="s">
        <v>7557</v>
      </c>
      <c r="D163" s="1772" t="s">
        <v>79</v>
      </c>
      <c r="E163" s="1772">
        <v>1</v>
      </c>
      <c r="F163" s="1864"/>
      <c r="G163" s="1563" t="s">
        <v>32</v>
      </c>
      <c r="H163" s="1563" t="s">
        <v>33</v>
      </c>
      <c r="I163" s="1863"/>
      <c r="J163" s="1833"/>
      <c r="K163" s="1563" t="s">
        <v>5876</v>
      </c>
      <c r="L163" s="1833"/>
      <c r="M163" s="1988"/>
      <c r="N163" s="1833"/>
      <c r="O163" s="1563" t="s">
        <v>7553</v>
      </c>
      <c r="P163" s="1213" t="s">
        <v>5873</v>
      </c>
      <c r="Q163" s="1213">
        <v>13458755687</v>
      </c>
      <c r="R163" s="1213" t="s">
        <v>5980</v>
      </c>
      <c r="S163" s="1563" t="s">
        <v>5792</v>
      </c>
      <c r="T163" s="1564"/>
    </row>
    <row r="164" spans="1:20" s="101" customFormat="1" ht="20.100000000000001" customHeight="1">
      <c r="A164" s="1632"/>
      <c r="B164" s="1213" t="s">
        <v>5870</v>
      </c>
      <c r="C164" s="1213" t="s">
        <v>5870</v>
      </c>
      <c r="D164" s="1213" t="s">
        <v>31</v>
      </c>
      <c r="E164" s="1213">
        <v>6</v>
      </c>
      <c r="F164" s="1992">
        <v>56.64</v>
      </c>
      <c r="G164" s="1213" t="s">
        <v>32</v>
      </c>
      <c r="H164" s="1213" t="s">
        <v>33</v>
      </c>
      <c r="I164" s="1863"/>
      <c r="J164" s="1833"/>
      <c r="K164" s="1563" t="s">
        <v>5818</v>
      </c>
      <c r="L164" s="1995">
        <v>389739.84</v>
      </c>
      <c r="M164" s="1995">
        <f>L164*30%</f>
        <v>116921.952</v>
      </c>
      <c r="N164" s="1988">
        <v>2020.1</v>
      </c>
      <c r="O164" s="1563" t="s">
        <v>7553</v>
      </c>
      <c r="P164" s="1213" t="s">
        <v>5873</v>
      </c>
      <c r="Q164" s="1213">
        <v>13458755666</v>
      </c>
      <c r="R164" s="1213" t="s">
        <v>5980</v>
      </c>
      <c r="S164" s="1563" t="s">
        <v>5792</v>
      </c>
      <c r="T164" s="1563"/>
    </row>
    <row r="165" spans="1:20" s="101" customFormat="1" ht="20.100000000000001" customHeight="1">
      <c r="A165" s="1632"/>
      <c r="B165" s="1213" t="s">
        <v>5870</v>
      </c>
      <c r="C165" s="1213" t="s">
        <v>5870</v>
      </c>
      <c r="D165" s="1213" t="s">
        <v>31</v>
      </c>
      <c r="E165" s="1213">
        <v>8</v>
      </c>
      <c r="F165" s="1993"/>
      <c r="G165" s="1213" t="s">
        <v>32</v>
      </c>
      <c r="H165" s="1213" t="s">
        <v>33</v>
      </c>
      <c r="I165" s="1863"/>
      <c r="J165" s="1833"/>
      <c r="K165" s="1563" t="s">
        <v>5818</v>
      </c>
      <c r="L165" s="1995"/>
      <c r="M165" s="1995"/>
      <c r="N165" s="1988"/>
      <c r="O165" s="1563" t="s">
        <v>7553</v>
      </c>
      <c r="P165" s="1213" t="s">
        <v>5873</v>
      </c>
      <c r="Q165" s="1213">
        <v>13458755666</v>
      </c>
      <c r="R165" s="1213" t="s">
        <v>5980</v>
      </c>
      <c r="S165" s="1563" t="s">
        <v>5792</v>
      </c>
      <c r="T165" s="1563"/>
    </row>
    <row r="166" spans="1:20" s="101" customFormat="1" ht="20.100000000000001" customHeight="1">
      <c r="A166" s="1632"/>
      <c r="B166" s="1213" t="s">
        <v>5870</v>
      </c>
      <c r="C166" s="1213" t="s">
        <v>5870</v>
      </c>
      <c r="D166" s="1213" t="s">
        <v>31</v>
      </c>
      <c r="E166" s="1213">
        <v>4</v>
      </c>
      <c r="F166" s="1993"/>
      <c r="G166" s="1213" t="s">
        <v>32</v>
      </c>
      <c r="H166" s="1213" t="s">
        <v>33</v>
      </c>
      <c r="I166" s="1863"/>
      <c r="J166" s="1833"/>
      <c r="K166" s="1563" t="s">
        <v>5818</v>
      </c>
      <c r="L166" s="1995"/>
      <c r="M166" s="1995"/>
      <c r="N166" s="1988"/>
      <c r="O166" s="1563" t="s">
        <v>7553</v>
      </c>
      <c r="P166" s="1213" t="s">
        <v>5873</v>
      </c>
      <c r="Q166" s="1213">
        <v>13458755666</v>
      </c>
      <c r="R166" s="1213" t="s">
        <v>5980</v>
      </c>
      <c r="S166" s="1563" t="s">
        <v>5792</v>
      </c>
      <c r="T166" s="1563"/>
    </row>
    <row r="167" spans="1:20" s="101" customFormat="1" ht="20.100000000000001" customHeight="1">
      <c r="A167" s="1632"/>
      <c r="B167" s="1213" t="s">
        <v>5870</v>
      </c>
      <c r="C167" s="1213" t="s">
        <v>5870</v>
      </c>
      <c r="D167" s="1213" t="s">
        <v>31</v>
      </c>
      <c r="E167" s="1213">
        <v>8</v>
      </c>
      <c r="F167" s="1993"/>
      <c r="G167" s="1213" t="s">
        <v>32</v>
      </c>
      <c r="H167" s="1213" t="s">
        <v>33</v>
      </c>
      <c r="I167" s="1863"/>
      <c r="J167" s="1833"/>
      <c r="K167" s="1563" t="s">
        <v>5818</v>
      </c>
      <c r="L167" s="1995"/>
      <c r="M167" s="1995"/>
      <c r="N167" s="1988"/>
      <c r="O167" s="1563" t="s">
        <v>7553</v>
      </c>
      <c r="P167" s="1213" t="s">
        <v>5873</v>
      </c>
      <c r="Q167" s="1213">
        <v>13458755666</v>
      </c>
      <c r="R167" s="1213" t="s">
        <v>5980</v>
      </c>
      <c r="S167" s="1563" t="s">
        <v>5792</v>
      </c>
      <c r="T167" s="1563"/>
    </row>
    <row r="168" spans="1:20" s="101" customFormat="1" ht="20.100000000000001" customHeight="1">
      <c r="A168" s="1632"/>
      <c r="B168" s="1213" t="s">
        <v>5874</v>
      </c>
      <c r="C168" s="1213" t="s">
        <v>5874</v>
      </c>
      <c r="D168" s="1213" t="s">
        <v>31</v>
      </c>
      <c r="E168" s="1213">
        <v>6</v>
      </c>
      <c r="F168" s="1993"/>
      <c r="G168" s="1213" t="s">
        <v>32</v>
      </c>
      <c r="H168" s="1213" t="s">
        <v>33</v>
      </c>
      <c r="I168" s="1863"/>
      <c r="J168" s="1833"/>
      <c r="K168" s="1563" t="s">
        <v>5818</v>
      </c>
      <c r="L168" s="1995"/>
      <c r="M168" s="1995"/>
      <c r="N168" s="1988"/>
      <c r="O168" s="1563" t="s">
        <v>7553</v>
      </c>
      <c r="P168" s="1213" t="s">
        <v>5873</v>
      </c>
      <c r="Q168" s="1213">
        <v>13458755666</v>
      </c>
      <c r="R168" s="1213" t="s">
        <v>5980</v>
      </c>
      <c r="S168" s="1563" t="s">
        <v>5792</v>
      </c>
      <c r="T168" s="1563"/>
    </row>
    <row r="169" spans="1:20" s="101" customFormat="1" ht="20.100000000000001" customHeight="1">
      <c r="A169" s="1632"/>
      <c r="B169" s="1213" t="s">
        <v>5874</v>
      </c>
      <c r="C169" s="1213" t="s">
        <v>5874</v>
      </c>
      <c r="D169" s="1213" t="s">
        <v>31</v>
      </c>
      <c r="E169" s="1213">
        <v>8</v>
      </c>
      <c r="F169" s="1993"/>
      <c r="G169" s="1213" t="s">
        <v>32</v>
      </c>
      <c r="H169" s="1213" t="s">
        <v>33</v>
      </c>
      <c r="I169" s="1863"/>
      <c r="J169" s="1833"/>
      <c r="K169" s="1563" t="s">
        <v>5818</v>
      </c>
      <c r="L169" s="1995"/>
      <c r="M169" s="1995"/>
      <c r="N169" s="1988"/>
      <c r="O169" s="1563" t="s">
        <v>7553</v>
      </c>
      <c r="P169" s="1213" t="s">
        <v>5873</v>
      </c>
      <c r="Q169" s="1213">
        <v>13458755666</v>
      </c>
      <c r="R169" s="1213" t="s">
        <v>5980</v>
      </c>
      <c r="S169" s="1563" t="s">
        <v>5792</v>
      </c>
      <c r="T169" s="1563"/>
    </row>
    <row r="170" spans="1:20" s="101" customFormat="1" ht="20.100000000000001" customHeight="1">
      <c r="A170" s="1632"/>
      <c r="B170" s="1213" t="s">
        <v>5874</v>
      </c>
      <c r="C170" s="1213" t="s">
        <v>5874</v>
      </c>
      <c r="D170" s="1213" t="s">
        <v>31</v>
      </c>
      <c r="E170" s="1213">
        <v>4</v>
      </c>
      <c r="F170" s="1993"/>
      <c r="G170" s="1213" t="s">
        <v>32</v>
      </c>
      <c r="H170" s="1213" t="s">
        <v>33</v>
      </c>
      <c r="I170" s="1863"/>
      <c r="J170" s="1833"/>
      <c r="K170" s="1563" t="s">
        <v>5818</v>
      </c>
      <c r="L170" s="1995"/>
      <c r="M170" s="1995"/>
      <c r="N170" s="1988"/>
      <c r="O170" s="1563" t="s">
        <v>7553</v>
      </c>
      <c r="P170" s="1213" t="s">
        <v>5873</v>
      </c>
      <c r="Q170" s="1213">
        <v>13458755666</v>
      </c>
      <c r="R170" s="1213" t="s">
        <v>5980</v>
      </c>
      <c r="S170" s="1563" t="s">
        <v>5792</v>
      </c>
      <c r="T170" s="1563"/>
    </row>
    <row r="171" spans="1:20" s="101" customFormat="1" ht="20.100000000000001" customHeight="1">
      <c r="A171" s="1632"/>
      <c r="B171" s="1213" t="s">
        <v>5874</v>
      </c>
      <c r="C171" s="1213" t="s">
        <v>5874</v>
      </c>
      <c r="D171" s="1213" t="s">
        <v>31</v>
      </c>
      <c r="E171" s="1213">
        <v>8</v>
      </c>
      <c r="F171" s="1993"/>
      <c r="G171" s="1213" t="s">
        <v>32</v>
      </c>
      <c r="H171" s="1213" t="s">
        <v>33</v>
      </c>
      <c r="I171" s="1863"/>
      <c r="J171" s="1833"/>
      <c r="K171" s="1563" t="s">
        <v>5818</v>
      </c>
      <c r="L171" s="1995"/>
      <c r="M171" s="1995"/>
      <c r="N171" s="1988"/>
      <c r="O171" s="1563" t="s">
        <v>7553</v>
      </c>
      <c r="P171" s="1213" t="s">
        <v>5873</v>
      </c>
      <c r="Q171" s="1213">
        <v>13458755666</v>
      </c>
      <c r="R171" s="1213" t="s">
        <v>5980</v>
      </c>
      <c r="S171" s="1563" t="s">
        <v>5792</v>
      </c>
      <c r="T171" s="1563"/>
    </row>
    <row r="172" spans="1:20" s="101" customFormat="1" ht="20.100000000000001" customHeight="1">
      <c r="A172" s="1632"/>
      <c r="B172" s="1213" t="s">
        <v>5875</v>
      </c>
      <c r="C172" s="1213" t="s">
        <v>5875</v>
      </c>
      <c r="D172" s="1213" t="s">
        <v>79</v>
      </c>
      <c r="E172" s="1213">
        <v>2</v>
      </c>
      <c r="F172" s="1994"/>
      <c r="G172" s="1213" t="s">
        <v>32</v>
      </c>
      <c r="H172" s="1213" t="s">
        <v>33</v>
      </c>
      <c r="I172" s="1863"/>
      <c r="J172" s="1833"/>
      <c r="K172" s="1563" t="s">
        <v>5818</v>
      </c>
      <c r="L172" s="1995"/>
      <c r="M172" s="1995"/>
      <c r="N172" s="1988"/>
      <c r="O172" s="1563" t="s">
        <v>7553</v>
      </c>
      <c r="P172" s="1213" t="s">
        <v>5873</v>
      </c>
      <c r="Q172" s="1213">
        <v>13458755666</v>
      </c>
      <c r="R172" s="1213" t="s">
        <v>5980</v>
      </c>
      <c r="S172" s="1563" t="s">
        <v>5792</v>
      </c>
      <c r="T172" s="1563"/>
    </row>
    <row r="173" spans="1:20" s="101" customFormat="1" ht="20.100000000000001" customHeight="1">
      <c r="A173" s="1632"/>
      <c r="B173" s="1992" t="s">
        <v>7515</v>
      </c>
      <c r="C173" s="1772" t="s">
        <v>7516</v>
      </c>
      <c r="D173" s="1772" t="s">
        <v>7517</v>
      </c>
      <c r="E173" s="1772">
        <v>8</v>
      </c>
      <c r="F173" s="1992">
        <v>104.876</v>
      </c>
      <c r="G173" s="1213" t="s">
        <v>32</v>
      </c>
      <c r="H173" s="1213" t="s">
        <v>33</v>
      </c>
      <c r="I173" s="1863"/>
      <c r="J173" s="1833"/>
      <c r="K173" s="1563" t="s">
        <v>5876</v>
      </c>
      <c r="L173" s="1995">
        <v>175570.2</v>
      </c>
      <c r="M173" s="1995">
        <f>L173*30%</f>
        <v>52671.060000000005</v>
      </c>
      <c r="N173" s="1171"/>
      <c r="O173" s="1563" t="s">
        <v>7558</v>
      </c>
      <c r="P173" s="1213" t="s">
        <v>5877</v>
      </c>
      <c r="Q173" s="1213">
        <v>18586187111</v>
      </c>
      <c r="R173" s="1213" t="s">
        <v>5980</v>
      </c>
      <c r="S173" s="1563" t="s">
        <v>5792</v>
      </c>
      <c r="T173" s="1563"/>
    </row>
    <row r="174" spans="1:20" s="101" customFormat="1" ht="20.100000000000001" customHeight="1">
      <c r="A174" s="1632"/>
      <c r="B174" s="1993"/>
      <c r="C174" s="1772" t="s">
        <v>7518</v>
      </c>
      <c r="D174" s="1772" t="s">
        <v>7517</v>
      </c>
      <c r="E174" s="1772">
        <v>6</v>
      </c>
      <c r="F174" s="1993"/>
      <c r="G174" s="1213" t="s">
        <v>32</v>
      </c>
      <c r="H174" s="1213" t="s">
        <v>33</v>
      </c>
      <c r="I174" s="1863"/>
      <c r="J174" s="1833"/>
      <c r="K174" s="1563" t="s">
        <v>5876</v>
      </c>
      <c r="L174" s="1995"/>
      <c r="M174" s="1995"/>
      <c r="N174" s="1171"/>
      <c r="O174" s="1563" t="s">
        <v>7558</v>
      </c>
      <c r="P174" s="1213" t="s">
        <v>5877</v>
      </c>
      <c r="Q174" s="1213">
        <v>18586187111</v>
      </c>
      <c r="R174" s="1213" t="s">
        <v>5980</v>
      </c>
      <c r="S174" s="1563" t="s">
        <v>5792</v>
      </c>
      <c r="T174" s="1563"/>
    </row>
    <row r="175" spans="1:20" s="101" customFormat="1" ht="20.100000000000001" customHeight="1">
      <c r="A175" s="1632"/>
      <c r="B175" s="1993"/>
      <c r="C175" s="1772" t="s">
        <v>7519</v>
      </c>
      <c r="D175" s="1772" t="s">
        <v>7517</v>
      </c>
      <c r="E175" s="1772">
        <v>6</v>
      </c>
      <c r="F175" s="1993"/>
      <c r="G175" s="1213" t="s">
        <v>32</v>
      </c>
      <c r="H175" s="1213" t="s">
        <v>33</v>
      </c>
      <c r="I175" s="1863"/>
      <c r="J175" s="1833"/>
      <c r="K175" s="1563" t="s">
        <v>5876</v>
      </c>
      <c r="L175" s="1995"/>
      <c r="M175" s="1995"/>
      <c r="N175" s="1171"/>
      <c r="O175" s="1563" t="s">
        <v>7558</v>
      </c>
      <c r="P175" s="1213" t="s">
        <v>5877</v>
      </c>
      <c r="Q175" s="1213">
        <v>18586187111</v>
      </c>
      <c r="R175" s="1213" t="s">
        <v>5980</v>
      </c>
      <c r="S175" s="1563" t="s">
        <v>5792</v>
      </c>
      <c r="T175" s="1563"/>
    </row>
    <row r="176" spans="1:20" s="101" customFormat="1" ht="20.100000000000001" customHeight="1">
      <c r="A176" s="1632"/>
      <c r="B176" s="1993"/>
      <c r="C176" s="1772" t="s">
        <v>7520</v>
      </c>
      <c r="D176" s="1772" t="s">
        <v>7517</v>
      </c>
      <c r="E176" s="1772">
        <v>8</v>
      </c>
      <c r="F176" s="1993"/>
      <c r="G176" s="1213" t="s">
        <v>32</v>
      </c>
      <c r="H176" s="1213" t="s">
        <v>33</v>
      </c>
      <c r="I176" s="1863"/>
      <c r="J176" s="1833"/>
      <c r="K176" s="1563" t="s">
        <v>5876</v>
      </c>
      <c r="L176" s="1995"/>
      <c r="M176" s="1995"/>
      <c r="N176" s="1171"/>
      <c r="O176" s="1563" t="s">
        <v>7558</v>
      </c>
      <c r="P176" s="1213" t="s">
        <v>5877</v>
      </c>
      <c r="Q176" s="1213">
        <v>18586187111</v>
      </c>
      <c r="R176" s="1213" t="s">
        <v>5980</v>
      </c>
      <c r="S176" s="1563" t="s">
        <v>5792</v>
      </c>
      <c r="T176" s="1563"/>
    </row>
    <row r="177" spans="1:20" s="101" customFormat="1" ht="20.100000000000001" customHeight="1">
      <c r="A177" s="1632"/>
      <c r="B177" s="1993"/>
      <c r="C177" s="1772" t="s">
        <v>7521</v>
      </c>
      <c r="D177" s="1772" t="s">
        <v>7517</v>
      </c>
      <c r="E177" s="1772">
        <v>6</v>
      </c>
      <c r="F177" s="1993"/>
      <c r="G177" s="1213" t="s">
        <v>32</v>
      </c>
      <c r="H177" s="1213" t="s">
        <v>33</v>
      </c>
      <c r="I177" s="1863"/>
      <c r="J177" s="1833"/>
      <c r="K177" s="1563" t="s">
        <v>5876</v>
      </c>
      <c r="L177" s="1995"/>
      <c r="M177" s="1995"/>
      <c r="N177" s="1171"/>
      <c r="O177" s="1563" t="s">
        <v>7558</v>
      </c>
      <c r="P177" s="1213" t="s">
        <v>5877</v>
      </c>
      <c r="Q177" s="1213">
        <v>18586187111</v>
      </c>
      <c r="R177" s="1213" t="s">
        <v>5980</v>
      </c>
      <c r="S177" s="1563" t="s">
        <v>5792</v>
      </c>
      <c r="T177" s="1563"/>
    </row>
    <row r="178" spans="1:20" s="101" customFormat="1" ht="20.100000000000001" customHeight="1">
      <c r="A178" s="1632"/>
      <c r="B178" s="1993"/>
      <c r="C178" s="1772" t="s">
        <v>7522</v>
      </c>
      <c r="D178" s="1772" t="s">
        <v>7517</v>
      </c>
      <c r="E178" s="1772">
        <v>6</v>
      </c>
      <c r="F178" s="1993"/>
      <c r="G178" s="1213" t="s">
        <v>32</v>
      </c>
      <c r="H178" s="1213" t="s">
        <v>33</v>
      </c>
      <c r="I178" s="1863"/>
      <c r="J178" s="1833"/>
      <c r="K178" s="1563" t="s">
        <v>5876</v>
      </c>
      <c r="L178" s="1995"/>
      <c r="M178" s="1995"/>
      <c r="N178" s="1171"/>
      <c r="O178" s="1563" t="s">
        <v>7558</v>
      </c>
      <c r="P178" s="1213" t="s">
        <v>5877</v>
      </c>
      <c r="Q178" s="1213">
        <v>18586187111</v>
      </c>
      <c r="R178" s="1213" t="s">
        <v>5980</v>
      </c>
      <c r="S178" s="1563" t="s">
        <v>5792</v>
      </c>
      <c r="T178" s="1563"/>
    </row>
    <row r="179" spans="1:20" s="101" customFormat="1" ht="20.100000000000001" customHeight="1">
      <c r="A179" s="1632"/>
      <c r="B179" s="1993"/>
      <c r="C179" s="1772" t="s">
        <v>7554</v>
      </c>
      <c r="D179" s="1772" t="s">
        <v>79</v>
      </c>
      <c r="E179" s="1772">
        <v>2</v>
      </c>
      <c r="F179" s="1993"/>
      <c r="G179" s="1213" t="s">
        <v>32</v>
      </c>
      <c r="H179" s="1213" t="s">
        <v>33</v>
      </c>
      <c r="I179" s="1863"/>
      <c r="J179" s="1833"/>
      <c r="K179" s="1563" t="s">
        <v>5876</v>
      </c>
      <c r="L179" s="1995"/>
      <c r="M179" s="1995"/>
      <c r="N179" s="1171"/>
      <c r="O179" s="1563" t="s">
        <v>7558</v>
      </c>
      <c r="P179" s="1213" t="s">
        <v>5877</v>
      </c>
      <c r="Q179" s="1213">
        <v>18586187111</v>
      </c>
      <c r="R179" s="1213" t="s">
        <v>5980</v>
      </c>
      <c r="S179" s="1563" t="s">
        <v>5792</v>
      </c>
      <c r="T179" s="1563"/>
    </row>
    <row r="180" spans="1:20" s="101" customFormat="1" ht="20.100000000000001" customHeight="1">
      <c r="A180" s="1632"/>
      <c r="B180" s="1994"/>
      <c r="C180" s="1772" t="s">
        <v>7528</v>
      </c>
      <c r="D180" s="1772" t="s">
        <v>79</v>
      </c>
      <c r="E180" s="1772">
        <v>1</v>
      </c>
      <c r="F180" s="1994"/>
      <c r="G180" s="1213" t="s">
        <v>32</v>
      </c>
      <c r="H180" s="1213" t="s">
        <v>33</v>
      </c>
      <c r="I180" s="1863"/>
      <c r="J180" s="1833"/>
      <c r="K180" s="1563" t="s">
        <v>5876</v>
      </c>
      <c r="L180" s="1995"/>
      <c r="M180" s="1995"/>
      <c r="N180" s="1171"/>
      <c r="O180" s="1563" t="s">
        <v>7558</v>
      </c>
      <c r="P180" s="1213" t="s">
        <v>5877</v>
      </c>
      <c r="Q180" s="1213">
        <v>18586187111</v>
      </c>
      <c r="R180" s="1213" t="s">
        <v>5980</v>
      </c>
      <c r="S180" s="1563" t="s">
        <v>5792</v>
      </c>
      <c r="T180" s="1563"/>
    </row>
    <row r="181" spans="1:20" s="101" customFormat="1" ht="20.100000000000001" customHeight="1">
      <c r="A181" s="1632"/>
      <c r="B181" s="1992" t="s">
        <v>7515</v>
      </c>
      <c r="C181" s="1772" t="s">
        <v>7559</v>
      </c>
      <c r="D181" s="1772" t="s">
        <v>7517</v>
      </c>
      <c r="E181" s="1772">
        <v>3</v>
      </c>
      <c r="F181" s="1992">
        <v>8.6</v>
      </c>
      <c r="G181" s="1213" t="s">
        <v>32</v>
      </c>
      <c r="H181" s="1213" t="s">
        <v>33</v>
      </c>
      <c r="I181" s="1863"/>
      <c r="J181" s="1833"/>
      <c r="K181" s="1563" t="s">
        <v>5876</v>
      </c>
      <c r="L181" s="1995"/>
      <c r="M181" s="1995"/>
      <c r="N181" s="1171"/>
      <c r="O181" s="1563" t="s">
        <v>7558</v>
      </c>
      <c r="P181" s="1213" t="s">
        <v>5877</v>
      </c>
      <c r="Q181" s="1213">
        <v>18586187111</v>
      </c>
      <c r="R181" s="1213" t="s">
        <v>5980</v>
      </c>
      <c r="S181" s="1563" t="s">
        <v>5792</v>
      </c>
      <c r="T181" s="1563"/>
    </row>
    <row r="182" spans="1:20" s="101" customFormat="1" ht="20.100000000000001" customHeight="1">
      <c r="A182" s="1632"/>
      <c r="B182" s="1994"/>
      <c r="C182" s="1772" t="s">
        <v>7560</v>
      </c>
      <c r="D182" s="1772" t="s">
        <v>7517</v>
      </c>
      <c r="E182" s="1772">
        <v>3</v>
      </c>
      <c r="F182" s="1994"/>
      <c r="G182" s="1213" t="s">
        <v>32</v>
      </c>
      <c r="H182" s="1213" t="s">
        <v>33</v>
      </c>
      <c r="I182" s="1863"/>
      <c r="J182" s="1833"/>
      <c r="K182" s="1563" t="s">
        <v>5876</v>
      </c>
      <c r="L182" s="1995"/>
      <c r="M182" s="1995"/>
      <c r="N182" s="1171"/>
      <c r="O182" s="1563" t="s">
        <v>7558</v>
      </c>
      <c r="P182" s="1213" t="s">
        <v>5877</v>
      </c>
      <c r="Q182" s="1213">
        <v>18586187111</v>
      </c>
      <c r="R182" s="1213" t="s">
        <v>5980</v>
      </c>
      <c r="S182" s="1563" t="s">
        <v>5792</v>
      </c>
      <c r="T182" s="1563"/>
    </row>
    <row r="183" spans="1:20" s="101" customFormat="1" ht="20.100000000000001" customHeight="1">
      <c r="A183" s="1632"/>
      <c r="B183" s="1218" t="s">
        <v>2149</v>
      </c>
      <c r="C183" s="1565" t="s">
        <v>5880</v>
      </c>
      <c r="D183" s="1565" t="s">
        <v>161</v>
      </c>
      <c r="E183" s="1565">
        <v>24</v>
      </c>
      <c r="F183" s="1565">
        <v>37.92</v>
      </c>
      <c r="G183" s="1217" t="s">
        <v>32</v>
      </c>
      <c r="H183" s="1217" t="s">
        <v>33</v>
      </c>
      <c r="I183" s="1562"/>
      <c r="J183" s="1773"/>
      <c r="K183" s="1774" t="s">
        <v>5881</v>
      </c>
      <c r="L183" s="1996">
        <v>234.03</v>
      </c>
      <c r="M183" s="1998">
        <f>L183</f>
        <v>234.03</v>
      </c>
      <c r="N183" s="1999" t="s">
        <v>5882</v>
      </c>
      <c r="O183" s="1563" t="s">
        <v>5883</v>
      </c>
      <c r="P183" s="1563" t="s">
        <v>5846</v>
      </c>
      <c r="Q183" s="1563">
        <v>18947102015</v>
      </c>
      <c r="R183" s="1563" t="s">
        <v>5847</v>
      </c>
      <c r="S183" s="1563" t="s">
        <v>5792</v>
      </c>
      <c r="T183" s="1216"/>
    </row>
    <row r="184" spans="1:20" s="101" customFormat="1" ht="20.100000000000001" customHeight="1">
      <c r="A184" s="1632"/>
      <c r="B184" s="1218" t="s">
        <v>2149</v>
      </c>
      <c r="C184" s="1565" t="s">
        <v>5884</v>
      </c>
      <c r="D184" s="1565" t="s">
        <v>161</v>
      </c>
      <c r="E184" s="1565">
        <v>60</v>
      </c>
      <c r="F184" s="1565">
        <v>75</v>
      </c>
      <c r="G184" s="1217" t="s">
        <v>32</v>
      </c>
      <c r="H184" s="1217" t="s">
        <v>33</v>
      </c>
      <c r="I184" s="1562"/>
      <c r="J184" s="1562"/>
      <c r="K184" s="1565" t="s">
        <v>5881</v>
      </c>
      <c r="L184" s="1997"/>
      <c r="M184" s="1998"/>
      <c r="N184" s="1999"/>
      <c r="O184" s="1563" t="s">
        <v>5883</v>
      </c>
      <c r="P184" s="1563" t="s">
        <v>5846</v>
      </c>
      <c r="Q184" s="1563">
        <v>18947102015</v>
      </c>
      <c r="R184" s="1563" t="s">
        <v>5847</v>
      </c>
      <c r="S184" s="1563" t="s">
        <v>5792</v>
      </c>
      <c r="T184" s="1216"/>
    </row>
    <row r="185" spans="1:20" s="101" customFormat="1" ht="20.100000000000001" customHeight="1">
      <c r="A185" s="1632"/>
      <c r="B185" s="1218" t="s">
        <v>2149</v>
      </c>
      <c r="C185" s="1565" t="s">
        <v>5885</v>
      </c>
      <c r="D185" s="1565" t="s">
        <v>161</v>
      </c>
      <c r="E185" s="1565">
        <v>30</v>
      </c>
      <c r="F185" s="1565">
        <v>33</v>
      </c>
      <c r="G185" s="1217" t="s">
        <v>32</v>
      </c>
      <c r="H185" s="1217" t="s">
        <v>33</v>
      </c>
      <c r="I185" s="1562"/>
      <c r="J185" s="1562"/>
      <c r="K185" s="1565" t="s">
        <v>5881</v>
      </c>
      <c r="L185" s="1997"/>
      <c r="M185" s="1998"/>
      <c r="N185" s="1999"/>
      <c r="O185" s="1563" t="s">
        <v>5883</v>
      </c>
      <c r="P185" s="1563" t="s">
        <v>5846</v>
      </c>
      <c r="Q185" s="1563">
        <v>18947102015</v>
      </c>
      <c r="R185" s="1563" t="s">
        <v>5847</v>
      </c>
      <c r="S185" s="1563" t="s">
        <v>5792</v>
      </c>
      <c r="T185" s="1216"/>
    </row>
    <row r="186" spans="1:20" s="101" customFormat="1" ht="20.100000000000001" customHeight="1">
      <c r="A186" s="1632"/>
      <c r="B186" s="1218" t="s">
        <v>5886</v>
      </c>
      <c r="C186" s="1565" t="s">
        <v>5887</v>
      </c>
      <c r="D186" s="1565" t="s">
        <v>79</v>
      </c>
      <c r="E186" s="1565">
        <v>2</v>
      </c>
      <c r="F186" s="1565">
        <v>20</v>
      </c>
      <c r="G186" s="1217" t="s">
        <v>32</v>
      </c>
      <c r="H186" s="1217" t="s">
        <v>33</v>
      </c>
      <c r="I186" s="1562"/>
      <c r="J186" s="1562"/>
      <c r="K186" s="1565" t="s">
        <v>5881</v>
      </c>
      <c r="L186" s="1997"/>
      <c r="M186" s="1998"/>
      <c r="N186" s="1999"/>
      <c r="O186" s="1563" t="s">
        <v>5883</v>
      </c>
      <c r="P186" s="1563" t="s">
        <v>5846</v>
      </c>
      <c r="Q186" s="1563">
        <v>18947102015</v>
      </c>
      <c r="R186" s="1563" t="s">
        <v>5847</v>
      </c>
      <c r="S186" s="1563" t="s">
        <v>5792</v>
      </c>
      <c r="T186" s="1216"/>
    </row>
    <row r="187" spans="1:20" s="101" customFormat="1" ht="20.100000000000001" customHeight="1">
      <c r="A187" s="1632"/>
      <c r="B187" s="1218" t="s">
        <v>5886</v>
      </c>
      <c r="C187" s="1565" t="s">
        <v>5888</v>
      </c>
      <c r="D187" s="1565" t="s">
        <v>79</v>
      </c>
      <c r="E187" s="1565">
        <v>2</v>
      </c>
      <c r="F187" s="1565">
        <v>18</v>
      </c>
      <c r="G187" s="1217" t="s">
        <v>32</v>
      </c>
      <c r="H187" s="1217" t="s">
        <v>33</v>
      </c>
      <c r="I187" s="1562"/>
      <c r="J187" s="1562"/>
      <c r="K187" s="1565" t="s">
        <v>5881</v>
      </c>
      <c r="L187" s="1997"/>
      <c r="M187" s="1998"/>
      <c r="N187" s="1999"/>
      <c r="O187" s="1563" t="s">
        <v>5883</v>
      </c>
      <c r="P187" s="1563" t="s">
        <v>5846</v>
      </c>
      <c r="Q187" s="1563">
        <v>18947102015</v>
      </c>
      <c r="R187" s="1563" t="s">
        <v>5847</v>
      </c>
      <c r="S187" s="1563" t="s">
        <v>5792</v>
      </c>
      <c r="T187" s="1216"/>
    </row>
    <row r="188" spans="1:20" s="101" customFormat="1" ht="20.100000000000001" customHeight="1">
      <c r="A188" s="1632"/>
      <c r="B188" s="1218" t="s">
        <v>5889</v>
      </c>
      <c r="C188" s="1565" t="s">
        <v>5888</v>
      </c>
      <c r="D188" s="1565" t="s">
        <v>79</v>
      </c>
      <c r="E188" s="1565">
        <v>6</v>
      </c>
      <c r="F188" s="1565">
        <v>54</v>
      </c>
      <c r="G188" s="1217" t="s">
        <v>32</v>
      </c>
      <c r="H188" s="1217" t="s">
        <v>33</v>
      </c>
      <c r="I188" s="1562"/>
      <c r="J188" s="1562"/>
      <c r="K188" s="1565" t="s">
        <v>5881</v>
      </c>
      <c r="L188" s="1997"/>
      <c r="M188" s="1998"/>
      <c r="N188" s="1999"/>
      <c r="O188" s="1563" t="s">
        <v>5883</v>
      </c>
      <c r="P188" s="1563" t="s">
        <v>5846</v>
      </c>
      <c r="Q188" s="1563">
        <v>18947102015</v>
      </c>
      <c r="R188" s="1563" t="s">
        <v>5847</v>
      </c>
      <c r="S188" s="1563" t="s">
        <v>5792</v>
      </c>
      <c r="T188" s="1216"/>
    </row>
    <row r="189" spans="1:20" s="101" customFormat="1" ht="20.100000000000001" customHeight="1">
      <c r="A189" s="1632"/>
      <c r="B189" s="1218" t="s">
        <v>5889</v>
      </c>
      <c r="C189" s="1565" t="s">
        <v>5890</v>
      </c>
      <c r="D189" s="1565" t="s">
        <v>79</v>
      </c>
      <c r="E189" s="1565">
        <v>2</v>
      </c>
      <c r="F189" s="1565">
        <v>17.399999999999999</v>
      </c>
      <c r="G189" s="1217" t="s">
        <v>32</v>
      </c>
      <c r="H189" s="1217" t="s">
        <v>33</v>
      </c>
      <c r="I189" s="1562"/>
      <c r="J189" s="1562"/>
      <c r="K189" s="1565" t="s">
        <v>5881</v>
      </c>
      <c r="L189" s="1997"/>
      <c r="M189" s="1998"/>
      <c r="N189" s="1999"/>
      <c r="O189" s="1563" t="s">
        <v>5883</v>
      </c>
      <c r="P189" s="1563" t="s">
        <v>5846</v>
      </c>
      <c r="Q189" s="1563">
        <v>18947102015</v>
      </c>
      <c r="R189" s="1563" t="s">
        <v>5847</v>
      </c>
      <c r="S189" s="1563" t="s">
        <v>5792</v>
      </c>
      <c r="T189" s="1216"/>
    </row>
    <row r="190" spans="1:20" s="101" customFormat="1" ht="20.100000000000001" customHeight="1">
      <c r="A190" s="1632"/>
      <c r="B190" s="1218" t="s">
        <v>5891</v>
      </c>
      <c r="C190" s="1565"/>
      <c r="D190" s="1565" t="s">
        <v>79</v>
      </c>
      <c r="E190" s="1565">
        <v>1</v>
      </c>
      <c r="F190" s="1565">
        <v>19</v>
      </c>
      <c r="G190" s="1217" t="s">
        <v>32</v>
      </c>
      <c r="H190" s="1217" t="s">
        <v>33</v>
      </c>
      <c r="I190" s="1562"/>
      <c r="J190" s="1562"/>
      <c r="K190" s="1565" t="s">
        <v>5881</v>
      </c>
      <c r="L190" s="1997"/>
      <c r="M190" s="1998"/>
      <c r="N190" s="1999"/>
      <c r="O190" s="1563" t="s">
        <v>5883</v>
      </c>
      <c r="P190" s="1563" t="s">
        <v>5846</v>
      </c>
      <c r="Q190" s="1563">
        <v>18947102015</v>
      </c>
      <c r="R190" s="1563" t="s">
        <v>5847</v>
      </c>
      <c r="S190" s="1563" t="s">
        <v>5792</v>
      </c>
      <c r="T190" s="1216"/>
    </row>
    <row r="191" spans="1:20" s="101" customFormat="1" ht="20.100000000000001" customHeight="1">
      <c r="A191" s="1632"/>
      <c r="B191" s="1218" t="s">
        <v>243</v>
      </c>
      <c r="C191" s="1565" t="s">
        <v>5888</v>
      </c>
      <c r="D191" s="1565" t="s">
        <v>79</v>
      </c>
      <c r="E191" s="1565">
        <v>2</v>
      </c>
      <c r="F191" s="1565">
        <v>36</v>
      </c>
      <c r="G191" s="1217" t="s">
        <v>32</v>
      </c>
      <c r="H191" s="1217" t="s">
        <v>33</v>
      </c>
      <c r="I191" s="1562"/>
      <c r="J191" s="1562"/>
      <c r="K191" s="1565" t="s">
        <v>5881</v>
      </c>
      <c r="L191" s="1997"/>
      <c r="M191" s="1998"/>
      <c r="N191" s="1999"/>
      <c r="O191" s="1563" t="s">
        <v>5883</v>
      </c>
      <c r="P191" s="1563" t="s">
        <v>5846</v>
      </c>
      <c r="Q191" s="1563">
        <v>18947102015</v>
      </c>
      <c r="R191" s="1563" t="s">
        <v>5847</v>
      </c>
      <c r="S191" s="1563" t="s">
        <v>5792</v>
      </c>
      <c r="T191" s="1216"/>
    </row>
    <row r="192" spans="1:20" s="101" customFormat="1" ht="20.100000000000001" customHeight="1">
      <c r="A192" s="1632"/>
      <c r="B192" s="1218" t="s">
        <v>243</v>
      </c>
      <c r="C192" s="1565" t="s">
        <v>5890</v>
      </c>
      <c r="D192" s="1565" t="s">
        <v>79</v>
      </c>
      <c r="E192" s="1565">
        <v>1</v>
      </c>
      <c r="F192" s="1565">
        <v>15</v>
      </c>
      <c r="G192" s="1217" t="s">
        <v>32</v>
      </c>
      <c r="H192" s="1217" t="s">
        <v>33</v>
      </c>
      <c r="I192" s="1562"/>
      <c r="J192" s="1562"/>
      <c r="K192" s="1565" t="s">
        <v>5881</v>
      </c>
      <c r="L192" s="1997"/>
      <c r="M192" s="1998"/>
      <c r="N192" s="1999"/>
      <c r="O192" s="1563" t="s">
        <v>5883</v>
      </c>
      <c r="P192" s="1563" t="s">
        <v>5846</v>
      </c>
      <c r="Q192" s="1563">
        <v>18947102015</v>
      </c>
      <c r="R192" s="1563" t="s">
        <v>5847</v>
      </c>
      <c r="S192" s="1563" t="s">
        <v>5792</v>
      </c>
      <c r="T192" s="1216"/>
    </row>
    <row r="193" spans="1:20" s="101" customFormat="1" ht="20.100000000000001" customHeight="1">
      <c r="A193" s="1632"/>
      <c r="B193" s="1565" t="s">
        <v>5892</v>
      </c>
      <c r="C193" s="1565"/>
      <c r="D193" s="1565" t="s">
        <v>79</v>
      </c>
      <c r="E193" s="1565">
        <v>2</v>
      </c>
      <c r="F193" s="1219">
        <v>45.29</v>
      </c>
      <c r="G193" s="1565" t="s">
        <v>32</v>
      </c>
      <c r="H193" s="1565" t="s">
        <v>33</v>
      </c>
      <c r="I193" s="1565"/>
      <c r="J193" s="1565"/>
      <c r="K193" s="1565" t="s">
        <v>5893</v>
      </c>
      <c r="L193" s="1219">
        <v>384965</v>
      </c>
      <c r="M193" s="1219">
        <v>384965</v>
      </c>
      <c r="N193" s="1565">
        <v>2021.9</v>
      </c>
      <c r="O193" s="1565" t="s">
        <v>5894</v>
      </c>
      <c r="P193" s="1565" t="s">
        <v>5895</v>
      </c>
      <c r="Q193" s="1565">
        <v>18004806319</v>
      </c>
      <c r="R193" s="1565" t="s">
        <v>5896</v>
      </c>
      <c r="S193" s="1565" t="s">
        <v>5792</v>
      </c>
      <c r="T193" s="1220" t="s">
        <v>5897</v>
      </c>
    </row>
    <row r="194" spans="1:20" s="101" customFormat="1" ht="20.100000000000001" customHeight="1">
      <c r="A194" s="1632"/>
      <c r="B194" s="1565" t="s">
        <v>5892</v>
      </c>
      <c r="C194" s="1565"/>
      <c r="D194" s="1565" t="s">
        <v>79</v>
      </c>
      <c r="E194" s="1565">
        <v>2</v>
      </c>
      <c r="F194" s="1565">
        <v>29.9</v>
      </c>
      <c r="G194" s="1565" t="s">
        <v>32</v>
      </c>
      <c r="H194" s="1565" t="s">
        <v>33</v>
      </c>
      <c r="I194" s="1565"/>
      <c r="J194" s="1565"/>
      <c r="K194" s="1565" t="s">
        <v>5893</v>
      </c>
      <c r="L194" s="1219">
        <v>254150</v>
      </c>
      <c r="M194" s="1219">
        <v>254150</v>
      </c>
      <c r="N194" s="1221">
        <v>2021.1</v>
      </c>
      <c r="O194" s="1565" t="s">
        <v>5894</v>
      </c>
      <c r="P194" s="1565" t="s">
        <v>5895</v>
      </c>
      <c r="Q194" s="1565">
        <v>18004806319</v>
      </c>
      <c r="R194" s="1565" t="s">
        <v>5896</v>
      </c>
      <c r="S194" s="1565" t="s">
        <v>5792</v>
      </c>
      <c r="T194" s="1220" t="s">
        <v>5897</v>
      </c>
    </row>
    <row r="195" spans="1:20" s="101" customFormat="1" ht="20.100000000000001" customHeight="1">
      <c r="A195" s="1632"/>
      <c r="B195" s="1565" t="s">
        <v>5892</v>
      </c>
      <c r="C195" s="1565" t="s">
        <v>5898</v>
      </c>
      <c r="D195" s="1565" t="s">
        <v>2544</v>
      </c>
      <c r="E195" s="1222">
        <v>4</v>
      </c>
      <c r="F195" s="2000">
        <v>27.95</v>
      </c>
      <c r="G195" s="1565" t="s">
        <v>32</v>
      </c>
      <c r="H195" s="1565" t="s">
        <v>33</v>
      </c>
      <c r="I195" s="1565"/>
      <c r="J195" s="1565"/>
      <c r="K195" s="1565" t="s">
        <v>5893</v>
      </c>
      <c r="L195" s="2000">
        <v>215215</v>
      </c>
      <c r="M195" s="2000">
        <v>215215</v>
      </c>
      <c r="N195" s="1565">
        <v>2021.12</v>
      </c>
      <c r="O195" s="1565" t="s">
        <v>5899</v>
      </c>
      <c r="P195" s="1565" t="s">
        <v>5895</v>
      </c>
      <c r="Q195" s="1565">
        <v>18004806319</v>
      </c>
      <c r="R195" s="1565" t="s">
        <v>5896</v>
      </c>
      <c r="S195" s="1565" t="s">
        <v>5792</v>
      </c>
      <c r="T195" s="1220" t="s">
        <v>5897</v>
      </c>
    </row>
    <row r="196" spans="1:20" s="101" customFormat="1" ht="20.100000000000001" customHeight="1">
      <c r="A196" s="1632"/>
      <c r="B196" s="1565" t="s">
        <v>5892</v>
      </c>
      <c r="C196" s="1565" t="s">
        <v>5900</v>
      </c>
      <c r="D196" s="1565" t="s">
        <v>2544</v>
      </c>
      <c r="E196" s="1222">
        <v>4</v>
      </c>
      <c r="F196" s="2000"/>
      <c r="G196" s="1565" t="s">
        <v>32</v>
      </c>
      <c r="H196" s="1565" t="s">
        <v>33</v>
      </c>
      <c r="I196" s="1565"/>
      <c r="J196" s="1565"/>
      <c r="K196" s="1565" t="s">
        <v>5893</v>
      </c>
      <c r="L196" s="2000"/>
      <c r="M196" s="2000"/>
      <c r="N196" s="1565">
        <v>2021.12</v>
      </c>
      <c r="O196" s="1565" t="s">
        <v>5899</v>
      </c>
      <c r="P196" s="1565" t="s">
        <v>5895</v>
      </c>
      <c r="Q196" s="1565">
        <v>18004806319</v>
      </c>
      <c r="R196" s="1565" t="s">
        <v>5896</v>
      </c>
      <c r="S196" s="1565" t="s">
        <v>5792</v>
      </c>
      <c r="T196" s="1220" t="s">
        <v>5897</v>
      </c>
    </row>
    <row r="197" spans="1:20" s="101" customFormat="1" ht="20.100000000000001" customHeight="1">
      <c r="A197" s="1632"/>
      <c r="B197" s="1565" t="s">
        <v>5892</v>
      </c>
      <c r="C197" s="1565" t="s">
        <v>5901</v>
      </c>
      <c r="D197" s="1565" t="s">
        <v>2544</v>
      </c>
      <c r="E197" s="1222">
        <v>12</v>
      </c>
      <c r="F197" s="2000"/>
      <c r="G197" s="1565" t="s">
        <v>32</v>
      </c>
      <c r="H197" s="1565" t="s">
        <v>33</v>
      </c>
      <c r="I197" s="1565"/>
      <c r="J197" s="1565"/>
      <c r="K197" s="1565" t="s">
        <v>5893</v>
      </c>
      <c r="L197" s="2000"/>
      <c r="M197" s="2000"/>
      <c r="N197" s="1565">
        <v>2021.12</v>
      </c>
      <c r="O197" s="1565" t="s">
        <v>5899</v>
      </c>
      <c r="P197" s="1565" t="s">
        <v>5895</v>
      </c>
      <c r="Q197" s="1565">
        <v>18004806319</v>
      </c>
      <c r="R197" s="1565" t="s">
        <v>5896</v>
      </c>
      <c r="S197" s="1565" t="s">
        <v>5792</v>
      </c>
      <c r="T197" s="1220" t="s">
        <v>5897</v>
      </c>
    </row>
    <row r="198" spans="1:20" s="101" customFormat="1" ht="20.100000000000001" customHeight="1">
      <c r="A198" s="1632"/>
      <c r="B198" s="1565" t="s">
        <v>5892</v>
      </c>
      <c r="C198" s="1565" t="s">
        <v>5902</v>
      </c>
      <c r="D198" s="1565" t="s">
        <v>2544</v>
      </c>
      <c r="E198" s="1222">
        <v>12</v>
      </c>
      <c r="F198" s="2000"/>
      <c r="G198" s="1565" t="s">
        <v>32</v>
      </c>
      <c r="H198" s="1565" t="s">
        <v>33</v>
      </c>
      <c r="I198" s="1565"/>
      <c r="J198" s="1565"/>
      <c r="K198" s="1565" t="s">
        <v>5893</v>
      </c>
      <c r="L198" s="2000"/>
      <c r="M198" s="2000"/>
      <c r="N198" s="1565">
        <v>2021.12</v>
      </c>
      <c r="O198" s="1565" t="s">
        <v>5899</v>
      </c>
      <c r="P198" s="1565" t="s">
        <v>5895</v>
      </c>
      <c r="Q198" s="1565">
        <v>18004806319</v>
      </c>
      <c r="R198" s="1565" t="s">
        <v>5896</v>
      </c>
      <c r="S198" s="1565" t="s">
        <v>5792</v>
      </c>
      <c r="T198" s="1220" t="s">
        <v>5897</v>
      </c>
    </row>
    <row r="199" spans="1:20" s="101" customFormat="1" ht="20.100000000000001" customHeight="1">
      <c r="A199" s="1632"/>
      <c r="B199" s="1565" t="s">
        <v>5892</v>
      </c>
      <c r="C199" s="1565" t="s">
        <v>5903</v>
      </c>
      <c r="D199" s="1565" t="s">
        <v>464</v>
      </c>
      <c r="E199" s="1222">
        <v>56</v>
      </c>
      <c r="F199" s="2000"/>
      <c r="G199" s="1565" t="s">
        <v>32</v>
      </c>
      <c r="H199" s="1565" t="s">
        <v>33</v>
      </c>
      <c r="I199" s="1565"/>
      <c r="J199" s="1565"/>
      <c r="K199" s="1565" t="s">
        <v>5893</v>
      </c>
      <c r="L199" s="2000"/>
      <c r="M199" s="2000"/>
      <c r="N199" s="1565">
        <v>2021.12</v>
      </c>
      <c r="O199" s="1565" t="s">
        <v>5899</v>
      </c>
      <c r="P199" s="1565" t="s">
        <v>5895</v>
      </c>
      <c r="Q199" s="1565">
        <v>18004806319</v>
      </c>
      <c r="R199" s="1565" t="s">
        <v>5896</v>
      </c>
      <c r="S199" s="1565" t="s">
        <v>5792</v>
      </c>
      <c r="T199" s="1220" t="s">
        <v>5897</v>
      </c>
    </row>
    <row r="200" spans="1:20" s="101" customFormat="1" ht="20.100000000000001" customHeight="1">
      <c r="A200" s="1632"/>
      <c r="B200" s="1565" t="s">
        <v>5892</v>
      </c>
      <c r="C200" s="1565" t="s">
        <v>5904</v>
      </c>
      <c r="D200" s="1565" t="s">
        <v>2544</v>
      </c>
      <c r="E200" s="1222">
        <v>224</v>
      </c>
      <c r="F200" s="2000"/>
      <c r="G200" s="1565" t="s">
        <v>32</v>
      </c>
      <c r="H200" s="1565" t="s">
        <v>33</v>
      </c>
      <c r="I200" s="1565"/>
      <c r="J200" s="1565"/>
      <c r="K200" s="1565" t="s">
        <v>5893</v>
      </c>
      <c r="L200" s="2000"/>
      <c r="M200" s="2000"/>
      <c r="N200" s="1565">
        <v>2021.12</v>
      </c>
      <c r="O200" s="1565" t="s">
        <v>5899</v>
      </c>
      <c r="P200" s="1565" t="s">
        <v>5895</v>
      </c>
      <c r="Q200" s="1565">
        <v>18004806319</v>
      </c>
      <c r="R200" s="1565" t="s">
        <v>5896</v>
      </c>
      <c r="S200" s="1565" t="s">
        <v>5792</v>
      </c>
      <c r="T200" s="1220" t="s">
        <v>5897</v>
      </c>
    </row>
    <row r="201" spans="1:20" s="101" customFormat="1" ht="20.100000000000001" customHeight="1">
      <c r="A201" s="1632"/>
      <c r="B201" s="1565" t="s">
        <v>5892</v>
      </c>
      <c r="C201" s="1565" t="s">
        <v>5905</v>
      </c>
      <c r="D201" s="1565" t="s">
        <v>79</v>
      </c>
      <c r="E201" s="1222">
        <v>540</v>
      </c>
      <c r="F201" s="2000"/>
      <c r="G201" s="1565" t="s">
        <v>32</v>
      </c>
      <c r="H201" s="1565" t="s">
        <v>33</v>
      </c>
      <c r="I201" s="1565"/>
      <c r="J201" s="1565"/>
      <c r="K201" s="1565" t="s">
        <v>5893</v>
      </c>
      <c r="L201" s="2000"/>
      <c r="M201" s="2000"/>
      <c r="N201" s="1565">
        <v>2021.12</v>
      </c>
      <c r="O201" s="1565" t="s">
        <v>5899</v>
      </c>
      <c r="P201" s="1565" t="s">
        <v>5895</v>
      </c>
      <c r="Q201" s="1565">
        <v>18004806319</v>
      </c>
      <c r="R201" s="1565" t="s">
        <v>5896</v>
      </c>
      <c r="S201" s="1565" t="s">
        <v>5792</v>
      </c>
      <c r="T201" s="1220" t="s">
        <v>5897</v>
      </c>
    </row>
    <row r="202" spans="1:20" s="101" customFormat="1" ht="20.100000000000001" customHeight="1">
      <c r="A202" s="1632"/>
      <c r="B202" s="1223"/>
      <c r="C202" s="1224"/>
      <c r="D202" s="1224"/>
      <c r="E202" s="1224"/>
      <c r="F202" s="1213"/>
      <c r="G202" s="1217"/>
      <c r="H202" s="1217"/>
      <c r="I202" s="1562"/>
      <c r="J202" s="1225"/>
      <c r="K202" s="1565"/>
      <c r="L202" s="1226"/>
      <c r="M202" s="951"/>
      <c r="N202" s="1194"/>
      <c r="O202" s="1213"/>
      <c r="P202" s="1213"/>
      <c r="Q202" s="1213"/>
      <c r="R202" s="1213"/>
      <c r="S202" s="1563"/>
      <c r="T202" s="1216"/>
    </row>
    <row r="203" spans="1:20" s="101" customFormat="1" ht="20.100000000000001" customHeight="1">
      <c r="A203" s="1632"/>
      <c r="B203" s="1213"/>
      <c r="C203" s="1213"/>
      <c r="D203" s="1213"/>
      <c r="E203" s="1213"/>
      <c r="F203" s="1213"/>
      <c r="G203" s="1213"/>
      <c r="H203" s="1213"/>
      <c r="I203" s="1562"/>
      <c r="J203" s="1225"/>
      <c r="K203" s="1227"/>
      <c r="L203" s="1226"/>
      <c r="M203" s="951"/>
      <c r="N203" s="1194"/>
      <c r="O203" s="1213"/>
      <c r="P203" s="1213"/>
      <c r="Q203" s="1213"/>
      <c r="R203" s="1213"/>
      <c r="S203" s="1563"/>
      <c r="T203" s="1216"/>
    </row>
    <row r="204" spans="1:20" s="101" customFormat="1" ht="20.100000000000001" customHeight="1">
      <c r="A204" s="1632"/>
      <c r="B204" s="1213"/>
      <c r="C204" s="1213"/>
      <c r="D204" s="1213"/>
      <c r="E204" s="1213"/>
      <c r="F204" s="1213"/>
      <c r="G204" s="1213"/>
      <c r="H204" s="1213"/>
      <c r="I204" s="1562"/>
      <c r="J204" s="1225"/>
      <c r="K204" s="1227"/>
      <c r="L204" s="1226"/>
      <c r="M204" s="951"/>
      <c r="N204" s="1194"/>
      <c r="O204" s="1213"/>
      <c r="P204" s="1213"/>
      <c r="Q204" s="1213"/>
      <c r="R204" s="1213"/>
      <c r="S204" s="1563"/>
      <c r="T204" s="1216"/>
    </row>
    <row r="205" spans="1:20" s="101" customFormat="1" ht="20.100000000000001" customHeight="1">
      <c r="A205" s="1632"/>
      <c r="B205" s="1213"/>
      <c r="C205" s="1213"/>
      <c r="D205" s="1213"/>
      <c r="E205" s="1213"/>
      <c r="F205" s="1213"/>
      <c r="G205" s="1213"/>
      <c r="H205" s="1213"/>
      <c r="I205" s="1562"/>
      <c r="J205" s="1225"/>
      <c r="K205" s="1227"/>
      <c r="L205" s="1226"/>
      <c r="M205" s="951"/>
      <c r="N205" s="1194"/>
      <c r="O205" s="1213"/>
      <c r="P205" s="1213"/>
      <c r="Q205" s="1213"/>
      <c r="R205" s="1213"/>
      <c r="S205" s="1563"/>
      <c r="T205" s="1216"/>
    </row>
    <row r="206" spans="1:20" s="101" customFormat="1" ht="20.100000000000001" customHeight="1">
      <c r="A206" s="1632"/>
      <c r="B206" s="1213"/>
      <c r="C206" s="1213"/>
      <c r="D206" s="1213"/>
      <c r="E206" s="1213"/>
      <c r="F206" s="1213"/>
      <c r="G206" s="1213"/>
      <c r="H206" s="1213"/>
      <c r="I206" s="1562"/>
      <c r="J206" s="1225"/>
      <c r="K206" s="1227"/>
      <c r="L206" s="1226"/>
      <c r="M206" s="951"/>
      <c r="N206" s="1194"/>
      <c r="O206" s="1213"/>
      <c r="P206" s="1213"/>
      <c r="Q206" s="1213"/>
      <c r="R206" s="1213"/>
      <c r="S206" s="1563"/>
      <c r="T206" s="1216"/>
    </row>
    <row r="207" spans="1:20" s="101" customFormat="1" ht="20.100000000000001" customHeight="1">
      <c r="A207" s="1632"/>
      <c r="B207" s="1213"/>
      <c r="C207" s="1213"/>
      <c r="D207" s="1213"/>
      <c r="E207" s="1213"/>
      <c r="F207" s="1213"/>
      <c r="G207" s="1213"/>
      <c r="H207" s="1213"/>
      <c r="I207" s="1562"/>
      <c r="J207" s="1225"/>
      <c r="K207" s="1227"/>
      <c r="L207" s="1226"/>
      <c r="M207" s="951"/>
      <c r="N207" s="1194"/>
      <c r="O207" s="1213"/>
      <c r="P207" s="1213"/>
      <c r="Q207" s="1213"/>
      <c r="R207" s="1213"/>
      <c r="S207" s="1563"/>
      <c r="T207" s="1216"/>
    </row>
    <row r="208" spans="1:20" s="101" customFormat="1" ht="20.100000000000001" customHeight="1">
      <c r="A208" s="1632"/>
      <c r="B208" s="1213"/>
      <c r="C208" s="1213"/>
      <c r="D208" s="1213"/>
      <c r="E208" s="1213"/>
      <c r="F208" s="1213"/>
      <c r="G208" s="1213"/>
      <c r="H208" s="1213"/>
      <c r="I208" s="1562"/>
      <c r="J208" s="1225"/>
      <c r="K208" s="1227"/>
      <c r="L208" s="1226"/>
      <c r="M208" s="951"/>
      <c r="N208" s="1194"/>
      <c r="O208" s="1213"/>
      <c r="P208" s="1213"/>
      <c r="Q208" s="1213"/>
      <c r="R208" s="1213"/>
      <c r="S208" s="1563"/>
      <c r="T208" s="1216"/>
    </row>
    <row r="209" spans="1:20" s="1018" customFormat="1" ht="20.100000000000001" customHeight="1">
      <c r="A209" s="1632"/>
      <c r="B209" s="1771" t="s">
        <v>28</v>
      </c>
      <c r="C209" s="1771"/>
      <c r="D209" s="1770"/>
      <c r="E209" s="1771"/>
      <c r="F209" s="1771"/>
      <c r="G209" s="1771"/>
      <c r="H209" s="1771"/>
      <c r="I209" s="1770"/>
      <c r="J209" s="1771"/>
      <c r="K209" s="1561" t="s">
        <v>5906</v>
      </c>
      <c r="L209" s="1771"/>
      <c r="M209" s="1195"/>
      <c r="N209" s="1771"/>
      <c r="O209" s="1771"/>
      <c r="P209" s="1770"/>
      <c r="Q209" s="1771"/>
      <c r="R209" s="1771"/>
      <c r="S209" s="1196"/>
      <c r="T209" s="1564"/>
    </row>
    <row r="210" spans="1:20" s="1018" customFormat="1" ht="20.100000000000001" customHeight="1">
      <c r="A210" s="1632"/>
      <c r="B210" s="1563" t="s">
        <v>28</v>
      </c>
      <c r="C210" s="1563" t="s">
        <v>5907</v>
      </c>
      <c r="D210" s="1563" t="s">
        <v>79</v>
      </c>
      <c r="E210" s="1563">
        <v>1</v>
      </c>
      <c r="F210" s="1563">
        <v>21.825849056603801</v>
      </c>
      <c r="G210" s="1563" t="s">
        <v>32</v>
      </c>
      <c r="H210" s="1563" t="s">
        <v>41</v>
      </c>
      <c r="I210" s="1563" t="s">
        <v>5908</v>
      </c>
      <c r="J210" s="1563" t="s">
        <v>5799</v>
      </c>
      <c r="K210" s="1563" t="s">
        <v>5805</v>
      </c>
      <c r="L210" s="1563">
        <v>115677</v>
      </c>
      <c r="M210" s="1563">
        <v>80973.899999999994</v>
      </c>
      <c r="N210" s="1563">
        <v>2016.8</v>
      </c>
      <c r="O210" s="1563" t="s">
        <v>5801</v>
      </c>
      <c r="P210" s="1563" t="s">
        <v>5802</v>
      </c>
      <c r="Q210" s="1563">
        <v>13842003200</v>
      </c>
      <c r="R210" s="1563" t="s">
        <v>5803</v>
      </c>
      <c r="S210" s="1563" t="s">
        <v>5792</v>
      </c>
      <c r="T210" s="1564"/>
    </row>
    <row r="211" spans="1:20" s="1018" customFormat="1" ht="20.100000000000001" customHeight="1">
      <c r="A211" s="1632"/>
      <c r="B211" s="1563" t="s">
        <v>28</v>
      </c>
      <c r="C211" s="1563" t="s">
        <v>60</v>
      </c>
      <c r="D211" s="1563" t="s">
        <v>79</v>
      </c>
      <c r="E211" s="1563">
        <v>2</v>
      </c>
      <c r="F211" s="1563">
        <v>19.7</v>
      </c>
      <c r="G211" s="1563" t="s">
        <v>32</v>
      </c>
      <c r="H211" s="1563" t="s">
        <v>41</v>
      </c>
      <c r="I211" s="1563" t="s">
        <v>5908</v>
      </c>
      <c r="J211" s="1563" t="s">
        <v>5799</v>
      </c>
      <c r="K211" s="1563" t="s">
        <v>5805</v>
      </c>
      <c r="L211" s="1563">
        <v>108500</v>
      </c>
      <c r="M211" s="1563">
        <v>75950</v>
      </c>
      <c r="N211" s="1563">
        <v>2016.8</v>
      </c>
      <c r="O211" s="1563" t="s">
        <v>5801</v>
      </c>
      <c r="P211" s="1563" t="s">
        <v>5802</v>
      </c>
      <c r="Q211" s="1563">
        <v>13842003200</v>
      </c>
      <c r="R211" s="1563" t="s">
        <v>5803</v>
      </c>
      <c r="S211" s="1563" t="s">
        <v>5792</v>
      </c>
      <c r="T211" s="1564"/>
    </row>
    <row r="212" spans="1:20" s="1018" customFormat="1" ht="20.100000000000001" customHeight="1">
      <c r="A212" s="1632"/>
      <c r="B212" s="1563" t="s">
        <v>28</v>
      </c>
      <c r="C212" s="1563" t="s">
        <v>5909</v>
      </c>
      <c r="D212" s="1563" t="s">
        <v>79</v>
      </c>
      <c r="E212" s="1563">
        <v>1</v>
      </c>
      <c r="F212" s="1563">
        <v>31</v>
      </c>
      <c r="G212" s="1563" t="s">
        <v>32</v>
      </c>
      <c r="H212" s="1563" t="s">
        <v>41</v>
      </c>
      <c r="I212" s="1563" t="s">
        <v>5908</v>
      </c>
      <c r="J212" s="1563" t="s">
        <v>5799</v>
      </c>
      <c r="K212" s="1563" t="s">
        <v>5910</v>
      </c>
      <c r="L212" s="1563">
        <v>161200</v>
      </c>
      <c r="M212" s="1563">
        <v>112840</v>
      </c>
      <c r="N212" s="1563">
        <v>2016.7</v>
      </c>
      <c r="O212" s="1563" t="s">
        <v>5801</v>
      </c>
      <c r="P212" s="1563" t="s">
        <v>5802</v>
      </c>
      <c r="Q212" s="1563">
        <v>13842003200</v>
      </c>
      <c r="R212" s="1563" t="s">
        <v>5803</v>
      </c>
      <c r="S212" s="1563" t="s">
        <v>5792</v>
      </c>
      <c r="T212" s="1564"/>
    </row>
    <row r="213" spans="1:20" s="1018" customFormat="1" ht="20.100000000000001" customHeight="1">
      <c r="A213" s="1632"/>
      <c r="B213" s="1563" t="s">
        <v>28</v>
      </c>
      <c r="C213" s="1563" t="s">
        <v>5911</v>
      </c>
      <c r="D213" s="1563" t="s">
        <v>79</v>
      </c>
      <c r="E213" s="1563">
        <v>1</v>
      </c>
      <c r="F213" s="1563">
        <v>15</v>
      </c>
      <c r="G213" s="1563" t="s">
        <v>32</v>
      </c>
      <c r="H213" s="1563" t="s">
        <v>41</v>
      </c>
      <c r="I213" s="1563" t="s">
        <v>5908</v>
      </c>
      <c r="J213" s="1563" t="s">
        <v>5799</v>
      </c>
      <c r="K213" s="1563" t="s">
        <v>5910</v>
      </c>
      <c r="L213" s="1563">
        <v>78000</v>
      </c>
      <c r="M213" s="1563">
        <v>54600</v>
      </c>
      <c r="N213" s="1563">
        <v>2016.7</v>
      </c>
      <c r="O213" s="1563" t="s">
        <v>5801</v>
      </c>
      <c r="P213" s="1563" t="s">
        <v>5802</v>
      </c>
      <c r="Q213" s="1563">
        <v>13842003200</v>
      </c>
      <c r="R213" s="1563" t="s">
        <v>5803</v>
      </c>
      <c r="S213" s="1563" t="s">
        <v>5792</v>
      </c>
      <c r="T213" s="1564"/>
    </row>
    <row r="214" spans="1:20" s="1018" customFormat="1" ht="20.100000000000001" customHeight="1">
      <c r="A214" s="1632"/>
      <c r="B214" s="1228"/>
      <c r="C214" s="1228"/>
      <c r="D214" s="1228"/>
      <c r="E214" s="143"/>
      <c r="F214" s="1229"/>
      <c r="G214" s="143"/>
      <c r="H214" s="143"/>
      <c r="I214" s="1206"/>
      <c r="J214" s="1206"/>
      <c r="K214" s="1206"/>
      <c r="L214" s="1206"/>
      <c r="M214" s="1206"/>
      <c r="N214" s="1230"/>
      <c r="O214" s="1230"/>
      <c r="P214" s="1632"/>
      <c r="Q214" s="1634"/>
      <c r="R214" s="1634"/>
      <c r="S214" s="1564"/>
      <c r="T214" s="1564"/>
    </row>
    <row r="215" spans="1:20" s="1018" customFormat="1" ht="20.100000000000001" customHeight="1">
      <c r="A215" s="1770">
        <v>4</v>
      </c>
      <c r="B215" s="1771" t="s">
        <v>353</v>
      </c>
      <c r="C215" s="1771"/>
      <c r="D215" s="1770"/>
      <c r="E215" s="1771"/>
      <c r="F215" s="1771"/>
      <c r="G215" s="1771"/>
      <c r="H215" s="1771"/>
      <c r="I215" s="1770"/>
      <c r="J215" s="1771"/>
      <c r="K215" s="1771"/>
      <c r="L215" s="1771"/>
      <c r="M215" s="1195"/>
      <c r="N215" s="1771"/>
      <c r="O215" s="1771"/>
      <c r="P215" s="1770"/>
      <c r="Q215" s="1771"/>
      <c r="R215" s="1771"/>
      <c r="S215" s="1196"/>
      <c r="T215" s="1564"/>
    </row>
    <row r="216" spans="1:20" s="1018" customFormat="1" ht="20.100000000000001" customHeight="1">
      <c r="A216" s="1632"/>
      <c r="B216" s="1634" t="s">
        <v>3717</v>
      </c>
      <c r="C216" s="1634"/>
      <c r="D216" s="1632"/>
      <c r="E216" s="1634"/>
      <c r="F216" s="1634"/>
      <c r="G216" s="1634"/>
      <c r="H216" s="1634"/>
      <c r="I216" s="1632"/>
      <c r="J216" s="1634"/>
      <c r="K216" s="1634"/>
      <c r="L216" s="1634"/>
      <c r="M216" s="1194"/>
      <c r="N216" s="1634"/>
      <c r="O216" s="1634"/>
      <c r="P216" s="1632"/>
      <c r="Q216" s="1634"/>
      <c r="R216" s="1634"/>
      <c r="S216" s="1564"/>
      <c r="T216" s="1564"/>
    </row>
    <row r="217" spans="1:20" s="1018" customFormat="1" ht="20.100000000000001" customHeight="1">
      <c r="A217" s="1770">
        <v>5</v>
      </c>
      <c r="B217" s="1771" t="s">
        <v>510</v>
      </c>
      <c r="C217" s="1771"/>
      <c r="D217" s="1770"/>
      <c r="E217" s="1771"/>
      <c r="F217" s="1771"/>
      <c r="G217" s="1771"/>
      <c r="H217" s="1771"/>
      <c r="I217" s="1770"/>
      <c r="J217" s="1771"/>
      <c r="K217" s="1771"/>
      <c r="L217" s="1771"/>
      <c r="M217" s="1195"/>
      <c r="N217" s="1771"/>
      <c r="O217" s="1771"/>
      <c r="P217" s="1770"/>
      <c r="Q217" s="1771"/>
      <c r="R217" s="1771"/>
      <c r="S217" s="1196"/>
      <c r="T217" s="1564"/>
    </row>
    <row r="218" spans="1:20" s="1198" customFormat="1" ht="20.100000000000001" customHeight="1">
      <c r="A218" s="143"/>
      <c r="B218" s="1563" t="s">
        <v>4679</v>
      </c>
      <c r="C218" s="1563" t="s">
        <v>34</v>
      </c>
      <c r="D218" s="1563" t="s">
        <v>79</v>
      </c>
      <c r="E218" s="1563">
        <v>1</v>
      </c>
      <c r="F218" s="1563" t="s">
        <v>34</v>
      </c>
      <c r="G218" s="1563" t="s">
        <v>5912</v>
      </c>
      <c r="H218" s="1563" t="s">
        <v>5913</v>
      </c>
      <c r="I218" s="1563" t="s">
        <v>34</v>
      </c>
      <c r="J218" s="1563" t="s">
        <v>34</v>
      </c>
      <c r="K218" s="1563"/>
      <c r="L218" s="1563"/>
      <c r="M218" s="1563" t="s">
        <v>34</v>
      </c>
      <c r="N218" s="1563" t="s">
        <v>34</v>
      </c>
      <c r="O218" s="1563" t="s">
        <v>5914</v>
      </c>
      <c r="P218" s="1563" t="s">
        <v>5781</v>
      </c>
      <c r="Q218" s="1563">
        <v>15694713641</v>
      </c>
      <c r="R218" s="1563" t="s">
        <v>5782</v>
      </c>
      <c r="S218" s="1563" t="s">
        <v>5783</v>
      </c>
      <c r="T218" s="1197"/>
    </row>
    <row r="219" spans="1:20" s="1198" customFormat="1" ht="20.100000000000001" customHeight="1">
      <c r="A219" s="143"/>
      <c r="B219" s="1563" t="s">
        <v>5915</v>
      </c>
      <c r="C219" s="1563" t="s">
        <v>5916</v>
      </c>
      <c r="D219" s="1563" t="s">
        <v>161</v>
      </c>
      <c r="E219" s="1563">
        <v>424</v>
      </c>
      <c r="F219" s="1563"/>
      <c r="G219" s="1563" t="s">
        <v>32</v>
      </c>
      <c r="H219" s="1563" t="s">
        <v>33</v>
      </c>
      <c r="I219" s="1563"/>
      <c r="J219" s="1563"/>
      <c r="K219" s="1565" t="s">
        <v>2826</v>
      </c>
      <c r="L219" s="1231">
        <v>954000</v>
      </c>
      <c r="M219" s="1231">
        <v>954000</v>
      </c>
      <c r="N219" s="1565" t="s">
        <v>5917</v>
      </c>
      <c r="O219" s="1563" t="s">
        <v>5918</v>
      </c>
      <c r="P219" s="1563" t="s">
        <v>5846</v>
      </c>
      <c r="Q219" s="1563">
        <v>18947102015</v>
      </c>
      <c r="R219" s="1563" t="s">
        <v>5847</v>
      </c>
      <c r="S219" s="1563" t="s">
        <v>5792</v>
      </c>
      <c r="T219" s="1197"/>
    </row>
    <row r="220" spans="1:20" s="1198" customFormat="1" ht="36.200000000000003" customHeight="1">
      <c r="A220" s="143"/>
      <c r="B220" s="1565" t="s">
        <v>5919</v>
      </c>
      <c r="C220" s="1565" t="s">
        <v>5920</v>
      </c>
      <c r="D220" s="1565" t="s">
        <v>79</v>
      </c>
      <c r="E220" s="1565">
        <v>3</v>
      </c>
      <c r="F220" s="1565">
        <v>90</v>
      </c>
      <c r="G220" s="1563" t="s">
        <v>32</v>
      </c>
      <c r="H220" s="1563" t="s">
        <v>33</v>
      </c>
      <c r="I220" s="1563"/>
      <c r="J220" s="1563"/>
      <c r="K220" s="1563" t="s">
        <v>5921</v>
      </c>
      <c r="L220" s="1565">
        <v>804000</v>
      </c>
      <c r="M220" s="1565">
        <v>804000</v>
      </c>
      <c r="N220" s="1565" t="s">
        <v>5922</v>
      </c>
      <c r="O220" s="1563" t="s">
        <v>5918</v>
      </c>
      <c r="P220" s="1563" t="s">
        <v>5846</v>
      </c>
      <c r="Q220" s="1563">
        <v>18947102015</v>
      </c>
      <c r="R220" s="1563" t="s">
        <v>5847</v>
      </c>
      <c r="S220" s="1563" t="s">
        <v>5792</v>
      </c>
      <c r="T220" s="1197"/>
    </row>
    <row r="221" spans="1:20" s="1198" customFormat="1" ht="20.100000000000001" customHeight="1">
      <c r="A221" s="143"/>
      <c r="B221" s="1563"/>
      <c r="C221" s="1563"/>
      <c r="D221" s="1563"/>
      <c r="E221" s="1563"/>
      <c r="F221" s="1563"/>
      <c r="G221" s="1563"/>
      <c r="H221" s="1563"/>
      <c r="I221" s="1563"/>
      <c r="J221" s="1563"/>
      <c r="K221" s="1563"/>
      <c r="L221" s="1563"/>
      <c r="M221" s="1563"/>
      <c r="N221" s="1563"/>
      <c r="O221" s="1563"/>
      <c r="P221" s="1563"/>
      <c r="Q221" s="1563"/>
      <c r="R221" s="1563"/>
      <c r="S221" s="1563"/>
      <c r="T221" s="1197"/>
    </row>
    <row r="222" spans="1:20" s="1198" customFormat="1" ht="20.100000000000001" customHeight="1">
      <c r="A222" s="143"/>
      <c r="B222" s="1563"/>
      <c r="C222" s="1563"/>
      <c r="D222" s="1563"/>
      <c r="E222" s="1563"/>
      <c r="F222" s="1563"/>
      <c r="G222" s="1563"/>
      <c r="H222" s="1563"/>
      <c r="I222" s="1563"/>
      <c r="J222" s="1563"/>
      <c r="K222" s="1563"/>
      <c r="L222" s="1563"/>
      <c r="M222" s="1563"/>
      <c r="N222" s="1563"/>
      <c r="O222" s="1563"/>
      <c r="P222" s="1563"/>
      <c r="Q222" s="1563"/>
      <c r="R222" s="1563"/>
      <c r="S222" s="1563"/>
      <c r="T222" s="1197"/>
    </row>
    <row r="223" spans="1:20" s="1198" customFormat="1" ht="20.100000000000001" customHeight="1">
      <c r="A223" s="143"/>
      <c r="B223" s="1563"/>
      <c r="C223" s="1563"/>
      <c r="D223" s="1563"/>
      <c r="E223" s="1563"/>
      <c r="F223" s="1563"/>
      <c r="G223" s="1563"/>
      <c r="H223" s="1563"/>
      <c r="I223" s="1563"/>
      <c r="J223" s="1563"/>
      <c r="K223" s="1563"/>
      <c r="L223" s="1563"/>
      <c r="M223" s="1563"/>
      <c r="N223" s="1563"/>
      <c r="O223" s="1563"/>
      <c r="P223" s="1563"/>
      <c r="Q223" s="1563"/>
      <c r="R223" s="1563"/>
      <c r="S223" s="1563"/>
      <c r="T223" s="1197"/>
    </row>
    <row r="224" spans="1:20" s="1198" customFormat="1" ht="20.100000000000001" customHeight="1">
      <c r="A224" s="143"/>
      <c r="B224" s="1563"/>
      <c r="C224" s="1563"/>
      <c r="D224" s="1563"/>
      <c r="E224" s="1563"/>
      <c r="F224" s="1563"/>
      <c r="G224" s="1563"/>
      <c r="H224" s="1563"/>
      <c r="I224" s="1563"/>
      <c r="J224" s="1563"/>
      <c r="K224" s="1563"/>
      <c r="L224" s="1563"/>
      <c r="M224" s="1563"/>
      <c r="N224" s="1563"/>
      <c r="O224" s="1563"/>
      <c r="P224" s="1563"/>
      <c r="Q224" s="1563"/>
      <c r="R224" s="1563"/>
      <c r="S224" s="1563"/>
      <c r="T224" s="1197"/>
    </row>
    <row r="225" spans="1:20" s="1198" customFormat="1" ht="20.100000000000001" customHeight="1">
      <c r="A225" s="143"/>
      <c r="B225" s="1563"/>
      <c r="C225" s="1563"/>
      <c r="D225" s="1563"/>
      <c r="E225" s="1563"/>
      <c r="F225" s="1563"/>
      <c r="G225" s="1563"/>
      <c r="H225" s="1563"/>
      <c r="I225" s="1563"/>
      <c r="J225" s="1563"/>
      <c r="K225" s="1563"/>
      <c r="L225" s="1563"/>
      <c r="M225" s="1563"/>
      <c r="N225" s="1563"/>
      <c r="O225" s="1563"/>
      <c r="P225" s="1563"/>
      <c r="Q225" s="1563"/>
      <c r="R225" s="1563"/>
      <c r="S225" s="1563"/>
      <c r="T225" s="1197"/>
    </row>
    <row r="226" spans="1:20" s="1198" customFormat="1" ht="20.100000000000001" customHeight="1">
      <c r="A226" s="143"/>
      <c r="B226" s="1563"/>
      <c r="C226" s="1563"/>
      <c r="D226" s="1563"/>
      <c r="E226" s="1563"/>
      <c r="F226" s="1563"/>
      <c r="G226" s="1563"/>
      <c r="H226" s="1563"/>
      <c r="I226" s="1563"/>
      <c r="J226" s="1563"/>
      <c r="K226" s="1563"/>
      <c r="L226" s="1563"/>
      <c r="M226" s="1563"/>
      <c r="N226" s="1563"/>
      <c r="O226" s="1563"/>
      <c r="P226" s="1563"/>
      <c r="Q226" s="1563"/>
      <c r="R226" s="1563"/>
      <c r="S226" s="1563"/>
      <c r="T226" s="1197"/>
    </row>
    <row r="227" spans="1:20" s="1018" customFormat="1" ht="20.100000000000001" customHeight="1">
      <c r="A227" s="1632"/>
      <c r="B227" s="1634" t="s">
        <v>3717</v>
      </c>
      <c r="C227" s="1634"/>
      <c r="D227" s="1632"/>
      <c r="E227" s="1634"/>
      <c r="F227" s="1634"/>
      <c r="G227" s="1634"/>
      <c r="H227" s="1634"/>
      <c r="I227" s="1632"/>
      <c r="J227" s="1634"/>
      <c r="K227" s="1634"/>
      <c r="L227" s="1634"/>
      <c r="M227" s="1194"/>
      <c r="N227" s="1634"/>
      <c r="O227" s="1634"/>
      <c r="P227" s="1632"/>
      <c r="Q227" s="1634"/>
      <c r="R227" s="1634"/>
      <c r="S227" s="1564"/>
      <c r="T227" s="1564"/>
    </row>
    <row r="228" spans="1:20" s="1030" customFormat="1" ht="20.100000000000001" customHeight="1">
      <c r="A228" s="1232" t="s">
        <v>511</v>
      </c>
      <c r="B228" s="1233" t="s">
        <v>512</v>
      </c>
      <c r="C228" s="1234"/>
      <c r="D228" s="1234"/>
      <c r="E228" s="1234"/>
      <c r="F228" s="1234"/>
      <c r="G228" s="1234"/>
      <c r="H228" s="1234"/>
      <c r="I228" s="1234"/>
      <c r="J228" s="1234"/>
      <c r="K228" s="1234"/>
      <c r="L228" s="1234"/>
      <c r="M228" s="1234"/>
      <c r="N228" s="1234"/>
      <c r="O228" s="1234"/>
      <c r="P228" s="1234"/>
      <c r="Q228" s="1234"/>
      <c r="R228" s="1234"/>
      <c r="S228" s="1234"/>
      <c r="T228" s="1232"/>
    </row>
    <row r="229" spans="1:20" s="1030" customFormat="1" ht="20.100000000000001" customHeight="1">
      <c r="A229" s="1232">
        <v>1</v>
      </c>
      <c r="B229" s="1232" t="s">
        <v>513</v>
      </c>
      <c r="C229" s="1232" t="s">
        <v>2586</v>
      </c>
      <c r="D229" s="1232"/>
      <c r="E229" s="1232"/>
      <c r="F229" s="1232"/>
      <c r="G229" s="1232"/>
      <c r="H229" s="1232"/>
      <c r="I229" s="1232"/>
      <c r="J229" s="1232"/>
      <c r="K229" s="1232"/>
      <c r="L229" s="1232"/>
      <c r="M229" s="1232"/>
      <c r="N229" s="1232"/>
      <c r="O229" s="1232"/>
      <c r="P229" s="1232"/>
      <c r="Q229" s="1232"/>
      <c r="R229" s="1232"/>
      <c r="S229" s="1232"/>
      <c r="T229" s="1232"/>
    </row>
    <row r="230" spans="1:20" s="1030" customFormat="1" ht="20.100000000000001" customHeight="1">
      <c r="A230" s="1232"/>
      <c r="B230" s="1232" t="s">
        <v>526</v>
      </c>
      <c r="C230" s="1232" t="s">
        <v>4344</v>
      </c>
      <c r="D230" s="1232" t="s">
        <v>161</v>
      </c>
      <c r="E230" s="1232">
        <v>530</v>
      </c>
      <c r="F230" s="1232" t="s">
        <v>34</v>
      </c>
      <c r="G230" s="1232" t="s">
        <v>3560</v>
      </c>
      <c r="H230" s="1563" t="s">
        <v>33</v>
      </c>
      <c r="I230" s="1563"/>
      <c r="J230" s="1563"/>
      <c r="K230" s="1563"/>
      <c r="L230" s="1563"/>
      <c r="M230" s="1563"/>
      <c r="N230" s="1563"/>
      <c r="O230" s="1563" t="s">
        <v>5780</v>
      </c>
      <c r="P230" s="1563"/>
      <c r="Q230" s="1563"/>
      <c r="R230" s="1563" t="s">
        <v>5923</v>
      </c>
      <c r="S230" s="1563" t="s">
        <v>5783</v>
      </c>
      <c r="T230" s="1564"/>
    </row>
    <row r="231" spans="1:20" s="1030" customFormat="1" ht="20.100000000000001" customHeight="1">
      <c r="A231" s="1232"/>
      <c r="B231" s="1232" t="s">
        <v>526</v>
      </c>
      <c r="C231" s="1232" t="s">
        <v>4340</v>
      </c>
      <c r="D231" s="1232" t="s">
        <v>161</v>
      </c>
      <c r="E231" s="1232">
        <v>230</v>
      </c>
      <c r="F231" s="1232" t="s">
        <v>34</v>
      </c>
      <c r="G231" s="1232" t="s">
        <v>3560</v>
      </c>
      <c r="H231" s="1563" t="s">
        <v>33</v>
      </c>
      <c r="I231" s="1563"/>
      <c r="J231" s="1563"/>
      <c r="K231" s="1563"/>
      <c r="L231" s="1563"/>
      <c r="M231" s="1563"/>
      <c r="N231" s="1563"/>
      <c r="O231" s="1563" t="s">
        <v>5780</v>
      </c>
      <c r="P231" s="1563"/>
      <c r="Q231" s="1563"/>
      <c r="R231" s="1563" t="s">
        <v>5923</v>
      </c>
      <c r="S231" s="1563" t="s">
        <v>5783</v>
      </c>
      <c r="T231" s="1564"/>
    </row>
    <row r="232" spans="1:20" s="1030" customFormat="1" ht="20.100000000000001" customHeight="1">
      <c r="A232" s="1232"/>
      <c r="B232" s="1563" t="s">
        <v>526</v>
      </c>
      <c r="C232" s="1563" t="s">
        <v>5924</v>
      </c>
      <c r="D232" s="1563" t="s">
        <v>161</v>
      </c>
      <c r="E232" s="1563">
        <f>16.56+26.54</f>
        <v>43.099999999999994</v>
      </c>
      <c r="F232" s="1563">
        <f>E232*0.0392</f>
        <v>1.6895199999999997</v>
      </c>
      <c r="G232" s="1563" t="s">
        <v>32</v>
      </c>
      <c r="H232" s="1563" t="s">
        <v>33</v>
      </c>
      <c r="I232" s="1563" t="s">
        <v>34</v>
      </c>
      <c r="J232" s="1563" t="s">
        <v>34</v>
      </c>
      <c r="K232" s="1563" t="s">
        <v>5925</v>
      </c>
      <c r="L232" s="1563">
        <f t="shared" ref="L232:L239" si="6">F232*7500</f>
        <v>12671.399999999998</v>
      </c>
      <c r="M232" s="1563">
        <f t="shared" ref="M232:M239" si="7">L232*0.2</f>
        <v>2534.2799999999997</v>
      </c>
      <c r="N232" s="1563">
        <v>2018.7</v>
      </c>
      <c r="O232" s="1563" t="s">
        <v>5845</v>
      </c>
      <c r="P232" s="1563" t="s">
        <v>5846</v>
      </c>
      <c r="Q232" s="1563">
        <v>18947102015</v>
      </c>
      <c r="R232" s="1563" t="s">
        <v>5847</v>
      </c>
      <c r="S232" s="1563" t="s">
        <v>5792</v>
      </c>
      <c r="T232" s="1197"/>
    </row>
    <row r="233" spans="1:20" s="1030" customFormat="1" ht="20.100000000000001" customHeight="1">
      <c r="A233" s="1232"/>
      <c r="B233" s="1563" t="s">
        <v>526</v>
      </c>
      <c r="C233" s="1563" t="s">
        <v>4344</v>
      </c>
      <c r="D233" s="1563" t="s">
        <v>161</v>
      </c>
      <c r="E233" s="1563">
        <v>44</v>
      </c>
      <c r="F233" s="1563">
        <f t="shared" ref="F233:F239" si="8">E233*0.115</f>
        <v>5.0600000000000005</v>
      </c>
      <c r="G233" s="1563" t="s">
        <v>32</v>
      </c>
      <c r="H233" s="1563" t="s">
        <v>33</v>
      </c>
      <c r="I233" s="1563" t="s">
        <v>34</v>
      </c>
      <c r="J233" s="1563" t="s">
        <v>34</v>
      </c>
      <c r="K233" s="1563" t="s">
        <v>5925</v>
      </c>
      <c r="L233" s="1563">
        <f t="shared" si="6"/>
        <v>37950.000000000007</v>
      </c>
      <c r="M233" s="1563">
        <f t="shared" si="7"/>
        <v>7590.0000000000018</v>
      </c>
      <c r="N233" s="1563">
        <v>2018.4</v>
      </c>
      <c r="O233" s="1563" t="s">
        <v>5845</v>
      </c>
      <c r="P233" s="1563" t="s">
        <v>5846</v>
      </c>
      <c r="Q233" s="1563">
        <v>18947102015</v>
      </c>
      <c r="R233" s="1563" t="s">
        <v>5847</v>
      </c>
      <c r="S233" s="1563" t="s">
        <v>5792</v>
      </c>
      <c r="T233" s="1197"/>
    </row>
    <row r="234" spans="1:20" s="1030" customFormat="1" ht="20.100000000000001" customHeight="1">
      <c r="A234" s="1232"/>
      <c r="B234" s="1563" t="s">
        <v>526</v>
      </c>
      <c r="C234" s="1563" t="s">
        <v>4344</v>
      </c>
      <c r="D234" s="1563" t="s">
        <v>161</v>
      </c>
      <c r="E234" s="1563">
        <f>16*9</f>
        <v>144</v>
      </c>
      <c r="F234" s="1563">
        <f t="shared" si="8"/>
        <v>16.560000000000002</v>
      </c>
      <c r="G234" s="1563" t="s">
        <v>32</v>
      </c>
      <c r="H234" s="1563" t="s">
        <v>33</v>
      </c>
      <c r="I234" s="1563" t="s">
        <v>34</v>
      </c>
      <c r="J234" s="1563" t="s">
        <v>34</v>
      </c>
      <c r="K234" s="1563" t="s">
        <v>5926</v>
      </c>
      <c r="L234" s="1563">
        <f t="shared" si="6"/>
        <v>124200.00000000001</v>
      </c>
      <c r="M234" s="1563">
        <f t="shared" si="7"/>
        <v>24840.000000000004</v>
      </c>
      <c r="N234" s="1563">
        <v>2018.8</v>
      </c>
      <c r="O234" s="1563" t="s">
        <v>5845</v>
      </c>
      <c r="P234" s="1563" t="s">
        <v>5846</v>
      </c>
      <c r="Q234" s="1563">
        <v>18947102015</v>
      </c>
      <c r="R234" s="1563" t="s">
        <v>5847</v>
      </c>
      <c r="S234" s="1563" t="s">
        <v>5792</v>
      </c>
      <c r="T234" s="1197"/>
    </row>
    <row r="235" spans="1:20" s="1030" customFormat="1" ht="20.100000000000001" customHeight="1">
      <c r="A235" s="1232"/>
      <c r="B235" s="1563" t="s">
        <v>526</v>
      </c>
      <c r="C235" s="1563" t="s">
        <v>4344</v>
      </c>
      <c r="D235" s="1563" t="s">
        <v>161</v>
      </c>
      <c r="E235" s="1563">
        <v>324</v>
      </c>
      <c r="F235" s="1563">
        <f t="shared" si="8"/>
        <v>37.260000000000005</v>
      </c>
      <c r="G235" s="1563" t="s">
        <v>32</v>
      </c>
      <c r="H235" s="1563" t="s">
        <v>33</v>
      </c>
      <c r="I235" s="1563" t="s">
        <v>34</v>
      </c>
      <c r="J235" s="1563" t="s">
        <v>34</v>
      </c>
      <c r="K235" s="1563" t="s">
        <v>5926</v>
      </c>
      <c r="L235" s="1563">
        <f t="shared" si="6"/>
        <v>279450.00000000006</v>
      </c>
      <c r="M235" s="1563">
        <f t="shared" si="7"/>
        <v>55890.000000000015</v>
      </c>
      <c r="N235" s="1563">
        <v>2019.3</v>
      </c>
      <c r="O235" s="1563" t="s">
        <v>5845</v>
      </c>
      <c r="P235" s="1563" t="s">
        <v>5846</v>
      </c>
      <c r="Q235" s="1563">
        <v>18947102015</v>
      </c>
      <c r="R235" s="1563" t="s">
        <v>5847</v>
      </c>
      <c r="S235" s="1563" t="s">
        <v>5792</v>
      </c>
      <c r="T235" s="1197"/>
    </row>
    <row r="236" spans="1:20" s="1030" customFormat="1" ht="20.100000000000001" customHeight="1">
      <c r="A236" s="1232"/>
      <c r="B236" s="1563" t="s">
        <v>526</v>
      </c>
      <c r="C236" s="1563" t="s">
        <v>4344</v>
      </c>
      <c r="D236" s="1563" t="s">
        <v>161</v>
      </c>
      <c r="E236" s="1563">
        <f>103*9</f>
        <v>927</v>
      </c>
      <c r="F236" s="1563">
        <f t="shared" si="8"/>
        <v>106.605</v>
      </c>
      <c r="G236" s="1563" t="s">
        <v>32</v>
      </c>
      <c r="H236" s="1563" t="s">
        <v>33</v>
      </c>
      <c r="I236" s="1563" t="s">
        <v>34</v>
      </c>
      <c r="J236" s="1563" t="s">
        <v>34</v>
      </c>
      <c r="K236" s="1563" t="s">
        <v>5927</v>
      </c>
      <c r="L236" s="1563">
        <f t="shared" si="6"/>
        <v>799537.5</v>
      </c>
      <c r="M236" s="1563">
        <f t="shared" si="7"/>
        <v>159907.5</v>
      </c>
      <c r="N236" s="1563">
        <v>2018.9</v>
      </c>
      <c r="O236" s="1563" t="s">
        <v>5845</v>
      </c>
      <c r="P236" s="1563" t="s">
        <v>5846</v>
      </c>
      <c r="Q236" s="1563">
        <v>18947102015</v>
      </c>
      <c r="R236" s="1563" t="s">
        <v>5847</v>
      </c>
      <c r="S236" s="1563" t="s">
        <v>5792</v>
      </c>
      <c r="T236" s="1197"/>
    </row>
    <row r="237" spans="1:20" s="1030" customFormat="1" ht="20.100000000000001" customHeight="1">
      <c r="A237" s="1232"/>
      <c r="B237" s="1563" t="s">
        <v>526</v>
      </c>
      <c r="C237" s="1563" t="s">
        <v>4344</v>
      </c>
      <c r="D237" s="1563" t="s">
        <v>161</v>
      </c>
      <c r="E237" s="1563">
        <v>192</v>
      </c>
      <c r="F237" s="1563">
        <f t="shared" si="8"/>
        <v>22.080000000000002</v>
      </c>
      <c r="G237" s="1563" t="s">
        <v>32</v>
      </c>
      <c r="H237" s="1563" t="s">
        <v>33</v>
      </c>
      <c r="I237" s="1563" t="s">
        <v>34</v>
      </c>
      <c r="J237" s="1563" t="s">
        <v>34</v>
      </c>
      <c r="K237" s="1563" t="s">
        <v>5928</v>
      </c>
      <c r="L237" s="1563">
        <f t="shared" si="6"/>
        <v>165600</v>
      </c>
      <c r="M237" s="1563">
        <f t="shared" si="7"/>
        <v>33120</v>
      </c>
      <c r="N237" s="1563">
        <v>2018.12</v>
      </c>
      <c r="O237" s="1563" t="s">
        <v>5845</v>
      </c>
      <c r="P237" s="1563" t="s">
        <v>5846</v>
      </c>
      <c r="Q237" s="1563">
        <v>18947102015</v>
      </c>
      <c r="R237" s="1563" t="s">
        <v>5847</v>
      </c>
      <c r="S237" s="1563" t="s">
        <v>5792</v>
      </c>
      <c r="T237" s="1197"/>
    </row>
    <row r="238" spans="1:20" s="1030" customFormat="1" ht="20.100000000000001" customHeight="1">
      <c r="A238" s="1232"/>
      <c r="B238" s="1563" t="s">
        <v>526</v>
      </c>
      <c r="C238" s="1563" t="s">
        <v>4344</v>
      </c>
      <c r="D238" s="1563" t="s">
        <v>161</v>
      </c>
      <c r="E238" s="1563">
        <v>321</v>
      </c>
      <c r="F238" s="1563">
        <f t="shared" si="8"/>
        <v>36.914999999999999</v>
      </c>
      <c r="G238" s="1563" t="s">
        <v>32</v>
      </c>
      <c r="H238" s="1563" t="s">
        <v>33</v>
      </c>
      <c r="I238" s="1563" t="s">
        <v>34</v>
      </c>
      <c r="J238" s="1563" t="s">
        <v>34</v>
      </c>
      <c r="K238" s="1563" t="s">
        <v>5928</v>
      </c>
      <c r="L238" s="1563">
        <f t="shared" si="6"/>
        <v>276862.5</v>
      </c>
      <c r="M238" s="1563">
        <f t="shared" si="7"/>
        <v>55372.5</v>
      </c>
      <c r="N238" s="1563">
        <v>2018.11</v>
      </c>
      <c r="O238" s="1563" t="s">
        <v>5845</v>
      </c>
      <c r="P238" s="1563" t="s">
        <v>5846</v>
      </c>
      <c r="Q238" s="1563">
        <v>18947102015</v>
      </c>
      <c r="R238" s="1563" t="s">
        <v>5847</v>
      </c>
      <c r="S238" s="1563" t="s">
        <v>5792</v>
      </c>
      <c r="T238" s="1197"/>
    </row>
    <row r="239" spans="1:20" s="1030" customFormat="1" ht="20.100000000000001" customHeight="1">
      <c r="A239" s="1232"/>
      <c r="B239" s="1563" t="s">
        <v>526</v>
      </c>
      <c r="C239" s="1563" t="s">
        <v>4344</v>
      </c>
      <c r="D239" s="1563" t="s">
        <v>161</v>
      </c>
      <c r="E239" s="1563">
        <v>120</v>
      </c>
      <c r="F239" s="1563">
        <f t="shared" si="8"/>
        <v>13.8</v>
      </c>
      <c r="G239" s="1563" t="s">
        <v>32</v>
      </c>
      <c r="H239" s="1563" t="s">
        <v>33</v>
      </c>
      <c r="I239" s="1563" t="s">
        <v>34</v>
      </c>
      <c r="J239" s="1563" t="s">
        <v>34</v>
      </c>
      <c r="K239" s="1563" t="s">
        <v>5929</v>
      </c>
      <c r="L239" s="1563">
        <f t="shared" si="6"/>
        <v>103500</v>
      </c>
      <c r="M239" s="1563">
        <f t="shared" si="7"/>
        <v>20700</v>
      </c>
      <c r="N239" s="1563">
        <v>2019.3</v>
      </c>
      <c r="O239" s="1563" t="s">
        <v>5845</v>
      </c>
      <c r="P239" s="1563" t="s">
        <v>5846</v>
      </c>
      <c r="Q239" s="1563">
        <v>18947102015</v>
      </c>
      <c r="R239" s="1563" t="s">
        <v>5847</v>
      </c>
      <c r="S239" s="1563" t="s">
        <v>5792</v>
      </c>
      <c r="T239" s="1197"/>
    </row>
    <row r="240" spans="1:20" s="1030" customFormat="1" ht="20.100000000000001" customHeight="1">
      <c r="A240" s="1232"/>
      <c r="B240" s="1232" t="s">
        <v>5930</v>
      </c>
      <c r="C240" s="1232" t="s">
        <v>5931</v>
      </c>
      <c r="D240" s="1232" t="s">
        <v>62</v>
      </c>
      <c r="E240" s="1232"/>
      <c r="F240" s="1232">
        <v>22.835000000000001</v>
      </c>
      <c r="G240" s="1232" t="s">
        <v>32</v>
      </c>
      <c r="H240" s="1232" t="s">
        <v>33</v>
      </c>
      <c r="I240" s="1232" t="s">
        <v>34</v>
      </c>
      <c r="J240" s="1232" t="s">
        <v>34</v>
      </c>
      <c r="K240" s="1232" t="s">
        <v>2753</v>
      </c>
      <c r="L240" s="1232">
        <v>148199.15</v>
      </c>
      <c r="M240" s="1232">
        <f>L240</f>
        <v>148199.15</v>
      </c>
      <c r="N240" s="1232" t="s">
        <v>5132</v>
      </c>
      <c r="O240" s="1232" t="s">
        <v>5932</v>
      </c>
      <c r="P240" s="1563" t="s">
        <v>5846</v>
      </c>
      <c r="Q240" s="1563">
        <v>18947102015</v>
      </c>
      <c r="R240" s="1232" t="s">
        <v>5933</v>
      </c>
      <c r="S240" s="1563" t="s">
        <v>5783</v>
      </c>
      <c r="T240" s="1197"/>
    </row>
    <row r="241" spans="1:20" s="1030" customFormat="1" ht="20.100000000000001" customHeight="1">
      <c r="A241" s="1232"/>
      <c r="B241" s="1232" t="s">
        <v>596</v>
      </c>
      <c r="C241" s="1232" t="s">
        <v>5934</v>
      </c>
      <c r="D241" s="1232" t="s">
        <v>62</v>
      </c>
      <c r="E241" s="1232"/>
      <c r="F241" s="1232">
        <v>35.154000000000003</v>
      </c>
      <c r="G241" s="1232" t="s">
        <v>32</v>
      </c>
      <c r="H241" s="1232" t="s">
        <v>33</v>
      </c>
      <c r="I241" s="1232" t="s">
        <v>34</v>
      </c>
      <c r="J241" s="1232" t="s">
        <v>34</v>
      </c>
      <c r="K241" s="1232" t="s">
        <v>2753</v>
      </c>
      <c r="L241" s="1563">
        <v>237992</v>
      </c>
      <c r="M241" s="1563">
        <f>L241</f>
        <v>237992</v>
      </c>
      <c r="N241" s="1563" t="s">
        <v>5132</v>
      </c>
      <c r="O241" s="1232" t="s">
        <v>5932</v>
      </c>
      <c r="P241" s="1563" t="s">
        <v>5846</v>
      </c>
      <c r="Q241" s="1563">
        <v>18947102015</v>
      </c>
      <c r="R241" s="1232" t="s">
        <v>5933</v>
      </c>
      <c r="S241" s="1563" t="s">
        <v>5783</v>
      </c>
      <c r="T241" s="1197"/>
    </row>
    <row r="242" spans="1:20" s="1030" customFormat="1" ht="20.100000000000001" customHeight="1">
      <c r="A242" s="1232"/>
      <c r="B242" s="1563" t="s">
        <v>593</v>
      </c>
      <c r="C242" s="1563" t="s">
        <v>1868</v>
      </c>
      <c r="D242" s="1563" t="s">
        <v>464</v>
      </c>
      <c r="E242" s="1563">
        <v>30</v>
      </c>
      <c r="F242" s="1563"/>
      <c r="G242" s="1563" t="s">
        <v>32</v>
      </c>
      <c r="H242" s="1563" t="s">
        <v>33</v>
      </c>
      <c r="I242" s="1563"/>
      <c r="J242" s="1563"/>
      <c r="K242" s="1563"/>
      <c r="L242" s="1563"/>
      <c r="M242" s="1563"/>
      <c r="N242" s="1563" t="s">
        <v>5935</v>
      </c>
      <c r="O242" s="1563" t="s">
        <v>5789</v>
      </c>
      <c r="P242" s="1563" t="s">
        <v>5790</v>
      </c>
      <c r="Q242" s="1563">
        <v>17684853888</v>
      </c>
      <c r="R242" s="1563" t="s">
        <v>5791</v>
      </c>
      <c r="S242" s="1563" t="s">
        <v>5783</v>
      </c>
      <c r="T242" s="1235"/>
    </row>
    <row r="243" spans="1:20" s="1030" customFormat="1" ht="20.100000000000001" customHeight="1">
      <c r="A243" s="1232"/>
      <c r="B243" s="1563" t="s">
        <v>526</v>
      </c>
      <c r="C243" s="1563" t="s">
        <v>365</v>
      </c>
      <c r="D243" s="1563" t="s">
        <v>464</v>
      </c>
      <c r="E243" s="1563">
        <v>28</v>
      </c>
      <c r="F243" s="1563"/>
      <c r="G243" s="1563" t="s">
        <v>32</v>
      </c>
      <c r="H243" s="1563" t="s">
        <v>33</v>
      </c>
      <c r="I243" s="1563"/>
      <c r="J243" s="1563"/>
      <c r="K243" s="1563"/>
      <c r="L243" s="1563"/>
      <c r="M243" s="1563"/>
      <c r="N243" s="1563" t="s">
        <v>5935</v>
      </c>
      <c r="O243" s="1563" t="s">
        <v>5789</v>
      </c>
      <c r="P243" s="1563" t="s">
        <v>5790</v>
      </c>
      <c r="Q243" s="1563">
        <v>17684853888</v>
      </c>
      <c r="R243" s="1563" t="s">
        <v>5791</v>
      </c>
      <c r="S243" s="1563" t="s">
        <v>5783</v>
      </c>
      <c r="T243" s="147"/>
    </row>
    <row r="244" spans="1:20" s="1030" customFormat="1" ht="20.100000000000001" customHeight="1">
      <c r="A244" s="1232"/>
      <c r="B244" s="1563" t="s">
        <v>616</v>
      </c>
      <c r="C244" s="1563">
        <v>50</v>
      </c>
      <c r="D244" s="1563" t="s">
        <v>464</v>
      </c>
      <c r="E244" s="1563">
        <v>260</v>
      </c>
      <c r="F244" s="1563"/>
      <c r="G244" s="1563" t="s">
        <v>32</v>
      </c>
      <c r="H244" s="1563" t="s">
        <v>33</v>
      </c>
      <c r="I244" s="1563"/>
      <c r="J244" s="1563"/>
      <c r="K244" s="1563"/>
      <c r="L244" s="1563"/>
      <c r="M244" s="1563"/>
      <c r="N244" s="1563" t="s">
        <v>5788</v>
      </c>
      <c r="O244" s="1563" t="s">
        <v>5789</v>
      </c>
      <c r="P244" s="1563" t="s">
        <v>5790</v>
      </c>
      <c r="Q244" s="1563">
        <v>17684853888</v>
      </c>
      <c r="R244" s="1563" t="s">
        <v>5791</v>
      </c>
      <c r="S244" s="1563" t="s">
        <v>5783</v>
      </c>
      <c r="T244" s="1235"/>
    </row>
    <row r="245" spans="1:20" s="1030" customFormat="1" ht="20.100000000000001" customHeight="1">
      <c r="A245" s="1232"/>
      <c r="B245" s="1563" t="s">
        <v>616</v>
      </c>
      <c r="C245" s="1563">
        <v>65</v>
      </c>
      <c r="D245" s="1563" t="s">
        <v>464</v>
      </c>
      <c r="E245" s="1563">
        <v>1850</v>
      </c>
      <c r="F245" s="1563"/>
      <c r="G245" s="1563" t="s">
        <v>32</v>
      </c>
      <c r="H245" s="1563" t="s">
        <v>33</v>
      </c>
      <c r="I245" s="1563"/>
      <c r="J245" s="1563"/>
      <c r="K245" s="1563"/>
      <c r="L245" s="1563"/>
      <c r="M245" s="1563"/>
      <c r="N245" s="1563" t="s">
        <v>5788</v>
      </c>
      <c r="O245" s="1563" t="s">
        <v>5789</v>
      </c>
      <c r="P245" s="1563" t="s">
        <v>5790</v>
      </c>
      <c r="Q245" s="1563">
        <v>17684853888</v>
      </c>
      <c r="R245" s="1563" t="s">
        <v>5791</v>
      </c>
      <c r="S245" s="1563" t="s">
        <v>5783</v>
      </c>
      <c r="T245" s="1235"/>
    </row>
    <row r="246" spans="1:20" s="1030" customFormat="1" ht="20.100000000000001" customHeight="1">
      <c r="A246" s="1232"/>
      <c r="B246" s="1563" t="s">
        <v>526</v>
      </c>
      <c r="C246" s="1563" t="s">
        <v>4344</v>
      </c>
      <c r="D246" s="1563" t="s">
        <v>2084</v>
      </c>
      <c r="E246" s="1563">
        <v>1</v>
      </c>
      <c r="F246" s="1236">
        <v>10.195</v>
      </c>
      <c r="G246" s="1563" t="s">
        <v>3560</v>
      </c>
      <c r="H246" s="1563" t="s">
        <v>41</v>
      </c>
      <c r="I246" s="1563"/>
      <c r="J246" s="1563"/>
      <c r="K246" s="1563"/>
      <c r="L246" s="1563">
        <v>31726.84</v>
      </c>
      <c r="M246" s="1171">
        <f>L246</f>
        <v>31726.84</v>
      </c>
      <c r="N246" s="1563"/>
      <c r="O246" s="1563" t="s">
        <v>5936</v>
      </c>
      <c r="P246" s="1563" t="s">
        <v>5937</v>
      </c>
      <c r="Q246" s="1563">
        <v>18804987995</v>
      </c>
      <c r="R246" s="1563" t="s">
        <v>5863</v>
      </c>
      <c r="S246" s="1563" t="s">
        <v>5792</v>
      </c>
      <c r="T246" s="1197"/>
    </row>
    <row r="247" spans="1:20" s="1030" customFormat="1" ht="20.100000000000001" customHeight="1">
      <c r="A247" s="1232"/>
      <c r="B247" s="1201"/>
      <c r="C247" s="1201"/>
      <c r="D247" s="1201"/>
      <c r="E247" s="1201"/>
      <c r="F247" s="1201"/>
      <c r="G247" s="1201"/>
      <c r="H247" s="1775"/>
      <c r="I247" s="1201"/>
      <c r="J247" s="1201"/>
      <c r="K247" s="1201"/>
      <c r="L247" s="1201"/>
      <c r="M247" s="1201"/>
      <c r="N247" s="1201"/>
      <c r="O247" s="1201"/>
      <c r="P247" s="1202"/>
      <c r="Q247" s="1202"/>
      <c r="R247" s="1201"/>
      <c r="S247" s="1201"/>
      <c r="T247" s="1197"/>
    </row>
    <row r="248" spans="1:20" s="1030" customFormat="1" ht="20.100000000000001" customHeight="1">
      <c r="A248" s="1232">
        <v>2</v>
      </c>
      <c r="B248" s="1234" t="s">
        <v>890</v>
      </c>
      <c r="C248" s="1234"/>
      <c r="D248" s="1234"/>
      <c r="E248" s="1234"/>
      <c r="F248" s="1234"/>
      <c r="G248" s="1234"/>
      <c r="H248" s="1234"/>
      <c r="I248" s="1234"/>
      <c r="J248" s="1234"/>
      <c r="K248" s="1234"/>
      <c r="L248" s="1234"/>
      <c r="M248" s="1234"/>
      <c r="N248" s="1234"/>
      <c r="O248" s="1234"/>
      <c r="P248" s="1234"/>
      <c r="Q248" s="1234"/>
      <c r="R248" s="1234"/>
      <c r="S248" s="1234"/>
      <c r="T248" s="1232"/>
    </row>
    <row r="249" spans="1:20" s="1030" customFormat="1" ht="20.100000000000001" customHeight="1">
      <c r="A249" s="1232"/>
      <c r="B249" s="1563" t="s">
        <v>890</v>
      </c>
      <c r="C249" s="1563" t="s">
        <v>5938</v>
      </c>
      <c r="D249" s="1563" t="s">
        <v>464</v>
      </c>
      <c r="E249" s="1563">
        <v>177</v>
      </c>
      <c r="F249" s="1563">
        <v>265.5</v>
      </c>
      <c r="G249" s="1563" t="s">
        <v>3560</v>
      </c>
      <c r="H249" s="1563" t="s">
        <v>33</v>
      </c>
      <c r="I249" s="1563"/>
      <c r="J249" s="1563"/>
      <c r="K249" s="1563"/>
      <c r="L249" s="1563"/>
      <c r="M249" s="1563"/>
      <c r="N249" s="1563"/>
      <c r="O249" s="1563" t="s">
        <v>5780</v>
      </c>
      <c r="P249" s="1563" t="s">
        <v>5781</v>
      </c>
      <c r="Q249" s="1563">
        <v>15694713641</v>
      </c>
      <c r="R249" s="1563" t="s">
        <v>5923</v>
      </c>
      <c r="S249" s="1563" t="s">
        <v>5783</v>
      </c>
      <c r="T249" s="1232"/>
    </row>
    <row r="250" spans="1:20" s="1030" customFormat="1" ht="20.100000000000001" customHeight="1">
      <c r="A250" s="1232"/>
      <c r="B250" s="1563" t="s">
        <v>890</v>
      </c>
      <c r="C250" s="1563" t="s">
        <v>5939</v>
      </c>
      <c r="D250" s="1563" t="s">
        <v>464</v>
      </c>
      <c r="E250" s="1563">
        <v>4037</v>
      </c>
      <c r="F250" s="1563">
        <v>3027.75</v>
      </c>
      <c r="G250" s="1563" t="s">
        <v>3560</v>
      </c>
      <c r="H250" s="1563" t="s">
        <v>33</v>
      </c>
      <c r="I250" s="1563"/>
      <c r="J250" s="1563"/>
      <c r="K250" s="1563"/>
      <c r="L250" s="1563"/>
      <c r="M250" s="1563"/>
      <c r="N250" s="1563"/>
      <c r="O250" s="1563" t="s">
        <v>5780</v>
      </c>
      <c r="P250" s="1563" t="s">
        <v>5781</v>
      </c>
      <c r="Q250" s="1563">
        <v>15694713641</v>
      </c>
      <c r="R250" s="1563" t="s">
        <v>5923</v>
      </c>
      <c r="S250" s="1563" t="s">
        <v>5783</v>
      </c>
      <c r="T250" s="1232"/>
    </row>
    <row r="251" spans="1:20" s="1030" customFormat="1" ht="20.100000000000001" customHeight="1">
      <c r="A251" s="1232"/>
      <c r="B251" s="1563" t="s">
        <v>890</v>
      </c>
      <c r="C251" s="1563" t="s">
        <v>5940</v>
      </c>
      <c r="D251" s="1563" t="s">
        <v>464</v>
      </c>
      <c r="E251" s="1563">
        <v>26</v>
      </c>
      <c r="F251" s="1563">
        <v>16.25</v>
      </c>
      <c r="G251" s="1563" t="s">
        <v>3560</v>
      </c>
      <c r="H251" s="1563" t="s">
        <v>33</v>
      </c>
      <c r="I251" s="1563"/>
      <c r="J251" s="1563"/>
      <c r="K251" s="1563"/>
      <c r="L251" s="1563"/>
      <c r="M251" s="1563"/>
      <c r="N251" s="1563"/>
      <c r="O251" s="1563" t="s">
        <v>5780</v>
      </c>
      <c r="P251" s="1563" t="s">
        <v>5781</v>
      </c>
      <c r="Q251" s="1563">
        <v>15694713641</v>
      </c>
      <c r="R251" s="1563" t="s">
        <v>5923</v>
      </c>
      <c r="S251" s="1563" t="s">
        <v>5783</v>
      </c>
      <c r="T251" s="1232"/>
    </row>
    <row r="252" spans="1:20" s="1030" customFormat="1" ht="20.100000000000001" customHeight="1">
      <c r="A252" s="1232"/>
      <c r="B252" s="1563" t="s">
        <v>5941</v>
      </c>
      <c r="C252" s="1563" t="s">
        <v>5938</v>
      </c>
      <c r="D252" s="1563" t="s">
        <v>464</v>
      </c>
      <c r="E252" s="1563">
        <v>295</v>
      </c>
      <c r="F252" s="1563">
        <f>E252*25*60/1000</f>
        <v>442.5</v>
      </c>
      <c r="G252" s="1563" t="s">
        <v>3560</v>
      </c>
      <c r="H252" s="1563" t="s">
        <v>33</v>
      </c>
      <c r="I252" s="1563"/>
      <c r="J252" s="1563"/>
      <c r="K252" s="1563"/>
      <c r="L252" s="1563"/>
      <c r="M252" s="1563"/>
      <c r="N252" s="1563"/>
      <c r="O252" s="1563" t="s">
        <v>5942</v>
      </c>
      <c r="P252" s="1563" t="s">
        <v>5790</v>
      </c>
      <c r="Q252" s="1563">
        <v>17684853888</v>
      </c>
      <c r="R252" s="1563"/>
      <c r="S252" s="1563"/>
      <c r="T252" s="1232"/>
    </row>
    <row r="253" spans="1:20" s="1030" customFormat="1" ht="20.100000000000001" customHeight="1">
      <c r="A253" s="1232"/>
      <c r="B253" s="1563" t="s">
        <v>5943</v>
      </c>
      <c r="C253" s="1563" t="s">
        <v>4430</v>
      </c>
      <c r="D253" s="1563" t="s">
        <v>161</v>
      </c>
      <c r="E253" s="1563">
        <v>1600</v>
      </c>
      <c r="F253" s="1563">
        <f>E253*44.653/1000</f>
        <v>71.444800000000001</v>
      </c>
      <c r="G253" s="1563" t="s">
        <v>32</v>
      </c>
      <c r="H253" s="1563" t="s">
        <v>33</v>
      </c>
      <c r="I253" s="1563" t="s">
        <v>34</v>
      </c>
      <c r="J253" s="1563" t="s">
        <v>34</v>
      </c>
      <c r="K253" s="1563" t="s">
        <v>5944</v>
      </c>
      <c r="L253" s="1563">
        <f>F253*5500</f>
        <v>392946.4</v>
      </c>
      <c r="M253" s="1563">
        <f>L253*0.2</f>
        <v>78589.280000000013</v>
      </c>
      <c r="N253" s="1563" t="s">
        <v>2692</v>
      </c>
      <c r="O253" s="1563" t="s">
        <v>5845</v>
      </c>
      <c r="P253" s="1563" t="s">
        <v>5846</v>
      </c>
      <c r="Q253" s="1563">
        <v>18947102015</v>
      </c>
      <c r="R253" s="1232" t="s">
        <v>5933</v>
      </c>
      <c r="S253" s="1563" t="s">
        <v>5783</v>
      </c>
      <c r="T253" s="1232"/>
    </row>
    <row r="254" spans="1:20" s="1030" customFormat="1" ht="20.100000000000001" customHeight="1">
      <c r="A254" s="1232"/>
      <c r="B254" s="1563" t="s">
        <v>5943</v>
      </c>
      <c r="C254" s="1563" t="s">
        <v>4430</v>
      </c>
      <c r="D254" s="1563" t="s">
        <v>161</v>
      </c>
      <c r="E254" s="1563">
        <v>3000</v>
      </c>
      <c r="F254" s="1563">
        <f>E254*44.653/1000</f>
        <v>133.959</v>
      </c>
      <c r="G254" s="1563" t="s">
        <v>32</v>
      </c>
      <c r="H254" s="1563" t="s">
        <v>33</v>
      </c>
      <c r="I254" s="1563" t="s">
        <v>34</v>
      </c>
      <c r="J254" s="1563" t="s">
        <v>34</v>
      </c>
      <c r="K254" s="1563" t="s">
        <v>5928</v>
      </c>
      <c r="L254" s="1563">
        <f>F254*5500</f>
        <v>736774.5</v>
      </c>
      <c r="M254" s="1563">
        <f>L254*0.2</f>
        <v>147354.9</v>
      </c>
      <c r="N254" s="1563" t="s">
        <v>4027</v>
      </c>
      <c r="O254" s="1563" t="s">
        <v>5845</v>
      </c>
      <c r="P254" s="1563" t="s">
        <v>5846</v>
      </c>
      <c r="Q254" s="1563">
        <v>18947102015</v>
      </c>
      <c r="R254" s="1232" t="s">
        <v>5933</v>
      </c>
      <c r="S254" s="1563" t="s">
        <v>5783</v>
      </c>
      <c r="T254" s="1232"/>
    </row>
    <row r="255" spans="1:20" s="1030" customFormat="1" ht="20.100000000000001" customHeight="1">
      <c r="A255" s="1232"/>
      <c r="B255" s="1238"/>
      <c r="C255" s="1238"/>
      <c r="D255" s="1238"/>
      <c r="E255" s="1238"/>
      <c r="F255" s="1232"/>
      <c r="G255" s="1232"/>
      <c r="H255" s="1232"/>
      <c r="I255" s="1232"/>
      <c r="J255" s="1232"/>
      <c r="K255" s="1232"/>
      <c r="L255" s="1232"/>
      <c r="M255" s="1232"/>
      <c r="N255" s="1232"/>
      <c r="O255" s="1634"/>
      <c r="P255" s="1232"/>
      <c r="Q255" s="1232"/>
      <c r="R255" s="1634"/>
      <c r="S255" s="1232"/>
      <c r="T255" s="1232"/>
    </row>
    <row r="256" spans="1:20" s="1030" customFormat="1" ht="20.100000000000001" customHeight="1">
      <c r="A256" s="1232">
        <v>3</v>
      </c>
      <c r="B256" s="1234" t="s">
        <v>981</v>
      </c>
      <c r="C256" s="1234"/>
      <c r="D256" s="1234"/>
      <c r="E256" s="1234"/>
      <c r="F256" s="1234"/>
      <c r="G256" s="1234"/>
      <c r="H256" s="1234"/>
      <c r="I256" s="1234"/>
      <c r="J256" s="1234"/>
      <c r="K256" s="1234"/>
      <c r="L256" s="1234"/>
      <c r="M256" s="1234"/>
      <c r="N256" s="1234"/>
      <c r="O256" s="1234"/>
      <c r="P256" s="1234"/>
      <c r="Q256" s="1234"/>
      <c r="R256" s="1234"/>
      <c r="S256" s="1234"/>
      <c r="T256" s="1232"/>
    </row>
    <row r="257" spans="1:20" s="1240" customFormat="1" ht="20.100000000000001" customHeight="1">
      <c r="A257" s="147"/>
      <c r="B257" s="1563" t="s">
        <v>981</v>
      </c>
      <c r="C257" s="1563" t="s">
        <v>5945</v>
      </c>
      <c r="D257" s="1563" t="s">
        <v>464</v>
      </c>
      <c r="E257" s="1563">
        <v>30</v>
      </c>
      <c r="F257" s="1563" t="s">
        <v>34</v>
      </c>
      <c r="G257" s="1563" t="s">
        <v>32</v>
      </c>
      <c r="H257" s="1563" t="s">
        <v>33</v>
      </c>
      <c r="I257" s="1563" t="s">
        <v>34</v>
      </c>
      <c r="J257" s="1563" t="s">
        <v>34</v>
      </c>
      <c r="K257" s="1563" t="s">
        <v>34</v>
      </c>
      <c r="L257" s="1563" t="s">
        <v>34</v>
      </c>
      <c r="M257" s="1563" t="s">
        <v>34</v>
      </c>
      <c r="N257" s="1239">
        <v>2011</v>
      </c>
      <c r="O257" s="1563" t="s">
        <v>5946</v>
      </c>
      <c r="P257" s="147" t="s">
        <v>5947</v>
      </c>
      <c r="Q257" s="147">
        <v>18004717539</v>
      </c>
      <c r="R257" s="1563" t="s">
        <v>5923</v>
      </c>
      <c r="S257" s="1563" t="s">
        <v>5783</v>
      </c>
      <c r="T257" s="147"/>
    </row>
    <row r="258" spans="1:20" s="1240" customFormat="1" ht="20.100000000000001" customHeight="1">
      <c r="A258" s="147"/>
      <c r="B258" s="1563" t="s">
        <v>981</v>
      </c>
      <c r="C258" s="1563" t="s">
        <v>5948</v>
      </c>
      <c r="D258" s="1563" t="s">
        <v>464</v>
      </c>
      <c r="E258" s="1563">
        <v>30</v>
      </c>
      <c r="F258" s="1563" t="s">
        <v>34</v>
      </c>
      <c r="G258" s="1563" t="s">
        <v>32</v>
      </c>
      <c r="H258" s="1563" t="s">
        <v>33</v>
      </c>
      <c r="I258" s="1563" t="s">
        <v>34</v>
      </c>
      <c r="J258" s="1563" t="s">
        <v>34</v>
      </c>
      <c r="K258" s="1563" t="s">
        <v>34</v>
      </c>
      <c r="L258" s="1563" t="s">
        <v>34</v>
      </c>
      <c r="M258" s="1563" t="s">
        <v>34</v>
      </c>
      <c r="N258" s="1239">
        <v>2011</v>
      </c>
      <c r="O258" s="1563" t="s">
        <v>5946</v>
      </c>
      <c r="P258" s="147" t="s">
        <v>5947</v>
      </c>
      <c r="Q258" s="147">
        <v>18004717539</v>
      </c>
      <c r="R258" s="1563" t="s">
        <v>5923</v>
      </c>
      <c r="S258" s="1563" t="s">
        <v>5783</v>
      </c>
      <c r="T258" s="147"/>
    </row>
    <row r="259" spans="1:20" s="1240" customFormat="1" ht="20.100000000000001" customHeight="1">
      <c r="A259" s="147"/>
      <c r="B259" s="1563" t="s">
        <v>981</v>
      </c>
      <c r="C259" s="1563" t="s">
        <v>5949</v>
      </c>
      <c r="D259" s="1563" t="s">
        <v>464</v>
      </c>
      <c r="E259" s="1563">
        <v>360</v>
      </c>
      <c r="F259" s="1563" t="s">
        <v>34</v>
      </c>
      <c r="G259" s="1563" t="s">
        <v>32</v>
      </c>
      <c r="H259" s="1563" t="s">
        <v>33</v>
      </c>
      <c r="I259" s="1563" t="s">
        <v>34</v>
      </c>
      <c r="J259" s="1563" t="s">
        <v>34</v>
      </c>
      <c r="K259" s="1563" t="s">
        <v>34</v>
      </c>
      <c r="L259" s="1563" t="s">
        <v>34</v>
      </c>
      <c r="M259" s="1563" t="s">
        <v>34</v>
      </c>
      <c r="N259" s="1241" t="s">
        <v>5950</v>
      </c>
      <c r="O259" s="1563" t="s">
        <v>5946</v>
      </c>
      <c r="P259" s="147" t="s">
        <v>5947</v>
      </c>
      <c r="Q259" s="147">
        <v>18004717539</v>
      </c>
      <c r="R259" s="1563" t="s">
        <v>5923</v>
      </c>
      <c r="S259" s="1563" t="s">
        <v>5783</v>
      </c>
      <c r="T259" s="147"/>
    </row>
    <row r="260" spans="1:20" s="1240" customFormat="1" ht="20.100000000000001" customHeight="1">
      <c r="A260" s="147"/>
      <c r="B260" s="1563" t="s">
        <v>981</v>
      </c>
      <c r="C260" s="1563" t="s">
        <v>203</v>
      </c>
      <c r="D260" s="1563" t="s">
        <v>464</v>
      </c>
      <c r="E260" s="1563">
        <v>50</v>
      </c>
      <c r="F260" s="1563" t="s">
        <v>34</v>
      </c>
      <c r="G260" s="1563" t="s">
        <v>32</v>
      </c>
      <c r="H260" s="1563" t="s">
        <v>33</v>
      </c>
      <c r="I260" s="1563" t="s">
        <v>34</v>
      </c>
      <c r="J260" s="1563" t="s">
        <v>34</v>
      </c>
      <c r="K260" s="1563" t="s">
        <v>34</v>
      </c>
      <c r="L260" s="1563" t="s">
        <v>34</v>
      </c>
      <c r="M260" s="1563" t="s">
        <v>34</v>
      </c>
      <c r="N260" s="1241" t="s">
        <v>5950</v>
      </c>
      <c r="O260" s="1563" t="s">
        <v>5946</v>
      </c>
      <c r="P260" s="147" t="s">
        <v>5947</v>
      </c>
      <c r="Q260" s="147">
        <v>18004717539</v>
      </c>
      <c r="R260" s="1563" t="s">
        <v>5923</v>
      </c>
      <c r="S260" s="1563" t="s">
        <v>5783</v>
      </c>
      <c r="T260" s="147"/>
    </row>
    <row r="261" spans="1:20" s="1240" customFormat="1" ht="20.100000000000001" customHeight="1">
      <c r="A261" s="147"/>
      <c r="B261" s="1563" t="s">
        <v>981</v>
      </c>
      <c r="C261" s="1563" t="s">
        <v>5951</v>
      </c>
      <c r="D261" s="1563" t="s">
        <v>464</v>
      </c>
      <c r="E261" s="1563">
        <v>50</v>
      </c>
      <c r="F261" s="1563" t="s">
        <v>34</v>
      </c>
      <c r="G261" s="1563" t="s">
        <v>32</v>
      </c>
      <c r="H261" s="1563" t="s">
        <v>33</v>
      </c>
      <c r="I261" s="1563" t="s">
        <v>34</v>
      </c>
      <c r="J261" s="1563" t="s">
        <v>34</v>
      </c>
      <c r="K261" s="1563" t="s">
        <v>34</v>
      </c>
      <c r="L261" s="1563" t="s">
        <v>34</v>
      </c>
      <c r="M261" s="1563" t="s">
        <v>34</v>
      </c>
      <c r="N261" s="1241" t="s">
        <v>5950</v>
      </c>
      <c r="O261" s="1563" t="s">
        <v>5946</v>
      </c>
      <c r="P261" s="147" t="s">
        <v>5947</v>
      </c>
      <c r="Q261" s="147">
        <v>18004717539</v>
      </c>
      <c r="R261" s="1563" t="s">
        <v>5923</v>
      </c>
      <c r="S261" s="1563" t="s">
        <v>5783</v>
      </c>
      <c r="T261" s="147"/>
    </row>
    <row r="262" spans="1:20" s="1240" customFormat="1" ht="20.100000000000001" customHeight="1">
      <c r="A262" s="147"/>
      <c r="B262" s="1563" t="s">
        <v>981</v>
      </c>
      <c r="C262" s="1563" t="s">
        <v>5952</v>
      </c>
      <c r="D262" s="1563" t="s">
        <v>464</v>
      </c>
      <c r="E262" s="1563">
        <v>50</v>
      </c>
      <c r="F262" s="1563" t="s">
        <v>34</v>
      </c>
      <c r="G262" s="1563" t="s">
        <v>32</v>
      </c>
      <c r="H262" s="1563" t="s">
        <v>33</v>
      </c>
      <c r="I262" s="1563" t="s">
        <v>34</v>
      </c>
      <c r="J262" s="1563" t="s">
        <v>34</v>
      </c>
      <c r="K262" s="1563" t="s">
        <v>34</v>
      </c>
      <c r="L262" s="1563" t="s">
        <v>34</v>
      </c>
      <c r="M262" s="1563" t="s">
        <v>34</v>
      </c>
      <c r="N262" s="1241" t="s">
        <v>5950</v>
      </c>
      <c r="O262" s="1563" t="s">
        <v>5946</v>
      </c>
      <c r="P262" s="147" t="s">
        <v>5947</v>
      </c>
      <c r="Q262" s="147">
        <v>18004717539</v>
      </c>
      <c r="R262" s="1563" t="s">
        <v>5923</v>
      </c>
      <c r="S262" s="1563" t="s">
        <v>5783</v>
      </c>
      <c r="T262" s="147"/>
    </row>
    <row r="263" spans="1:20" s="1030" customFormat="1" ht="20.100000000000001" customHeight="1">
      <c r="A263" s="1232"/>
      <c r="B263" s="1563" t="s">
        <v>5953</v>
      </c>
      <c r="C263" s="1563" t="s">
        <v>5954</v>
      </c>
      <c r="D263" s="1563" t="s">
        <v>464</v>
      </c>
      <c r="E263" s="1563">
        <v>45</v>
      </c>
      <c r="F263" s="1563" t="s">
        <v>34</v>
      </c>
      <c r="G263" s="1563" t="s">
        <v>32</v>
      </c>
      <c r="H263" s="1563" t="s">
        <v>33</v>
      </c>
      <c r="I263" s="1563" t="s">
        <v>34</v>
      </c>
      <c r="J263" s="1563" t="s">
        <v>34</v>
      </c>
      <c r="K263" s="1563" t="s">
        <v>34</v>
      </c>
      <c r="L263" s="1563" t="s">
        <v>34</v>
      </c>
      <c r="M263" s="1563" t="s">
        <v>34</v>
      </c>
      <c r="N263" s="1241" t="s">
        <v>5950</v>
      </c>
      <c r="O263" s="1563" t="s">
        <v>5946</v>
      </c>
      <c r="P263" s="147" t="s">
        <v>5947</v>
      </c>
      <c r="Q263" s="147">
        <v>18004717539</v>
      </c>
      <c r="R263" s="1563" t="s">
        <v>5923</v>
      </c>
      <c r="S263" s="1563" t="s">
        <v>5783</v>
      </c>
      <c r="T263" s="1232"/>
    </row>
    <row r="264" spans="1:20" s="1030" customFormat="1" ht="20.100000000000001" customHeight="1">
      <c r="A264" s="1232"/>
      <c r="B264" s="1232" t="s">
        <v>3717</v>
      </c>
      <c r="C264" s="1232"/>
      <c r="D264" s="1232"/>
      <c r="E264" s="1232"/>
      <c r="F264" s="1232"/>
      <c r="G264" s="1232"/>
      <c r="H264" s="1232"/>
      <c r="I264" s="1232"/>
      <c r="J264" s="1232"/>
      <c r="K264" s="1232"/>
      <c r="L264" s="1232"/>
      <c r="M264" s="1232"/>
      <c r="N264" s="1232"/>
      <c r="O264" s="1232"/>
      <c r="P264" s="1232"/>
      <c r="Q264" s="1232"/>
      <c r="R264" s="1232"/>
      <c r="S264" s="1232"/>
      <c r="T264" s="1232"/>
    </row>
    <row r="265" spans="1:20" s="1030" customFormat="1" ht="20.100000000000001" customHeight="1">
      <c r="A265" s="1232">
        <v>4</v>
      </c>
      <c r="B265" s="1234" t="s">
        <v>982</v>
      </c>
      <c r="C265" s="1234"/>
      <c r="D265" s="1234"/>
      <c r="E265" s="1234"/>
      <c r="F265" s="1234"/>
      <c r="G265" s="1234"/>
      <c r="H265" s="1234"/>
      <c r="I265" s="1234"/>
      <c r="J265" s="1234"/>
      <c r="K265" s="1234"/>
      <c r="L265" s="1234"/>
      <c r="M265" s="1234"/>
      <c r="N265" s="1234"/>
      <c r="O265" s="1234"/>
      <c r="P265" s="1234"/>
      <c r="Q265" s="1234"/>
      <c r="R265" s="1234"/>
      <c r="S265" s="1234"/>
      <c r="T265" s="1232"/>
    </row>
    <row r="266" spans="1:20" s="1030" customFormat="1" ht="20.100000000000001" customHeight="1">
      <c r="A266" s="1232"/>
      <c r="B266" s="1232"/>
      <c r="C266" s="1232"/>
      <c r="D266" s="1232"/>
      <c r="E266" s="1232"/>
      <c r="F266" s="1232"/>
      <c r="G266" s="1232"/>
      <c r="H266" s="1232"/>
      <c r="I266" s="1232"/>
      <c r="J266" s="1232"/>
      <c r="K266" s="1232"/>
      <c r="L266" s="1232"/>
      <c r="M266" s="1232"/>
      <c r="N266" s="1232"/>
      <c r="O266" s="1232"/>
      <c r="P266" s="1232"/>
      <c r="Q266" s="1232"/>
      <c r="R266" s="1232"/>
      <c r="S266" s="1232"/>
      <c r="T266" s="1232"/>
    </row>
    <row r="267" spans="1:20" s="1030" customFormat="1" ht="20.100000000000001" customHeight="1">
      <c r="A267" s="1234">
        <v>5</v>
      </c>
      <c r="B267" s="1234" t="s">
        <v>514</v>
      </c>
      <c r="C267" s="1234"/>
      <c r="D267" s="1234"/>
      <c r="E267" s="1234"/>
      <c r="F267" s="1234"/>
      <c r="G267" s="1234"/>
      <c r="H267" s="1234"/>
      <c r="I267" s="1234"/>
      <c r="J267" s="1234"/>
      <c r="K267" s="1234"/>
      <c r="L267" s="1234"/>
      <c r="M267" s="1234"/>
      <c r="N267" s="1234"/>
      <c r="O267" s="1234"/>
      <c r="P267" s="1234"/>
      <c r="Q267" s="1234"/>
      <c r="R267" s="1234"/>
      <c r="S267" s="1234"/>
      <c r="T267" s="1232"/>
    </row>
    <row r="268" spans="1:20" s="1030" customFormat="1" ht="20.100000000000001" customHeight="1">
      <c r="A268" s="1232"/>
      <c r="B268" s="1232"/>
      <c r="C268" s="1232"/>
      <c r="D268" s="1232"/>
      <c r="E268" s="1232"/>
      <c r="F268" s="1232"/>
      <c r="G268" s="1563"/>
      <c r="H268" s="1563"/>
      <c r="I268" s="1563"/>
      <c r="J268" s="1563"/>
      <c r="K268" s="1563"/>
      <c r="L268" s="1232"/>
      <c r="M268" s="1563"/>
      <c r="N268" s="1232"/>
      <c r="O268" s="1242"/>
      <c r="P268" s="1242"/>
      <c r="Q268" s="1242"/>
      <c r="R268" s="1243"/>
      <c r="S268" s="1243"/>
      <c r="T268" s="1232"/>
    </row>
    <row r="269" spans="1:20" s="1030" customFormat="1" ht="20.100000000000001" customHeight="1">
      <c r="A269" s="1232"/>
      <c r="B269" s="1232"/>
      <c r="C269" s="1232"/>
      <c r="D269" s="1232"/>
      <c r="E269" s="1232"/>
      <c r="F269" s="1232"/>
      <c r="G269" s="1563"/>
      <c r="H269" s="1563"/>
      <c r="I269" s="1563"/>
      <c r="J269" s="1563"/>
      <c r="K269" s="1563"/>
      <c r="L269" s="1232"/>
      <c r="M269" s="1563"/>
      <c r="N269" s="1232"/>
      <c r="O269" s="1242"/>
      <c r="P269" s="1242"/>
      <c r="Q269" s="1242"/>
      <c r="R269" s="1243"/>
      <c r="S269" s="1243"/>
      <c r="T269" s="1232"/>
    </row>
    <row r="270" spans="1:20" s="1030" customFormat="1" ht="20.100000000000001" customHeight="1">
      <c r="A270" s="1244" t="s">
        <v>1006</v>
      </c>
      <c r="B270" s="1233" t="s">
        <v>1007</v>
      </c>
      <c r="C270" s="1234"/>
      <c r="D270" s="1234"/>
      <c r="E270" s="1234"/>
      <c r="F270" s="1234"/>
      <c r="G270" s="1234"/>
      <c r="H270" s="1234"/>
      <c r="I270" s="1234"/>
      <c r="J270" s="1234"/>
      <c r="K270" s="1234"/>
      <c r="L270" s="1234"/>
      <c r="M270" s="1234"/>
      <c r="N270" s="1234"/>
      <c r="O270" s="1234"/>
      <c r="P270" s="1234"/>
      <c r="Q270" s="1234"/>
      <c r="R270" s="1234"/>
      <c r="S270" s="1234"/>
      <c r="T270" s="1232"/>
    </row>
    <row r="271" spans="1:20" s="1248" customFormat="1" ht="20.100000000000001" customHeight="1">
      <c r="A271" s="1245"/>
      <c r="B271" s="1246" t="s">
        <v>5955</v>
      </c>
      <c r="C271" s="1246" t="s">
        <v>3030</v>
      </c>
      <c r="D271" s="1246" t="s">
        <v>5956</v>
      </c>
      <c r="E271" s="1246">
        <v>6</v>
      </c>
      <c r="F271" s="1563" t="s">
        <v>34</v>
      </c>
      <c r="G271" s="1563" t="s">
        <v>32</v>
      </c>
      <c r="H271" s="1563" t="s">
        <v>33</v>
      </c>
      <c r="I271" s="1563" t="s">
        <v>34</v>
      </c>
      <c r="J271" s="1563" t="s">
        <v>34</v>
      </c>
      <c r="K271" s="1563" t="s">
        <v>34</v>
      </c>
      <c r="L271" s="1200">
        <v>2306096</v>
      </c>
      <c r="M271" s="1247">
        <v>230609.6</v>
      </c>
      <c r="N271" s="1563">
        <v>2010</v>
      </c>
      <c r="O271" s="1563" t="s">
        <v>5780</v>
      </c>
      <c r="P271" s="1563" t="s">
        <v>5781</v>
      </c>
      <c r="Q271" s="1563">
        <v>15694713641</v>
      </c>
      <c r="R271" s="1563" t="s">
        <v>5923</v>
      </c>
      <c r="S271" s="1563" t="s">
        <v>5783</v>
      </c>
      <c r="T271" s="1197"/>
    </row>
    <row r="272" spans="1:20" s="1248" customFormat="1" ht="20.100000000000001" customHeight="1">
      <c r="A272" s="1245"/>
      <c r="B272" s="1246" t="s">
        <v>5955</v>
      </c>
      <c r="C272" s="1246" t="s">
        <v>1141</v>
      </c>
      <c r="D272" s="1246" t="s">
        <v>5956</v>
      </c>
      <c r="E272" s="1246">
        <v>2</v>
      </c>
      <c r="F272" s="1563" t="s">
        <v>34</v>
      </c>
      <c r="G272" s="1563" t="s">
        <v>32</v>
      </c>
      <c r="H272" s="1563" t="s">
        <v>33</v>
      </c>
      <c r="I272" s="1563" t="s">
        <v>34</v>
      </c>
      <c r="J272" s="1563" t="s">
        <v>34</v>
      </c>
      <c r="K272" s="1563" t="s">
        <v>34</v>
      </c>
      <c r="L272" s="1200">
        <v>281734</v>
      </c>
      <c r="M272" s="1247">
        <v>168564.26</v>
      </c>
      <c r="N272" s="1563">
        <v>2017</v>
      </c>
      <c r="O272" s="1563" t="s">
        <v>5780</v>
      </c>
      <c r="P272" s="1563" t="s">
        <v>5781</v>
      </c>
      <c r="Q272" s="1563">
        <v>15694713642</v>
      </c>
      <c r="R272" s="1563" t="s">
        <v>5923</v>
      </c>
      <c r="S272" s="1563" t="s">
        <v>5783</v>
      </c>
      <c r="T272" s="1197"/>
    </row>
    <row r="273" spans="1:20" s="1248" customFormat="1" ht="20.100000000000001" customHeight="1">
      <c r="A273" s="1245"/>
      <c r="B273" s="1246" t="s">
        <v>5955</v>
      </c>
      <c r="C273" s="1246" t="s">
        <v>3045</v>
      </c>
      <c r="D273" s="1246" t="s">
        <v>5956</v>
      </c>
      <c r="E273" s="1246">
        <v>2</v>
      </c>
      <c r="F273" s="1563" t="s">
        <v>34</v>
      </c>
      <c r="G273" s="1563" t="s">
        <v>32</v>
      </c>
      <c r="H273" s="1563" t="s">
        <v>33</v>
      </c>
      <c r="I273" s="1563" t="s">
        <v>34</v>
      </c>
      <c r="J273" s="1563" t="s">
        <v>34</v>
      </c>
      <c r="K273" s="1563" t="s">
        <v>34</v>
      </c>
      <c r="L273" s="1200">
        <v>0</v>
      </c>
      <c r="M273" s="1247">
        <v>0</v>
      </c>
      <c r="N273" s="1563" t="s">
        <v>34</v>
      </c>
      <c r="O273" s="1563" t="s">
        <v>5780</v>
      </c>
      <c r="P273" s="1563" t="s">
        <v>5781</v>
      </c>
      <c r="Q273" s="1563">
        <v>15694713643</v>
      </c>
      <c r="R273" s="1563" t="s">
        <v>5923</v>
      </c>
      <c r="S273" s="1563" t="s">
        <v>5783</v>
      </c>
      <c r="T273" s="1197"/>
    </row>
    <row r="274" spans="1:20" s="1248" customFormat="1" ht="20.100000000000001" customHeight="1">
      <c r="A274" s="1245"/>
      <c r="B274" s="1249" t="s">
        <v>5957</v>
      </c>
      <c r="C274" s="1250" t="s">
        <v>5841</v>
      </c>
      <c r="D274" s="1250" t="s">
        <v>62</v>
      </c>
      <c r="E274" s="1563" t="s">
        <v>34</v>
      </c>
      <c r="F274" s="1251">
        <v>350.613</v>
      </c>
      <c r="G274" s="1563" t="s">
        <v>32</v>
      </c>
      <c r="H274" s="1563" t="s">
        <v>33</v>
      </c>
      <c r="I274" s="1563" t="s">
        <v>34</v>
      </c>
      <c r="J274" s="1563" t="s">
        <v>34</v>
      </c>
      <c r="K274" s="1563" t="s">
        <v>34</v>
      </c>
      <c r="L274" s="1252">
        <v>2181588.91</v>
      </c>
      <c r="M274" s="1253">
        <v>680063.1</v>
      </c>
      <c r="N274" s="1246" t="s">
        <v>5958</v>
      </c>
      <c r="O274" s="1634" t="s">
        <v>5780</v>
      </c>
      <c r="P274" s="1563" t="s">
        <v>5781</v>
      </c>
      <c r="Q274" s="1563">
        <v>15694713641</v>
      </c>
      <c r="R274" s="1563" t="s">
        <v>5923</v>
      </c>
      <c r="S274" s="1563" t="s">
        <v>5783</v>
      </c>
      <c r="T274" s="1197"/>
    </row>
    <row r="275" spans="1:20" s="1248" customFormat="1" ht="20.100000000000001" customHeight="1">
      <c r="A275" s="1245"/>
      <c r="B275" s="1249" t="s">
        <v>5957</v>
      </c>
      <c r="C275" s="1250" t="s">
        <v>5841</v>
      </c>
      <c r="D275" s="1250" t="s">
        <v>62</v>
      </c>
      <c r="E275" s="1563" t="s">
        <v>34</v>
      </c>
      <c r="F275" s="1254">
        <v>182.262</v>
      </c>
      <c r="G275" s="1563" t="s">
        <v>32</v>
      </c>
      <c r="H275" s="1563" t="s">
        <v>33</v>
      </c>
      <c r="I275" s="1563" t="s">
        <v>34</v>
      </c>
      <c r="J275" s="1563" t="s">
        <v>34</v>
      </c>
      <c r="K275" s="1563" t="s">
        <v>34</v>
      </c>
      <c r="L275" s="1255">
        <v>1126285.75</v>
      </c>
      <c r="M275" s="1256">
        <v>382756.95</v>
      </c>
      <c r="N275" s="1246" t="s">
        <v>5958</v>
      </c>
      <c r="O275" s="1634" t="s">
        <v>5780</v>
      </c>
      <c r="P275" s="1563" t="s">
        <v>5781</v>
      </c>
      <c r="Q275" s="1563">
        <v>15694713641</v>
      </c>
      <c r="R275" s="1563" t="s">
        <v>5923</v>
      </c>
      <c r="S275" s="1563" t="s">
        <v>5783</v>
      </c>
      <c r="T275" s="1197"/>
    </row>
    <row r="276" spans="1:20" s="1248" customFormat="1" ht="20.100000000000001" customHeight="1">
      <c r="A276" s="1245"/>
      <c r="B276" s="1249" t="s">
        <v>5957</v>
      </c>
      <c r="C276" s="1250" t="s">
        <v>5841</v>
      </c>
      <c r="D276" s="1250" t="s">
        <v>62</v>
      </c>
      <c r="E276" s="1563" t="s">
        <v>34</v>
      </c>
      <c r="F276" s="1254">
        <v>16.212</v>
      </c>
      <c r="G276" s="1563" t="s">
        <v>32</v>
      </c>
      <c r="H276" s="1563" t="s">
        <v>33</v>
      </c>
      <c r="I276" s="1563" t="s">
        <v>34</v>
      </c>
      <c r="J276" s="1563" t="s">
        <v>34</v>
      </c>
      <c r="K276" s="1563" t="s">
        <v>34</v>
      </c>
      <c r="L276" s="1255">
        <v>108080.11</v>
      </c>
      <c r="M276" s="1256">
        <v>37525.35</v>
      </c>
      <c r="N276" s="1246" t="s">
        <v>5958</v>
      </c>
      <c r="O276" s="1634" t="s">
        <v>5780</v>
      </c>
      <c r="P276" s="1563" t="s">
        <v>5781</v>
      </c>
      <c r="Q276" s="1563">
        <v>15694713641</v>
      </c>
      <c r="R276" s="1563" t="s">
        <v>5923</v>
      </c>
      <c r="S276" s="1563" t="s">
        <v>5783</v>
      </c>
      <c r="T276" s="1197"/>
    </row>
    <row r="277" spans="1:20" s="1248" customFormat="1" ht="20.100000000000001" customHeight="1">
      <c r="A277" s="1245"/>
      <c r="B277" s="1249" t="s">
        <v>5957</v>
      </c>
      <c r="C277" s="1250" t="s">
        <v>5841</v>
      </c>
      <c r="D277" s="1250" t="s">
        <v>62</v>
      </c>
      <c r="E277" s="1563" t="s">
        <v>34</v>
      </c>
      <c r="F277" s="1254">
        <v>187.738</v>
      </c>
      <c r="G277" s="1563" t="s">
        <v>32</v>
      </c>
      <c r="H277" s="1563" t="s">
        <v>33</v>
      </c>
      <c r="I277" s="1563" t="s">
        <v>34</v>
      </c>
      <c r="J277" s="1563" t="s">
        <v>34</v>
      </c>
      <c r="K277" s="1563" t="s">
        <v>34</v>
      </c>
      <c r="L277" s="1255">
        <v>1474409.52</v>
      </c>
      <c r="M277" s="1256">
        <v>593357.31999999995</v>
      </c>
      <c r="N277" s="1246" t="s">
        <v>5958</v>
      </c>
      <c r="O277" s="1634" t="s">
        <v>5780</v>
      </c>
      <c r="P277" s="1563" t="s">
        <v>5781</v>
      </c>
      <c r="Q277" s="1563">
        <v>15694713641</v>
      </c>
      <c r="R277" s="1563" t="s">
        <v>5923</v>
      </c>
      <c r="S277" s="1563" t="s">
        <v>5783</v>
      </c>
      <c r="T277" s="1197"/>
    </row>
    <row r="278" spans="1:20" s="1248" customFormat="1" ht="20.100000000000001" customHeight="1">
      <c r="A278" s="1245"/>
      <c r="B278" s="1257" t="s">
        <v>5959</v>
      </c>
      <c r="C278" s="1257" t="s">
        <v>5960</v>
      </c>
      <c r="D278" s="1250" t="s">
        <v>464</v>
      </c>
      <c r="E278" s="1258">
        <v>2820</v>
      </c>
      <c r="F278" s="1563" t="s">
        <v>34</v>
      </c>
      <c r="G278" s="1563" t="s">
        <v>3560</v>
      </c>
      <c r="H278" s="1563" t="s">
        <v>33</v>
      </c>
      <c r="I278" s="1563" t="s">
        <v>34</v>
      </c>
      <c r="J278" s="1563" t="s">
        <v>34</v>
      </c>
      <c r="K278" s="1563" t="s">
        <v>34</v>
      </c>
      <c r="L278" s="1563" t="s">
        <v>34</v>
      </c>
      <c r="M278" s="1563" t="s">
        <v>34</v>
      </c>
      <c r="N278" s="1563" t="s">
        <v>34</v>
      </c>
      <c r="O278" s="1634" t="s">
        <v>5780</v>
      </c>
      <c r="P278" s="1563" t="s">
        <v>5781</v>
      </c>
      <c r="Q278" s="1563">
        <v>15694713641</v>
      </c>
      <c r="R278" s="1563" t="s">
        <v>5923</v>
      </c>
      <c r="S278" s="1563" t="s">
        <v>5783</v>
      </c>
      <c r="T278" s="1197"/>
    </row>
    <row r="279" spans="1:20" s="1248" customFormat="1" ht="20.100000000000001" customHeight="1">
      <c r="A279" s="1245"/>
      <c r="B279" s="1257" t="s">
        <v>5959</v>
      </c>
      <c r="C279" s="1257" t="s">
        <v>5954</v>
      </c>
      <c r="D279" s="1250" t="s">
        <v>464</v>
      </c>
      <c r="E279" s="1259">
        <v>683</v>
      </c>
      <c r="F279" s="1563" t="s">
        <v>34</v>
      </c>
      <c r="G279" s="1563" t="s">
        <v>3560</v>
      </c>
      <c r="H279" s="1563" t="s">
        <v>33</v>
      </c>
      <c r="I279" s="1563" t="s">
        <v>34</v>
      </c>
      <c r="J279" s="1563" t="s">
        <v>34</v>
      </c>
      <c r="K279" s="1563" t="s">
        <v>34</v>
      </c>
      <c r="L279" s="1563" t="s">
        <v>34</v>
      </c>
      <c r="M279" s="1563" t="s">
        <v>34</v>
      </c>
      <c r="N279" s="1563" t="s">
        <v>34</v>
      </c>
      <c r="O279" s="1634" t="s">
        <v>5780</v>
      </c>
      <c r="P279" s="1563" t="s">
        <v>5781</v>
      </c>
      <c r="Q279" s="1563">
        <v>15694713641</v>
      </c>
      <c r="R279" s="1563" t="s">
        <v>5923</v>
      </c>
      <c r="S279" s="1563" t="s">
        <v>5783</v>
      </c>
      <c r="T279" s="1197"/>
    </row>
    <row r="280" spans="1:20" s="1248" customFormat="1" ht="20.100000000000001" customHeight="1">
      <c r="A280" s="1245"/>
      <c r="B280" s="1257" t="s">
        <v>5959</v>
      </c>
      <c r="C280" s="1257" t="s">
        <v>5949</v>
      </c>
      <c r="D280" s="1250" t="s">
        <v>464</v>
      </c>
      <c r="E280" s="1259">
        <v>1717</v>
      </c>
      <c r="F280" s="1563" t="s">
        <v>34</v>
      </c>
      <c r="G280" s="1563" t="s">
        <v>3560</v>
      </c>
      <c r="H280" s="1563" t="s">
        <v>33</v>
      </c>
      <c r="I280" s="1563" t="s">
        <v>34</v>
      </c>
      <c r="J280" s="1563" t="s">
        <v>34</v>
      </c>
      <c r="K280" s="1563" t="s">
        <v>34</v>
      </c>
      <c r="L280" s="1563" t="s">
        <v>34</v>
      </c>
      <c r="M280" s="1563" t="s">
        <v>34</v>
      </c>
      <c r="N280" s="1563" t="s">
        <v>34</v>
      </c>
      <c r="O280" s="1634" t="s">
        <v>5780</v>
      </c>
      <c r="P280" s="1563" t="s">
        <v>5781</v>
      </c>
      <c r="Q280" s="1563">
        <v>15694713641</v>
      </c>
      <c r="R280" s="1563" t="s">
        <v>5923</v>
      </c>
      <c r="S280" s="1563" t="s">
        <v>5783</v>
      </c>
      <c r="T280" s="1197"/>
    </row>
    <row r="281" spans="1:20" s="1248" customFormat="1" ht="20.100000000000001" customHeight="1">
      <c r="A281" s="1245"/>
      <c r="B281" s="1257" t="s">
        <v>5959</v>
      </c>
      <c r="C281" s="1257" t="s">
        <v>5961</v>
      </c>
      <c r="D281" s="1250" t="s">
        <v>464</v>
      </c>
      <c r="E281" s="1259">
        <v>832</v>
      </c>
      <c r="F281" s="1563" t="s">
        <v>34</v>
      </c>
      <c r="G281" s="1563" t="s">
        <v>3560</v>
      </c>
      <c r="H281" s="1563" t="s">
        <v>33</v>
      </c>
      <c r="I281" s="1563" t="s">
        <v>34</v>
      </c>
      <c r="J281" s="1563" t="s">
        <v>34</v>
      </c>
      <c r="K281" s="1563" t="s">
        <v>34</v>
      </c>
      <c r="L281" s="1563" t="s">
        <v>34</v>
      </c>
      <c r="M281" s="1563" t="s">
        <v>34</v>
      </c>
      <c r="N281" s="1563" t="s">
        <v>34</v>
      </c>
      <c r="O281" s="1634" t="s">
        <v>5780</v>
      </c>
      <c r="P281" s="1563" t="s">
        <v>5781</v>
      </c>
      <c r="Q281" s="1563">
        <v>15694713641</v>
      </c>
      <c r="R281" s="1563" t="s">
        <v>5923</v>
      </c>
      <c r="S281" s="1563" t="s">
        <v>5783</v>
      </c>
      <c r="T281" s="1197"/>
    </row>
    <row r="282" spans="1:20" s="1248" customFormat="1" ht="20.100000000000001" customHeight="1">
      <c r="A282" s="1245"/>
      <c r="B282" s="1257" t="s">
        <v>5959</v>
      </c>
      <c r="C282" s="1257" t="s">
        <v>4445</v>
      </c>
      <c r="D282" s="1250" t="s">
        <v>464</v>
      </c>
      <c r="E282" s="1259">
        <v>3499</v>
      </c>
      <c r="F282" s="1563" t="s">
        <v>34</v>
      </c>
      <c r="G282" s="1563" t="s">
        <v>3560</v>
      </c>
      <c r="H282" s="1563" t="s">
        <v>33</v>
      </c>
      <c r="I282" s="1563" t="s">
        <v>34</v>
      </c>
      <c r="J282" s="1563" t="s">
        <v>34</v>
      </c>
      <c r="K282" s="1563" t="s">
        <v>34</v>
      </c>
      <c r="L282" s="1563" t="s">
        <v>34</v>
      </c>
      <c r="M282" s="1563" t="s">
        <v>34</v>
      </c>
      <c r="N282" s="1563" t="s">
        <v>34</v>
      </c>
      <c r="O282" s="1634" t="s">
        <v>5780</v>
      </c>
      <c r="P282" s="1563" t="s">
        <v>5781</v>
      </c>
      <c r="Q282" s="1563">
        <v>15694713641</v>
      </c>
      <c r="R282" s="1563" t="s">
        <v>5923</v>
      </c>
      <c r="S282" s="1563" t="s">
        <v>5783</v>
      </c>
      <c r="T282" s="1197"/>
    </row>
    <row r="283" spans="1:20" s="1248" customFormat="1" ht="20.100000000000001" customHeight="1">
      <c r="A283" s="1245"/>
      <c r="B283" s="1260" t="s">
        <v>5959</v>
      </c>
      <c r="C283" s="1260" t="s">
        <v>3566</v>
      </c>
      <c r="D283" s="1250" t="s">
        <v>464</v>
      </c>
      <c r="E283" s="1259">
        <v>821</v>
      </c>
      <c r="F283" s="1563" t="s">
        <v>34</v>
      </c>
      <c r="G283" s="1563" t="s">
        <v>3560</v>
      </c>
      <c r="H283" s="1563" t="s">
        <v>33</v>
      </c>
      <c r="I283" s="1563" t="s">
        <v>34</v>
      </c>
      <c r="J283" s="1563" t="s">
        <v>34</v>
      </c>
      <c r="K283" s="1563" t="s">
        <v>34</v>
      </c>
      <c r="L283" s="1563" t="s">
        <v>34</v>
      </c>
      <c r="M283" s="1563" t="s">
        <v>34</v>
      </c>
      <c r="N283" s="1563" t="s">
        <v>34</v>
      </c>
      <c r="O283" s="1634" t="s">
        <v>5780</v>
      </c>
      <c r="P283" s="1563" t="s">
        <v>5781</v>
      </c>
      <c r="Q283" s="1563">
        <v>15694713641</v>
      </c>
      <c r="R283" s="1563" t="s">
        <v>5923</v>
      </c>
      <c r="S283" s="1563" t="s">
        <v>5783</v>
      </c>
      <c r="T283" s="1197"/>
    </row>
    <row r="284" spans="1:20" s="1248" customFormat="1" ht="20.100000000000001" customHeight="1">
      <c r="A284" s="1245"/>
      <c r="B284" s="1257" t="s">
        <v>5959</v>
      </c>
      <c r="C284" s="1257" t="s">
        <v>5962</v>
      </c>
      <c r="D284" s="1250" t="s">
        <v>464</v>
      </c>
      <c r="E284" s="1259">
        <v>2145</v>
      </c>
      <c r="F284" s="1563" t="s">
        <v>34</v>
      </c>
      <c r="G284" s="1563" t="s">
        <v>3560</v>
      </c>
      <c r="H284" s="1563" t="s">
        <v>33</v>
      </c>
      <c r="I284" s="1563" t="s">
        <v>34</v>
      </c>
      <c r="J284" s="1563" t="s">
        <v>34</v>
      </c>
      <c r="K284" s="1563" t="s">
        <v>34</v>
      </c>
      <c r="L284" s="1563" t="s">
        <v>34</v>
      </c>
      <c r="M284" s="1563" t="s">
        <v>34</v>
      </c>
      <c r="N284" s="1563" t="s">
        <v>34</v>
      </c>
      <c r="O284" s="1634" t="s">
        <v>5780</v>
      </c>
      <c r="P284" s="1563" t="s">
        <v>5781</v>
      </c>
      <c r="Q284" s="1563">
        <v>15694713641</v>
      </c>
      <c r="R284" s="1563" t="s">
        <v>5923</v>
      </c>
      <c r="S284" s="1563" t="s">
        <v>5783</v>
      </c>
      <c r="T284" s="1197"/>
    </row>
    <row r="285" spans="1:20" s="1248" customFormat="1" ht="20.100000000000001" customHeight="1">
      <c r="A285" s="1245"/>
      <c r="B285" s="1257" t="s">
        <v>5959</v>
      </c>
      <c r="C285" s="1257" t="s">
        <v>5963</v>
      </c>
      <c r="D285" s="1250" t="s">
        <v>464</v>
      </c>
      <c r="E285" s="1259">
        <v>1583</v>
      </c>
      <c r="F285" s="1563" t="s">
        <v>34</v>
      </c>
      <c r="G285" s="1563" t="s">
        <v>3560</v>
      </c>
      <c r="H285" s="1563" t="s">
        <v>33</v>
      </c>
      <c r="I285" s="1563" t="s">
        <v>34</v>
      </c>
      <c r="J285" s="1563" t="s">
        <v>34</v>
      </c>
      <c r="K285" s="1563" t="s">
        <v>34</v>
      </c>
      <c r="L285" s="1563" t="s">
        <v>34</v>
      </c>
      <c r="M285" s="1563" t="s">
        <v>34</v>
      </c>
      <c r="N285" s="1563" t="s">
        <v>34</v>
      </c>
      <c r="O285" s="1634" t="s">
        <v>5780</v>
      </c>
      <c r="P285" s="1563" t="s">
        <v>5781</v>
      </c>
      <c r="Q285" s="1563">
        <v>15694713641</v>
      </c>
      <c r="R285" s="1563" t="s">
        <v>5923</v>
      </c>
      <c r="S285" s="1563" t="s">
        <v>5783</v>
      </c>
      <c r="T285" s="1197"/>
    </row>
    <row r="286" spans="1:20" s="1248" customFormat="1" ht="20.100000000000001" customHeight="1">
      <c r="A286" s="1245"/>
      <c r="B286" s="1260" t="s">
        <v>5959</v>
      </c>
      <c r="C286" s="1260" t="s">
        <v>5964</v>
      </c>
      <c r="D286" s="1250" t="s">
        <v>464</v>
      </c>
      <c r="E286" s="1259">
        <v>3679</v>
      </c>
      <c r="F286" s="1563" t="s">
        <v>34</v>
      </c>
      <c r="G286" s="1563" t="s">
        <v>3560</v>
      </c>
      <c r="H286" s="1563" t="s">
        <v>33</v>
      </c>
      <c r="I286" s="1563" t="s">
        <v>34</v>
      </c>
      <c r="J286" s="1563" t="s">
        <v>34</v>
      </c>
      <c r="K286" s="1563" t="s">
        <v>34</v>
      </c>
      <c r="L286" s="1563" t="s">
        <v>34</v>
      </c>
      <c r="M286" s="1563" t="s">
        <v>34</v>
      </c>
      <c r="N286" s="1563" t="s">
        <v>34</v>
      </c>
      <c r="O286" s="1634" t="s">
        <v>5780</v>
      </c>
      <c r="P286" s="1563" t="s">
        <v>5781</v>
      </c>
      <c r="Q286" s="1563">
        <v>15694713641</v>
      </c>
      <c r="R286" s="1563" t="s">
        <v>5923</v>
      </c>
      <c r="S286" s="1563" t="s">
        <v>5783</v>
      </c>
      <c r="T286" s="1197"/>
    </row>
    <row r="287" spans="1:20" s="1248" customFormat="1" ht="20.100000000000001" customHeight="1">
      <c r="A287" s="1245"/>
      <c r="B287" s="1242" t="s">
        <v>5965</v>
      </c>
      <c r="C287" s="1242" t="s">
        <v>5966</v>
      </c>
      <c r="D287" s="1242" t="s">
        <v>161</v>
      </c>
      <c r="E287" s="1242">
        <f>28*2+27*4+2.85+28.1*3</f>
        <v>251.15</v>
      </c>
      <c r="F287" s="1242" t="s">
        <v>34</v>
      </c>
      <c r="G287" s="1261" t="s">
        <v>32</v>
      </c>
      <c r="H287" s="1261" t="s">
        <v>33</v>
      </c>
      <c r="I287" s="1242" t="s">
        <v>34</v>
      </c>
      <c r="J287" s="1242" t="s">
        <v>34</v>
      </c>
      <c r="K287" s="1242" t="s">
        <v>34</v>
      </c>
      <c r="L287" s="1242" t="s">
        <v>34</v>
      </c>
      <c r="M287" s="1242" t="s">
        <v>34</v>
      </c>
      <c r="N287" s="1242"/>
      <c r="O287" s="1242" t="s">
        <v>5967</v>
      </c>
      <c r="P287" s="1242" t="s">
        <v>5968</v>
      </c>
      <c r="Q287" s="1242">
        <v>17320170031</v>
      </c>
      <c r="R287" s="1243" t="s">
        <v>5969</v>
      </c>
      <c r="S287" s="1563" t="s">
        <v>5783</v>
      </c>
      <c r="T287" s="1197"/>
    </row>
    <row r="288" spans="1:20" s="1248" customFormat="1" ht="20.100000000000001" customHeight="1">
      <c r="A288" s="1245"/>
      <c r="B288" s="1242" t="s">
        <v>5965</v>
      </c>
      <c r="C288" s="1242" t="s">
        <v>5970</v>
      </c>
      <c r="D288" s="1242" t="s">
        <v>161</v>
      </c>
      <c r="E288" s="1242">
        <v>50.1</v>
      </c>
      <c r="F288" s="1242" t="s">
        <v>34</v>
      </c>
      <c r="G288" s="1261" t="s">
        <v>32</v>
      </c>
      <c r="H288" s="1261" t="s">
        <v>33</v>
      </c>
      <c r="I288" s="1242" t="s">
        <v>34</v>
      </c>
      <c r="J288" s="1242" t="s">
        <v>34</v>
      </c>
      <c r="K288" s="1242" t="s">
        <v>34</v>
      </c>
      <c r="L288" s="1242" t="s">
        <v>34</v>
      </c>
      <c r="M288" s="1242" t="s">
        <v>34</v>
      </c>
      <c r="N288" s="1243"/>
      <c r="O288" s="1242" t="s">
        <v>5967</v>
      </c>
      <c r="P288" s="1242" t="s">
        <v>5968</v>
      </c>
      <c r="Q288" s="1242">
        <v>17320170031</v>
      </c>
      <c r="R288" s="1243" t="s">
        <v>5969</v>
      </c>
      <c r="S288" s="1243"/>
      <c r="T288" s="1197"/>
    </row>
    <row r="289" spans="1:20" s="1248" customFormat="1" ht="20.100000000000001" customHeight="1">
      <c r="A289" s="1245"/>
      <c r="B289" s="1243"/>
      <c r="C289" s="1243"/>
      <c r="D289" s="1243"/>
      <c r="E289" s="1242"/>
      <c r="F289" s="1242"/>
      <c r="G289" s="1261"/>
      <c r="H289" s="1261"/>
      <c r="I289" s="1242"/>
      <c r="J289" s="1242"/>
      <c r="K289" s="1242"/>
      <c r="L289" s="1242"/>
      <c r="M289" s="1242"/>
      <c r="N289" s="1243"/>
      <c r="O289" s="1242"/>
      <c r="P289" s="1242"/>
      <c r="Q289" s="1242"/>
      <c r="R289" s="1243"/>
      <c r="S289" s="1243"/>
      <c r="T289" s="1247"/>
    </row>
    <row r="290" spans="1:20" s="1248" customFormat="1" ht="20.100000000000001" customHeight="1">
      <c r="A290" s="1245"/>
      <c r="B290" s="1243" t="s">
        <v>5959</v>
      </c>
      <c r="C290" s="1243" t="s">
        <v>5954</v>
      </c>
      <c r="D290" s="1243" t="s">
        <v>5971</v>
      </c>
      <c r="E290" s="1242">
        <v>336</v>
      </c>
      <c r="F290" s="1242" t="s">
        <v>34</v>
      </c>
      <c r="G290" s="1261" t="s">
        <v>3560</v>
      </c>
      <c r="H290" s="1261" t="s">
        <v>33</v>
      </c>
      <c r="I290" s="1242" t="s">
        <v>34</v>
      </c>
      <c r="J290" s="1242" t="s">
        <v>34</v>
      </c>
      <c r="K290" s="1242" t="s">
        <v>34</v>
      </c>
      <c r="L290" s="1242" t="s">
        <v>34</v>
      </c>
      <c r="M290" s="1242" t="s">
        <v>34</v>
      </c>
      <c r="N290" s="1242" t="s">
        <v>34</v>
      </c>
      <c r="O290" s="1242" t="s">
        <v>5795</v>
      </c>
      <c r="P290" s="1242" t="s">
        <v>5790</v>
      </c>
      <c r="Q290" s="1242">
        <v>17684853888</v>
      </c>
      <c r="R290" s="1242" t="s">
        <v>5791</v>
      </c>
      <c r="S290" s="1243" t="s">
        <v>5792</v>
      </c>
      <c r="T290" s="1247"/>
    </row>
    <row r="291" spans="1:20" s="1248" customFormat="1" ht="20.100000000000001" customHeight="1">
      <c r="A291" s="1245"/>
      <c r="B291" s="1243" t="s">
        <v>5959</v>
      </c>
      <c r="C291" s="1243" t="s">
        <v>5963</v>
      </c>
      <c r="D291" s="1243" t="s">
        <v>5971</v>
      </c>
      <c r="E291" s="1242">
        <v>40</v>
      </c>
      <c r="F291" s="1242"/>
      <c r="G291" s="1261" t="s">
        <v>3560</v>
      </c>
      <c r="H291" s="1261" t="s">
        <v>33</v>
      </c>
      <c r="I291" s="1242" t="s">
        <v>34</v>
      </c>
      <c r="J291" s="1242" t="s">
        <v>34</v>
      </c>
      <c r="K291" s="1242" t="s">
        <v>34</v>
      </c>
      <c r="L291" s="1242" t="s">
        <v>34</v>
      </c>
      <c r="M291" s="1242" t="s">
        <v>34</v>
      </c>
      <c r="N291" s="1242" t="s">
        <v>34</v>
      </c>
      <c r="O291" s="1242" t="s">
        <v>5795</v>
      </c>
      <c r="P291" s="1242" t="s">
        <v>5790</v>
      </c>
      <c r="Q291" s="1242">
        <v>17684853888</v>
      </c>
      <c r="R291" s="1242" t="s">
        <v>5791</v>
      </c>
      <c r="S291" s="1243" t="s">
        <v>5792</v>
      </c>
      <c r="T291" s="1247"/>
    </row>
    <row r="292" spans="1:20" s="1248" customFormat="1" ht="20.100000000000001" customHeight="1">
      <c r="A292" s="1245"/>
      <c r="B292" s="1243" t="s">
        <v>5959</v>
      </c>
      <c r="C292" s="1243" t="s">
        <v>5949</v>
      </c>
      <c r="D292" s="1243" t="s">
        <v>5971</v>
      </c>
      <c r="E292" s="1242">
        <v>315</v>
      </c>
      <c r="F292" s="1242"/>
      <c r="G292" s="1261" t="s">
        <v>3560</v>
      </c>
      <c r="H292" s="1261" t="s">
        <v>33</v>
      </c>
      <c r="I292" s="1242" t="s">
        <v>34</v>
      </c>
      <c r="J292" s="1242" t="s">
        <v>34</v>
      </c>
      <c r="K292" s="1242" t="s">
        <v>34</v>
      </c>
      <c r="L292" s="1242" t="s">
        <v>34</v>
      </c>
      <c r="M292" s="1242" t="s">
        <v>34</v>
      </c>
      <c r="N292" s="1242" t="s">
        <v>34</v>
      </c>
      <c r="O292" s="1242" t="s">
        <v>5795</v>
      </c>
      <c r="P292" s="1242" t="s">
        <v>5790</v>
      </c>
      <c r="Q292" s="1242">
        <v>17684853888</v>
      </c>
      <c r="R292" s="1242" t="s">
        <v>5791</v>
      </c>
      <c r="S292" s="1243" t="s">
        <v>5792</v>
      </c>
      <c r="T292" s="1247"/>
    </row>
    <row r="293" spans="1:20" s="1248" customFormat="1" ht="20.100000000000001" customHeight="1">
      <c r="A293" s="1245"/>
      <c r="B293" s="1243"/>
      <c r="C293" s="1243"/>
      <c r="D293" s="1243"/>
      <c r="E293" s="1242"/>
      <c r="F293" s="1242"/>
      <c r="G293" s="1261"/>
      <c r="H293" s="1261"/>
      <c r="I293" s="1242"/>
      <c r="J293" s="1242"/>
      <c r="K293" s="1242"/>
      <c r="L293" s="1242"/>
      <c r="M293" s="1242"/>
      <c r="N293" s="1243"/>
      <c r="O293" s="1242"/>
      <c r="P293" s="1242"/>
      <c r="Q293" s="1242"/>
      <c r="R293" s="1243"/>
      <c r="S293" s="1243"/>
      <c r="T293" s="1247"/>
    </row>
    <row r="294" spans="1:20" s="1248" customFormat="1" ht="20.100000000000001" customHeight="1">
      <c r="A294" s="1245"/>
      <c r="B294" s="1243"/>
      <c r="C294" s="1243"/>
      <c r="D294" s="1243"/>
      <c r="E294" s="1242"/>
      <c r="F294" s="1242"/>
      <c r="G294" s="1261"/>
      <c r="H294" s="1261"/>
      <c r="I294" s="1242"/>
      <c r="J294" s="1242"/>
      <c r="K294" s="1242"/>
      <c r="L294" s="1242"/>
      <c r="M294" s="1242"/>
      <c r="N294" s="1243"/>
      <c r="O294" s="1242"/>
      <c r="P294" s="1242"/>
      <c r="Q294" s="1242"/>
      <c r="R294" s="1243"/>
      <c r="S294" s="1243"/>
      <c r="T294" s="1247"/>
    </row>
    <row r="295" spans="1:20" s="1248" customFormat="1" ht="20.100000000000001" customHeight="1">
      <c r="A295" s="1245"/>
      <c r="B295" s="1243"/>
      <c r="C295" s="1243"/>
      <c r="D295" s="1243"/>
      <c r="E295" s="1242"/>
      <c r="F295" s="1242"/>
      <c r="G295" s="1261"/>
      <c r="H295" s="1261"/>
      <c r="I295" s="1242"/>
      <c r="J295" s="1242"/>
      <c r="K295" s="1242"/>
      <c r="L295" s="1242"/>
      <c r="M295" s="1242"/>
      <c r="N295" s="1243"/>
      <c r="O295" s="1242"/>
      <c r="P295" s="1242"/>
      <c r="Q295" s="1242"/>
      <c r="R295" s="1243"/>
      <c r="S295" s="1243"/>
      <c r="T295" s="1247"/>
    </row>
    <row r="296" spans="1:20" s="1198" customFormat="1" ht="20.100000000000001" customHeight="1">
      <c r="A296" s="143"/>
      <c r="B296" s="1201"/>
      <c r="C296" s="1201"/>
      <c r="D296" s="1201"/>
      <c r="E296" s="1201"/>
      <c r="F296" s="1201"/>
      <c r="G296" s="1201"/>
      <c r="H296" s="1201"/>
      <c r="I296" s="1201"/>
      <c r="J296" s="1201"/>
      <c r="K296" s="1201"/>
      <c r="L296" s="1201"/>
      <c r="M296" s="1201"/>
      <c r="N296" s="1201"/>
      <c r="O296" s="1201"/>
      <c r="P296" s="1202"/>
      <c r="Q296" s="1202"/>
      <c r="R296" s="1201"/>
      <c r="S296" s="1201"/>
      <c r="T296" s="1197"/>
    </row>
    <row r="297" spans="1:20" s="1030" customFormat="1" ht="20.100000000000001" customHeight="1">
      <c r="A297" s="1234">
        <v>2</v>
      </c>
      <c r="B297" s="1234" t="s">
        <v>1042</v>
      </c>
      <c r="C297" s="1234"/>
      <c r="D297" s="1234"/>
      <c r="E297" s="1234"/>
      <c r="F297" s="1234"/>
      <c r="G297" s="1234"/>
      <c r="H297" s="1234"/>
      <c r="I297" s="1234"/>
      <c r="J297" s="1234"/>
      <c r="K297" s="1234"/>
      <c r="L297" s="1234"/>
      <c r="M297" s="1234"/>
      <c r="N297" s="1234"/>
      <c r="O297" s="1234"/>
      <c r="P297" s="1234"/>
      <c r="Q297" s="1234"/>
      <c r="R297" s="1234"/>
      <c r="S297" s="1234"/>
      <c r="T297" s="1232"/>
    </row>
    <row r="298" spans="1:20" s="1030" customFormat="1" ht="20.100000000000001" customHeight="1">
      <c r="A298" s="1232"/>
      <c r="B298" s="1232" t="s">
        <v>3717</v>
      </c>
      <c r="C298" s="1232"/>
      <c r="D298" s="1232"/>
      <c r="E298" s="1232"/>
      <c r="F298" s="1232"/>
      <c r="G298" s="1232"/>
      <c r="H298" s="1232"/>
      <c r="I298" s="1232"/>
      <c r="J298" s="1232"/>
      <c r="K298" s="1232"/>
      <c r="L298" s="1232"/>
      <c r="M298" s="1232"/>
      <c r="N298" s="1232"/>
      <c r="O298" s="1232"/>
      <c r="P298" s="1232"/>
      <c r="Q298" s="1232"/>
      <c r="R298" s="1232"/>
      <c r="S298" s="1232"/>
      <c r="T298" s="1232"/>
    </row>
    <row r="299" spans="1:20" s="1030" customFormat="1" ht="20.100000000000001" customHeight="1">
      <c r="A299" s="1234">
        <v>3</v>
      </c>
      <c r="B299" s="1234" t="s">
        <v>1043</v>
      </c>
      <c r="C299" s="1234"/>
      <c r="D299" s="1234"/>
      <c r="E299" s="1234"/>
      <c r="F299" s="1234"/>
      <c r="G299" s="1234"/>
      <c r="H299" s="1234"/>
      <c r="I299" s="1234"/>
      <c r="J299" s="1234"/>
      <c r="K299" s="1234"/>
      <c r="L299" s="1234"/>
      <c r="M299" s="1234"/>
      <c r="N299" s="1234"/>
      <c r="O299" s="1234"/>
      <c r="P299" s="1234"/>
      <c r="Q299" s="1234"/>
      <c r="R299" s="1234"/>
      <c r="S299" s="1234"/>
      <c r="T299" s="1232"/>
    </row>
    <row r="300" spans="1:20" s="1030" customFormat="1" ht="20.100000000000001" customHeight="1">
      <c r="A300" s="1232"/>
      <c r="B300" s="1232" t="s">
        <v>3717</v>
      </c>
      <c r="C300" s="1232"/>
      <c r="D300" s="1232"/>
      <c r="E300" s="1232"/>
      <c r="F300" s="1232"/>
      <c r="G300" s="1232"/>
      <c r="H300" s="1232"/>
      <c r="I300" s="1232"/>
      <c r="J300" s="1232"/>
      <c r="K300" s="1232"/>
      <c r="L300" s="1232"/>
      <c r="M300" s="1232"/>
      <c r="N300" s="1232"/>
      <c r="O300" s="1232"/>
      <c r="P300" s="1232"/>
      <c r="Q300" s="1232"/>
      <c r="R300" s="1232"/>
      <c r="S300" s="1232"/>
      <c r="T300" s="1232"/>
    </row>
    <row r="301" spans="1:20" s="1030" customFormat="1" ht="20.100000000000001" customHeight="1">
      <c r="A301" s="1234">
        <v>4</v>
      </c>
      <c r="B301" s="1234" t="s">
        <v>1044</v>
      </c>
      <c r="C301" s="1234"/>
      <c r="D301" s="1234"/>
      <c r="E301" s="1234"/>
      <c r="F301" s="1234"/>
      <c r="G301" s="1234"/>
      <c r="H301" s="1234"/>
      <c r="I301" s="1234"/>
      <c r="J301" s="1234"/>
      <c r="K301" s="1234"/>
      <c r="L301" s="1234"/>
      <c r="M301" s="1234"/>
      <c r="N301" s="1234"/>
      <c r="O301" s="1234"/>
      <c r="P301" s="1234"/>
      <c r="Q301" s="1234"/>
      <c r="R301" s="1234"/>
      <c r="S301" s="1234"/>
      <c r="T301" s="1232"/>
    </row>
    <row r="302" spans="1:20" s="1198" customFormat="1" ht="20.100000000000001" customHeight="1">
      <c r="A302" s="143"/>
      <c r="B302" s="1249" t="s">
        <v>1044</v>
      </c>
      <c r="C302" s="1250" t="s">
        <v>5972</v>
      </c>
      <c r="D302" s="1250" t="s">
        <v>62</v>
      </c>
      <c r="E302" s="1563" t="s">
        <v>34</v>
      </c>
      <c r="F302" s="1246">
        <v>1146.0550000000001</v>
      </c>
      <c r="G302" s="1563" t="s">
        <v>32</v>
      </c>
      <c r="H302" s="1563" t="s">
        <v>33</v>
      </c>
      <c r="I302" s="1563" t="s">
        <v>34</v>
      </c>
      <c r="J302" s="1563" t="s">
        <v>34</v>
      </c>
      <c r="K302" s="1563" t="s">
        <v>34</v>
      </c>
      <c r="L302" s="1262">
        <v>4847693.99</v>
      </c>
      <c r="M302" s="1200">
        <v>1149873.008528</v>
      </c>
      <c r="N302" s="1246" t="s">
        <v>5958</v>
      </c>
      <c r="O302" s="1634" t="s">
        <v>5780</v>
      </c>
      <c r="P302" s="1563" t="s">
        <v>5781</v>
      </c>
      <c r="Q302" s="1563">
        <v>15694713641</v>
      </c>
      <c r="R302" s="1563" t="s">
        <v>5923</v>
      </c>
      <c r="S302" s="1563" t="s">
        <v>5783</v>
      </c>
      <c r="T302" s="1197"/>
    </row>
    <row r="303" spans="1:20" s="1030" customFormat="1" ht="20.100000000000001" customHeight="1">
      <c r="A303" s="1232"/>
      <c r="B303" s="1249" t="s">
        <v>1058</v>
      </c>
      <c r="C303" s="1250" t="s">
        <v>5973</v>
      </c>
      <c r="D303" s="1250" t="s">
        <v>62</v>
      </c>
      <c r="E303" s="1563" t="s">
        <v>34</v>
      </c>
      <c r="F303" s="1246">
        <v>409.35</v>
      </c>
      <c r="G303" s="1563" t="s">
        <v>32</v>
      </c>
      <c r="H303" s="1563" t="s">
        <v>33</v>
      </c>
      <c r="I303" s="1563" t="s">
        <v>34</v>
      </c>
      <c r="J303" s="1563" t="s">
        <v>34</v>
      </c>
      <c r="K303" s="1563" t="s">
        <v>34</v>
      </c>
      <c r="L303" s="1262">
        <v>1528643.89</v>
      </c>
      <c r="M303" s="1200">
        <v>393167.205808</v>
      </c>
      <c r="N303" s="1246" t="s">
        <v>5958</v>
      </c>
      <c r="O303" s="1634" t="s">
        <v>5780</v>
      </c>
      <c r="P303" s="1563" t="s">
        <v>5781</v>
      </c>
      <c r="Q303" s="1563">
        <v>15694713641</v>
      </c>
      <c r="R303" s="1563" t="s">
        <v>5923</v>
      </c>
      <c r="S303" s="1563" t="s">
        <v>5783</v>
      </c>
      <c r="T303" s="1232"/>
    </row>
    <row r="304" spans="1:20" s="1030" customFormat="1" ht="20.100000000000001" customHeight="1">
      <c r="A304" s="1232"/>
      <c r="B304" s="1232"/>
      <c r="C304" s="1232"/>
      <c r="D304" s="1232"/>
      <c r="E304" s="1232"/>
      <c r="F304" s="1232"/>
      <c r="G304" s="1232"/>
      <c r="H304" s="1232"/>
      <c r="I304" s="1232"/>
      <c r="J304" s="1232"/>
      <c r="K304" s="1232"/>
      <c r="L304" s="1232"/>
      <c r="M304" s="1232"/>
      <c r="N304" s="1232"/>
      <c r="O304" s="1232"/>
      <c r="P304" s="1232"/>
      <c r="Q304" s="1232"/>
      <c r="R304" s="1232"/>
      <c r="S304" s="1232"/>
      <c r="T304" s="1232"/>
    </row>
    <row r="305" spans="1:20" s="1030" customFormat="1" ht="20.100000000000001" customHeight="1">
      <c r="A305" s="1232"/>
      <c r="B305" s="1232"/>
      <c r="C305" s="1232"/>
      <c r="D305" s="1232"/>
      <c r="E305" s="1232"/>
      <c r="F305" s="1232"/>
      <c r="G305" s="1232"/>
      <c r="H305" s="1232"/>
      <c r="I305" s="1232"/>
      <c r="J305" s="1232"/>
      <c r="K305" s="1232"/>
      <c r="L305" s="1232"/>
      <c r="M305" s="1232"/>
      <c r="N305" s="1232"/>
      <c r="O305" s="1232"/>
      <c r="P305" s="1232"/>
      <c r="Q305" s="1232"/>
      <c r="R305" s="1232"/>
      <c r="S305" s="1232"/>
      <c r="T305" s="1232"/>
    </row>
    <row r="306" spans="1:20" s="1030" customFormat="1" ht="20.100000000000001" customHeight="1">
      <c r="A306" s="1232"/>
      <c r="B306" s="1232"/>
      <c r="C306" s="1232"/>
      <c r="D306" s="1232"/>
      <c r="E306" s="1232"/>
      <c r="F306" s="1232"/>
      <c r="G306" s="1232"/>
      <c r="H306" s="1232"/>
      <c r="I306" s="1232"/>
      <c r="J306" s="1232"/>
      <c r="K306" s="1232"/>
      <c r="L306" s="1232"/>
      <c r="M306" s="1232"/>
      <c r="N306" s="1232"/>
      <c r="O306" s="1232"/>
      <c r="P306" s="1232"/>
      <c r="Q306" s="1232"/>
      <c r="R306" s="1232"/>
      <c r="S306" s="1232"/>
      <c r="T306" s="1232"/>
    </row>
    <row r="307" spans="1:20" s="1030" customFormat="1" ht="20.100000000000001" customHeight="1">
      <c r="A307" s="1244" t="s">
        <v>1108</v>
      </c>
      <c r="B307" s="1244" t="s">
        <v>1109</v>
      </c>
      <c r="C307" s="1232"/>
      <c r="D307" s="1232"/>
      <c r="E307" s="1232"/>
      <c r="F307" s="1232"/>
      <c r="G307" s="1232"/>
      <c r="H307" s="1232"/>
      <c r="I307" s="1232"/>
      <c r="J307" s="1232"/>
      <c r="K307" s="1232"/>
      <c r="L307" s="1232"/>
      <c r="M307" s="1232"/>
      <c r="N307" s="1232"/>
      <c r="O307" s="1232"/>
      <c r="P307" s="1232"/>
      <c r="Q307" s="1232"/>
      <c r="R307" s="1232"/>
      <c r="S307" s="1232"/>
      <c r="T307" s="1232"/>
    </row>
    <row r="308" spans="1:20" s="1030" customFormat="1" ht="20.100000000000001" customHeight="1">
      <c r="A308" s="1234">
        <v>1</v>
      </c>
      <c r="B308" s="1234" t="s">
        <v>1110</v>
      </c>
      <c r="C308" s="1234"/>
      <c r="D308" s="1234"/>
      <c r="E308" s="1234"/>
      <c r="F308" s="1234"/>
      <c r="G308" s="1234"/>
      <c r="H308" s="1234"/>
      <c r="I308" s="1234"/>
      <c r="J308" s="1234"/>
      <c r="K308" s="1234"/>
      <c r="L308" s="1234"/>
      <c r="M308" s="1234"/>
      <c r="N308" s="1234"/>
      <c r="O308" s="1234"/>
      <c r="P308" s="1234"/>
      <c r="Q308" s="1234"/>
      <c r="R308" s="1234"/>
      <c r="S308" s="1234"/>
      <c r="T308" s="1232"/>
    </row>
    <row r="309" spans="1:20" s="1198" customFormat="1" ht="20.100000000000001" customHeight="1">
      <c r="A309" s="143"/>
      <c r="B309" s="1563" t="s">
        <v>2928</v>
      </c>
      <c r="C309" s="1563" t="s">
        <v>5974</v>
      </c>
      <c r="D309" s="1232" t="s">
        <v>79</v>
      </c>
      <c r="E309" s="1563">
        <v>2</v>
      </c>
      <c r="F309" s="1563">
        <v>143</v>
      </c>
      <c r="G309" s="1563" t="s">
        <v>32</v>
      </c>
      <c r="H309" s="1563" t="s">
        <v>33</v>
      </c>
      <c r="I309" s="1563" t="s">
        <v>34</v>
      </c>
      <c r="J309" s="1563" t="s">
        <v>5975</v>
      </c>
      <c r="K309" s="1563" t="s">
        <v>5975</v>
      </c>
      <c r="L309" s="1563"/>
      <c r="M309" s="1563"/>
      <c r="N309" s="1563">
        <v>2021.7</v>
      </c>
      <c r="O309" s="1563" t="s">
        <v>5976</v>
      </c>
      <c r="P309" s="1632" t="s">
        <v>5878</v>
      </c>
      <c r="Q309" s="1634">
        <v>13674855303</v>
      </c>
      <c r="R309" s="1634" t="s">
        <v>5879</v>
      </c>
      <c r="S309" s="1563" t="s">
        <v>5783</v>
      </c>
      <c r="T309" s="1232"/>
    </row>
    <row r="310" spans="1:20" s="1198" customFormat="1" ht="20.100000000000001" customHeight="1">
      <c r="A310" s="143"/>
      <c r="B310" s="1232" t="s">
        <v>5977</v>
      </c>
      <c r="C310" s="1232" t="s">
        <v>1760</v>
      </c>
      <c r="D310" s="1232" t="s">
        <v>79</v>
      </c>
      <c r="E310" s="1232">
        <v>1</v>
      </c>
      <c r="F310" s="1232">
        <v>27.25</v>
      </c>
      <c r="G310" s="1563" t="s">
        <v>32</v>
      </c>
      <c r="H310" s="1563" t="s">
        <v>33</v>
      </c>
      <c r="I310" s="1232"/>
      <c r="J310" s="1563" t="s">
        <v>5975</v>
      </c>
      <c r="K310" s="1563" t="s">
        <v>5975</v>
      </c>
      <c r="L310" s="1232"/>
      <c r="M310" s="1232"/>
      <c r="N310" s="1263">
        <v>2021.1</v>
      </c>
      <c r="O310" s="1232" t="s">
        <v>5978</v>
      </c>
      <c r="P310" s="1632" t="s">
        <v>5878</v>
      </c>
      <c r="Q310" s="1634">
        <v>13674855303</v>
      </c>
      <c r="R310" s="1634" t="s">
        <v>5879</v>
      </c>
      <c r="S310" s="1563" t="s">
        <v>5783</v>
      </c>
      <c r="T310" s="1232"/>
    </row>
    <row r="311" spans="1:20" s="1198" customFormat="1" ht="20.100000000000001" customHeight="1">
      <c r="A311" s="143"/>
      <c r="B311" s="1563" t="s">
        <v>2928</v>
      </c>
      <c r="C311" s="1563" t="s">
        <v>5974</v>
      </c>
      <c r="D311" s="1232" t="s">
        <v>79</v>
      </c>
      <c r="E311" s="1232">
        <v>1</v>
      </c>
      <c r="F311" s="1232">
        <v>146</v>
      </c>
      <c r="G311" s="1563" t="s">
        <v>32</v>
      </c>
      <c r="H311" s="1563" t="s">
        <v>33</v>
      </c>
      <c r="I311" s="1232"/>
      <c r="J311" s="1563" t="s">
        <v>5975</v>
      </c>
      <c r="K311" s="1563" t="s">
        <v>5975</v>
      </c>
      <c r="L311" s="1232"/>
      <c r="M311" s="1232"/>
      <c r="N311" s="1264">
        <v>2021.9</v>
      </c>
      <c r="O311" s="1232" t="s">
        <v>5979</v>
      </c>
      <c r="P311" s="1563" t="s">
        <v>5873</v>
      </c>
      <c r="Q311" s="1563">
        <v>13458755668</v>
      </c>
      <c r="R311" s="1634" t="s">
        <v>5980</v>
      </c>
      <c r="S311" s="1563" t="s">
        <v>5783</v>
      </c>
      <c r="T311" s="1232"/>
    </row>
    <row r="312" spans="1:20" s="1198" customFormat="1" ht="20.100000000000001" customHeight="1">
      <c r="A312" s="143"/>
      <c r="B312" s="1232" t="s">
        <v>5977</v>
      </c>
      <c r="C312" s="1232" t="s">
        <v>1760</v>
      </c>
      <c r="D312" s="1232" t="s">
        <v>79</v>
      </c>
      <c r="E312" s="1232">
        <v>1</v>
      </c>
      <c r="F312" s="1232">
        <v>53</v>
      </c>
      <c r="G312" s="1563" t="s">
        <v>32</v>
      </c>
      <c r="H312" s="1563" t="s">
        <v>33</v>
      </c>
      <c r="I312" s="1232"/>
      <c r="J312" s="1563" t="s">
        <v>5975</v>
      </c>
      <c r="K312" s="1563" t="s">
        <v>5975</v>
      </c>
      <c r="L312" s="1232"/>
      <c r="M312" s="1232"/>
      <c r="N312" s="1264">
        <v>2021.9</v>
      </c>
      <c r="O312" s="1232" t="s">
        <v>5979</v>
      </c>
      <c r="P312" s="1563" t="s">
        <v>5873</v>
      </c>
      <c r="Q312" s="1563">
        <v>13458755668</v>
      </c>
      <c r="R312" s="1634" t="s">
        <v>5980</v>
      </c>
      <c r="S312" s="1563" t="s">
        <v>5783</v>
      </c>
      <c r="T312" s="1232"/>
    </row>
    <row r="313" spans="1:20" s="1198" customFormat="1" ht="20.100000000000001" customHeight="1">
      <c r="A313" s="143"/>
      <c r="B313" s="1232" t="s">
        <v>5981</v>
      </c>
      <c r="C313" s="1232" t="s">
        <v>5982</v>
      </c>
      <c r="D313" s="1232" t="s">
        <v>79</v>
      </c>
      <c r="E313" s="1232">
        <v>2</v>
      </c>
      <c r="F313" s="1232">
        <v>180</v>
      </c>
      <c r="G313" s="1563" t="s">
        <v>32</v>
      </c>
      <c r="H313" s="1563" t="s">
        <v>5983</v>
      </c>
      <c r="I313" s="1232"/>
      <c r="J313" s="1563"/>
      <c r="K313" s="1265" t="s">
        <v>5984</v>
      </c>
      <c r="L313" s="1565">
        <v>791000</v>
      </c>
      <c r="M313" s="1565">
        <v>791000</v>
      </c>
      <c r="N313" s="1565" t="s">
        <v>5985</v>
      </c>
      <c r="O313" s="1563" t="s">
        <v>5932</v>
      </c>
      <c r="P313" s="1563" t="s">
        <v>5846</v>
      </c>
      <c r="Q313" s="1563">
        <v>18947102015</v>
      </c>
      <c r="R313" s="1232" t="s">
        <v>5933</v>
      </c>
      <c r="S313" s="1563" t="s">
        <v>5783</v>
      </c>
      <c r="T313" s="1232"/>
    </row>
    <row r="314" spans="1:20" s="1198" customFormat="1" ht="20.100000000000001" customHeight="1">
      <c r="A314" s="143"/>
      <c r="B314" s="1232"/>
      <c r="C314" s="1232"/>
      <c r="D314" s="1232"/>
      <c r="E314" s="1232"/>
      <c r="F314" s="1232"/>
      <c r="G314" s="1563"/>
      <c r="H314" s="1563"/>
      <c r="I314" s="1232"/>
      <c r="J314" s="1563"/>
      <c r="K314" s="1563"/>
      <c r="L314" s="1232"/>
      <c r="M314" s="1232"/>
      <c r="N314" s="1264"/>
      <c r="O314" s="1232"/>
      <c r="P314" s="1563"/>
      <c r="Q314" s="1563"/>
      <c r="R314" s="1634"/>
      <c r="S314" s="1563"/>
      <c r="T314" s="1232"/>
    </row>
    <row r="315" spans="1:20" s="1198" customFormat="1" ht="20.100000000000001" customHeight="1">
      <c r="A315" s="143"/>
      <c r="B315" s="1232"/>
      <c r="C315" s="1232"/>
      <c r="D315" s="1232"/>
      <c r="E315" s="1232"/>
      <c r="F315" s="1232"/>
      <c r="G315" s="1563"/>
      <c r="H315" s="1563"/>
      <c r="I315" s="1232"/>
      <c r="J315" s="1563"/>
      <c r="K315" s="1563"/>
      <c r="L315" s="1232"/>
      <c r="M315" s="1232"/>
      <c r="N315" s="1264"/>
      <c r="O315" s="1232"/>
      <c r="P315" s="1563"/>
      <c r="Q315" s="1563"/>
      <c r="R315" s="1634"/>
      <c r="S315" s="1563"/>
      <c r="T315" s="1232"/>
    </row>
    <row r="316" spans="1:20" s="1198" customFormat="1" ht="20.100000000000001" customHeight="1">
      <c r="A316" s="143"/>
      <c r="B316" s="1232"/>
      <c r="C316" s="1232"/>
      <c r="D316" s="1232"/>
      <c r="E316" s="1232"/>
      <c r="F316" s="1232">
        <v>286</v>
      </c>
      <c r="G316" s="1563"/>
      <c r="H316" s="1563"/>
      <c r="I316" s="1232"/>
      <c r="J316" s="1563"/>
      <c r="K316" s="1563"/>
      <c r="L316" s="1232"/>
      <c r="M316" s="1232"/>
      <c r="N316" s="1264"/>
      <c r="O316" s="1232"/>
      <c r="P316" s="1563"/>
      <c r="Q316" s="1563"/>
      <c r="R316" s="1634"/>
      <c r="S316" s="1563"/>
      <c r="T316" s="1232"/>
    </row>
    <row r="317" spans="1:20" s="1198" customFormat="1" ht="20.100000000000001" customHeight="1">
      <c r="A317" s="143"/>
      <c r="B317" s="1232"/>
      <c r="C317" s="1232"/>
      <c r="D317" s="1232"/>
      <c r="E317" s="1232"/>
      <c r="F317" s="1232"/>
      <c r="G317" s="1563"/>
      <c r="H317" s="1563"/>
      <c r="I317" s="1232"/>
      <c r="J317" s="1563"/>
      <c r="K317" s="1563"/>
      <c r="L317" s="1232"/>
      <c r="M317" s="1232"/>
      <c r="N317" s="1264"/>
      <c r="O317" s="1232"/>
      <c r="P317" s="1563"/>
      <c r="Q317" s="1563"/>
      <c r="R317" s="1634"/>
      <c r="S317" s="1563"/>
      <c r="T317" s="1232"/>
    </row>
    <row r="318" spans="1:20" s="1198" customFormat="1" ht="20.100000000000001" customHeight="1">
      <c r="A318" s="143"/>
      <c r="B318" s="1232"/>
      <c r="C318" s="1232"/>
      <c r="D318" s="1232"/>
      <c r="E318" s="1232"/>
      <c r="F318" s="1232"/>
      <c r="G318" s="1563"/>
      <c r="H318" s="1563"/>
      <c r="I318" s="1232"/>
      <c r="J318" s="1563"/>
      <c r="K318" s="1563"/>
      <c r="L318" s="1232"/>
      <c r="M318" s="1232"/>
      <c r="N318" s="1264"/>
      <c r="O318" s="1232"/>
      <c r="P318" s="1563"/>
      <c r="Q318" s="1563"/>
      <c r="R318" s="1634"/>
      <c r="S318" s="1563"/>
      <c r="T318" s="1232"/>
    </row>
    <row r="319" spans="1:20" s="1198" customFormat="1" ht="20.100000000000001" customHeight="1">
      <c r="A319" s="143"/>
      <c r="B319" s="1232"/>
      <c r="C319" s="1232"/>
      <c r="D319" s="1232"/>
      <c r="E319" s="1232"/>
      <c r="F319" s="1232"/>
      <c r="G319" s="1563"/>
      <c r="H319" s="1563"/>
      <c r="I319" s="1232"/>
      <c r="J319" s="1563"/>
      <c r="K319" s="1563"/>
      <c r="L319" s="1232"/>
      <c r="M319" s="1232"/>
      <c r="N319" s="1264"/>
      <c r="O319" s="1232"/>
      <c r="P319" s="1563"/>
      <c r="Q319" s="1563"/>
      <c r="R319" s="1634"/>
      <c r="S319" s="1563"/>
      <c r="T319" s="1232"/>
    </row>
    <row r="320" spans="1:20" s="1198" customFormat="1" ht="20.100000000000001" customHeight="1">
      <c r="A320" s="143"/>
      <c r="B320" s="1232"/>
      <c r="C320" s="1232"/>
      <c r="D320" s="1232"/>
      <c r="E320" s="1232"/>
      <c r="F320" s="1232"/>
      <c r="G320" s="1563"/>
      <c r="H320" s="1563"/>
      <c r="I320" s="1232"/>
      <c r="J320" s="1563"/>
      <c r="K320" s="1563"/>
      <c r="L320" s="1232"/>
      <c r="M320" s="1232"/>
      <c r="N320" s="1264"/>
      <c r="O320" s="1232"/>
      <c r="P320" s="1563"/>
      <c r="Q320" s="1563"/>
      <c r="R320" s="1634"/>
      <c r="S320" s="1563"/>
      <c r="T320" s="1232"/>
    </row>
    <row r="321" spans="1:20" s="1198" customFormat="1" ht="20.100000000000001" customHeight="1">
      <c r="A321" s="143"/>
      <c r="B321" s="1232"/>
      <c r="C321" s="1232"/>
      <c r="D321" s="1232"/>
      <c r="E321" s="1232"/>
      <c r="F321" s="1232"/>
      <c r="G321" s="1563"/>
      <c r="H321" s="1563"/>
      <c r="I321" s="1232"/>
      <c r="J321" s="1563"/>
      <c r="K321" s="1563"/>
      <c r="L321" s="1232"/>
      <c r="M321" s="1232"/>
      <c r="N321" s="1264"/>
      <c r="O321" s="1232"/>
      <c r="P321" s="1563"/>
      <c r="Q321" s="1563"/>
      <c r="R321" s="1634"/>
      <c r="S321" s="1563"/>
      <c r="T321" s="1232"/>
    </row>
    <row r="322" spans="1:20" s="1198" customFormat="1" ht="20.100000000000001" customHeight="1">
      <c r="A322" s="143"/>
      <c r="B322" s="1232"/>
      <c r="C322" s="1232"/>
      <c r="D322" s="1232"/>
      <c r="E322" s="1232"/>
      <c r="F322" s="1232"/>
      <c r="G322" s="1563"/>
      <c r="H322" s="1563"/>
      <c r="I322" s="1232"/>
      <c r="J322" s="1563"/>
      <c r="K322" s="1563"/>
      <c r="L322" s="1232"/>
      <c r="M322" s="1232"/>
      <c r="N322" s="1264"/>
      <c r="O322" s="1232"/>
      <c r="P322" s="1563"/>
      <c r="Q322" s="1563"/>
      <c r="R322" s="1634"/>
      <c r="S322" s="1563"/>
      <c r="T322" s="1232"/>
    </row>
    <row r="323" spans="1:20" s="1030" customFormat="1" ht="20.100000000000001" customHeight="1">
      <c r="A323" s="1232"/>
      <c r="B323" s="1232" t="s">
        <v>3717</v>
      </c>
      <c r="C323" s="1232"/>
      <c r="D323" s="1232"/>
      <c r="E323" s="1232"/>
      <c r="F323" s="1232"/>
      <c r="G323" s="1232"/>
      <c r="H323" s="1232"/>
      <c r="I323" s="1232"/>
      <c r="J323" s="1232"/>
      <c r="K323" s="1232"/>
      <c r="L323" s="1232"/>
      <c r="M323" s="1232"/>
      <c r="N323" s="1232"/>
      <c r="O323" s="1232"/>
      <c r="P323" s="1232"/>
      <c r="Q323" s="1232"/>
      <c r="R323" s="1232"/>
      <c r="S323" s="1232"/>
      <c r="T323" s="1232"/>
    </row>
    <row r="324" spans="1:20" s="1030" customFormat="1" ht="20.100000000000001" customHeight="1">
      <c r="A324" s="1232">
        <v>2</v>
      </c>
      <c r="B324" s="1232" t="s">
        <v>1146</v>
      </c>
      <c r="C324" s="1232"/>
      <c r="D324" s="1232"/>
      <c r="E324" s="1232"/>
      <c r="F324" s="1232"/>
      <c r="G324" s="1232"/>
      <c r="H324" s="1232"/>
      <c r="I324" s="1232"/>
      <c r="J324" s="1232"/>
      <c r="K324" s="1232"/>
      <c r="L324" s="1232"/>
      <c r="M324" s="1232"/>
      <c r="N324" s="1232"/>
      <c r="O324" s="1232"/>
      <c r="P324" s="1232"/>
      <c r="Q324" s="1232"/>
      <c r="R324" s="1232"/>
      <c r="S324" s="1232"/>
      <c r="T324" s="1232"/>
    </row>
    <row r="325" spans="1:20" s="1030" customFormat="1" ht="20.100000000000001" customHeight="1">
      <c r="A325" s="1232"/>
      <c r="B325" s="1232" t="s">
        <v>5986</v>
      </c>
      <c r="C325" s="1232"/>
      <c r="D325" s="1232" t="s">
        <v>79</v>
      </c>
      <c r="E325" s="1232">
        <v>1</v>
      </c>
      <c r="F325" s="1232">
        <v>9.952</v>
      </c>
      <c r="G325" s="1563" t="s">
        <v>32</v>
      </c>
      <c r="H325" s="1563" t="s">
        <v>33</v>
      </c>
      <c r="I325" s="1232"/>
      <c r="J325" s="1232"/>
      <c r="K325" s="1232"/>
      <c r="L325" s="1232"/>
      <c r="M325" s="1232"/>
      <c r="N325" s="1232"/>
      <c r="O325" s="1232" t="s">
        <v>5978</v>
      </c>
      <c r="P325" s="1632" t="s">
        <v>5878</v>
      </c>
      <c r="Q325" s="1634">
        <v>13674855303</v>
      </c>
      <c r="R325" s="1634" t="s">
        <v>5879</v>
      </c>
      <c r="S325" s="1563" t="s">
        <v>5783</v>
      </c>
      <c r="T325" s="1232"/>
    </row>
    <row r="326" spans="1:20" s="1030" customFormat="1" ht="20.100000000000001" customHeight="1">
      <c r="A326" s="1232"/>
      <c r="B326" s="1232" t="s">
        <v>5987</v>
      </c>
      <c r="C326" s="1232"/>
      <c r="D326" s="1232" t="s">
        <v>79</v>
      </c>
      <c r="E326" s="1232">
        <v>1</v>
      </c>
      <c r="F326" s="1232">
        <v>2.1949999999999998</v>
      </c>
      <c r="G326" s="1232" t="s">
        <v>32</v>
      </c>
      <c r="H326" s="1232" t="s">
        <v>33</v>
      </c>
      <c r="I326" s="1232"/>
      <c r="J326" s="1232"/>
      <c r="K326" s="1232"/>
      <c r="L326" s="1232"/>
      <c r="M326" s="1232"/>
      <c r="N326" s="1232"/>
      <c r="O326" s="1232" t="s">
        <v>5978</v>
      </c>
      <c r="P326" s="1632" t="s">
        <v>5878</v>
      </c>
      <c r="Q326" s="1634">
        <v>13674855303</v>
      </c>
      <c r="R326" s="1634" t="s">
        <v>5879</v>
      </c>
      <c r="S326" s="1563" t="s">
        <v>5783</v>
      </c>
      <c r="T326" s="1232"/>
    </row>
    <row r="327" spans="1:20" s="1030" customFormat="1" ht="20.100000000000001" customHeight="1">
      <c r="A327" s="1232"/>
      <c r="B327" s="1232"/>
      <c r="C327" s="1232"/>
      <c r="D327" s="1232"/>
      <c r="E327" s="1232"/>
      <c r="F327" s="1232"/>
      <c r="G327" s="1232"/>
      <c r="H327" s="1232"/>
      <c r="I327" s="1232"/>
      <c r="J327" s="1232"/>
      <c r="K327" s="1232"/>
      <c r="L327" s="1232"/>
      <c r="M327" s="1232"/>
      <c r="N327" s="1232"/>
      <c r="O327" s="1232"/>
      <c r="P327" s="1232"/>
      <c r="Q327" s="1232"/>
      <c r="R327" s="1232"/>
      <c r="S327" s="1232"/>
      <c r="T327" s="1232"/>
    </row>
    <row r="328" spans="1:20" s="1030" customFormat="1" ht="20.100000000000001" customHeight="1">
      <c r="A328" s="1232"/>
      <c r="B328" s="1232"/>
      <c r="C328" s="1232"/>
      <c r="D328" s="1232"/>
      <c r="E328" s="1232"/>
      <c r="F328" s="1232"/>
      <c r="G328" s="1232"/>
      <c r="H328" s="1232"/>
      <c r="I328" s="1232"/>
      <c r="J328" s="1232"/>
      <c r="K328" s="1232"/>
      <c r="L328" s="1232"/>
      <c r="M328" s="1232"/>
      <c r="N328" s="1232"/>
      <c r="O328" s="1232"/>
      <c r="P328" s="1232"/>
      <c r="Q328" s="1232"/>
      <c r="R328" s="1232"/>
      <c r="S328" s="1232"/>
      <c r="T328" s="1232"/>
    </row>
    <row r="329" spans="1:20" s="1030" customFormat="1" ht="20.100000000000001" customHeight="1">
      <c r="A329" s="1232"/>
      <c r="B329" s="1232"/>
      <c r="C329" s="1232"/>
      <c r="D329" s="1232"/>
      <c r="E329" s="1232"/>
      <c r="F329" s="1232"/>
      <c r="G329" s="1232"/>
      <c r="H329" s="1232"/>
      <c r="I329" s="1232"/>
      <c r="J329" s="1232"/>
      <c r="K329" s="1232"/>
      <c r="L329" s="1232"/>
      <c r="M329" s="1232"/>
      <c r="N329" s="1232"/>
      <c r="O329" s="1232"/>
      <c r="P329" s="1232"/>
      <c r="Q329" s="1232"/>
      <c r="R329" s="1232"/>
      <c r="S329" s="1232"/>
      <c r="T329" s="1232"/>
    </row>
    <row r="330" spans="1:20" s="1030" customFormat="1" ht="20.100000000000001" customHeight="1">
      <c r="A330" s="1232"/>
      <c r="B330" s="1232" t="s">
        <v>3717</v>
      </c>
      <c r="C330" s="1232"/>
      <c r="D330" s="1232"/>
      <c r="E330" s="1232"/>
      <c r="F330" s="1232"/>
      <c r="G330" s="1232"/>
      <c r="H330" s="1232"/>
      <c r="I330" s="1232"/>
      <c r="J330" s="1232"/>
      <c r="K330" s="1232"/>
      <c r="L330" s="1232"/>
      <c r="M330" s="1232"/>
      <c r="N330" s="1232"/>
      <c r="O330" s="1232"/>
      <c r="P330" s="1232"/>
      <c r="Q330" s="1232"/>
      <c r="R330" s="1232"/>
      <c r="S330" s="1232"/>
      <c r="T330" s="1232"/>
    </row>
    <row r="331" spans="1:20" s="1030" customFormat="1" ht="20.100000000000001" customHeight="1">
      <c r="A331" s="1232">
        <v>3</v>
      </c>
      <c r="B331" s="1232" t="s">
        <v>1147</v>
      </c>
      <c r="C331" s="1232"/>
      <c r="D331" s="1232"/>
      <c r="E331" s="1232"/>
      <c r="F331" s="1232"/>
      <c r="G331" s="1232"/>
      <c r="H331" s="1232"/>
      <c r="I331" s="1232"/>
      <c r="J331" s="1232"/>
      <c r="K331" s="1232"/>
      <c r="L331" s="1232"/>
      <c r="M331" s="1232"/>
      <c r="N331" s="1232"/>
      <c r="O331" s="1232"/>
      <c r="P331" s="1232"/>
      <c r="Q331" s="1232"/>
      <c r="R331" s="1232"/>
      <c r="S331" s="1232"/>
      <c r="T331" s="1232"/>
    </row>
    <row r="332" spans="1:20" s="1030" customFormat="1" ht="20.100000000000001" customHeight="1">
      <c r="A332" s="1232"/>
      <c r="B332" s="1232" t="s">
        <v>3717</v>
      </c>
      <c r="C332" s="1232"/>
      <c r="D332" s="1232"/>
      <c r="E332" s="1232"/>
      <c r="F332" s="1232"/>
      <c r="G332" s="1232"/>
      <c r="H332" s="1232"/>
      <c r="I332" s="1232"/>
      <c r="J332" s="1232"/>
      <c r="K332" s="1232"/>
      <c r="L332" s="1232"/>
      <c r="M332" s="1232"/>
      <c r="N332" s="1232"/>
      <c r="O332" s="1232"/>
      <c r="P332" s="1232"/>
      <c r="Q332" s="1232"/>
      <c r="R332" s="1232"/>
      <c r="S332" s="1232"/>
      <c r="T332" s="1232"/>
    </row>
    <row r="333" spans="1:20" s="1030" customFormat="1" ht="20.100000000000001" customHeight="1">
      <c r="A333" s="1244" t="s">
        <v>1151</v>
      </c>
      <c r="B333" s="1244" t="s">
        <v>1152</v>
      </c>
      <c r="C333" s="1232"/>
      <c r="D333" s="1232"/>
      <c r="E333" s="1232"/>
      <c r="F333" s="1232"/>
      <c r="G333" s="1232"/>
      <c r="H333" s="1232"/>
      <c r="I333" s="1232"/>
      <c r="J333" s="1232"/>
      <c r="K333" s="1232"/>
      <c r="L333" s="1232"/>
      <c r="M333" s="1232"/>
      <c r="N333" s="1232"/>
      <c r="O333" s="1232"/>
      <c r="P333" s="1232"/>
      <c r="Q333" s="1232"/>
      <c r="R333" s="1232"/>
      <c r="S333" s="1232"/>
      <c r="T333" s="1232"/>
    </row>
    <row r="334" spans="1:20" s="1030" customFormat="1" ht="20.100000000000001" customHeight="1">
      <c r="A334" s="1232">
        <v>1</v>
      </c>
      <c r="B334" s="1232" t="s">
        <v>1153</v>
      </c>
      <c r="C334" s="1232"/>
      <c r="D334" s="1232"/>
      <c r="E334" s="1232"/>
      <c r="F334" s="1232"/>
      <c r="G334" s="1232"/>
      <c r="H334" s="1232"/>
      <c r="I334" s="1232"/>
      <c r="J334" s="1232"/>
      <c r="K334" s="1232"/>
      <c r="L334" s="1232"/>
      <c r="M334" s="1232"/>
      <c r="N334" s="1232"/>
      <c r="O334" s="1232"/>
      <c r="P334" s="1232"/>
      <c r="Q334" s="1232"/>
      <c r="R334" s="1232"/>
      <c r="S334" s="1232"/>
      <c r="T334" s="1232"/>
    </row>
    <row r="335" spans="1:20" s="1030" customFormat="1" ht="20.100000000000001" customHeight="1">
      <c r="A335" s="1232"/>
      <c r="B335" s="1232" t="s">
        <v>1153</v>
      </c>
      <c r="C335" s="1232" t="s">
        <v>3030</v>
      </c>
      <c r="D335" s="1232" t="s">
        <v>79</v>
      </c>
      <c r="E335" s="1232">
        <v>1</v>
      </c>
      <c r="F335" s="1232" t="s">
        <v>5988</v>
      </c>
      <c r="G335" s="1232" t="s">
        <v>32</v>
      </c>
      <c r="H335" s="1232" t="s">
        <v>33</v>
      </c>
      <c r="I335" s="1232"/>
      <c r="J335" s="1232"/>
      <c r="K335" s="1232"/>
      <c r="L335" s="1232"/>
      <c r="M335" s="1232"/>
      <c r="N335" s="1232"/>
      <c r="O335" s="1232" t="s">
        <v>5978</v>
      </c>
      <c r="P335" s="1632" t="s">
        <v>5878</v>
      </c>
      <c r="Q335" s="1634">
        <v>13674855303</v>
      </c>
      <c r="R335" s="1634" t="s">
        <v>5879</v>
      </c>
      <c r="S335" s="1563" t="s">
        <v>5783</v>
      </c>
      <c r="T335" s="1232"/>
    </row>
    <row r="336" spans="1:20" s="1030" customFormat="1" ht="20.100000000000001" customHeight="1">
      <c r="A336" s="1232"/>
      <c r="B336" s="1232" t="s">
        <v>5989</v>
      </c>
      <c r="C336" s="1232"/>
      <c r="D336" s="1232" t="s">
        <v>79</v>
      </c>
      <c r="E336" s="1232">
        <v>2</v>
      </c>
      <c r="F336" s="1232"/>
      <c r="G336" s="1232" t="s">
        <v>32</v>
      </c>
      <c r="H336" s="1232" t="s">
        <v>33</v>
      </c>
      <c r="I336" s="1232"/>
      <c r="J336" s="1232"/>
      <c r="K336" s="1232"/>
      <c r="L336" s="1232"/>
      <c r="M336" s="1232"/>
      <c r="N336" s="1232"/>
      <c r="O336" s="1232" t="s">
        <v>5978</v>
      </c>
      <c r="P336" s="1632" t="s">
        <v>5878</v>
      </c>
      <c r="Q336" s="1634">
        <v>13674855303</v>
      </c>
      <c r="R336" s="1634" t="s">
        <v>5879</v>
      </c>
      <c r="S336" s="1563" t="s">
        <v>5783</v>
      </c>
      <c r="T336" s="1232"/>
    </row>
    <row r="337" spans="1:20" s="1030" customFormat="1" ht="20.100000000000001" customHeight="1">
      <c r="A337" s="1232"/>
      <c r="B337" s="1232"/>
      <c r="C337" s="1232"/>
      <c r="D337" s="1232"/>
      <c r="E337" s="1232"/>
      <c r="F337" s="1232"/>
      <c r="G337" s="1232"/>
      <c r="H337" s="1232"/>
      <c r="I337" s="1232"/>
      <c r="J337" s="1232"/>
      <c r="K337" s="1232"/>
      <c r="L337" s="1232"/>
      <c r="M337" s="1232"/>
      <c r="N337" s="1232"/>
      <c r="O337" s="1232"/>
      <c r="P337" s="1232"/>
      <c r="Q337" s="1232"/>
      <c r="R337" s="1232"/>
      <c r="S337" s="1232"/>
      <c r="T337" s="1232"/>
    </row>
    <row r="338" spans="1:20" s="1030" customFormat="1" ht="20.100000000000001" customHeight="1">
      <c r="A338" s="1232"/>
      <c r="B338" s="1232"/>
      <c r="C338" s="1232"/>
      <c r="D338" s="1232"/>
      <c r="E338" s="1232"/>
      <c r="F338" s="1232"/>
      <c r="G338" s="1232"/>
      <c r="H338" s="1232"/>
      <c r="I338" s="1232"/>
      <c r="J338" s="1232"/>
      <c r="K338" s="1232"/>
      <c r="L338" s="1232"/>
      <c r="M338" s="1232"/>
      <c r="N338" s="1232"/>
      <c r="O338" s="1232"/>
      <c r="P338" s="1232"/>
      <c r="Q338" s="1232"/>
      <c r="R338" s="1232"/>
      <c r="S338" s="1232"/>
      <c r="T338" s="1232"/>
    </row>
    <row r="339" spans="1:20" s="1030" customFormat="1" ht="20.100000000000001" customHeight="1">
      <c r="A339" s="1232"/>
      <c r="B339" s="1232" t="s">
        <v>3717</v>
      </c>
      <c r="C339" s="1232"/>
      <c r="D339" s="1232"/>
      <c r="E339" s="1232"/>
      <c r="F339" s="1232"/>
      <c r="G339" s="1232"/>
      <c r="H339" s="1232"/>
      <c r="I339" s="1232"/>
      <c r="J339" s="1232"/>
      <c r="K339" s="1232"/>
      <c r="L339" s="1232"/>
      <c r="M339" s="1232"/>
      <c r="N339" s="1232"/>
      <c r="O339" s="1232"/>
      <c r="P339" s="1232"/>
      <c r="Q339" s="1232"/>
      <c r="R339" s="1232"/>
      <c r="S339" s="1232"/>
      <c r="T339" s="1232"/>
    </row>
    <row r="340" spans="1:20" s="1030" customFormat="1" ht="20.100000000000001" customHeight="1">
      <c r="A340" s="1232">
        <v>2</v>
      </c>
      <c r="B340" s="1232" t="s">
        <v>1158</v>
      </c>
      <c r="C340" s="1232"/>
      <c r="D340" s="1232"/>
      <c r="E340" s="1232"/>
      <c r="F340" s="1232"/>
      <c r="G340" s="1232"/>
      <c r="H340" s="1232"/>
      <c r="I340" s="1232"/>
      <c r="J340" s="1232"/>
      <c r="K340" s="1232"/>
      <c r="L340" s="1232"/>
      <c r="M340" s="1232"/>
      <c r="N340" s="1232"/>
      <c r="O340" s="1232"/>
      <c r="P340" s="1232"/>
      <c r="Q340" s="1232"/>
      <c r="R340" s="1232"/>
      <c r="S340" s="1232"/>
      <c r="T340" s="1232"/>
    </row>
    <row r="341" spans="1:20" s="1030" customFormat="1" ht="20.100000000000001" customHeight="1">
      <c r="A341" s="1232"/>
      <c r="B341" s="1232" t="s">
        <v>3717</v>
      </c>
      <c r="C341" s="1232"/>
      <c r="D341" s="1232"/>
      <c r="E341" s="1232"/>
      <c r="F341" s="1232"/>
      <c r="G341" s="1232"/>
      <c r="H341" s="1232"/>
      <c r="I341" s="1232"/>
      <c r="J341" s="1232"/>
      <c r="K341" s="1232"/>
      <c r="L341" s="1232"/>
      <c r="M341" s="1232"/>
      <c r="N341" s="1232"/>
      <c r="O341" s="1232"/>
      <c r="P341" s="1232"/>
      <c r="Q341" s="1232"/>
      <c r="R341" s="1232"/>
      <c r="S341" s="1232"/>
      <c r="T341" s="1232"/>
    </row>
    <row r="342" spans="1:20" s="1030" customFormat="1" ht="20.100000000000001" customHeight="1">
      <c r="A342" s="1244" t="s">
        <v>1159</v>
      </c>
      <c r="B342" s="1244" t="s">
        <v>1160</v>
      </c>
      <c r="C342" s="1232"/>
      <c r="D342" s="1232"/>
      <c r="E342" s="1232"/>
      <c r="F342" s="1232"/>
      <c r="G342" s="1232"/>
      <c r="H342" s="1232"/>
      <c r="I342" s="1232"/>
      <c r="J342" s="1232"/>
      <c r="K342" s="1232"/>
      <c r="L342" s="1232"/>
      <c r="M342" s="1232"/>
      <c r="N342" s="1232"/>
      <c r="O342" s="1232"/>
      <c r="P342" s="1232"/>
      <c r="Q342" s="1232"/>
      <c r="R342" s="1232"/>
      <c r="S342" s="1232"/>
      <c r="T342" s="1232"/>
    </row>
    <row r="343" spans="1:20" s="1266" customFormat="1" ht="20.100000000000001" customHeight="1">
      <c r="A343" s="1234">
        <v>1</v>
      </c>
      <c r="B343" s="1234" t="s">
        <v>1161</v>
      </c>
      <c r="C343" s="1234"/>
      <c r="D343" s="1234"/>
      <c r="E343" s="1234"/>
      <c r="F343" s="1234"/>
      <c r="G343" s="1234"/>
      <c r="H343" s="1234"/>
      <c r="I343" s="1234"/>
      <c r="J343" s="1234"/>
      <c r="K343" s="1234"/>
      <c r="L343" s="1234"/>
      <c r="M343" s="1234"/>
      <c r="N343" s="1234"/>
      <c r="O343" s="1234"/>
      <c r="P343" s="1234"/>
      <c r="Q343" s="1234"/>
      <c r="R343" s="1234"/>
      <c r="S343" s="1234"/>
      <c r="T343" s="1234"/>
    </row>
    <row r="344" spans="1:20" s="1030" customFormat="1" ht="39.75" customHeight="1">
      <c r="A344" s="1232"/>
      <c r="B344" s="906" t="s">
        <v>5990</v>
      </c>
      <c r="C344" s="1267" t="s">
        <v>506</v>
      </c>
      <c r="D344" s="906" t="s">
        <v>888</v>
      </c>
      <c r="E344" s="1268">
        <v>2505.33</v>
      </c>
      <c r="F344" s="906" t="s">
        <v>34</v>
      </c>
      <c r="G344" s="906" t="s">
        <v>32</v>
      </c>
      <c r="H344" s="906" t="s">
        <v>33</v>
      </c>
      <c r="I344" s="906"/>
      <c r="J344" s="1269"/>
      <c r="K344" s="1269" t="s">
        <v>34</v>
      </c>
      <c r="L344" s="1220">
        <v>799533.4</v>
      </c>
      <c r="M344" s="1220">
        <v>777324.14</v>
      </c>
      <c r="N344" s="1270">
        <v>44228</v>
      </c>
      <c r="O344" s="906" t="s">
        <v>5991</v>
      </c>
      <c r="P344" s="1242" t="s">
        <v>5968</v>
      </c>
      <c r="Q344" s="1242">
        <v>17320170031</v>
      </c>
      <c r="R344" s="1243" t="s">
        <v>5992</v>
      </c>
      <c r="S344" s="1243" t="s">
        <v>5792</v>
      </c>
      <c r="T344" s="906"/>
    </row>
    <row r="345" spans="1:20" s="1030" customFormat="1" ht="20.100000000000001" customHeight="1">
      <c r="A345" s="1232">
        <v>2</v>
      </c>
      <c r="B345" s="1234" t="s">
        <v>1162</v>
      </c>
      <c r="C345" s="1234"/>
      <c r="D345" s="1234"/>
      <c r="E345" s="1234"/>
      <c r="F345" s="1234"/>
      <c r="G345" s="1234"/>
      <c r="H345" s="1234"/>
      <c r="I345" s="1234"/>
      <c r="J345" s="1234"/>
      <c r="K345" s="1234"/>
      <c r="L345" s="1234"/>
      <c r="M345" s="1234"/>
      <c r="N345" s="1234"/>
      <c r="O345" s="1234"/>
      <c r="P345" s="1234"/>
      <c r="Q345" s="1234"/>
      <c r="R345" s="1234"/>
      <c r="S345" s="1234"/>
      <c r="T345" s="1232"/>
    </row>
    <row r="346" spans="1:20" s="1030" customFormat="1" ht="20.100000000000001" customHeight="1">
      <c r="A346" s="1232"/>
      <c r="B346" s="1563" t="s">
        <v>1162</v>
      </c>
      <c r="C346" s="1563" t="s">
        <v>1389</v>
      </c>
      <c r="D346" s="1563" t="s">
        <v>1165</v>
      </c>
      <c r="E346" s="1563">
        <v>60</v>
      </c>
      <c r="F346" s="1563"/>
      <c r="G346" s="1563"/>
      <c r="H346" s="1563" t="s">
        <v>33</v>
      </c>
      <c r="I346" s="1563"/>
      <c r="J346" s="1563"/>
      <c r="K346" s="1563"/>
      <c r="L346" s="1563">
        <v>29000</v>
      </c>
      <c r="M346" s="1563">
        <v>10000</v>
      </c>
      <c r="N346" s="1563">
        <v>2017</v>
      </c>
      <c r="O346" s="1563" t="s">
        <v>5993</v>
      </c>
      <c r="P346" s="1563" t="s">
        <v>5994</v>
      </c>
      <c r="Q346" s="1563">
        <v>18586187564</v>
      </c>
      <c r="R346" s="1563" t="s">
        <v>5995</v>
      </c>
      <c r="S346" s="1563" t="s">
        <v>5783</v>
      </c>
      <c r="T346" s="1232"/>
    </row>
    <row r="347" spans="1:20" s="1030" customFormat="1" ht="25.5" customHeight="1">
      <c r="A347" s="1232"/>
      <c r="B347" s="1563" t="s">
        <v>1162</v>
      </c>
      <c r="C347" s="1563" t="s">
        <v>3843</v>
      </c>
      <c r="D347" s="1563" t="s">
        <v>1165</v>
      </c>
      <c r="E347" s="1563">
        <v>12</v>
      </c>
      <c r="F347" s="1563"/>
      <c r="G347" s="1563" t="s">
        <v>32</v>
      </c>
      <c r="H347" s="1563" t="s">
        <v>33</v>
      </c>
      <c r="I347" s="1563"/>
      <c r="J347" s="1563"/>
      <c r="K347" s="1563" t="s">
        <v>5996</v>
      </c>
      <c r="L347" s="1563">
        <v>244200</v>
      </c>
      <c r="M347" s="1563">
        <f>L347*0.8</f>
        <v>195360</v>
      </c>
      <c r="N347" s="1563">
        <v>43678</v>
      </c>
      <c r="O347" s="1563" t="s">
        <v>5997</v>
      </c>
      <c r="P347" s="1563" t="s">
        <v>5998</v>
      </c>
      <c r="Q347" s="1563">
        <v>15548327107</v>
      </c>
      <c r="R347" s="1563" t="s">
        <v>5999</v>
      </c>
      <c r="S347" s="1563" t="s">
        <v>5783</v>
      </c>
      <c r="T347" s="1232"/>
    </row>
    <row r="348" spans="1:20" s="1030" customFormat="1" ht="25.5" customHeight="1">
      <c r="A348" s="1232"/>
      <c r="B348" s="1563" t="s">
        <v>1244</v>
      </c>
      <c r="C348" s="1563" t="s">
        <v>1326</v>
      </c>
      <c r="D348" s="1563" t="s">
        <v>1165</v>
      </c>
      <c r="E348" s="1563">
        <v>26</v>
      </c>
      <c r="F348" s="1563"/>
      <c r="G348" s="1563" t="s">
        <v>32</v>
      </c>
      <c r="H348" s="1563" t="s">
        <v>33</v>
      </c>
      <c r="I348" s="1563" t="s">
        <v>34</v>
      </c>
      <c r="J348" s="1563" t="s">
        <v>34</v>
      </c>
      <c r="K348" s="1563" t="s">
        <v>6000</v>
      </c>
      <c r="L348" s="1563">
        <f t="shared" ref="L348:L351" si="9">E348*14500</f>
        <v>377000</v>
      </c>
      <c r="M348" s="1563">
        <f t="shared" ref="M348:M351" si="10">L348*0.2</f>
        <v>75400</v>
      </c>
      <c r="N348" s="1563" t="s">
        <v>6001</v>
      </c>
      <c r="O348" s="1563" t="s">
        <v>5845</v>
      </c>
      <c r="P348" s="1563" t="s">
        <v>5846</v>
      </c>
      <c r="Q348" s="1563">
        <v>18947102015</v>
      </c>
      <c r="R348" s="1232" t="s">
        <v>5933</v>
      </c>
      <c r="S348" s="1563"/>
      <c r="T348" s="1232"/>
    </row>
    <row r="349" spans="1:20" s="1030" customFormat="1" ht="25.5" customHeight="1">
      <c r="A349" s="1232"/>
      <c r="B349" s="1563" t="s">
        <v>1244</v>
      </c>
      <c r="C349" s="1563" t="s">
        <v>1326</v>
      </c>
      <c r="D349" s="1563" t="s">
        <v>1165</v>
      </c>
      <c r="E349" s="1563">
        <v>10</v>
      </c>
      <c r="F349" s="1563"/>
      <c r="G349" s="1563" t="s">
        <v>32</v>
      </c>
      <c r="H349" s="1563" t="s">
        <v>33</v>
      </c>
      <c r="I349" s="1563" t="s">
        <v>34</v>
      </c>
      <c r="J349" s="1563" t="s">
        <v>34</v>
      </c>
      <c r="K349" s="1563" t="s">
        <v>5925</v>
      </c>
      <c r="L349" s="1563">
        <f t="shared" si="9"/>
        <v>145000</v>
      </c>
      <c r="M349" s="1563">
        <f t="shared" si="10"/>
        <v>29000</v>
      </c>
      <c r="N349" s="1563" t="s">
        <v>3954</v>
      </c>
      <c r="O349" s="1563" t="s">
        <v>5845</v>
      </c>
      <c r="P349" s="1563" t="s">
        <v>5846</v>
      </c>
      <c r="Q349" s="1563">
        <v>18947102015</v>
      </c>
      <c r="R349" s="1232" t="s">
        <v>5933</v>
      </c>
      <c r="S349" s="1563"/>
      <c r="T349" s="1232"/>
    </row>
    <row r="350" spans="1:20" s="1030" customFormat="1" ht="25.5" customHeight="1">
      <c r="A350" s="1232"/>
      <c r="B350" s="1563" t="s">
        <v>1244</v>
      </c>
      <c r="C350" s="1563" t="s">
        <v>1326</v>
      </c>
      <c r="D350" s="1563" t="s">
        <v>1165</v>
      </c>
      <c r="E350" s="1563">
        <v>10</v>
      </c>
      <c r="F350" s="1563"/>
      <c r="G350" s="1563" t="s">
        <v>32</v>
      </c>
      <c r="H350" s="1563" t="s">
        <v>33</v>
      </c>
      <c r="I350" s="1563" t="s">
        <v>34</v>
      </c>
      <c r="J350" s="1563" t="s">
        <v>34</v>
      </c>
      <c r="K350" s="1563" t="s">
        <v>5944</v>
      </c>
      <c r="L350" s="1563">
        <f t="shared" si="9"/>
        <v>145000</v>
      </c>
      <c r="M350" s="1563">
        <f t="shared" si="10"/>
        <v>29000</v>
      </c>
      <c r="N350" s="1563" t="s">
        <v>3955</v>
      </c>
      <c r="O350" s="1563" t="s">
        <v>5845</v>
      </c>
      <c r="P350" s="1563" t="s">
        <v>5846</v>
      </c>
      <c r="Q350" s="1563">
        <v>18947102015</v>
      </c>
      <c r="R350" s="1232" t="s">
        <v>5933</v>
      </c>
      <c r="S350" s="1563"/>
      <c r="T350" s="1232"/>
    </row>
    <row r="351" spans="1:20" s="1030" customFormat="1" ht="25.5" customHeight="1">
      <c r="A351" s="1232"/>
      <c r="B351" s="1563" t="s">
        <v>1244</v>
      </c>
      <c r="C351" s="1563" t="s">
        <v>1326</v>
      </c>
      <c r="D351" s="1563" t="s">
        <v>1165</v>
      </c>
      <c r="E351" s="1563">
        <v>28</v>
      </c>
      <c r="F351" s="1563"/>
      <c r="G351" s="1563" t="s">
        <v>32</v>
      </c>
      <c r="H351" s="1563" t="s">
        <v>33</v>
      </c>
      <c r="I351" s="1563" t="s">
        <v>34</v>
      </c>
      <c r="J351" s="1563" t="s">
        <v>34</v>
      </c>
      <c r="K351" s="1563" t="s">
        <v>6002</v>
      </c>
      <c r="L351" s="1563">
        <f t="shared" si="9"/>
        <v>406000</v>
      </c>
      <c r="M351" s="1563">
        <f t="shared" si="10"/>
        <v>81200</v>
      </c>
      <c r="N351" s="1563" t="s">
        <v>6001</v>
      </c>
      <c r="O351" s="1563" t="s">
        <v>5845</v>
      </c>
      <c r="P351" s="1563" t="s">
        <v>5846</v>
      </c>
      <c r="Q351" s="1563">
        <v>18947102015</v>
      </c>
      <c r="R351" s="1232" t="s">
        <v>5933</v>
      </c>
      <c r="S351" s="1563"/>
      <c r="T351" s="1232"/>
    </row>
    <row r="352" spans="1:20" s="1030" customFormat="1" ht="25.5" customHeight="1">
      <c r="A352" s="1232"/>
      <c r="B352" s="1563" t="s">
        <v>6003</v>
      </c>
      <c r="C352" s="1563" t="s">
        <v>6004</v>
      </c>
      <c r="D352" s="1563" t="s">
        <v>1165</v>
      </c>
      <c r="E352" s="1563">
        <v>27</v>
      </c>
      <c r="F352" s="1563"/>
      <c r="G352" s="1563" t="s">
        <v>32</v>
      </c>
      <c r="H352" s="1563" t="s">
        <v>33</v>
      </c>
      <c r="I352" s="1563" t="s">
        <v>34</v>
      </c>
      <c r="J352" s="1563" t="s">
        <v>34</v>
      </c>
      <c r="K352" s="1563" t="s">
        <v>6005</v>
      </c>
      <c r="L352" s="1563">
        <v>289448.37</v>
      </c>
      <c r="M352" s="1563">
        <v>289448.37</v>
      </c>
      <c r="N352" s="1563" t="s">
        <v>6006</v>
      </c>
      <c r="O352" s="1563" t="s">
        <v>6007</v>
      </c>
      <c r="P352" s="1563" t="s">
        <v>5846</v>
      </c>
      <c r="Q352" s="1563">
        <v>18947102015</v>
      </c>
      <c r="R352" s="1563" t="s">
        <v>5933</v>
      </c>
      <c r="S352" s="1563"/>
      <c r="T352" s="1232"/>
    </row>
    <row r="353" spans="1:20" s="1240" customFormat="1" ht="25.5" customHeight="1">
      <c r="A353" s="147"/>
      <c r="B353" s="1271" t="s">
        <v>1173</v>
      </c>
      <c r="C353" s="1272" t="s">
        <v>3200</v>
      </c>
      <c r="D353" s="1271" t="s">
        <v>131</v>
      </c>
      <c r="E353" s="1563">
        <v>10</v>
      </c>
      <c r="F353" s="1563"/>
      <c r="G353" s="1634" t="s">
        <v>32</v>
      </c>
      <c r="H353" s="1634" t="s">
        <v>6008</v>
      </c>
      <c r="I353" s="1563"/>
      <c r="J353" s="1563"/>
      <c r="K353" s="1563" t="s">
        <v>6009</v>
      </c>
      <c r="L353" s="1563">
        <v>118650</v>
      </c>
      <c r="M353" s="1563">
        <v>118650</v>
      </c>
      <c r="N353" s="1563">
        <v>2020.7</v>
      </c>
      <c r="O353" s="1563" t="s">
        <v>6010</v>
      </c>
      <c r="P353" s="1862" t="s">
        <v>5820</v>
      </c>
      <c r="Q353" s="1862">
        <v>17647437444</v>
      </c>
      <c r="R353" s="1862" t="s">
        <v>5821</v>
      </c>
      <c r="S353" s="1862" t="s">
        <v>5792</v>
      </c>
      <c r="T353" s="147"/>
    </row>
    <row r="354" spans="1:20" s="1240" customFormat="1" ht="25.5" customHeight="1">
      <c r="A354" s="147"/>
      <c r="B354" s="1271" t="s">
        <v>1173</v>
      </c>
      <c r="C354" s="1272" t="s">
        <v>3200</v>
      </c>
      <c r="D354" s="1271" t="s">
        <v>131</v>
      </c>
      <c r="E354" s="1563">
        <v>5</v>
      </c>
      <c r="F354" s="1563"/>
      <c r="G354" s="1634" t="s">
        <v>32</v>
      </c>
      <c r="H354" s="1634" t="s">
        <v>6008</v>
      </c>
      <c r="I354" s="1563"/>
      <c r="J354" s="1563"/>
      <c r="K354" s="1563" t="s">
        <v>6011</v>
      </c>
      <c r="L354" s="1563">
        <v>53025</v>
      </c>
      <c r="M354" s="1563">
        <v>53025</v>
      </c>
      <c r="N354" s="1563">
        <v>2020.6</v>
      </c>
      <c r="O354" s="1563" t="s">
        <v>6012</v>
      </c>
      <c r="P354" s="1864"/>
      <c r="Q354" s="1864"/>
      <c r="R354" s="1864"/>
      <c r="S354" s="1864"/>
      <c r="T354" s="147"/>
    </row>
    <row r="355" spans="1:20" s="1030" customFormat="1" ht="25.5" customHeight="1">
      <c r="A355" s="1232"/>
      <c r="B355" s="1563" t="s">
        <v>6013</v>
      </c>
      <c r="C355" s="1273" t="s">
        <v>6014</v>
      </c>
      <c r="D355" s="1563" t="s">
        <v>1165</v>
      </c>
      <c r="E355" s="1273">
        <v>8</v>
      </c>
      <c r="F355" s="1563"/>
      <c r="G355" s="1563" t="s">
        <v>32</v>
      </c>
      <c r="H355" s="1563" t="s">
        <v>33</v>
      </c>
      <c r="I355" s="1563"/>
      <c r="J355" s="1563"/>
      <c r="K355" s="1563"/>
      <c r="L355" s="1274">
        <v>87200</v>
      </c>
      <c r="M355" s="1563"/>
      <c r="N355" s="1275" t="s">
        <v>6015</v>
      </c>
      <c r="O355" s="1563" t="s">
        <v>6016</v>
      </c>
      <c r="P355" s="1273" t="s">
        <v>6017</v>
      </c>
      <c r="Q355" s="1273">
        <v>18047197630</v>
      </c>
      <c r="R355" s="1563" t="s">
        <v>6018</v>
      </c>
      <c r="S355" s="1563" t="s">
        <v>5783</v>
      </c>
      <c r="T355" s="1232"/>
    </row>
    <row r="356" spans="1:20" s="1030" customFormat="1" ht="25.5" customHeight="1">
      <c r="A356" s="1232"/>
      <c r="B356" s="1563" t="s">
        <v>6013</v>
      </c>
      <c r="C356" s="1273" t="s">
        <v>6014</v>
      </c>
      <c r="D356" s="1563" t="s">
        <v>1165</v>
      </c>
      <c r="E356" s="1273">
        <v>9</v>
      </c>
      <c r="F356" s="1563"/>
      <c r="G356" s="1563" t="s">
        <v>32</v>
      </c>
      <c r="H356" s="1563" t="s">
        <v>33</v>
      </c>
      <c r="I356" s="1563"/>
      <c r="J356" s="1563"/>
      <c r="K356" s="1563"/>
      <c r="L356" s="1274">
        <v>98100</v>
      </c>
      <c r="M356" s="1563"/>
      <c r="N356" s="1275" t="s">
        <v>6019</v>
      </c>
      <c r="O356" s="1563" t="s">
        <v>6016</v>
      </c>
      <c r="P356" s="1273" t="s">
        <v>6017</v>
      </c>
      <c r="Q356" s="1273">
        <v>18047197630</v>
      </c>
      <c r="R356" s="1563" t="s">
        <v>6018</v>
      </c>
      <c r="S356" s="1563" t="s">
        <v>5783</v>
      </c>
      <c r="T356" s="1232"/>
    </row>
    <row r="357" spans="1:20" s="1030" customFormat="1" ht="25.5" customHeight="1">
      <c r="A357" s="1232"/>
      <c r="B357" s="1563" t="s">
        <v>6013</v>
      </c>
      <c r="C357" s="1273" t="s">
        <v>6020</v>
      </c>
      <c r="D357" s="1563" t="s">
        <v>1165</v>
      </c>
      <c r="E357" s="1273">
        <v>1</v>
      </c>
      <c r="F357" s="1563"/>
      <c r="G357" s="1563" t="s">
        <v>32</v>
      </c>
      <c r="H357" s="1563" t="s">
        <v>33</v>
      </c>
      <c r="I357" s="1563"/>
      <c r="J357" s="1563"/>
      <c r="K357" s="1563"/>
      <c r="L357" s="1274">
        <v>37200</v>
      </c>
      <c r="M357" s="1563"/>
      <c r="N357" s="1275" t="s">
        <v>6019</v>
      </c>
      <c r="O357" s="1563" t="s">
        <v>6016</v>
      </c>
      <c r="P357" s="1273" t="s">
        <v>6017</v>
      </c>
      <c r="Q357" s="1273">
        <v>18047197630</v>
      </c>
      <c r="R357" s="1563" t="s">
        <v>6018</v>
      </c>
      <c r="S357" s="1563" t="s">
        <v>5783</v>
      </c>
      <c r="T357" s="1232"/>
    </row>
    <row r="358" spans="1:20" s="1030" customFormat="1" ht="25.5" customHeight="1">
      <c r="A358" s="1232"/>
      <c r="B358" s="1563" t="s">
        <v>6013</v>
      </c>
      <c r="C358" s="1273" t="s">
        <v>6014</v>
      </c>
      <c r="D358" s="1563" t="s">
        <v>1165</v>
      </c>
      <c r="E358" s="1273">
        <v>28</v>
      </c>
      <c r="F358" s="1563"/>
      <c r="G358" s="1563" t="s">
        <v>32</v>
      </c>
      <c r="H358" s="1563" t="s">
        <v>33</v>
      </c>
      <c r="I358" s="1563"/>
      <c r="J358" s="1563"/>
      <c r="K358" s="1563"/>
      <c r="L358" s="1274">
        <v>305200</v>
      </c>
      <c r="M358" s="1563"/>
      <c r="N358" s="1275" t="s">
        <v>6021</v>
      </c>
      <c r="O358" s="1563" t="s">
        <v>6016</v>
      </c>
      <c r="P358" s="1273" t="s">
        <v>6017</v>
      </c>
      <c r="Q358" s="1273">
        <v>18047197630</v>
      </c>
      <c r="R358" s="1563"/>
      <c r="S358" s="1563" t="s">
        <v>5783</v>
      </c>
      <c r="T358" s="1232"/>
    </row>
    <row r="359" spans="1:20" s="1030" customFormat="1" ht="25.5" customHeight="1">
      <c r="A359" s="1232"/>
      <c r="B359" s="1563" t="s">
        <v>6013</v>
      </c>
      <c r="C359" s="1563" t="s">
        <v>6022</v>
      </c>
      <c r="D359" s="1563" t="s">
        <v>1165</v>
      </c>
      <c r="E359" s="1563">
        <v>5</v>
      </c>
      <c r="F359" s="1563"/>
      <c r="G359" s="1563" t="s">
        <v>32</v>
      </c>
      <c r="H359" s="1563" t="s">
        <v>33</v>
      </c>
      <c r="I359" s="1563"/>
      <c r="J359" s="1563"/>
      <c r="K359" s="1563"/>
      <c r="L359" s="1563">
        <f>11570*5</f>
        <v>57850</v>
      </c>
      <c r="M359" s="1563"/>
      <c r="N359" s="1563">
        <v>2021</v>
      </c>
      <c r="O359" s="1563" t="s">
        <v>5980</v>
      </c>
      <c r="P359" s="1563" t="s">
        <v>5873</v>
      </c>
      <c r="Q359" s="1563">
        <v>13458755666</v>
      </c>
      <c r="R359" s="1563" t="s">
        <v>5980</v>
      </c>
      <c r="S359" s="1563" t="s">
        <v>5783</v>
      </c>
      <c r="T359" s="1232"/>
    </row>
    <row r="360" spans="1:20" s="1030" customFormat="1" ht="25.5" customHeight="1">
      <c r="A360" s="1232"/>
      <c r="B360" s="1563" t="s">
        <v>1162</v>
      </c>
      <c r="C360" s="1563" t="s">
        <v>1389</v>
      </c>
      <c r="D360" s="1563" t="s">
        <v>1165</v>
      </c>
      <c r="E360" s="1563">
        <v>1</v>
      </c>
      <c r="F360" s="1563"/>
      <c r="G360" s="1563" t="s">
        <v>32</v>
      </c>
      <c r="H360" s="1563" t="s">
        <v>33</v>
      </c>
      <c r="I360" s="1563"/>
      <c r="J360" s="1563"/>
      <c r="K360" s="1563"/>
      <c r="L360" s="1563"/>
      <c r="M360" s="1563"/>
      <c r="N360" s="1563"/>
      <c r="O360" s="1634" t="s">
        <v>6023</v>
      </c>
      <c r="P360" s="1632" t="s">
        <v>5878</v>
      </c>
      <c r="Q360" s="1634">
        <v>13674855303</v>
      </c>
      <c r="R360" s="1634" t="s">
        <v>5879</v>
      </c>
      <c r="S360" s="1563" t="s">
        <v>5783</v>
      </c>
      <c r="T360" s="1232"/>
    </row>
    <row r="361" spans="1:20" s="1030" customFormat="1" ht="25.5" customHeight="1">
      <c r="A361" s="1232"/>
      <c r="B361" s="1563" t="s">
        <v>6013</v>
      </c>
      <c r="C361" s="1563" t="s">
        <v>1326</v>
      </c>
      <c r="D361" s="1563" t="s">
        <v>1165</v>
      </c>
      <c r="E361" s="1563">
        <v>23</v>
      </c>
      <c r="F361" s="1563"/>
      <c r="G361" s="1563" t="s">
        <v>32</v>
      </c>
      <c r="H361" s="1563" t="s">
        <v>33</v>
      </c>
      <c r="I361" s="1563"/>
      <c r="J361" s="1563"/>
      <c r="K361" s="1563"/>
      <c r="L361" s="1563"/>
      <c r="M361" s="1563"/>
      <c r="N361" s="1563" t="s">
        <v>6024</v>
      </c>
      <c r="O361" s="1634" t="s">
        <v>6025</v>
      </c>
      <c r="P361" s="1632" t="s">
        <v>5878</v>
      </c>
      <c r="Q361" s="1634">
        <v>13674855303</v>
      </c>
      <c r="R361" s="1634" t="s">
        <v>5879</v>
      </c>
      <c r="S361" s="1563" t="s">
        <v>5783</v>
      </c>
      <c r="T361" s="1232"/>
    </row>
    <row r="362" spans="1:20" s="1030" customFormat="1" ht="25.5" customHeight="1">
      <c r="A362" s="1232"/>
      <c r="B362" s="1563" t="s">
        <v>6013</v>
      </c>
      <c r="C362" s="1563" t="s">
        <v>1326</v>
      </c>
      <c r="D362" s="1563" t="s">
        <v>1165</v>
      </c>
      <c r="E362" s="1563">
        <v>30</v>
      </c>
      <c r="F362" s="1563"/>
      <c r="G362" s="1563" t="s">
        <v>32</v>
      </c>
      <c r="H362" s="1563" t="s">
        <v>33</v>
      </c>
      <c r="I362" s="1563"/>
      <c r="J362" s="1563"/>
      <c r="K362" s="1563" t="s">
        <v>6026</v>
      </c>
      <c r="L362" s="1563">
        <v>8900</v>
      </c>
      <c r="M362" s="1563">
        <v>8900</v>
      </c>
      <c r="N362" s="1563">
        <v>2020.3</v>
      </c>
      <c r="O362" s="1242" t="s">
        <v>5795</v>
      </c>
      <c r="P362" s="1242" t="s">
        <v>5790</v>
      </c>
      <c r="Q362" s="1242">
        <v>17684853888</v>
      </c>
      <c r="R362" s="1242" t="s">
        <v>5791</v>
      </c>
      <c r="S362" s="1243" t="s">
        <v>5792</v>
      </c>
      <c r="T362" s="1232"/>
    </row>
    <row r="363" spans="1:20" s="1030" customFormat="1" ht="25.5" customHeight="1">
      <c r="A363" s="1232"/>
      <c r="B363" s="1563" t="s">
        <v>1162</v>
      </c>
      <c r="C363" s="1563" t="s">
        <v>1326</v>
      </c>
      <c r="D363" s="1563" t="s">
        <v>1165</v>
      </c>
      <c r="E363" s="1563">
        <v>10</v>
      </c>
      <c r="F363" s="1563"/>
      <c r="G363" s="1563" t="s">
        <v>32</v>
      </c>
      <c r="H363" s="1563" t="s">
        <v>33</v>
      </c>
      <c r="I363" s="1563"/>
      <c r="J363" s="1563"/>
      <c r="K363" s="1563" t="s">
        <v>6026</v>
      </c>
      <c r="L363" s="1563">
        <v>17800</v>
      </c>
      <c r="M363" s="1563">
        <v>17800</v>
      </c>
      <c r="N363" s="1563">
        <v>2020.3</v>
      </c>
      <c r="O363" s="1242" t="s">
        <v>5795</v>
      </c>
      <c r="P363" s="1242" t="s">
        <v>5790</v>
      </c>
      <c r="Q363" s="1242">
        <v>17684853888</v>
      </c>
      <c r="R363" s="1242" t="s">
        <v>5791</v>
      </c>
      <c r="S363" s="1243" t="s">
        <v>5792</v>
      </c>
      <c r="T363" s="1232"/>
    </row>
    <row r="364" spans="1:20" s="1030" customFormat="1" ht="25.5" customHeight="1">
      <c r="A364" s="1232"/>
      <c r="B364" s="1563" t="s">
        <v>1162</v>
      </c>
      <c r="C364" s="1563" t="s">
        <v>5375</v>
      </c>
      <c r="D364" s="1563" t="s">
        <v>1165</v>
      </c>
      <c r="E364" s="1563">
        <v>1</v>
      </c>
      <c r="F364" s="1563"/>
      <c r="G364" s="1563" t="s">
        <v>32</v>
      </c>
      <c r="H364" s="1563" t="s">
        <v>33</v>
      </c>
      <c r="I364" s="1563"/>
      <c r="J364" s="1563"/>
      <c r="K364" s="1563" t="s">
        <v>6026</v>
      </c>
      <c r="L364" s="1563">
        <v>35600</v>
      </c>
      <c r="M364" s="1563">
        <v>35600</v>
      </c>
      <c r="N364" s="1563">
        <v>2020.3</v>
      </c>
      <c r="O364" s="1242" t="s">
        <v>5795</v>
      </c>
      <c r="P364" s="1242" t="s">
        <v>5790</v>
      </c>
      <c r="Q364" s="1242">
        <v>17684853888</v>
      </c>
      <c r="R364" s="1242" t="s">
        <v>5791</v>
      </c>
      <c r="S364" s="1243" t="s">
        <v>5792</v>
      </c>
      <c r="T364" s="1232"/>
    </row>
    <row r="365" spans="1:20" s="1030" customFormat="1" ht="20.100000000000001" customHeight="1">
      <c r="A365" s="1232"/>
      <c r="B365" s="1563" t="s">
        <v>1162</v>
      </c>
      <c r="C365" s="1563" t="s">
        <v>5393</v>
      </c>
      <c r="D365" s="1563" t="s">
        <v>1165</v>
      </c>
      <c r="E365" s="1563">
        <v>1</v>
      </c>
      <c r="F365" s="1563"/>
      <c r="G365" s="1563" t="s">
        <v>32</v>
      </c>
      <c r="H365" s="1563" t="s">
        <v>33</v>
      </c>
      <c r="I365" s="1232"/>
      <c r="J365" s="1232"/>
      <c r="K365" s="1563" t="s">
        <v>6026</v>
      </c>
      <c r="L365" s="1232">
        <v>53400</v>
      </c>
      <c r="M365" s="1232">
        <v>53400</v>
      </c>
      <c r="N365" s="1563">
        <v>2020.3</v>
      </c>
      <c r="O365" s="1242" t="s">
        <v>5795</v>
      </c>
      <c r="P365" s="1242" t="s">
        <v>5790</v>
      </c>
      <c r="Q365" s="1242">
        <v>17684853888</v>
      </c>
      <c r="R365" s="1242" t="s">
        <v>5791</v>
      </c>
      <c r="S365" s="1243" t="s">
        <v>5792</v>
      </c>
      <c r="T365" s="1232"/>
    </row>
    <row r="366" spans="1:20" s="1030" customFormat="1" ht="20.100000000000001" customHeight="1">
      <c r="A366" s="1232"/>
      <c r="B366" s="1563"/>
      <c r="C366" s="1563"/>
      <c r="D366" s="1563"/>
      <c r="E366" s="1563"/>
      <c r="F366" s="1563"/>
      <c r="G366" s="1563"/>
      <c r="H366" s="1563"/>
      <c r="I366" s="1232"/>
      <c r="J366" s="1232"/>
      <c r="K366" s="1563"/>
      <c r="L366" s="1232"/>
      <c r="M366" s="1232"/>
      <c r="N366" s="1563"/>
      <c r="O366" s="1242"/>
      <c r="P366" s="1242"/>
      <c r="Q366" s="1242"/>
      <c r="R366" s="1242"/>
      <c r="S366" s="1243"/>
      <c r="T366" s="1232"/>
    </row>
    <row r="367" spans="1:20" s="1030" customFormat="1" ht="20.100000000000001" customHeight="1">
      <c r="A367" s="1232"/>
      <c r="B367" s="1563"/>
      <c r="C367" s="1563"/>
      <c r="D367" s="1563"/>
      <c r="E367" s="1563"/>
      <c r="F367" s="1563"/>
      <c r="G367" s="1563"/>
      <c r="H367" s="1563"/>
      <c r="I367" s="1232"/>
      <c r="J367" s="1232"/>
      <c r="K367" s="1563"/>
      <c r="L367" s="1232"/>
      <c r="M367" s="1232"/>
      <c r="N367" s="1563"/>
      <c r="O367" s="1242"/>
      <c r="P367" s="1242"/>
      <c r="Q367" s="1242"/>
      <c r="R367" s="1242"/>
      <c r="S367" s="1243"/>
      <c r="T367" s="1232"/>
    </row>
    <row r="368" spans="1:20" s="1030" customFormat="1" ht="20.100000000000001" customHeight="1">
      <c r="A368" s="1232"/>
      <c r="B368" s="1563"/>
      <c r="C368" s="1563"/>
      <c r="D368" s="1563"/>
      <c r="E368" s="1563"/>
      <c r="F368" s="1563"/>
      <c r="G368" s="1563"/>
      <c r="H368" s="1563"/>
      <c r="I368" s="1232"/>
      <c r="J368" s="1232"/>
      <c r="K368" s="1563"/>
      <c r="L368" s="1232"/>
      <c r="M368" s="1232"/>
      <c r="N368" s="1563"/>
      <c r="O368" s="1242"/>
      <c r="P368" s="1242"/>
      <c r="Q368" s="1242"/>
      <c r="R368" s="1242"/>
      <c r="S368" s="1243"/>
      <c r="T368" s="1232"/>
    </row>
    <row r="369" spans="1:20" s="1030" customFormat="1" ht="20.100000000000001" customHeight="1">
      <c r="A369" s="1232"/>
      <c r="B369" s="1563"/>
      <c r="C369" s="1563"/>
      <c r="D369" s="1563"/>
      <c r="E369" s="1563"/>
      <c r="F369" s="1563"/>
      <c r="G369" s="1563"/>
      <c r="H369" s="1563"/>
      <c r="I369" s="1232"/>
      <c r="J369" s="1232"/>
      <c r="K369" s="1563"/>
      <c r="L369" s="1232"/>
      <c r="M369" s="1232"/>
      <c r="N369" s="1563"/>
      <c r="O369" s="1242"/>
      <c r="P369" s="1242"/>
      <c r="Q369" s="1242"/>
      <c r="R369" s="1242"/>
      <c r="S369" s="1243"/>
      <c r="T369" s="1232"/>
    </row>
    <row r="370" spans="1:20" s="1030" customFormat="1" ht="20.100000000000001" customHeight="1">
      <c r="A370" s="1232"/>
      <c r="B370" s="1563"/>
      <c r="C370" s="1563"/>
      <c r="D370" s="1563"/>
      <c r="E370" s="1563"/>
      <c r="F370" s="1563"/>
      <c r="G370" s="1563"/>
      <c r="H370" s="1563"/>
      <c r="I370" s="1232"/>
      <c r="J370" s="1232"/>
      <c r="K370" s="1563"/>
      <c r="L370" s="1232"/>
      <c r="M370" s="1232"/>
      <c r="N370" s="1563"/>
      <c r="O370" s="1242"/>
      <c r="P370" s="1242"/>
      <c r="Q370" s="1242"/>
      <c r="R370" s="1242"/>
      <c r="S370" s="1243"/>
      <c r="T370" s="1232"/>
    </row>
    <row r="371" spans="1:20" s="1030" customFormat="1" ht="20.100000000000001" customHeight="1">
      <c r="A371" s="1232"/>
      <c r="B371" s="1563"/>
      <c r="C371" s="1563"/>
      <c r="D371" s="1563"/>
      <c r="E371" s="1563"/>
      <c r="F371" s="1563"/>
      <c r="G371" s="1563"/>
      <c r="H371" s="1563"/>
      <c r="I371" s="1232"/>
      <c r="J371" s="1232"/>
      <c r="K371" s="1563"/>
      <c r="L371" s="1232"/>
      <c r="M371" s="1232"/>
      <c r="N371" s="1563"/>
      <c r="O371" s="1242"/>
      <c r="P371" s="1242"/>
      <c r="Q371" s="1242"/>
      <c r="R371" s="1242"/>
      <c r="S371" s="1243"/>
      <c r="T371" s="1232"/>
    </row>
    <row r="372" spans="1:20" s="1030" customFormat="1" ht="20.100000000000001" customHeight="1">
      <c r="A372" s="1232"/>
      <c r="B372" s="1563"/>
      <c r="C372" s="1563"/>
      <c r="D372" s="1563"/>
      <c r="E372" s="1563"/>
      <c r="F372" s="1563"/>
      <c r="G372" s="1563"/>
      <c r="H372" s="1563"/>
      <c r="I372" s="1232"/>
      <c r="J372" s="1232"/>
      <c r="K372" s="1563"/>
      <c r="L372" s="1232"/>
      <c r="M372" s="1232"/>
      <c r="N372" s="1563"/>
      <c r="O372" s="1242"/>
      <c r="P372" s="1242"/>
      <c r="Q372" s="1242"/>
      <c r="R372" s="1242"/>
      <c r="S372" s="1243"/>
      <c r="T372" s="1232"/>
    </row>
    <row r="373" spans="1:20" s="1030" customFormat="1" ht="20.100000000000001" customHeight="1">
      <c r="A373" s="1232"/>
      <c r="B373" s="1563"/>
      <c r="C373" s="1563"/>
      <c r="D373" s="1563"/>
      <c r="E373" s="1563"/>
      <c r="F373" s="1563"/>
      <c r="G373" s="1563"/>
      <c r="H373" s="1563"/>
      <c r="I373" s="1232"/>
      <c r="J373" s="1232"/>
      <c r="K373" s="1563"/>
      <c r="L373" s="1232"/>
      <c r="M373" s="1232"/>
      <c r="N373" s="1563"/>
      <c r="O373" s="1242"/>
      <c r="P373" s="1242"/>
      <c r="Q373" s="1242"/>
      <c r="R373" s="1242"/>
      <c r="S373" s="1243"/>
      <c r="T373" s="1232"/>
    </row>
    <row r="374" spans="1:20" s="1030" customFormat="1" ht="20.100000000000001" customHeight="1">
      <c r="A374" s="1232"/>
      <c r="B374" s="1563"/>
      <c r="C374" s="1563"/>
      <c r="D374" s="1563"/>
      <c r="E374" s="1563"/>
      <c r="F374" s="1563"/>
      <c r="G374" s="1563"/>
      <c r="H374" s="1563"/>
      <c r="I374" s="1232"/>
      <c r="J374" s="1232"/>
      <c r="K374" s="1563"/>
      <c r="L374" s="1232"/>
      <c r="M374" s="1232"/>
      <c r="N374" s="1563"/>
      <c r="O374" s="1242"/>
      <c r="P374" s="1242"/>
      <c r="Q374" s="1242"/>
      <c r="R374" s="1242"/>
      <c r="S374" s="1243"/>
      <c r="T374" s="1232"/>
    </row>
    <row r="375" spans="1:20" s="1030" customFormat="1" ht="20.100000000000001" customHeight="1">
      <c r="A375" s="1232"/>
      <c r="B375" s="1563"/>
      <c r="C375" s="1563"/>
      <c r="D375" s="1563"/>
      <c r="E375" s="1563"/>
      <c r="F375" s="1563"/>
      <c r="G375" s="1563"/>
      <c r="H375" s="1563"/>
      <c r="I375" s="1232"/>
      <c r="J375" s="1232"/>
      <c r="K375" s="1563"/>
      <c r="L375" s="1232"/>
      <c r="M375" s="1232"/>
      <c r="N375" s="1563"/>
      <c r="O375" s="1242"/>
      <c r="P375" s="1242"/>
      <c r="Q375" s="1242"/>
      <c r="R375" s="1242"/>
      <c r="S375" s="1243"/>
      <c r="T375" s="1232"/>
    </row>
    <row r="376" spans="1:20" s="1030" customFormat="1" ht="20.100000000000001" customHeight="1">
      <c r="A376" s="1232">
        <v>3</v>
      </c>
      <c r="B376" s="1234" t="s">
        <v>1362</v>
      </c>
      <c r="C376" s="1234"/>
      <c r="D376" s="1234"/>
      <c r="E376" s="1234"/>
      <c r="F376" s="1234"/>
      <c r="G376" s="1234"/>
      <c r="H376" s="1234"/>
      <c r="I376" s="1234"/>
      <c r="J376" s="1234"/>
      <c r="K376" s="1234"/>
      <c r="L376" s="1234"/>
      <c r="M376" s="1234"/>
      <c r="N376" s="1234"/>
      <c r="O376" s="1234"/>
      <c r="P376" s="1234"/>
      <c r="Q376" s="1234"/>
      <c r="R376" s="1234"/>
      <c r="S376" s="1234"/>
      <c r="T376" s="1232"/>
    </row>
    <row r="377" spans="1:20" s="1030" customFormat="1" ht="39.75" customHeight="1">
      <c r="A377" s="1232"/>
      <c r="B377" s="906" t="s">
        <v>6027</v>
      </c>
      <c r="C377" s="1563" t="s">
        <v>6028</v>
      </c>
      <c r="D377" s="1563" t="s">
        <v>1165</v>
      </c>
      <c r="E377" s="1563">
        <v>1</v>
      </c>
      <c r="F377" s="1563"/>
      <c r="G377" s="1563" t="s">
        <v>32</v>
      </c>
      <c r="H377" s="1563" t="s">
        <v>33</v>
      </c>
      <c r="I377" s="1563"/>
      <c r="J377" s="1563"/>
      <c r="K377" s="1563" t="s">
        <v>5996</v>
      </c>
      <c r="L377" s="1563">
        <v>398753.76106194698</v>
      </c>
      <c r="M377" s="1563">
        <f>L377*0.8</f>
        <v>319003.00884955761</v>
      </c>
      <c r="N377" s="1563">
        <v>43739</v>
      </c>
      <c r="O377" s="1563" t="s">
        <v>6029</v>
      </c>
      <c r="P377" s="1563" t="s">
        <v>5998</v>
      </c>
      <c r="Q377" s="1563">
        <v>15548327107</v>
      </c>
      <c r="R377" s="1563" t="s">
        <v>5999</v>
      </c>
      <c r="S377" s="1563" t="s">
        <v>5783</v>
      </c>
      <c r="T377" s="1232"/>
    </row>
    <row r="378" spans="1:20" s="1030" customFormat="1" ht="39.75" customHeight="1">
      <c r="A378" s="1232"/>
      <c r="B378" s="906" t="s">
        <v>1391</v>
      </c>
      <c r="C378" s="906" t="s">
        <v>6030</v>
      </c>
      <c r="D378" s="906" t="s">
        <v>888</v>
      </c>
      <c r="E378" s="906">
        <v>3140</v>
      </c>
      <c r="F378" s="906" t="s">
        <v>34</v>
      </c>
      <c r="G378" s="906" t="s">
        <v>32</v>
      </c>
      <c r="H378" s="906" t="s">
        <v>33</v>
      </c>
      <c r="I378" s="906"/>
      <c r="J378" s="1269"/>
      <c r="K378" s="1269" t="s">
        <v>6005</v>
      </c>
      <c r="L378" s="906">
        <v>1321917.3899999999</v>
      </c>
      <c r="M378" s="906">
        <f t="shared" ref="M378:M382" si="11">L378</f>
        <v>1321917.3899999999</v>
      </c>
      <c r="N378" s="906" t="s">
        <v>6006</v>
      </c>
      <c r="O378" s="906" t="s">
        <v>6031</v>
      </c>
      <c r="P378" s="906" t="s">
        <v>5846</v>
      </c>
      <c r="Q378" s="906">
        <v>18947102015</v>
      </c>
      <c r="R378" s="906" t="s">
        <v>5933</v>
      </c>
      <c r="S378" s="906" t="s">
        <v>5783</v>
      </c>
      <c r="T378" s="906"/>
    </row>
    <row r="379" spans="1:20" s="1030" customFormat="1" ht="39.75" customHeight="1">
      <c r="A379" s="1232"/>
      <c r="B379" s="906" t="s">
        <v>1391</v>
      </c>
      <c r="C379" s="906" t="s">
        <v>6032</v>
      </c>
      <c r="D379" s="906" t="s">
        <v>888</v>
      </c>
      <c r="E379" s="906">
        <v>800</v>
      </c>
      <c r="F379" s="906" t="s">
        <v>34</v>
      </c>
      <c r="G379" s="906" t="s">
        <v>32</v>
      </c>
      <c r="H379" s="906" t="s">
        <v>33</v>
      </c>
      <c r="I379" s="906"/>
      <c r="J379" s="1269"/>
      <c r="K379" s="1269" t="s">
        <v>6005</v>
      </c>
      <c r="L379" s="906">
        <v>269392</v>
      </c>
      <c r="M379" s="906">
        <f t="shared" si="11"/>
        <v>269392</v>
      </c>
      <c r="N379" s="906" t="s">
        <v>6006</v>
      </c>
      <c r="O379" s="906" t="s">
        <v>6031</v>
      </c>
      <c r="P379" s="906" t="s">
        <v>5846</v>
      </c>
      <c r="Q379" s="906">
        <v>18947102015</v>
      </c>
      <c r="R379" s="906" t="s">
        <v>5933</v>
      </c>
      <c r="S379" s="906" t="s">
        <v>5783</v>
      </c>
      <c r="T379" s="906"/>
    </row>
    <row r="380" spans="1:20" s="1030" customFormat="1" ht="39.75" customHeight="1">
      <c r="A380" s="1232"/>
      <c r="B380" s="906" t="s">
        <v>3124</v>
      </c>
      <c r="C380" s="906" t="s">
        <v>34</v>
      </c>
      <c r="D380" s="906" t="s">
        <v>888</v>
      </c>
      <c r="E380" s="906">
        <v>160</v>
      </c>
      <c r="F380" s="906" t="s">
        <v>34</v>
      </c>
      <c r="G380" s="906" t="s">
        <v>32</v>
      </c>
      <c r="H380" s="906" t="s">
        <v>33</v>
      </c>
      <c r="I380" s="906"/>
      <c r="J380" s="1269"/>
      <c r="K380" s="1269" t="s">
        <v>6005</v>
      </c>
      <c r="L380" s="906">
        <v>28928</v>
      </c>
      <c r="M380" s="906">
        <f t="shared" si="11"/>
        <v>28928</v>
      </c>
      <c r="N380" s="906" t="s">
        <v>6006</v>
      </c>
      <c r="O380" s="906" t="s">
        <v>6031</v>
      </c>
      <c r="P380" s="906" t="s">
        <v>5846</v>
      </c>
      <c r="Q380" s="906">
        <v>18947102015</v>
      </c>
      <c r="R380" s="906" t="s">
        <v>5933</v>
      </c>
      <c r="S380" s="906" t="s">
        <v>5783</v>
      </c>
      <c r="T380" s="906"/>
    </row>
    <row r="381" spans="1:20" s="1030" customFormat="1" ht="39.75" customHeight="1">
      <c r="A381" s="1232"/>
      <c r="B381" s="906" t="s">
        <v>6033</v>
      </c>
      <c r="C381" s="906" t="s">
        <v>6034</v>
      </c>
      <c r="D381" s="906" t="s">
        <v>79</v>
      </c>
      <c r="E381" s="906">
        <v>8</v>
      </c>
      <c r="F381" s="906" t="s">
        <v>34</v>
      </c>
      <c r="G381" s="906" t="s">
        <v>32</v>
      </c>
      <c r="H381" s="906" t="s">
        <v>33</v>
      </c>
      <c r="I381" s="906"/>
      <c r="J381" s="1269"/>
      <c r="K381" s="1269" t="s">
        <v>6005</v>
      </c>
      <c r="L381" s="906">
        <v>22916.400000000001</v>
      </c>
      <c r="M381" s="906">
        <f t="shared" si="11"/>
        <v>22916.400000000001</v>
      </c>
      <c r="N381" s="906" t="s">
        <v>6006</v>
      </c>
      <c r="O381" s="906" t="s">
        <v>6031</v>
      </c>
      <c r="P381" s="906" t="s">
        <v>5846</v>
      </c>
      <c r="Q381" s="906">
        <v>18947102015</v>
      </c>
      <c r="R381" s="906" t="s">
        <v>5933</v>
      </c>
      <c r="S381" s="906" t="s">
        <v>5783</v>
      </c>
      <c r="T381" s="906"/>
    </row>
    <row r="382" spans="1:20" s="1030" customFormat="1" ht="39.75" customHeight="1">
      <c r="A382" s="1232"/>
      <c r="B382" s="906" t="s">
        <v>6035</v>
      </c>
      <c r="C382" s="906" t="s">
        <v>34</v>
      </c>
      <c r="D382" s="906" t="s">
        <v>888</v>
      </c>
      <c r="E382" s="1276">
        <f>398.18+1495</f>
        <v>1893.18</v>
      </c>
      <c r="F382" s="906"/>
      <c r="G382" s="906" t="s">
        <v>32</v>
      </c>
      <c r="H382" s="906" t="s">
        <v>33</v>
      </c>
      <c r="I382" s="906"/>
      <c r="J382" s="1269"/>
      <c r="K382" s="1269" t="s">
        <v>6036</v>
      </c>
      <c r="L382" s="1277">
        <f>259.9*E382</f>
        <v>492037.48199999996</v>
      </c>
      <c r="M382" s="906">
        <f t="shared" si="11"/>
        <v>492037.48199999996</v>
      </c>
      <c r="N382" s="906" t="s">
        <v>5093</v>
      </c>
      <c r="O382" s="906" t="s">
        <v>6037</v>
      </c>
      <c r="P382" s="906" t="s">
        <v>5846</v>
      </c>
      <c r="Q382" s="906">
        <v>18947102015</v>
      </c>
      <c r="R382" s="906" t="s">
        <v>5933</v>
      </c>
      <c r="S382" s="906" t="s">
        <v>5783</v>
      </c>
      <c r="T382" s="906"/>
    </row>
    <row r="383" spans="1:20" s="1030" customFormat="1" ht="39.75" customHeight="1">
      <c r="A383" s="1232"/>
      <c r="B383" s="906" t="s">
        <v>1391</v>
      </c>
      <c r="C383" s="906" t="s">
        <v>6038</v>
      </c>
      <c r="D383" s="906" t="s">
        <v>888</v>
      </c>
      <c r="E383" s="906">
        <v>712.75</v>
      </c>
      <c r="F383" s="906"/>
      <c r="G383" s="906" t="s">
        <v>32</v>
      </c>
      <c r="H383" s="906" t="s">
        <v>33</v>
      </c>
      <c r="I383" s="906"/>
      <c r="J383" s="1269"/>
      <c r="K383" s="1269" t="s">
        <v>6036</v>
      </c>
      <c r="L383" s="1278">
        <v>197324.84</v>
      </c>
      <c r="M383" s="1278">
        <v>197324.84</v>
      </c>
      <c r="N383" s="906" t="s">
        <v>5093</v>
      </c>
      <c r="O383" s="906" t="s">
        <v>6039</v>
      </c>
      <c r="P383" s="906" t="s">
        <v>5846</v>
      </c>
      <c r="Q383" s="906">
        <v>18947102015</v>
      </c>
      <c r="R383" s="906" t="s">
        <v>5933</v>
      </c>
      <c r="S383" s="906" t="s">
        <v>5783</v>
      </c>
      <c r="T383" s="906"/>
    </row>
    <row r="384" spans="1:20" s="1030" customFormat="1" ht="39.75" customHeight="1">
      <c r="A384" s="1232"/>
      <c r="B384" s="906" t="s">
        <v>1391</v>
      </c>
      <c r="C384" s="906" t="s">
        <v>6038</v>
      </c>
      <c r="D384" s="906" t="s">
        <v>888</v>
      </c>
      <c r="E384" s="906">
        <v>82</v>
      </c>
      <c r="F384" s="906"/>
      <c r="G384" s="906" t="s">
        <v>32</v>
      </c>
      <c r="H384" s="906" t="s">
        <v>33</v>
      </c>
      <c r="I384" s="906"/>
      <c r="J384" s="1269"/>
      <c r="K384" s="1269" t="s">
        <v>6036</v>
      </c>
      <c r="L384" s="1278">
        <v>22701.7</v>
      </c>
      <c r="M384" s="1278">
        <v>22701.7</v>
      </c>
      <c r="N384" s="906" t="s">
        <v>5093</v>
      </c>
      <c r="O384" s="906" t="s">
        <v>6039</v>
      </c>
      <c r="P384" s="906" t="s">
        <v>5846</v>
      </c>
      <c r="Q384" s="906">
        <v>18947102015</v>
      </c>
      <c r="R384" s="906" t="s">
        <v>5933</v>
      </c>
      <c r="S384" s="906" t="s">
        <v>5783</v>
      </c>
      <c r="T384" s="906"/>
    </row>
    <row r="385" spans="1:20" s="1030" customFormat="1" ht="39.75" customHeight="1">
      <c r="A385" s="1232"/>
      <c r="B385" s="906"/>
      <c r="C385" s="906"/>
      <c r="D385" s="906"/>
      <c r="E385" s="906"/>
      <c r="F385" s="906"/>
      <c r="G385" s="906"/>
      <c r="H385" s="906"/>
      <c r="I385" s="906"/>
      <c r="J385" s="1269"/>
      <c r="K385" s="1269"/>
      <c r="L385" s="906"/>
      <c r="M385" s="906"/>
      <c r="N385" s="906"/>
      <c r="O385" s="906"/>
      <c r="P385" s="906"/>
      <c r="Q385" s="906"/>
      <c r="R385" s="906"/>
      <c r="S385" s="906"/>
      <c r="T385" s="906"/>
    </row>
    <row r="386" spans="1:20" s="1030" customFormat="1" ht="39.75" customHeight="1">
      <c r="A386" s="1232"/>
      <c r="B386" s="906"/>
      <c r="C386" s="906"/>
      <c r="D386" s="906"/>
      <c r="E386" s="906"/>
      <c r="F386" s="906"/>
      <c r="G386" s="906"/>
      <c r="H386" s="906"/>
      <c r="I386" s="906"/>
      <c r="J386" s="1269"/>
      <c r="K386" s="1269"/>
      <c r="L386" s="906"/>
      <c r="M386" s="906"/>
      <c r="N386" s="906"/>
      <c r="O386" s="906"/>
      <c r="P386" s="906"/>
      <c r="Q386" s="906"/>
      <c r="R386" s="906"/>
      <c r="S386" s="906"/>
      <c r="T386" s="906"/>
    </row>
    <row r="387" spans="1:20" s="1030" customFormat="1" ht="39.75" customHeight="1">
      <c r="A387" s="1232"/>
      <c r="B387" s="906"/>
      <c r="C387" s="906"/>
      <c r="D387" s="906"/>
      <c r="E387" s="906"/>
      <c r="F387" s="906"/>
      <c r="G387" s="906"/>
      <c r="H387" s="906"/>
      <c r="I387" s="906"/>
      <c r="J387" s="1269"/>
      <c r="K387" s="1269"/>
      <c r="L387" s="906"/>
      <c r="M387" s="906"/>
      <c r="N387" s="906"/>
      <c r="O387" s="906"/>
      <c r="P387" s="906"/>
      <c r="Q387" s="906"/>
      <c r="R387" s="906"/>
      <c r="S387" s="906"/>
      <c r="T387" s="906"/>
    </row>
    <row r="388" spans="1:20" s="1030" customFormat="1" ht="39.75" customHeight="1">
      <c r="A388" s="1232"/>
      <c r="B388" s="906"/>
      <c r="C388" s="906"/>
      <c r="D388" s="906"/>
      <c r="E388" s="906"/>
      <c r="F388" s="906"/>
      <c r="G388" s="906"/>
      <c r="H388" s="906"/>
      <c r="I388" s="906"/>
      <c r="J388" s="1269"/>
      <c r="K388" s="1269"/>
      <c r="L388" s="906"/>
      <c r="M388" s="906"/>
      <c r="N388" s="906"/>
      <c r="O388" s="906"/>
      <c r="P388" s="906"/>
      <c r="Q388" s="906"/>
      <c r="R388" s="906"/>
      <c r="S388" s="906"/>
      <c r="T388" s="906"/>
    </row>
    <row r="389" spans="1:20" s="1030" customFormat="1" ht="39.75" customHeight="1">
      <c r="A389" s="1232"/>
      <c r="B389" s="906"/>
      <c r="C389" s="906"/>
      <c r="D389" s="906"/>
      <c r="E389" s="906"/>
      <c r="F389" s="906"/>
      <c r="G389" s="906"/>
      <c r="H389" s="906"/>
      <c r="I389" s="906"/>
      <c r="J389" s="1269"/>
      <c r="K389" s="1269"/>
      <c r="L389" s="906"/>
      <c r="M389" s="906"/>
      <c r="N389" s="906"/>
      <c r="O389" s="906"/>
      <c r="P389" s="906"/>
      <c r="Q389" s="906"/>
      <c r="R389" s="906"/>
      <c r="S389" s="906"/>
      <c r="T389" s="906"/>
    </row>
    <row r="390" spans="1:20" s="1030" customFormat="1" ht="39.75" customHeight="1">
      <c r="A390" s="1232"/>
      <c r="B390" s="906"/>
      <c r="C390" s="906"/>
      <c r="D390" s="906"/>
      <c r="E390" s="906"/>
      <c r="F390" s="906"/>
      <c r="G390" s="906"/>
      <c r="H390" s="906"/>
      <c r="I390" s="906"/>
      <c r="J390" s="1269"/>
      <c r="K390" s="1269"/>
      <c r="L390" s="906"/>
      <c r="M390" s="906"/>
      <c r="N390" s="906"/>
      <c r="O390" s="906"/>
      <c r="P390" s="906"/>
      <c r="Q390" s="906"/>
      <c r="R390" s="906"/>
      <c r="S390" s="906"/>
      <c r="T390" s="906"/>
    </row>
    <row r="391" spans="1:20" s="1030" customFormat="1" ht="39.75" customHeight="1">
      <c r="A391" s="1232"/>
      <c r="B391" s="906"/>
      <c r="C391" s="1563"/>
      <c r="D391" s="1563"/>
      <c r="E391" s="1563"/>
      <c r="F391" s="1563"/>
      <c r="G391" s="1563"/>
      <c r="H391" s="1563"/>
      <c r="I391" s="1563"/>
      <c r="J391" s="1563"/>
      <c r="K391" s="1563"/>
      <c r="L391" s="1563"/>
      <c r="M391" s="1563"/>
      <c r="N391" s="1563"/>
      <c r="O391" s="1563"/>
      <c r="P391" s="1563"/>
      <c r="Q391" s="1563"/>
      <c r="R391" s="1563"/>
      <c r="S391" s="1563"/>
      <c r="T391" s="1232"/>
    </row>
    <row r="392" spans="1:20" ht="20.100000000000001" customHeight="1">
      <c r="A392" s="1279"/>
      <c r="B392" s="1232" t="s">
        <v>3717</v>
      </c>
      <c r="C392" s="1279"/>
      <c r="D392" s="1279"/>
      <c r="E392" s="1279"/>
      <c r="F392" s="1279"/>
      <c r="G392" s="1279"/>
      <c r="H392" s="1279"/>
      <c r="I392" s="1279"/>
      <c r="J392" s="1279"/>
      <c r="K392" s="1776"/>
      <c r="L392" s="1279"/>
      <c r="M392" s="1279"/>
      <c r="N392" s="1279"/>
      <c r="O392" s="1279"/>
      <c r="P392" s="1279"/>
      <c r="Q392" s="1279"/>
      <c r="R392" s="1279"/>
      <c r="S392" s="1279"/>
      <c r="T392" s="1279"/>
    </row>
    <row r="393" spans="1:20" ht="81" customHeight="1">
      <c r="A393" s="2001" t="s">
        <v>3557</v>
      </c>
      <c r="B393" s="2001"/>
      <c r="C393" s="2001"/>
      <c r="D393" s="2001"/>
      <c r="E393" s="2001"/>
      <c r="F393" s="2001"/>
      <c r="G393" s="2001"/>
      <c r="H393" s="2001"/>
      <c r="I393" s="2001"/>
      <c r="J393" s="2001"/>
      <c r="K393" s="2002"/>
      <c r="L393" s="2001"/>
      <c r="M393" s="2001"/>
      <c r="N393" s="2001"/>
      <c r="O393" s="2001"/>
      <c r="P393" s="2001"/>
      <c r="Q393" s="2001"/>
      <c r="R393" s="2001"/>
      <c r="S393" s="2001"/>
      <c r="T393" s="2001"/>
    </row>
  </sheetData>
  <mergeCells count="77">
    <mergeCell ref="P353:P354"/>
    <mergeCell ref="Q353:Q354"/>
    <mergeCell ref="R353:R354"/>
    <mergeCell ref="S353:S354"/>
    <mergeCell ref="A393:T393"/>
    <mergeCell ref="L183:L192"/>
    <mergeCell ref="M183:M192"/>
    <mergeCell ref="N183:N192"/>
    <mergeCell ref="F195:F201"/>
    <mergeCell ref="L195:L201"/>
    <mergeCell ref="M195:M201"/>
    <mergeCell ref="M164:M172"/>
    <mergeCell ref="N164:N172"/>
    <mergeCell ref="B173:B180"/>
    <mergeCell ref="F173:F180"/>
    <mergeCell ref="L173:L182"/>
    <mergeCell ref="M173:M182"/>
    <mergeCell ref="B181:B182"/>
    <mergeCell ref="F181:F182"/>
    <mergeCell ref="B126:B132"/>
    <mergeCell ref="F126:F132"/>
    <mergeCell ref="B133:B135"/>
    <mergeCell ref="F133:F135"/>
    <mergeCell ref="B136:B138"/>
    <mergeCell ref="B97:B103"/>
    <mergeCell ref="F97:F103"/>
    <mergeCell ref="B104:B118"/>
    <mergeCell ref="F104:F118"/>
    <mergeCell ref="B119:B125"/>
    <mergeCell ref="F119:F125"/>
    <mergeCell ref="B82:B89"/>
    <mergeCell ref="F82:F89"/>
    <mergeCell ref="K82:K89"/>
    <mergeCell ref="L82:L89"/>
    <mergeCell ref="M82:M89"/>
    <mergeCell ref="I81:I182"/>
    <mergeCell ref="J81:J182"/>
    <mergeCell ref="B140:B146"/>
    <mergeCell ref="B147:B153"/>
    <mergeCell ref="B154:B160"/>
    <mergeCell ref="B161:B163"/>
    <mergeCell ref="F164:F172"/>
    <mergeCell ref="L164:L172"/>
    <mergeCell ref="B90:B96"/>
    <mergeCell ref="F90:F96"/>
    <mergeCell ref="L90:L139"/>
    <mergeCell ref="S4:S5"/>
    <mergeCell ref="A2:T2"/>
    <mergeCell ref="A3:T3"/>
    <mergeCell ref="A4:A5"/>
    <mergeCell ref="B4:B5"/>
    <mergeCell ref="C4:C5"/>
    <mergeCell ref="D4:D5"/>
    <mergeCell ref="E4:E5"/>
    <mergeCell ref="G4:G5"/>
    <mergeCell ref="H4:H5"/>
    <mergeCell ref="J4:J5"/>
    <mergeCell ref="T4:T5"/>
    <mergeCell ref="P4:P5"/>
    <mergeCell ref="Q4:Q5"/>
    <mergeCell ref="R4:R5"/>
    <mergeCell ref="N65:N79"/>
    <mergeCell ref="K80:K81"/>
    <mergeCell ref="N80:N81"/>
    <mergeCell ref="N4:N5"/>
    <mergeCell ref="O4:O5"/>
    <mergeCell ref="N82:N89"/>
    <mergeCell ref="F136:F138"/>
    <mergeCell ref="F140:F146"/>
    <mergeCell ref="L140:L163"/>
    <mergeCell ref="M140:M163"/>
    <mergeCell ref="N140:N163"/>
    <mergeCell ref="F147:F153"/>
    <mergeCell ref="F154:F160"/>
    <mergeCell ref="F161:F163"/>
    <mergeCell ref="M90:M139"/>
    <mergeCell ref="N90:N139"/>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11</vt:i4>
      </vt:variant>
    </vt:vector>
  </HeadingPairs>
  <TitlesOfParts>
    <vt:vector size="11" baseType="lpstr">
      <vt:lpstr>北京</vt:lpstr>
      <vt:lpstr>太原</vt:lpstr>
      <vt:lpstr>天津</vt:lpstr>
      <vt:lpstr>路桥</vt:lpstr>
      <vt:lpstr>广州</vt:lpstr>
      <vt:lpstr>石家庄</vt:lpstr>
      <vt:lpstr>丰桥</vt:lpstr>
      <vt:lpstr>交通</vt:lpstr>
      <vt:lpstr>呼和</vt:lpstr>
      <vt:lpstr>建安</vt:lpstr>
      <vt:lpstr>电务</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2006-09-13T11:21:51Z</dcterms:created>
  <dcterms:modified xsi:type="dcterms:W3CDTF">2022-04-11T08:10:24Z</dcterms:modified>
</cp:coreProperties>
</file>